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 activeTab="8"/>
  </bookViews>
  <sheets>
    <sheet name="SCH C-2.1 B" sheetId="96" r:id="rId1"/>
    <sheet name="SCH C-2.1 F" sheetId="97" r:id="rId2"/>
    <sheet name="&lt;&lt;&lt;IMPORT" sheetId="93" r:id="rId3"/>
    <sheet name="SUPP SCH B-1.1 B" sheetId="70" r:id="rId4"/>
    <sheet name="SUPP SCH B-1.1 F" sheetId="69" r:id="rId5"/>
    <sheet name="&lt;&lt;&lt;EXPORT" sheetId="8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14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19" r:id="rId21"/>
    <sheet name="SCH B-3.1" sheetId="18" r:id="rId22"/>
    <sheet name="SCH B-3.2 B" sheetId="23" r:id="rId23"/>
    <sheet name="SCH B-3.2 F" sheetId="58" r:id="rId24"/>
    <sheet name="SCH B-4" sheetId="20" r:id="rId25"/>
    <sheet name="SCH B-4.1" sheetId="43" r:id="rId26"/>
    <sheet name="SCH B-4.2 B" sheetId="76" r:id="rId27"/>
    <sheet name="SCH B-4.2 F" sheetId="77" r:id="rId28"/>
    <sheet name="SCH B-5" sheetId="25" r:id="rId29"/>
    <sheet name="SCH B-5.1" sheetId="26" r:id="rId30"/>
    <sheet name="SCH B-5.2 B (1)" sheetId="102" r:id="rId31"/>
    <sheet name="SCH B-5.2 B (2)" sheetId="103" r:id="rId32"/>
    <sheet name="SCH B-5.2 F (1)" sheetId="98" r:id="rId33"/>
    <sheet name="SCH B-5.2 F (2)" sheetId="99" r:id="rId34"/>
    <sheet name="SCH B-6" sheetId="28" r:id="rId35"/>
    <sheet name="SCH B-7" sheetId="30" r:id="rId36"/>
    <sheet name="SCH B-7.1" sheetId="32" r:id="rId37"/>
    <sheet name="SCH B-7.2" sheetId="33" r:id="rId38"/>
    <sheet name="SCH B-8 TC" sheetId="31" r:id="rId39"/>
    <sheet name="SCH B-8 E" sheetId="44" r:id="rId40"/>
    <sheet name="DATA&gt;&gt;&gt;" sheetId="6" r:id="rId41"/>
    <sheet name="PIS B" sheetId="37" r:id="rId42"/>
    <sheet name="FCPIS B" sheetId="38" r:id="rId43"/>
    <sheet name="PIS F" sheetId="45" r:id="rId44"/>
    <sheet name="PIS F AVG" sheetId="48" r:id="rId45"/>
    <sheet name="FCPIS F" sheetId="46" r:id="rId46"/>
    <sheet name="FC CWIP &amp; RWIP B" sheetId="34" r:id="rId47"/>
    <sheet name="FC CWIP &amp; RWIP F" sheetId="47" r:id="rId48"/>
    <sheet name="ECR Exclusions" sheetId="75" r:id="rId49"/>
    <sheet name="ECR COR" sheetId="92" r:id="rId50"/>
    <sheet name="ECR CCR" sheetId="91" r:id="rId51"/>
    <sheet name="ECR EXP B" sheetId="53" r:id="rId52"/>
    <sheet name="ECR EXP F" sheetId="54" r:id="rId53"/>
    <sheet name="BS" sheetId="87" r:id="rId54"/>
    <sheet name="BS E" sheetId="104" r:id="rId55"/>
    <sheet name="IS E" sheetId="88" r:id="rId56"/>
    <sheet name="IS TC" sheetId="100" r:id="rId57"/>
    <sheet name="BS CWC" sheetId="105" r:id="rId58"/>
    <sheet name="Lead Lag Days" sheetId="101" r:id="rId59"/>
    <sheet name="INV" sheetId="62" r:id="rId60"/>
    <sheet name="TC1 Disallowance" sheetId="68" r:id="rId61"/>
    <sheet name="DEFTAX B" sheetId="63" r:id="rId62"/>
    <sheet name="DEFTAX F" sheetId="64" r:id="rId63"/>
    <sheet name="ECR DEFTAX" sheetId="65" r:id="rId64"/>
    <sheet name="DSM DEFTAX" sheetId="66" r:id="rId65"/>
    <sheet name="LGE Elect Depr Rates" sheetId="56" r:id="rId66"/>
    <sheet name="LGE Elect Proposed Depr Rates" sheetId="84" r:id="rId67"/>
    <sheet name="LGE Common Depr Rates" sheetId="57" r:id="rId68"/>
    <sheet name="LGE Common Proposed Depr Rates" sheetId="85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\" localSheetId="2" hidden="1">#REF!</definedName>
    <definedName name="\\" localSheetId="46" hidden="1">#REF!</definedName>
    <definedName name="\\" localSheetId="47" hidden="1">#REF!</definedName>
    <definedName name="\\" localSheetId="45" hidden="1">#REF!</definedName>
    <definedName name="\\" localSheetId="55" hidden="1">#REF!</definedName>
    <definedName name="\\" localSheetId="43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7" hidden="1">#REF!</definedName>
    <definedName name="\\\" localSheetId="45" hidden="1">#REF!</definedName>
    <definedName name="\\\" localSheetId="55" hidden="1">#REF!</definedName>
    <definedName name="\\\" localSheetId="43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7" hidden="1">#REF!</definedName>
    <definedName name="\\\\" localSheetId="45" hidden="1">#REF!</definedName>
    <definedName name="\\\\" localSheetId="55" hidden="1">#REF!</definedName>
    <definedName name="\\\\" localSheetId="43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54" hidden="1">#REF!</definedName>
    <definedName name="__123Graph_1" localSheetId="55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54" hidden="1">#REF!</definedName>
    <definedName name="__123Graph_2" localSheetId="55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54" hidden="1">#REF!</definedName>
    <definedName name="__123Graph_3" localSheetId="55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55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55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55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55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55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54" hidden="1">#REF!</definedName>
    <definedName name="__123Graph_B" localSheetId="55" hidden="1">#REF!</definedName>
    <definedName name="__123Graph_B" localSheetId="58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55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55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55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54" hidden="1">#REF!</definedName>
    <definedName name="__123Graph_F" localSheetId="55" hidden="1">#REF!</definedName>
    <definedName name="__123Graph_F" localSheetId="58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6" hidden="1">#REF!</definedName>
    <definedName name="__123Graph_X" localSheetId="47" hidden="1">#REF!</definedName>
    <definedName name="__123Graph_X" localSheetId="45" hidden="1">#REF!</definedName>
    <definedName name="__123Graph_X" localSheetId="55" hidden="1">#REF!</definedName>
    <definedName name="__123Graph_X" localSheetId="43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8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8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7" hidden="1">#REF!</definedName>
    <definedName name="_Fill" localSheetId="45" hidden="1">#REF!</definedName>
    <definedName name="_Fill" localSheetId="55" hidden="1">#REF!</definedName>
    <definedName name="_Fill" localSheetId="58" hidden="1">#REF!</definedName>
    <definedName name="_Fill" localSheetId="43" hidden="1">#REF!</definedName>
    <definedName name="_Fill" localSheetId="44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54" hidden="1">'BS E'!$A$8:$A$249</definedName>
    <definedName name="_xlnm._FilterDatabase" localSheetId="42" hidden="1">'FCPIS B'!$B$1:$B$411</definedName>
    <definedName name="_xlnm._FilterDatabase" localSheetId="45" hidden="1">'FCPIS F'!$B$1:$B$411</definedName>
    <definedName name="_xlnm._FilterDatabase" localSheetId="26" hidden="1">'SCH B-4.2 B'!$A$12:$P$142</definedName>
    <definedName name="_xlnm._FilterDatabase" localSheetId="27" hidden="1">'SCH B-4.2 F'!$A$12:$P$246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56" hidden="1">#REF!</definedName>
    <definedName name="_Key1" localSheetId="58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56" hidden="1">#REF!</definedName>
    <definedName name="_Key2" localSheetId="58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56" hidden="1">#REF!</definedName>
    <definedName name="_Key3" localSheetId="58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8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8" hidden="1">255</definedName>
    <definedName name="_Order1" hidden="1">0</definedName>
    <definedName name="_Order1a" hidden="1">0</definedName>
    <definedName name="_Order2" localSheetId="58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58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8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8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8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8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8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8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8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64" hidden="1">{"'Server Configuration'!$A$1:$DB$281"}</definedName>
    <definedName name="ahahahahaha" localSheetId="59" hidden="1">{"'Server Configuration'!$A$1:$DB$281"}</definedName>
    <definedName name="ahahahahaha" localSheetId="55" hidden="1">{"'Server Configuration'!$A$1:$DB$281"}</definedName>
    <definedName name="ahahahahaha" localSheetId="56" hidden="1">{"'Server Configuration'!$A$1:$DB$281"}</definedName>
    <definedName name="ahahahahaha" localSheetId="3" hidden="1">{"'Server Configuration'!$A$1:$DB$281"}</definedName>
    <definedName name="ahahahahaha" hidden="1">{"'Server Configuration'!$A$1:$DB$281"}</definedName>
    <definedName name="asdfasdfasdfas" localSheetId="58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64" hidden="1">{"'Server Configuration'!$A$1:$DB$281"}</definedName>
    <definedName name="blip" localSheetId="59" hidden="1">{"'Server Configuration'!$A$1:$DB$281"}</definedName>
    <definedName name="blip" localSheetId="55" hidden="1">{"'Server Configuration'!$A$1:$DB$281"}</definedName>
    <definedName name="blip" localSheetId="56" hidden="1">{"'Server Configuration'!$A$1:$DB$281"}</definedName>
    <definedName name="blip" localSheetId="3" hidden="1">{"'Server Configuration'!$A$1:$DB$281"}</definedName>
    <definedName name="blip" hidden="1">{"'Server Configuration'!$A$1:$DB$281"}</definedName>
    <definedName name="BLPH1" localSheetId="58" hidden="1">'[4]Natural gas'!$A$3</definedName>
    <definedName name="BLPH1" hidden="1">'[5]Natural gas'!$A$3</definedName>
    <definedName name="BLPR1020040129204514642" localSheetId="58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8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8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8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8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8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8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8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8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8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8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8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8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8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8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8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8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8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8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8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8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8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8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8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8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8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8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8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8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8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8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8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8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8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8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8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8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8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8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8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8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8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8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8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8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8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8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8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8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8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8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8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8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8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8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8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8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8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8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8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8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8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8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8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8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8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8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8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8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8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8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8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8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8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8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8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8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8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8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8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8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8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8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8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8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8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8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8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8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8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8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8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8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8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8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8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8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8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8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8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8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8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8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8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8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8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8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8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8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8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8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8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8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8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8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8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8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8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8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8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8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8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8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8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8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8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8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8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8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8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8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8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8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8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8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8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8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8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8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8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8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8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8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8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8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8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8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8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8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8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8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8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8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8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8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8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8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8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8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8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8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8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8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8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8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8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8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8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8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8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8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8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8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8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8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8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8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8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8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8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8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8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8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8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8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55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58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56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54" hidden="1">{"'3-13-00'!$A$1:$A$2678"}</definedName>
    <definedName name="HTML_Control" localSheetId="64" hidden="1">{"'Server Configuration'!$A$1:$DB$281"}</definedName>
    <definedName name="HTML_Control" localSheetId="59" hidden="1">{"'Server Configuration'!$A$1:$DB$281"}</definedName>
    <definedName name="HTML_Control" localSheetId="55" hidden="1">{"'Server Configuration'!$A$1:$DB$281"}</definedName>
    <definedName name="HTML_Control" localSheetId="56" hidden="1">{"'Server Configuration'!$A$1:$DB$281"}</definedName>
    <definedName name="HTML_Control" localSheetId="58" hidden="1">{"'SERC'!$E$1:$M$37"}</definedName>
    <definedName name="HTML_Control" localSheetId="3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4" hidden="1">"3-13-00"</definedName>
    <definedName name="HTML_Header" hidden="1">"Server Configuration"</definedName>
    <definedName name="HTML_LastUpdate" localSheetId="54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4" hidden="1">"Deb Kressley"</definedName>
    <definedName name="HTML_Name" hidden="1">"Corporate Network Services"</definedName>
    <definedName name="HTML_OBDlg2" localSheetId="58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4" hidden="1">"H:\DATA\MyHTML.htm"</definedName>
    <definedName name="HTML_PathFile" localSheetId="58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54" hidden="1">"Account"</definedName>
    <definedName name="HTML_Title" hidden="1">"Asset Tracking 2_9_01"</definedName>
    <definedName name="HTML1_1" localSheetId="58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8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8" hidden="1">-4146</definedName>
    <definedName name="HTML1_7" hidden="1">1</definedName>
    <definedName name="HTML1_8" localSheetId="58" hidden="1">"2/17/98"</definedName>
    <definedName name="HTML1_8" hidden="1">"10/10/96"</definedName>
    <definedName name="HTML1_9" localSheetId="58" hidden="1">"BPH"</definedName>
    <definedName name="HTML1_9" hidden="1">"LGE Energy Division User"</definedName>
    <definedName name="HTML2_1" localSheetId="58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8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8" hidden="1">-4146</definedName>
    <definedName name="HTML2_7" hidden="1">1</definedName>
    <definedName name="HTML2_8" localSheetId="58" hidden="1">"2/17/98"</definedName>
    <definedName name="HTML2_8" hidden="1">"10/10/96"</definedName>
    <definedName name="HTML2_9" localSheetId="58" hidden="1">"BPH"</definedName>
    <definedName name="HTML2_9" hidden="1">"LGE Energy Division User"</definedName>
    <definedName name="HTML3_1" localSheetId="58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8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8" hidden="1">-4146</definedName>
    <definedName name="HTML3_7" hidden="1">1</definedName>
    <definedName name="HTML3_8" localSheetId="58" hidden="1">"2/17/98"</definedName>
    <definedName name="HTML3_8" hidden="1">"10/10/96"</definedName>
    <definedName name="HTML3_9" localSheetId="58" hidden="1">"BPH"</definedName>
    <definedName name="HTML3_9" hidden="1">"LGE Energy Division User"</definedName>
    <definedName name="HTMLCount" hidden="1">3</definedName>
    <definedName name="INTERNE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58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58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61">'DEFTAX B'!$A$1:$C$15</definedName>
    <definedName name="_xlnm.Print_Area" localSheetId="7">'Index B'!$A$1:$C$42</definedName>
    <definedName name="_xlnm.Print_Area" localSheetId="58">'Lead Lag Days'!$A$1:$H$83</definedName>
    <definedName name="_xlnm.Print_Area" localSheetId="67">'LGE Common Depr Rates'!$A$1:$Q$63</definedName>
    <definedName name="_xlnm.Print_Area" localSheetId="65">'LGE Elect Depr Rates'!$A$1:$R$346</definedName>
    <definedName name="_xlnm.Print_Area" localSheetId="8">'SCH B-1'!$A$1:$G$30</definedName>
    <definedName name="_xlnm.Print_Area" localSheetId="9">'SCH B-2'!$A$1:$H$60</definedName>
    <definedName name="_xlnm.Print_Area" localSheetId="10">'SCH B-2.1 B'!$A$1:$I$132</definedName>
    <definedName name="_xlnm.Print_Area" localSheetId="11">'SCH B-2.1 F'!$A$1:$I$132</definedName>
    <definedName name="_xlnm.Print_Area" localSheetId="12">'SCH B-2.2'!$A$1:$I$52</definedName>
    <definedName name="_xlnm.Print_Area" localSheetId="13">'SCH B-2.3 B'!$A$1:$I$132</definedName>
    <definedName name="_xlnm.Print_Area" localSheetId="14">'SCH B-2.3 F'!$A$1:$J$133</definedName>
    <definedName name="_xlnm.Print_Area" localSheetId="15">'SCH B-2.4'!$A$1:$J$26</definedName>
    <definedName name="_xlnm.Print_Area" localSheetId="16">'SCH B-2.5'!$A$1:$I$26</definedName>
    <definedName name="_xlnm.Print_Area" localSheetId="17">'SCH B-2.6'!$A$1:$N$56</definedName>
    <definedName name="_xlnm.Print_Area" localSheetId="18">'SCH B-2.7'!$A$1:$L$68</definedName>
    <definedName name="_xlnm.Print_Area" localSheetId="19">'SCH B-3 B'!$A$1:$J$135</definedName>
    <definedName name="_xlnm.Print_Area" localSheetId="20">'SCH B-3 F'!$A$1:$J$135</definedName>
    <definedName name="_xlnm.Print_Area" localSheetId="21">'SCH B-3.1'!$A$1:$I$50</definedName>
    <definedName name="_xlnm.Print_Area" localSheetId="22">'SCH B-3.2 B'!$A$1:$K$125</definedName>
    <definedName name="_xlnm.Print_Area" localSheetId="23">'SCH B-3.2 F'!$A$1:$K$125</definedName>
    <definedName name="_xlnm.Print_Area" localSheetId="24">'SCH B-4'!$A$1:$K$57</definedName>
    <definedName name="_xlnm.Print_Area" localSheetId="25">'SCH B-4.1'!$A$1:$H$38</definedName>
    <definedName name="_xlnm.Print_Area" localSheetId="26">'SCH B-4.2 B'!$A$1:$J$142</definedName>
    <definedName name="_xlnm.Print_Area" localSheetId="27">'SCH B-4.2 F'!$A$1:$J$248</definedName>
    <definedName name="_xlnm.Print_Area" localSheetId="28">'SCH B-5'!$A$1:$H$56</definedName>
    <definedName name="_xlnm.Print_Area" localSheetId="29">'SCH B-5.1'!$A$1:$F$54</definedName>
    <definedName name="_xlnm.Print_Area" localSheetId="30">'SCH B-5.2 B (1)'!$A$1:$Q$82</definedName>
    <definedName name="_xlnm.Print_Area" localSheetId="31">'SCH B-5.2 B (2)'!$A$1:$W$38,'SCH B-5.2 B (2)'!$A$48:$W$66</definedName>
    <definedName name="_xlnm.Print_Area" localSheetId="32">'SCH B-5.2 F (1)'!$A$1:$Q$82</definedName>
    <definedName name="_xlnm.Print_Area" localSheetId="33">'SCH B-5.2 F (2)'!$A$1:$W$38,'SCH B-5.2 F (2)'!$A$48:$W$66</definedName>
    <definedName name="_xlnm.Print_Area" localSheetId="34">'SCH B-6'!$A$1:$I$43</definedName>
    <definedName name="_xlnm.Print_Area" localSheetId="35">'SCH B-7'!$A$1:$F$17</definedName>
    <definedName name="_xlnm.Print_Area" localSheetId="36">'SCH B-7.1'!$A$1:$H$18</definedName>
    <definedName name="_xlnm.Print_Area" localSheetId="37">'SCH B-7.2'!$A$1:$F$17</definedName>
    <definedName name="_xlnm.Print_Area" localSheetId="39">'SCH B-8 E'!$A$1:$P$118</definedName>
    <definedName name="_xlnm.Print_Area" localSheetId="38">'SCH B-8 TC'!$A$1:$P$116</definedName>
    <definedName name="_xlnm.Print_Area" localSheetId="0">'SCH C-2.1 B'!$A$1:$J$237</definedName>
    <definedName name="_xlnm.Print_Area" localSheetId="1">'SCH C-2.1 F'!$A$1:$J$237</definedName>
    <definedName name="_xlnm.Print_Area" localSheetId="4">'SUPP SCH B-1.1 F'!$A$1:$AE$50</definedName>
    <definedName name="Print_Area_MI" localSheetId="7">'Index B'!$A$1:$N$42</definedName>
    <definedName name="print4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8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58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58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58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58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58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58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58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58" hidden="1">{#N/A,#N/A,FALSE,"Acq-Val";#N/A,#N/A,FALSE,"Acq-Mult Val"}</definedName>
    <definedName name="wrn.AcqVal." hidden="1">{#N/A,#N/A,FALSE,"Acq-Val";#N/A,#N/A,FALSE,"Acq-Mult Val"}</definedName>
    <definedName name="wrn.AcqVal._2" localSheetId="58" hidden="1">{#N/A,#N/A,FALSE,"Acq-Val";#N/A,#N/A,FALSE,"Acq-Mult Val"}</definedName>
    <definedName name="wrn.AcqVal._2" hidden="1">{#N/A,#N/A,FALSE,"Acq-Val";#N/A,#N/A,FALSE,"Acq-Mult Val"}</definedName>
    <definedName name="wrn.AcqVal._22" localSheetId="58" hidden="1">{#N/A,#N/A,FALSE,"Acq-Val";#N/A,#N/A,FALSE,"Acq-Mult Val"}</definedName>
    <definedName name="wrn.AcqVal._22" hidden="1">{#N/A,#N/A,FALSE,"Acq-Val";#N/A,#N/A,FALSE,"Acq-Mult Val"}</definedName>
    <definedName name="wrn.AcqVal.2" localSheetId="58" hidden="1">{#N/A,#N/A,FALSE,"Acq-Val";#N/A,#N/A,FALSE,"Acq-Mult Val"}</definedName>
    <definedName name="wrn.AcqVal.2" hidden="1">{#N/A,#N/A,FALSE,"Acq-Val";#N/A,#N/A,FALSE,"Acq-Mult Val"}</definedName>
    <definedName name="wrn.all." localSheetId="5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5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58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58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58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58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58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58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58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58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58" hidden="1">{"Facility Detail",#N/A,FALSE,"P&amp;L Detail"}</definedName>
    <definedName name="wrn.Detail._.Income._.Statement." hidden="1">{"Facility Detail",#N/A,FALSE,"P&amp;L Detail"}</definedName>
    <definedName name="wrn.Everything." localSheetId="58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58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58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58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58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58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58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58" hidden="1">{"Phase in summary",#N/A,FALSE,"P&amp;L Phased"}</definedName>
    <definedName name="wrn.Phase._.in." hidden="1">{"Phase in summary",#N/A,FALSE,"P&amp;L Phased"}</definedName>
    <definedName name="wrn.PL._.Detail." localSheetId="58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58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58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58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58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58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58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58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58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58" hidden="1">{"review",#N/A,FALSE,"FACTSHT"}</definedName>
    <definedName name="wrn.review." hidden="1">{"review",#N/A,FALSE,"FACTSHT"}</definedName>
    <definedName name="wrn.review1." localSheetId="58" hidden="1">{"review",#N/A,FALSE,"FACTSHT"}</definedName>
    <definedName name="wrn.review1." hidden="1">{"review",#N/A,FALSE,"FACTSHT"}</definedName>
    <definedName name="wrn.SBEI.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58" hidden="1">{"Std Poor",#N/A,FALSE,"S&amp;P";"Sum Stats",#N/A,FALSE,"Stats"}</definedName>
    <definedName name="wrn.Statistics." hidden="1">{"Std Poor",#N/A,FALSE,"S&amp;P";"Sum Stats",#N/A,FALSE,"Stats"}</definedName>
    <definedName name="wrn.Target.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58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58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58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58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58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58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6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55" hidden="1">{"Wkp ComEquity",#N/A,FALSE,"Cap Struct WPs"}</definedName>
    <definedName name="wrn.Wkp._.ComEquity." localSheetId="56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55" hidden="1">{"Wkp JDITC",#N/A,FALSE,"Cap Struct WPs"}</definedName>
    <definedName name="wrn.Wkp._.JDITC." localSheetId="56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55" hidden="1">{"Wkp LTerm Debt",#N/A,FALSE,"Cap Struct WPs"}</definedName>
    <definedName name="wrn.Wkp._.LTerm._.Debt." localSheetId="56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55" hidden="1">{"Wkp LTerm Debt 13MoAvg",#N/A,FALSE,"Cap Struct WPs"}</definedName>
    <definedName name="wrn.Wkp._.LTerm._.Debt._.13Mo._.Avg." localSheetId="56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55" hidden="1">{"Wkp Lterm Debt Amort",#N/A,FALSE,"Cap Struct WPs"}</definedName>
    <definedName name="wrn.Wkp._.LTerm._.Debt._.Amort." localSheetId="56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55" hidden="1">{"Wkp LTerm Debt Int",#N/A,FALSE,"Cap Struct WPs"}</definedName>
    <definedName name="wrn.Wkp._.LTerm._.Debt._.Int." localSheetId="56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55" hidden="1">{"Wkp PreStock",#N/A,FALSE,"Cap Struct WPs"}</definedName>
    <definedName name="wrn.Wkp._.PreStock." localSheetId="56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55" hidden="1">{"Wkp PreStock 13MoAvg",#N/A,FALSE,"Cap Struct WPs"}</definedName>
    <definedName name="wrn.Wkp._.PreStock._.13MoAvg." localSheetId="56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55" hidden="1">{"Wkp PreStock Amort",#N/A,FALSE,"Cap Struct WPs"}</definedName>
    <definedName name="wrn.Wkp._.PreStock._.Amort." localSheetId="56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55" hidden="1">{"Wkp PreStock Dividend",#N/A,FALSE,"Cap Struct WPs"}</definedName>
    <definedName name="wrn.Wkp._.PreStock._.Dividend." localSheetId="56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55" hidden="1">{"Wkp STerm Debt",#N/A,FALSE,"Cap Struct WPs"}</definedName>
    <definedName name="wrn.Wkp._.STerm._.Debt." localSheetId="56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55" hidden="1">{"Wkp Unamort Debt Exp",#N/A,FALSE,"Cap Struct WPs"}</definedName>
    <definedName name="wrn.Wkp._.Unamort._.Debt._.Exp." localSheetId="56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5" hidden="1">{"Wkp Unamort PreStock Exp",#N/A,FALSE,"Cap Struct WPs"}</definedName>
    <definedName name="wrn.Wkp._.Unamort._.PreStock._.Exp." localSheetId="56" hidden="1">{"Wkp Unamort PreStock Exp",#N/A,FALSE,"Cap Struct WPs"}</definedName>
    <definedName name="wrn.Wkp._.Unamort._.PreStock._.Exp." hidden="1">{"Wkp Unamort PreStock Exp",#N/A,FALSE,"Cap Struct WPs"}</definedName>
    <definedName name="xxxx" localSheetId="58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58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E'!$A$1:$P$124</definedName>
    <definedName name="Z_0827DD1F_A9BE_4D13_BDC7_18E2F5303A4C_.wvu.PrintArea" localSheetId="38" hidden="1">'SCH B-8 TC'!$A$1:$P$124</definedName>
    <definedName name="Z_17EC1D8B_C312_4928_92BF_E4B8E04733C9_.wvu.PrintArea" localSheetId="39" hidden="1">'SCH B-8 E'!$A$1:$P$124</definedName>
    <definedName name="Z_17EC1D8B_C312_4928_92BF_E4B8E04733C9_.wvu.PrintArea" localSheetId="38" hidden="1">'SCH B-8 TC'!$A$1:$P$124</definedName>
    <definedName name="Z_17F81FAD_A804_409E_AD77_E4B3A0D493B1_.wvu.PrintArea" localSheetId="39" hidden="1">'SCH B-8 E'!$A$1:$P$124</definedName>
    <definedName name="Z_17F81FAD_A804_409E_AD77_E4B3A0D493B1_.wvu.PrintArea" localSheetId="38" hidden="1">'SCH B-8 TC'!$A$1:$P$124</definedName>
    <definedName name="Z_2B785BFB_7564_44CF_85B0_B660EDED919E_.wvu.PrintArea" localSheetId="39" hidden="1">'SCH B-8 E'!$A$1:$P$124</definedName>
    <definedName name="Z_2B785BFB_7564_44CF_85B0_B660EDED919E_.wvu.PrintArea" localSheetId="38" hidden="1">'SCH B-8 TC'!$A$1:$P$124</definedName>
    <definedName name="Z_30F99172_C4F2_44CA_968C_724910CD8C0D_.wvu.PrintArea" localSheetId="39" hidden="1">'SCH B-8 E'!$A$1:$P$124</definedName>
    <definedName name="Z_30F99172_C4F2_44CA_968C_724910CD8C0D_.wvu.PrintArea" localSheetId="38" hidden="1">'SCH B-8 TC'!$A$1:$P$124</definedName>
    <definedName name="Z_4D71A4B5_3501_4D55_925A_603836C1CD6A_.wvu.PrintArea" localSheetId="39" hidden="1">'SCH B-8 E'!$A$1:$P$124</definedName>
    <definedName name="Z_4D71A4B5_3501_4D55_925A_603836C1CD6A_.wvu.PrintArea" localSheetId="38" hidden="1">'SCH B-8 TC'!$A$1:$P$124</definedName>
    <definedName name="Z_4E8676F3_F8E9_4B82_A801_CEC84738F427_.wvu.PrintArea" localSheetId="39" hidden="1">'SCH B-8 E'!$A$1:$P$124</definedName>
    <definedName name="Z_4E8676F3_F8E9_4B82_A801_CEC84738F427_.wvu.PrintArea" localSheetId="38" hidden="1">'SCH B-8 TC'!$A$1:$P$124</definedName>
    <definedName name="Z_50E30236_B87B_46B0_8AB7_5CB07C32AD51_.wvu.PrintArea" localSheetId="39" hidden="1">'SCH B-8 E'!$A$1:$P$124</definedName>
    <definedName name="Z_50E30236_B87B_46B0_8AB7_5CB07C32AD51_.wvu.PrintArea" localSheetId="38" hidden="1">'SCH B-8 TC'!$A$1:$P$124</definedName>
    <definedName name="Z_5446BA9A_8B69_404B_A913_5A53E8937DEF_.wvu.PrintArea" localSheetId="39" hidden="1">'SCH B-8 E'!$A$1:$P$124</definedName>
    <definedName name="Z_5446BA9A_8B69_404B_A913_5A53E8937DEF_.wvu.PrintArea" localSheetId="38" hidden="1">'SCH B-8 TC'!$A$1:$P$124</definedName>
    <definedName name="Z_5C6CC12D_4976_49E7_B4BF_0BC5FC5930C4_.wvu.PrintArea" localSheetId="39" hidden="1">'SCH B-8 E'!$A$1:$P$124</definedName>
    <definedName name="Z_5C6CC12D_4976_49E7_B4BF_0BC5FC5930C4_.wvu.PrintArea" localSheetId="38" hidden="1">'SCH B-8 TC'!$A$1:$P$124</definedName>
    <definedName name="Z_650001A7_7F5D_4C25_A793_6874747A9BCA_.wvu.PrintArea" localSheetId="39" hidden="1">'SCH B-8 E'!$A$1:$P$124</definedName>
    <definedName name="Z_650001A7_7F5D_4C25_A793_6874747A9BCA_.wvu.PrintArea" localSheetId="38" hidden="1">'SCH B-8 TC'!$A$1:$P$124</definedName>
    <definedName name="Z_6806E151_5E14_4AFD_87E4_963C9A6AC622_.wvu.PrintArea" localSheetId="39" hidden="1">'SCH B-8 E'!$A$1:$P$124</definedName>
    <definedName name="Z_6806E151_5E14_4AFD_87E4_963C9A6AC622_.wvu.PrintArea" localSheetId="38" hidden="1">'SCH B-8 TC'!$A$1:$P$124</definedName>
    <definedName name="Z_6B73F06A_6B8B_492D_98E8_4B1867446724_.wvu.PrintArea" localSheetId="39" hidden="1">'SCH B-8 E'!$A$1:$P$124</definedName>
    <definedName name="Z_6B73F06A_6B8B_492D_98E8_4B1867446724_.wvu.PrintArea" localSheetId="38" hidden="1">'SCH B-8 TC'!$A$1:$P$124</definedName>
    <definedName name="Z_6B79D4D5_16CF_4897_8F30_1E695809C85C_.wvu.PrintArea" localSheetId="39" hidden="1">'SCH B-8 E'!$A$1:$P$124</definedName>
    <definedName name="Z_6B79D4D5_16CF_4897_8F30_1E695809C85C_.wvu.PrintArea" localSheetId="38" hidden="1">'SCH B-8 TC'!$A$1:$P$124</definedName>
    <definedName name="Z_7F548A59_6325_4863_A2CD_C4C2FE9990B9_.wvu.PrintArea" localSheetId="39" hidden="1">'SCH B-8 E'!$A$1:$P$124</definedName>
    <definedName name="Z_7F548A59_6325_4863_A2CD_C4C2FE9990B9_.wvu.PrintArea" localSheetId="38" hidden="1">'SCH B-8 TC'!$A$1:$P$124</definedName>
    <definedName name="Z_949C0204_0136_46BF_80A5_3F78E0511D46_.wvu.PrintArea" localSheetId="39" hidden="1">'SCH B-8 E'!$A$1:$P$124</definedName>
    <definedName name="Z_949C0204_0136_46BF_80A5_3F78E0511D46_.wvu.PrintArea" localSheetId="38" hidden="1">'SCH B-8 TC'!$A$1:$P$124</definedName>
    <definedName name="Z_9A6DA5E0_B602_4D30_BF57_B9A64673419A_.wvu.PrintArea" localSheetId="39" hidden="1">'SCH B-8 E'!$A$1:$P$124</definedName>
    <definedName name="Z_9A6DA5E0_B602_4D30_BF57_B9A64673419A_.wvu.PrintArea" localSheetId="38" hidden="1">'SCH B-8 TC'!$A$1:$P$124</definedName>
    <definedName name="Z_9B3B6D0E_03C7_49B0_92DB_C4FD245E93BC_.wvu.PrintArea" localSheetId="39" hidden="1">'SCH B-8 E'!$A$1:$P$124</definedName>
    <definedName name="Z_9B3B6D0E_03C7_49B0_92DB_C4FD245E93BC_.wvu.PrintArea" localSheetId="38" hidden="1">'SCH B-8 TC'!$A$1:$P$124</definedName>
    <definedName name="Z_B11022C5_E08B_4A9C_A0FF_33A3D6D2F386_.wvu.PrintArea" localSheetId="39" hidden="1">'SCH B-8 E'!$A$1:$P$124</definedName>
    <definedName name="Z_B11022C5_E08B_4A9C_A0FF_33A3D6D2F386_.wvu.PrintArea" localSheetId="38" hidden="1">'SCH B-8 TC'!$A$1:$P$124</definedName>
    <definedName name="Z_B339DAC4_A962_4729_81C2_E354C0B54027_.wvu.PrintArea" localSheetId="39" hidden="1">'SCH B-8 E'!$A$1:$P$124</definedName>
    <definedName name="Z_B339DAC4_A962_4729_81C2_E354C0B54027_.wvu.PrintArea" localSheetId="38" hidden="1">'SCH B-8 TC'!$A$1:$P$124</definedName>
    <definedName name="Z_B768E8BE_E40F_4622_8687_5C13CF63FEF1_.wvu.PrintArea" localSheetId="39" hidden="1">'SCH B-8 E'!$A$1:$P$124</definedName>
    <definedName name="Z_B768E8BE_E40F_4622_8687_5C13CF63FEF1_.wvu.PrintArea" localSheetId="38" hidden="1">'SCH B-8 TC'!$A$1:$P$124</definedName>
    <definedName name="Z_B8F938A3_B40C_4099_ABD8_B6D835D2359F_.wvu.PrintArea" localSheetId="39" hidden="1">'SCH B-8 E'!$A$1:$P$124</definedName>
    <definedName name="Z_B8F938A3_B40C_4099_ABD8_B6D835D2359F_.wvu.PrintArea" localSheetId="38" hidden="1">'SCH B-8 TC'!$A$1:$P$124</definedName>
    <definedName name="Z_BA17188F_41F9_429B_8466_0B115E6076C4_.wvu.PrintArea" localSheetId="39" hidden="1">'SCH B-8 E'!$A$1:$P$124</definedName>
    <definedName name="Z_BA17188F_41F9_429B_8466_0B115E6076C4_.wvu.PrintArea" localSheetId="38" hidden="1">'SCH B-8 TC'!$A$1:$P$124</definedName>
    <definedName name="Z_BC5E0361_74E9_4A40_A93E_A28F6B6112CC_.wvu.PrintArea" localSheetId="39" hidden="1">'SCH B-8 E'!$A$1:$P$124</definedName>
    <definedName name="Z_BC5E0361_74E9_4A40_A93E_A28F6B6112CC_.wvu.PrintArea" localSheetId="38" hidden="1">'SCH B-8 TC'!$A$1:$P$124</definedName>
    <definedName name="Z_BEA31234_456D_4B58_9D73_CDF96CBEAFF0_.wvu.PrintArea" localSheetId="39" hidden="1">'SCH B-8 E'!$A$1:$P$124</definedName>
    <definedName name="Z_BEA31234_456D_4B58_9D73_CDF96CBEAFF0_.wvu.PrintArea" localSheetId="38" hidden="1">'SCH B-8 TC'!$A$1:$P$124</definedName>
    <definedName name="Z_C26CB08D_E75A_444E_97C0_685DE1198CEB_.wvu.PrintArea" localSheetId="39" hidden="1">'SCH B-8 E'!$A$1:$P$124</definedName>
    <definedName name="Z_C26CB08D_E75A_444E_97C0_685DE1198CEB_.wvu.PrintArea" localSheetId="38" hidden="1">'SCH B-8 TC'!$A$1:$P$124</definedName>
    <definedName name="Z_CB2DDF95_6E3D_4BC1_9D30_54963EA34987_.wvu.PrintArea" localSheetId="39" hidden="1">'SCH B-8 E'!$A$1:$P$124</definedName>
    <definedName name="Z_CB2DDF95_6E3D_4BC1_9D30_54963EA34987_.wvu.PrintArea" localSheetId="38" hidden="1">'SCH B-8 TC'!$A$1:$P$124</definedName>
    <definedName name="Z_DC435F00_643C_4507_82D4_894505D8FDA5_.wvu.PrintArea" localSheetId="39" hidden="1">'SCH B-8 E'!$A$1:$P$124</definedName>
    <definedName name="Z_DC435F00_643C_4507_82D4_894505D8FDA5_.wvu.PrintArea" localSheetId="38" hidden="1">'SCH B-8 TC'!$A$1:$P$124</definedName>
    <definedName name="Z_DF50C4EA_FB13_4C2C_90E3_833D566A43BF_.wvu.PrintArea" localSheetId="39" hidden="1">'SCH B-8 E'!$A$1:$P$124</definedName>
    <definedName name="Z_DF50C4EA_FB13_4C2C_90E3_833D566A43BF_.wvu.PrintArea" localSheetId="38" hidden="1">'SCH B-8 TC'!$A$1:$P$124</definedName>
    <definedName name="Z_EFDADE7C_1D83_49D7_B8B9_0D6502C01232_.wvu.FilterData" localSheetId="54" hidden="1">'BS E'!$A$8:$A$249</definedName>
  </definedNames>
  <calcPr calcId="152511" iterate="1"/>
</workbook>
</file>

<file path=xl/calcChain.xml><?xml version="1.0" encoding="utf-8"?>
<calcChain xmlns="http://schemas.openxmlformats.org/spreadsheetml/2006/main">
  <c r="C37" i="98" l="1"/>
  <c r="C37" i="102" l="1"/>
  <c r="H232" i="97" l="1"/>
  <c r="F229" i="97"/>
  <c r="F230" i="97"/>
  <c r="H230" i="97" s="1"/>
  <c r="H229" i="97"/>
  <c r="H228" i="97"/>
  <c r="E228" i="97"/>
  <c r="H227" i="97"/>
  <c r="E227" i="97"/>
  <c r="H226" i="97"/>
  <c r="E226" i="97"/>
  <c r="H221" i="97"/>
  <c r="E221" i="97"/>
  <c r="H220" i="97"/>
  <c r="E220" i="97"/>
  <c r="H219" i="97"/>
  <c r="E219" i="97"/>
  <c r="H218" i="97"/>
  <c r="E218" i="97"/>
  <c r="H217" i="97"/>
  <c r="I216" i="97"/>
  <c r="A210" i="97"/>
  <c r="H204" i="97"/>
  <c r="E204" i="97"/>
  <c r="E203" i="97"/>
  <c r="H202" i="97"/>
  <c r="E202" i="97"/>
  <c r="H201" i="97"/>
  <c r="E201" i="97"/>
  <c r="H200" i="97"/>
  <c r="E200" i="97"/>
  <c r="H199" i="97"/>
  <c r="E199" i="97"/>
  <c r="H198" i="97"/>
  <c r="E198" i="97"/>
  <c r="G222" i="97"/>
  <c r="H196" i="97"/>
  <c r="H192" i="97"/>
  <c r="E192" i="97"/>
  <c r="E191" i="97"/>
  <c r="H190" i="97"/>
  <c r="E190" i="97"/>
  <c r="E189" i="97"/>
  <c r="H185" i="97"/>
  <c r="H184" i="97"/>
  <c r="E184" i="97"/>
  <c r="G186" i="97"/>
  <c r="E183" i="97"/>
  <c r="H182" i="97"/>
  <c r="E182" i="97"/>
  <c r="G179" i="97"/>
  <c r="D179" i="97"/>
  <c r="H178" i="97"/>
  <c r="E178" i="97"/>
  <c r="H177" i="97"/>
  <c r="E177" i="97"/>
  <c r="H176" i="97"/>
  <c r="E176" i="97"/>
  <c r="I175" i="97"/>
  <c r="A169" i="97"/>
  <c r="E163" i="97"/>
  <c r="H162" i="97"/>
  <c r="F179" i="97"/>
  <c r="E162" i="97"/>
  <c r="G159" i="97"/>
  <c r="H158" i="97"/>
  <c r="E158" i="97"/>
  <c r="H157" i="97"/>
  <c r="E157" i="97"/>
  <c r="H156" i="97"/>
  <c r="E156" i="97"/>
  <c r="E155" i="97"/>
  <c r="H154" i="97"/>
  <c r="E154" i="97"/>
  <c r="H152" i="97"/>
  <c r="E152" i="97"/>
  <c r="H151" i="97"/>
  <c r="E151" i="97"/>
  <c r="H150" i="97"/>
  <c r="E150" i="97"/>
  <c r="H149" i="97"/>
  <c r="E149" i="97"/>
  <c r="H148" i="97"/>
  <c r="E148" i="97"/>
  <c r="E147" i="97"/>
  <c r="H146" i="97"/>
  <c r="E146" i="97"/>
  <c r="H145" i="97"/>
  <c r="E145" i="97"/>
  <c r="H144" i="97"/>
  <c r="E144" i="97"/>
  <c r="H143" i="97"/>
  <c r="E143" i="97"/>
  <c r="H142" i="97"/>
  <c r="E142" i="97"/>
  <c r="H141" i="97"/>
  <c r="E141" i="97"/>
  <c r="H140" i="97"/>
  <c r="H136" i="97"/>
  <c r="E136" i="97"/>
  <c r="H135" i="97"/>
  <c r="E135" i="97"/>
  <c r="I134" i="97"/>
  <c r="A128" i="97"/>
  <c r="A124" i="97"/>
  <c r="H122" i="97"/>
  <c r="E122" i="97"/>
  <c r="H121" i="97"/>
  <c r="E121" i="97"/>
  <c r="H120" i="97"/>
  <c r="H119" i="97"/>
  <c r="E119" i="97"/>
  <c r="H118" i="97"/>
  <c r="E118" i="97"/>
  <c r="H117" i="97"/>
  <c r="E117" i="97"/>
  <c r="H116" i="97"/>
  <c r="H115" i="97"/>
  <c r="E115" i="97"/>
  <c r="H114" i="97"/>
  <c r="E114" i="97"/>
  <c r="H113" i="97"/>
  <c r="E113" i="97"/>
  <c r="H112" i="97"/>
  <c r="H111" i="97"/>
  <c r="E111" i="97"/>
  <c r="H110" i="97"/>
  <c r="H137" i="97" s="1"/>
  <c r="G137" i="97"/>
  <c r="F106" i="97"/>
  <c r="H105" i="97"/>
  <c r="E105" i="97"/>
  <c r="G106" i="97"/>
  <c r="H103" i="97"/>
  <c r="E103" i="97"/>
  <c r="D106" i="97"/>
  <c r="H99" i="97"/>
  <c r="E99" i="97"/>
  <c r="E98" i="97"/>
  <c r="H97" i="97"/>
  <c r="E97" i="97"/>
  <c r="H95" i="97"/>
  <c r="E95" i="97"/>
  <c r="H94" i="97"/>
  <c r="E94" i="97"/>
  <c r="I93" i="97"/>
  <c r="I89" i="97"/>
  <c r="A87" i="97"/>
  <c r="H81" i="97"/>
  <c r="E81" i="97"/>
  <c r="H80" i="97"/>
  <c r="G100" i="97"/>
  <c r="H79" i="97"/>
  <c r="H75" i="97"/>
  <c r="E75" i="97"/>
  <c r="H74" i="97"/>
  <c r="E74" i="97"/>
  <c r="H73" i="97"/>
  <c r="E73" i="97"/>
  <c r="H72" i="97"/>
  <c r="E72" i="97"/>
  <c r="H71" i="97"/>
  <c r="E71" i="97"/>
  <c r="H70" i="97"/>
  <c r="H69" i="97"/>
  <c r="E69" i="97"/>
  <c r="H68" i="97"/>
  <c r="E68" i="97"/>
  <c r="H67" i="97"/>
  <c r="E67" i="97"/>
  <c r="H66" i="97"/>
  <c r="E66" i="97"/>
  <c r="H65" i="97"/>
  <c r="H61" i="97"/>
  <c r="E61" i="97"/>
  <c r="H60" i="97"/>
  <c r="E60" i="97"/>
  <c r="H59" i="97"/>
  <c r="E59" i="97"/>
  <c r="H58" i="97"/>
  <c r="E58" i="97"/>
  <c r="H57" i="97"/>
  <c r="E57" i="97"/>
  <c r="H56" i="97"/>
  <c r="E56" i="97"/>
  <c r="H55" i="97"/>
  <c r="E55" i="97"/>
  <c r="H54" i="97"/>
  <c r="E54" i="97"/>
  <c r="H53" i="97"/>
  <c r="E53" i="97"/>
  <c r="I52" i="97"/>
  <c r="A46" i="97"/>
  <c r="H40" i="97"/>
  <c r="E40" i="97"/>
  <c r="H39" i="97"/>
  <c r="E39" i="97"/>
  <c r="H38" i="97"/>
  <c r="E38" i="97"/>
  <c r="G62" i="97"/>
  <c r="E37" i="97"/>
  <c r="G30" i="97"/>
  <c r="H29" i="97"/>
  <c r="E29" i="97"/>
  <c r="H28" i="97"/>
  <c r="E28" i="97"/>
  <c r="H27" i="97"/>
  <c r="E27" i="97"/>
  <c r="F30" i="97"/>
  <c r="D30" i="97"/>
  <c r="H22" i="97"/>
  <c r="E22" i="97"/>
  <c r="H21" i="97"/>
  <c r="E21" i="97"/>
  <c r="F20" i="97"/>
  <c r="F23" i="97" s="1"/>
  <c r="F32" i="97" s="1"/>
  <c r="H19" i="97"/>
  <c r="E19" i="97"/>
  <c r="H18" i="97"/>
  <c r="E18" i="97"/>
  <c r="H17" i="97"/>
  <c r="E17" i="97"/>
  <c r="H16" i="97"/>
  <c r="E16" i="97"/>
  <c r="G20" i="97"/>
  <c r="G23" i="97" s="1"/>
  <c r="G32" i="97" s="1"/>
  <c r="D20" i="97"/>
  <c r="D23" i="97" s="1"/>
  <c r="D32" i="97" s="1"/>
  <c r="A15" i="97"/>
  <c r="A16" i="97" s="1"/>
  <c r="A17" i="97" s="1"/>
  <c r="A18" i="97" s="1"/>
  <c r="A19" i="97" s="1"/>
  <c r="A20" i="97" s="1"/>
  <c r="A21" i="97" s="1"/>
  <c r="A22" i="97" s="1"/>
  <c r="A23" i="97" s="1"/>
  <c r="A25" i="97" s="1"/>
  <c r="A26" i="97" s="1"/>
  <c r="A27" i="97" s="1"/>
  <c r="A28" i="97" s="1"/>
  <c r="A29" i="97" s="1"/>
  <c r="A30" i="97" s="1"/>
  <c r="A32" i="97" s="1"/>
  <c r="A34" i="97" s="1"/>
  <c r="A35" i="97" s="1"/>
  <c r="A36" i="97" s="1"/>
  <c r="A37" i="97" s="1"/>
  <c r="A38" i="97" s="1"/>
  <c r="A39" i="97" s="1"/>
  <c r="A40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4" i="97" s="1"/>
  <c r="A65" i="97" s="1"/>
  <c r="A66" i="97" s="1"/>
  <c r="A67" i="97" s="1"/>
  <c r="A68" i="97" s="1"/>
  <c r="A69" i="97" s="1"/>
  <c r="A70" i="97" s="1"/>
  <c r="A71" i="97" s="1"/>
  <c r="A72" i="97" s="1"/>
  <c r="A73" i="97" s="1"/>
  <c r="A74" i="97" s="1"/>
  <c r="A75" i="97" s="1"/>
  <c r="A76" i="97" s="1"/>
  <c r="A78" i="97" s="1"/>
  <c r="A79" i="97" s="1"/>
  <c r="A80" i="97" s="1"/>
  <c r="A81" i="97" s="1"/>
  <c r="A94" i="97" s="1"/>
  <c r="A95" i="97" s="1"/>
  <c r="A96" i="97" s="1"/>
  <c r="A97" i="97" s="1"/>
  <c r="A98" i="97" s="1"/>
  <c r="A99" i="97" s="1"/>
  <c r="A100" i="97" s="1"/>
  <c r="A102" i="97" s="1"/>
  <c r="A103" i="97" s="1"/>
  <c r="A104" i="97" s="1"/>
  <c r="A105" i="97" s="1"/>
  <c r="A106" i="97" s="1"/>
  <c r="A107" i="97" s="1"/>
  <c r="A109" i="97" s="1"/>
  <c r="A110" i="97" s="1"/>
  <c r="A111" i="97" s="1"/>
  <c r="A112" i="97" s="1"/>
  <c r="A113" i="97" s="1"/>
  <c r="A114" i="97" s="1"/>
  <c r="A115" i="97" s="1"/>
  <c r="A116" i="97" s="1"/>
  <c r="A117" i="97" s="1"/>
  <c r="A118" i="97" s="1"/>
  <c r="A119" i="97" s="1"/>
  <c r="A120" i="97" s="1"/>
  <c r="A121" i="97" s="1"/>
  <c r="A122" i="97" s="1"/>
  <c r="A135" i="97" s="1"/>
  <c r="A136" i="97" s="1"/>
  <c r="A137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50" i="97" s="1"/>
  <c r="A151" i="97" s="1"/>
  <c r="A152" i="97" s="1"/>
  <c r="A153" i="97" s="1"/>
  <c r="A154" i="97" s="1"/>
  <c r="A155" i="97" s="1"/>
  <c r="A156" i="97" s="1"/>
  <c r="A157" i="97" s="1"/>
  <c r="A158" i="97" s="1"/>
  <c r="A159" i="97" s="1"/>
  <c r="A161" i="97" s="1"/>
  <c r="A162" i="97" s="1"/>
  <c r="A163" i="97" s="1"/>
  <c r="A176" i="97" s="1"/>
  <c r="A177" i="97" s="1"/>
  <c r="A178" i="97" s="1"/>
  <c r="A179" i="97" s="1"/>
  <c r="A181" i="97" s="1"/>
  <c r="A182" i="97" s="1"/>
  <c r="A183" i="97" s="1"/>
  <c r="A184" i="97" s="1"/>
  <c r="A185" i="97" s="1"/>
  <c r="A186" i="97" s="1"/>
  <c r="A188" i="97" s="1"/>
  <c r="A189" i="97" s="1"/>
  <c r="A190" i="97" s="1"/>
  <c r="A191" i="97" s="1"/>
  <c r="A192" i="97" s="1"/>
  <c r="A193" i="97" s="1"/>
  <c r="A195" i="97" s="1"/>
  <c r="A196" i="97" s="1"/>
  <c r="A197" i="97" s="1"/>
  <c r="A198" i="97" s="1"/>
  <c r="A199" i="97" s="1"/>
  <c r="A200" i="97" s="1"/>
  <c r="A201" i="97" s="1"/>
  <c r="A202" i="97" s="1"/>
  <c r="A203" i="97" s="1"/>
  <c r="A204" i="97" s="1"/>
  <c r="A217" i="97" s="1"/>
  <c r="A218" i="97" s="1"/>
  <c r="A219" i="97" s="1"/>
  <c r="A220" i="97" s="1"/>
  <c r="A221" i="97" s="1"/>
  <c r="A222" i="97" s="1"/>
  <c r="A224" i="97" s="1"/>
  <c r="A226" i="97" s="1"/>
  <c r="A227" i="97" s="1"/>
  <c r="A228" i="97" s="1"/>
  <c r="A229" i="97" s="1"/>
  <c r="A230" i="97" s="1"/>
  <c r="A231" i="97" s="1"/>
  <c r="A232" i="97" s="1"/>
  <c r="A234" i="97" s="1"/>
  <c r="A236" i="97" s="1"/>
  <c r="A14" i="97"/>
  <c r="A47" i="97"/>
  <c r="F230" i="96"/>
  <c r="E228" i="96"/>
  <c r="H226" i="96"/>
  <c r="E226" i="96"/>
  <c r="H221" i="96"/>
  <c r="E221" i="96"/>
  <c r="H220" i="96"/>
  <c r="E220" i="96"/>
  <c r="H219" i="96"/>
  <c r="E219" i="96"/>
  <c r="H218" i="96"/>
  <c r="E218" i="96"/>
  <c r="H217" i="96"/>
  <c r="E217" i="96"/>
  <c r="I216" i="96"/>
  <c r="H204" i="96"/>
  <c r="E204" i="96"/>
  <c r="H202" i="96"/>
  <c r="E202" i="96"/>
  <c r="H201" i="96"/>
  <c r="E201" i="96"/>
  <c r="H200" i="96"/>
  <c r="E200" i="96"/>
  <c r="H199" i="96"/>
  <c r="E199" i="96"/>
  <c r="H198" i="96"/>
  <c r="E198" i="96"/>
  <c r="H197" i="96"/>
  <c r="E197" i="96"/>
  <c r="H192" i="96"/>
  <c r="H191" i="96"/>
  <c r="E191" i="96"/>
  <c r="H190" i="96"/>
  <c r="H189" i="96"/>
  <c r="H184" i="96"/>
  <c r="E184" i="96"/>
  <c r="H182" i="96"/>
  <c r="G186" i="96"/>
  <c r="H178" i="96"/>
  <c r="E178" i="96"/>
  <c r="H176" i="96"/>
  <c r="E176" i="96"/>
  <c r="I175" i="96"/>
  <c r="A164" i="96"/>
  <c r="H163" i="96"/>
  <c r="E163" i="96"/>
  <c r="H157" i="96"/>
  <c r="H156" i="96"/>
  <c r="H155" i="96"/>
  <c r="E155" i="96"/>
  <c r="H153" i="96"/>
  <c r="E153" i="96"/>
  <c r="H152" i="96"/>
  <c r="E152" i="96"/>
  <c r="H151" i="96"/>
  <c r="E151" i="96"/>
  <c r="H150" i="96"/>
  <c r="E150" i="96"/>
  <c r="H149" i="96"/>
  <c r="E149" i="96"/>
  <c r="H148" i="96"/>
  <c r="E148" i="96"/>
  <c r="H147" i="96"/>
  <c r="E147" i="96"/>
  <c r="H145" i="96"/>
  <c r="H144" i="96"/>
  <c r="E144" i="96"/>
  <c r="D159" i="96"/>
  <c r="H142" i="96"/>
  <c r="E142" i="96"/>
  <c r="H140" i="96"/>
  <c r="G159" i="96"/>
  <c r="E140" i="96"/>
  <c r="H136" i="96"/>
  <c r="E136" i="96"/>
  <c r="G137" i="96"/>
  <c r="I134" i="96"/>
  <c r="H122" i="96"/>
  <c r="E122" i="96"/>
  <c r="H121" i="96"/>
  <c r="E121" i="96"/>
  <c r="H119" i="96"/>
  <c r="E119" i="96"/>
  <c r="H118" i="96"/>
  <c r="E118" i="96"/>
  <c r="H117" i="96"/>
  <c r="E117" i="96"/>
  <c r="H115" i="96"/>
  <c r="E115" i="96"/>
  <c r="E114" i="96"/>
  <c r="H113" i="96"/>
  <c r="E113" i="96"/>
  <c r="H112" i="96"/>
  <c r="E112" i="96"/>
  <c r="H111" i="96"/>
  <c r="E111" i="96"/>
  <c r="F106" i="96"/>
  <c r="H105" i="96"/>
  <c r="E105" i="96"/>
  <c r="H104" i="96"/>
  <c r="E104" i="96"/>
  <c r="H103" i="96"/>
  <c r="G106" i="96"/>
  <c r="H99" i="96"/>
  <c r="E99" i="96"/>
  <c r="H98" i="96"/>
  <c r="E98" i="96"/>
  <c r="H97" i="96"/>
  <c r="E97" i="96"/>
  <c r="H96" i="96"/>
  <c r="E96" i="96"/>
  <c r="H95" i="96"/>
  <c r="E95" i="96"/>
  <c r="H94" i="96"/>
  <c r="I93" i="96"/>
  <c r="I89" i="96"/>
  <c r="A82" i="96"/>
  <c r="H81" i="96"/>
  <c r="E81" i="96"/>
  <c r="G100" i="96"/>
  <c r="H75" i="96"/>
  <c r="H74" i="96"/>
  <c r="E74" i="96"/>
  <c r="G76" i="96"/>
  <c r="H72" i="96"/>
  <c r="E72" i="96"/>
  <c r="H70" i="96"/>
  <c r="E70" i="96"/>
  <c r="H69" i="96"/>
  <c r="E69" i="96"/>
  <c r="H68" i="96"/>
  <c r="E68" i="96"/>
  <c r="H67" i="96"/>
  <c r="E66" i="96"/>
  <c r="H65" i="96"/>
  <c r="E65" i="96"/>
  <c r="H61" i="96"/>
  <c r="E61" i="96"/>
  <c r="H60" i="96"/>
  <c r="E60" i="96"/>
  <c r="E59" i="96"/>
  <c r="H58" i="96"/>
  <c r="E58" i="96"/>
  <c r="H57" i="96"/>
  <c r="E57" i="96"/>
  <c r="H55" i="96"/>
  <c r="E55" i="96"/>
  <c r="H53" i="96"/>
  <c r="E53" i="96"/>
  <c r="I52" i="96"/>
  <c r="A42" i="96"/>
  <c r="A41" i="96"/>
  <c r="H40" i="96"/>
  <c r="E39" i="96"/>
  <c r="E38" i="96"/>
  <c r="E37" i="96"/>
  <c r="G30" i="96"/>
  <c r="H29" i="96"/>
  <c r="E29" i="96"/>
  <c r="H28" i="96"/>
  <c r="E28" i="96"/>
  <c r="H27" i="96"/>
  <c r="E27" i="96"/>
  <c r="F30" i="96"/>
  <c r="H22" i="96"/>
  <c r="E22" i="96"/>
  <c r="H21" i="96"/>
  <c r="E21" i="96"/>
  <c r="H19" i="96"/>
  <c r="E19" i="96"/>
  <c r="H18" i="96"/>
  <c r="H17" i="96"/>
  <c r="E17" i="96"/>
  <c r="H16" i="96"/>
  <c r="E16" i="96"/>
  <c r="G20" i="96"/>
  <c r="G23" i="96" s="1"/>
  <c r="G32" i="96" s="1"/>
  <c r="A15" i="96"/>
  <c r="A16" i="96" s="1"/>
  <c r="A17" i="96" s="1"/>
  <c r="A18" i="96" s="1"/>
  <c r="A19" i="96" s="1"/>
  <c r="A20" i="96" s="1"/>
  <c r="A21" i="96" s="1"/>
  <c r="A22" i="96" s="1"/>
  <c r="A23" i="96" s="1"/>
  <c r="A25" i="96" s="1"/>
  <c r="A26" i="96" s="1"/>
  <c r="A27" i="96" s="1"/>
  <c r="A28" i="96" s="1"/>
  <c r="A29" i="96" s="1"/>
  <c r="A30" i="96" s="1"/>
  <c r="A32" i="96" s="1"/>
  <c r="A34" i="96" s="1"/>
  <c r="A35" i="96" s="1"/>
  <c r="A36" i="96" s="1"/>
  <c r="A37" i="96" s="1"/>
  <c r="A38" i="96" s="1"/>
  <c r="A39" i="96" s="1"/>
  <c r="A40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8" i="96" s="1"/>
  <c r="A79" i="96" s="1"/>
  <c r="A80" i="96" s="1"/>
  <c r="A81" i="96" s="1"/>
  <c r="A94" i="96" s="1"/>
  <c r="A95" i="96" s="1"/>
  <c r="A96" i="96" s="1"/>
  <c r="A97" i="96" s="1"/>
  <c r="A98" i="96" s="1"/>
  <c r="A99" i="96" s="1"/>
  <c r="A100" i="96" s="1"/>
  <c r="A102" i="96" s="1"/>
  <c r="A103" i="96" s="1"/>
  <c r="A104" i="96" s="1"/>
  <c r="A105" i="96" s="1"/>
  <c r="A106" i="96" s="1"/>
  <c r="A107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35" i="96" s="1"/>
  <c r="A136" i="96" s="1"/>
  <c r="A137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1" i="96" s="1"/>
  <c r="A162" i="96" s="1"/>
  <c r="A163" i="96" s="1"/>
  <c r="A176" i="96" s="1"/>
  <c r="A177" i="96" s="1"/>
  <c r="A178" i="96" s="1"/>
  <c r="A179" i="96" s="1"/>
  <c r="A181" i="96" s="1"/>
  <c r="A182" i="96" s="1"/>
  <c r="A183" i="96" s="1"/>
  <c r="A184" i="96" s="1"/>
  <c r="A185" i="96" s="1"/>
  <c r="A186" i="96" s="1"/>
  <c r="A188" i="96" s="1"/>
  <c r="A189" i="96" s="1"/>
  <c r="A190" i="96" s="1"/>
  <c r="A191" i="96" s="1"/>
  <c r="A192" i="96" s="1"/>
  <c r="A193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17" i="96" s="1"/>
  <c r="A218" i="96" s="1"/>
  <c r="A219" i="96" s="1"/>
  <c r="A220" i="96" s="1"/>
  <c r="A221" i="96" s="1"/>
  <c r="A222" i="96" s="1"/>
  <c r="A224" i="96" s="1"/>
  <c r="A226" i="96" s="1"/>
  <c r="A227" i="96" s="1"/>
  <c r="A228" i="96" s="1"/>
  <c r="A229" i="96" s="1"/>
  <c r="A230" i="96" s="1"/>
  <c r="A231" i="96" s="1"/>
  <c r="A232" i="96" s="1"/>
  <c r="A234" i="96" s="1"/>
  <c r="A236" i="96" s="1"/>
  <c r="A14" i="96"/>
  <c r="A83" i="96"/>
  <c r="H76" i="97" l="1"/>
  <c r="A208" i="97"/>
  <c r="A167" i="97"/>
  <c r="A126" i="97"/>
  <c r="A85" i="97"/>
  <c r="D76" i="97"/>
  <c r="E65" i="97"/>
  <c r="H153" i="97"/>
  <c r="H159" i="97" s="1"/>
  <c r="E153" i="97"/>
  <c r="H15" i="97"/>
  <c r="H20" i="97" s="1"/>
  <c r="H23" i="97" s="1"/>
  <c r="F62" i="97"/>
  <c r="F76" i="97"/>
  <c r="G76" i="97"/>
  <c r="G107" i="97" s="1"/>
  <c r="G224" i="97" s="1"/>
  <c r="G234" i="97" s="1"/>
  <c r="G236" i="97" s="1"/>
  <c r="D137" i="97"/>
  <c r="E110" i="97"/>
  <c r="A123" i="97"/>
  <c r="A82" i="97"/>
  <c r="A205" i="97"/>
  <c r="I212" i="97"/>
  <c r="I171" i="97"/>
  <c r="I48" i="97"/>
  <c r="E15" i="97"/>
  <c r="H26" i="97"/>
  <c r="H30" i="97" s="1"/>
  <c r="H96" i="97"/>
  <c r="H100" i="97" s="1"/>
  <c r="E96" i="97"/>
  <c r="D186" i="97"/>
  <c r="D222" i="97"/>
  <c r="E196" i="97"/>
  <c r="A129" i="97"/>
  <c r="A88" i="97"/>
  <c r="D62" i="97"/>
  <c r="D107" i="97" s="1"/>
  <c r="D224" i="97" s="1"/>
  <c r="D234" i="97" s="1"/>
  <c r="D236" i="97" s="1"/>
  <c r="F100" i="97"/>
  <c r="A170" i="97"/>
  <c r="A41" i="97"/>
  <c r="H104" i="97"/>
  <c r="E104" i="97"/>
  <c r="F137" i="97"/>
  <c r="A206" i="97"/>
  <c r="A165" i="97"/>
  <c r="A42" i="97"/>
  <c r="E26" i="97"/>
  <c r="H37" i="97"/>
  <c r="H62" i="97" s="1"/>
  <c r="A44" i="97"/>
  <c r="E70" i="97"/>
  <c r="E80" i="97"/>
  <c r="A83" i="97"/>
  <c r="H106" i="97"/>
  <c r="I130" i="97"/>
  <c r="A164" i="97"/>
  <c r="H183" i="97"/>
  <c r="H186" i="97" s="1"/>
  <c r="E185" i="97"/>
  <c r="F186" i="97"/>
  <c r="G193" i="97"/>
  <c r="H197" i="97"/>
  <c r="A211" i="97"/>
  <c r="D159" i="97"/>
  <c r="F193" i="97"/>
  <c r="H189" i="97"/>
  <c r="D100" i="97"/>
  <c r="E79" i="97"/>
  <c r="H98" i="97"/>
  <c r="E112" i="97"/>
  <c r="E116" i="97"/>
  <c r="E120" i="97"/>
  <c r="E140" i="97"/>
  <c r="H147" i="97"/>
  <c r="H155" i="97"/>
  <c r="F159" i="97"/>
  <c r="H163" i="97"/>
  <c r="H179" i="97" s="1"/>
  <c r="H191" i="97"/>
  <c r="F222" i="97"/>
  <c r="E197" i="97"/>
  <c r="H203" i="97"/>
  <c r="H222" i="97" s="1"/>
  <c r="F231" i="97"/>
  <c r="H231" i="97" s="1"/>
  <c r="D193" i="97"/>
  <c r="A167" i="96"/>
  <c r="A85" i="96"/>
  <c r="A208" i="96"/>
  <c r="A44" i="96"/>
  <c r="H80" i="96"/>
  <c r="F100" i="96"/>
  <c r="E141" i="96"/>
  <c r="H141" i="96"/>
  <c r="A129" i="96"/>
  <c r="A88" i="96"/>
  <c r="D20" i="96"/>
  <c r="D23" i="96" s="1"/>
  <c r="H15" i="96"/>
  <c r="H20" i="96" s="1"/>
  <c r="H23" i="96" s="1"/>
  <c r="H79" i="96"/>
  <c r="H100" i="96" s="1"/>
  <c r="E116" i="96"/>
  <c r="H116" i="96"/>
  <c r="H154" i="96"/>
  <c r="E154" i="96"/>
  <c r="F179" i="96"/>
  <c r="E162" i="96"/>
  <c r="H162" i="96"/>
  <c r="A170" i="96"/>
  <c r="D186" i="96"/>
  <c r="E182" i="96"/>
  <c r="E185" i="96"/>
  <c r="H185" i="96"/>
  <c r="H203" i="96"/>
  <c r="E203" i="96"/>
  <c r="A123" i="96"/>
  <c r="A205" i="96"/>
  <c r="I130" i="96"/>
  <c r="I212" i="96"/>
  <c r="I171" i="96"/>
  <c r="E15" i="96"/>
  <c r="H26" i="96"/>
  <c r="H30" i="96" s="1"/>
  <c r="D62" i="96"/>
  <c r="I48" i="96"/>
  <c r="E54" i="96"/>
  <c r="H66" i="96"/>
  <c r="H71" i="96"/>
  <c r="E73" i="96"/>
  <c r="D100" i="96"/>
  <c r="E79" i="96"/>
  <c r="E94" i="96"/>
  <c r="H106" i="96"/>
  <c r="H146" i="96"/>
  <c r="E146" i="96"/>
  <c r="G179" i="96"/>
  <c r="E183" i="96"/>
  <c r="H183" i="96"/>
  <c r="F193" i="96"/>
  <c r="G222" i="96"/>
  <c r="H196" i="96"/>
  <c r="A211" i="96"/>
  <c r="F137" i="96"/>
  <c r="H110" i="96"/>
  <c r="A126" i="96"/>
  <c r="D179" i="96"/>
  <c r="H186" i="96"/>
  <c r="F20" i="96"/>
  <c r="F23" i="96" s="1"/>
  <c r="F32" i="96" s="1"/>
  <c r="A47" i="96"/>
  <c r="E18" i="96"/>
  <c r="E26" i="96"/>
  <c r="D30" i="96"/>
  <c r="F62" i="96"/>
  <c r="H37" i="96"/>
  <c r="E56" i="96"/>
  <c r="D76" i="96"/>
  <c r="H76" i="96"/>
  <c r="H73" i="96"/>
  <c r="F76" i="96"/>
  <c r="E80" i="96"/>
  <c r="D106" i="96"/>
  <c r="E103" i="96"/>
  <c r="E110" i="96"/>
  <c r="E135" i="96"/>
  <c r="H135" i="96"/>
  <c r="E156" i="96"/>
  <c r="F159" i="96"/>
  <c r="F186" i="96"/>
  <c r="H193" i="96"/>
  <c r="G193" i="96"/>
  <c r="F222" i="96"/>
  <c r="E227" i="96"/>
  <c r="E143" i="96"/>
  <c r="H143" i="96"/>
  <c r="H159" i="96" s="1"/>
  <c r="E158" i="96"/>
  <c r="H158" i="96"/>
  <c r="A206" i="96"/>
  <c r="A165" i="96"/>
  <c r="H114" i="96"/>
  <c r="E120" i="96"/>
  <c r="H120" i="96"/>
  <c r="A124" i="96"/>
  <c r="E177" i="96"/>
  <c r="H177" i="96"/>
  <c r="D193" i="96"/>
  <c r="D222" i="96"/>
  <c r="E196" i="96"/>
  <c r="F229" i="96"/>
  <c r="F231" i="96"/>
  <c r="H231" i="96" s="1"/>
  <c r="E232" i="96"/>
  <c r="D137" i="96"/>
  <c r="H32" i="97" l="1"/>
  <c r="H236" i="97" s="1"/>
  <c r="F107" i="97"/>
  <c r="F224" i="97" s="1"/>
  <c r="F234" i="97" s="1"/>
  <c r="F236" i="97" s="1"/>
  <c r="F239" i="97" s="1"/>
  <c r="H193" i="97"/>
  <c r="H107" i="97"/>
  <c r="H224" i="97" s="1"/>
  <c r="H234" i="97" s="1"/>
  <c r="F107" i="96"/>
  <c r="F224" i="96" s="1"/>
  <c r="F234" i="96" s="1"/>
  <c r="F236" i="96" s="1"/>
  <c r="F239" i="96" s="1"/>
  <c r="F240" i="96" s="1"/>
  <c r="H222" i="96"/>
  <c r="H179" i="96"/>
  <c r="H32" i="96"/>
  <c r="H137" i="96"/>
  <c r="D107" i="96"/>
  <c r="D224" i="96" s="1"/>
  <c r="D234" i="96" s="1"/>
  <c r="D32" i="96"/>
  <c r="D236" i="96" s="1"/>
  <c r="H227" i="96" l="1"/>
  <c r="H232" i="96" l="1"/>
  <c r="H39" i="96"/>
  <c r="H54" i="96"/>
  <c r="H59" i="96"/>
  <c r="H56" i="96" l="1"/>
  <c r="H228" i="96"/>
  <c r="H38" i="96" l="1"/>
  <c r="H62" i="96" s="1"/>
  <c r="H107" i="96" s="1"/>
  <c r="H224" i="96" s="1"/>
  <c r="G62" i="96"/>
  <c r="G107" i="96" s="1"/>
  <c r="G224" i="96" s="1"/>
  <c r="H230" i="96" l="1"/>
  <c r="H229" i="96" l="1"/>
  <c r="H234" i="96" s="1"/>
  <c r="H236" i="96" s="1"/>
  <c r="H239" i="96" s="1"/>
  <c r="G234" i="96"/>
  <c r="G236" i="96" s="1"/>
  <c r="A248" i="77" l="1"/>
  <c r="J248" i="77"/>
  <c r="J247" i="77"/>
  <c r="J246" i="77"/>
  <c r="J245" i="77"/>
  <c r="J244" i="77"/>
  <c r="J243" i="77"/>
  <c r="J242" i="77"/>
  <c r="J241" i="77"/>
  <c r="J240" i="77"/>
  <c r="J239" i="77"/>
  <c r="J238" i="77"/>
  <c r="J237" i="77"/>
  <c r="O248" i="77"/>
  <c r="M248" i="77"/>
  <c r="P248" i="77" s="1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K42" i="18" l="1"/>
  <c r="K43" i="11"/>
  <c r="K17" i="69" l="1"/>
  <c r="K14" i="69"/>
  <c r="V13" i="48"/>
  <c r="I17" i="69" l="1"/>
  <c r="I14" i="69"/>
  <c r="K48" i="18" l="1"/>
  <c r="D45" i="18"/>
  <c r="F45" i="18" s="1"/>
  <c r="A44" i="18"/>
  <c r="A45" i="18" s="1"/>
  <c r="A46" i="18" s="1"/>
  <c r="A47" i="18" s="1"/>
  <c r="K49" i="11"/>
  <c r="D47" i="11"/>
  <c r="A46" i="11"/>
  <c r="A47" i="11" s="1"/>
  <c r="A48" i="11" s="1"/>
  <c r="A49" i="11" s="1"/>
  <c r="E354" i="46"/>
  <c r="E353" i="46"/>
  <c r="E352" i="46"/>
  <c r="E351" i="46"/>
  <c r="E261" i="46"/>
  <c r="E260" i="46"/>
  <c r="E259" i="46"/>
  <c r="E196" i="46"/>
  <c r="E83" i="46"/>
  <c r="F47" i="11" l="1"/>
  <c r="B23" i="48"/>
  <c r="D23" i="48" s="1"/>
  <c r="B23" i="45"/>
  <c r="J23" i="45" s="1"/>
  <c r="B23" i="37"/>
  <c r="J23" i="37" s="1"/>
  <c r="F23" i="48" l="1"/>
  <c r="H23" i="48"/>
  <c r="P23" i="48"/>
  <c r="J23" i="48"/>
  <c r="Y23" i="48"/>
  <c r="H23" i="45"/>
  <c r="W23" i="45"/>
  <c r="D23" i="45"/>
  <c r="F23" i="45"/>
  <c r="H23" i="37"/>
  <c r="P23" i="37"/>
  <c r="W23" i="37"/>
  <c r="D23" i="37"/>
  <c r="F23" i="37"/>
  <c r="L23" i="48" l="1"/>
  <c r="N23" i="48" s="1"/>
  <c r="Z23" i="48" s="1"/>
  <c r="L23" i="45"/>
  <c r="N23" i="45" s="1"/>
  <c r="L23" i="37"/>
  <c r="N23" i="37" s="1"/>
  <c r="X23" i="45" l="1"/>
  <c r="R23" i="37"/>
  <c r="X23" i="37"/>
  <c r="C25" i="98" l="1"/>
  <c r="C25" i="102" l="1"/>
  <c r="O13" i="64" l="1"/>
  <c r="O12" i="64"/>
  <c r="O11" i="64"/>
  <c r="C19" i="98" l="1"/>
  <c r="C18" i="98"/>
  <c r="C19" i="102"/>
  <c r="C18" i="102"/>
  <c r="P33" i="103" l="1"/>
  <c r="O33" i="103"/>
  <c r="N33" i="103"/>
  <c r="M33" i="103"/>
  <c r="L33" i="103"/>
  <c r="K33" i="103"/>
  <c r="J33" i="103"/>
  <c r="I33" i="103"/>
  <c r="H33" i="103"/>
  <c r="G33" i="103"/>
  <c r="F33" i="103"/>
  <c r="E33" i="103"/>
  <c r="P32" i="103"/>
  <c r="O32" i="103"/>
  <c r="N32" i="103"/>
  <c r="M32" i="103"/>
  <c r="L32" i="103"/>
  <c r="K32" i="103"/>
  <c r="J32" i="103"/>
  <c r="I32" i="103"/>
  <c r="H32" i="103"/>
  <c r="G32" i="103"/>
  <c r="F32" i="103"/>
  <c r="E32" i="103"/>
  <c r="D33" i="103"/>
  <c r="D32" i="103"/>
  <c r="P33" i="99"/>
  <c r="O33" i="99"/>
  <c r="N33" i="99"/>
  <c r="M33" i="99"/>
  <c r="L33" i="99"/>
  <c r="K33" i="99"/>
  <c r="J33" i="99"/>
  <c r="I33" i="99"/>
  <c r="H33" i="99"/>
  <c r="G33" i="99"/>
  <c r="F33" i="99"/>
  <c r="E33" i="99"/>
  <c r="P32" i="99"/>
  <c r="O32" i="99"/>
  <c r="N32" i="99"/>
  <c r="M32" i="99"/>
  <c r="L32" i="99"/>
  <c r="K32" i="99"/>
  <c r="J32" i="99"/>
  <c r="I32" i="99"/>
  <c r="H32" i="99"/>
  <c r="G32" i="99"/>
  <c r="F32" i="99"/>
  <c r="E32" i="99"/>
  <c r="D33" i="99"/>
  <c r="D32" i="99"/>
  <c r="AE77" i="105"/>
  <c r="AD77" i="105"/>
  <c r="AC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P77" i="105"/>
  <c r="O77" i="105"/>
  <c r="N77" i="105"/>
  <c r="M77" i="105"/>
  <c r="L77" i="105"/>
  <c r="K77" i="105"/>
  <c r="J77" i="105"/>
  <c r="I77" i="105"/>
  <c r="H77" i="105"/>
  <c r="G77" i="105"/>
  <c r="F77" i="105"/>
  <c r="E77" i="105"/>
  <c r="D77" i="105"/>
  <c r="C77" i="105"/>
  <c r="AE76" i="105"/>
  <c r="AD76" i="105"/>
  <c r="AC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P76" i="105"/>
  <c r="O76" i="105"/>
  <c r="N76" i="105"/>
  <c r="M76" i="105"/>
  <c r="L76" i="105"/>
  <c r="K76" i="105"/>
  <c r="J76" i="105"/>
  <c r="I76" i="105"/>
  <c r="H76" i="105"/>
  <c r="G76" i="105"/>
  <c r="F76" i="105"/>
  <c r="E76" i="105"/>
  <c r="D76" i="105"/>
  <c r="C76" i="105"/>
  <c r="AE75" i="105"/>
  <c r="AD75" i="105"/>
  <c r="AC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P75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C75" i="105"/>
  <c r="AE74" i="105"/>
  <c r="AD74" i="105"/>
  <c r="AC74" i="105"/>
  <c r="AB74" i="105"/>
  <c r="AA74" i="105"/>
  <c r="Z74" i="105"/>
  <c r="Y74" i="105"/>
  <c r="X74" i="105"/>
  <c r="W74" i="105"/>
  <c r="V74" i="105"/>
  <c r="U74" i="105"/>
  <c r="T74" i="105"/>
  <c r="S74" i="105"/>
  <c r="R74" i="105"/>
  <c r="Q74" i="105"/>
  <c r="P74" i="105"/>
  <c r="O74" i="105"/>
  <c r="N74" i="105"/>
  <c r="M74" i="105"/>
  <c r="L74" i="105"/>
  <c r="K74" i="105"/>
  <c r="J74" i="105"/>
  <c r="I74" i="105"/>
  <c r="H74" i="105"/>
  <c r="G74" i="105"/>
  <c r="F74" i="105"/>
  <c r="E74" i="105"/>
  <c r="D74" i="105"/>
  <c r="C74" i="105"/>
  <c r="AE73" i="105"/>
  <c r="AD73" i="105"/>
  <c r="AC73" i="105"/>
  <c r="AB73" i="105"/>
  <c r="AA73" i="105"/>
  <c r="Z73" i="105"/>
  <c r="Y73" i="105"/>
  <c r="X73" i="105"/>
  <c r="W73" i="105"/>
  <c r="V73" i="105"/>
  <c r="U73" i="105"/>
  <c r="T73" i="105"/>
  <c r="S73" i="105"/>
  <c r="R73" i="105"/>
  <c r="Q73" i="105"/>
  <c r="P73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C73" i="105"/>
  <c r="AE72" i="105"/>
  <c r="AD72" i="105"/>
  <c r="AC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P72" i="105"/>
  <c r="O72" i="105"/>
  <c r="N72" i="105"/>
  <c r="M72" i="105"/>
  <c r="L72" i="105"/>
  <c r="K72" i="105"/>
  <c r="J72" i="105"/>
  <c r="I72" i="105"/>
  <c r="H72" i="105"/>
  <c r="G72" i="105"/>
  <c r="F72" i="105"/>
  <c r="E72" i="105"/>
  <c r="D72" i="105"/>
  <c r="C72" i="105"/>
  <c r="AE71" i="105"/>
  <c r="AD71" i="105"/>
  <c r="AC71" i="105"/>
  <c r="AB71" i="105"/>
  <c r="AA71" i="105"/>
  <c r="Z71" i="105"/>
  <c r="Y71" i="105"/>
  <c r="X71" i="105"/>
  <c r="W71" i="105"/>
  <c r="V71" i="105"/>
  <c r="U71" i="105"/>
  <c r="T71" i="105"/>
  <c r="S71" i="105"/>
  <c r="R71" i="105"/>
  <c r="Q71" i="105"/>
  <c r="P71" i="105"/>
  <c r="O71" i="105"/>
  <c r="N71" i="105"/>
  <c r="M71" i="105"/>
  <c r="L71" i="105"/>
  <c r="K71" i="105"/>
  <c r="J71" i="105"/>
  <c r="I71" i="105"/>
  <c r="H71" i="105"/>
  <c r="G71" i="105"/>
  <c r="F71" i="105"/>
  <c r="E71" i="105"/>
  <c r="D71" i="105"/>
  <c r="C71" i="105"/>
  <c r="AE70" i="105"/>
  <c r="AD70" i="105"/>
  <c r="AC70" i="105"/>
  <c r="AB70" i="105"/>
  <c r="AA70" i="105"/>
  <c r="Z70" i="105"/>
  <c r="Y70" i="105"/>
  <c r="X70" i="105"/>
  <c r="W70" i="105"/>
  <c r="V70" i="105"/>
  <c r="U70" i="105"/>
  <c r="T70" i="105"/>
  <c r="S70" i="105"/>
  <c r="R70" i="105"/>
  <c r="Q70" i="105"/>
  <c r="P70" i="105"/>
  <c r="O70" i="105"/>
  <c r="N70" i="105"/>
  <c r="M70" i="105"/>
  <c r="L70" i="105"/>
  <c r="K70" i="105"/>
  <c r="J70" i="105"/>
  <c r="I70" i="105"/>
  <c r="H70" i="105"/>
  <c r="G70" i="105"/>
  <c r="F70" i="105"/>
  <c r="E70" i="105"/>
  <c r="D70" i="105"/>
  <c r="C70" i="105"/>
  <c r="AE69" i="105"/>
  <c r="AD69" i="105"/>
  <c r="AC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P69" i="105"/>
  <c r="O69" i="105"/>
  <c r="N69" i="105"/>
  <c r="M69" i="105"/>
  <c r="L69" i="105"/>
  <c r="K69" i="105"/>
  <c r="J69" i="105"/>
  <c r="I69" i="105"/>
  <c r="H69" i="105"/>
  <c r="G69" i="105"/>
  <c r="F69" i="105"/>
  <c r="E69" i="105"/>
  <c r="D69" i="105"/>
  <c r="C69" i="105"/>
  <c r="AE68" i="105"/>
  <c r="AD68" i="105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P68" i="105"/>
  <c r="O68" i="105"/>
  <c r="N68" i="105"/>
  <c r="M68" i="105"/>
  <c r="L68" i="105"/>
  <c r="K68" i="105"/>
  <c r="J68" i="105"/>
  <c r="I68" i="105"/>
  <c r="H68" i="105"/>
  <c r="G68" i="105"/>
  <c r="F68" i="105"/>
  <c r="E68" i="105"/>
  <c r="D68" i="105"/>
  <c r="C68" i="105"/>
  <c r="AE67" i="105"/>
  <c r="AD67" i="105"/>
  <c r="AC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P67" i="105"/>
  <c r="O67" i="105"/>
  <c r="N67" i="105"/>
  <c r="M67" i="105"/>
  <c r="L67" i="105"/>
  <c r="K67" i="105"/>
  <c r="J67" i="105"/>
  <c r="I67" i="105"/>
  <c r="H67" i="105"/>
  <c r="G67" i="105"/>
  <c r="F67" i="105"/>
  <c r="E67" i="105"/>
  <c r="D67" i="105"/>
  <c r="C67" i="105"/>
  <c r="AE66" i="105"/>
  <c r="AD66" i="105"/>
  <c r="AC66" i="105"/>
  <c r="AB66" i="105"/>
  <c r="AA66" i="105"/>
  <c r="Z66" i="105"/>
  <c r="Y66" i="105"/>
  <c r="X66" i="105"/>
  <c r="W66" i="105"/>
  <c r="V66" i="105"/>
  <c r="U66" i="105"/>
  <c r="T66" i="105"/>
  <c r="S66" i="105"/>
  <c r="R66" i="105"/>
  <c r="Q66" i="105"/>
  <c r="P66" i="105"/>
  <c r="O66" i="105"/>
  <c r="N66" i="105"/>
  <c r="M66" i="105"/>
  <c r="L66" i="105"/>
  <c r="K66" i="105"/>
  <c r="J66" i="105"/>
  <c r="I66" i="105"/>
  <c r="H66" i="105"/>
  <c r="G66" i="105"/>
  <c r="F66" i="105"/>
  <c r="E66" i="105"/>
  <c r="D66" i="105"/>
  <c r="C66" i="105"/>
  <c r="AE65" i="105"/>
  <c r="AD65" i="105"/>
  <c r="AC65" i="105"/>
  <c r="AB65" i="105"/>
  <c r="AA65" i="105"/>
  <c r="Z65" i="105"/>
  <c r="Y65" i="105"/>
  <c r="X65" i="105"/>
  <c r="W65" i="105"/>
  <c r="V65" i="105"/>
  <c r="U65" i="105"/>
  <c r="T65" i="105"/>
  <c r="S65" i="105"/>
  <c r="R65" i="105"/>
  <c r="Q65" i="105"/>
  <c r="P65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C65" i="105"/>
  <c r="AE63" i="105"/>
  <c r="AD63" i="105"/>
  <c r="AC63" i="105"/>
  <c r="AB63" i="105"/>
  <c r="AA63" i="105"/>
  <c r="Z63" i="105"/>
  <c r="Y63" i="105"/>
  <c r="X63" i="105"/>
  <c r="W63" i="105"/>
  <c r="V63" i="105"/>
  <c r="U63" i="105"/>
  <c r="T63" i="105"/>
  <c r="S63" i="105"/>
  <c r="R63" i="105"/>
  <c r="Q63" i="105"/>
  <c r="P63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C63" i="105"/>
  <c r="AE62" i="105"/>
  <c r="AD62" i="105"/>
  <c r="AC62" i="105"/>
  <c r="AB62" i="105"/>
  <c r="AA62" i="105"/>
  <c r="Z62" i="105"/>
  <c r="Y62" i="105"/>
  <c r="X62" i="105"/>
  <c r="W62" i="105"/>
  <c r="V62" i="105"/>
  <c r="U62" i="105"/>
  <c r="T62" i="105"/>
  <c r="S62" i="105"/>
  <c r="R62" i="105"/>
  <c r="Q62" i="105"/>
  <c r="P62" i="105"/>
  <c r="O62" i="105"/>
  <c r="N62" i="105"/>
  <c r="M62" i="105"/>
  <c r="L62" i="105"/>
  <c r="K62" i="105"/>
  <c r="J62" i="105"/>
  <c r="I62" i="105"/>
  <c r="H62" i="105"/>
  <c r="G62" i="105"/>
  <c r="F62" i="105"/>
  <c r="E62" i="105"/>
  <c r="D62" i="105"/>
  <c r="C62" i="105"/>
  <c r="AE61" i="105"/>
  <c r="AD61" i="105"/>
  <c r="AC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P61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C61" i="105"/>
  <c r="AE60" i="105"/>
  <c r="AD60" i="105"/>
  <c r="AC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P60" i="105"/>
  <c r="O60" i="105"/>
  <c r="N60" i="105"/>
  <c r="M60" i="105"/>
  <c r="L60" i="105"/>
  <c r="K60" i="105"/>
  <c r="J60" i="105"/>
  <c r="I60" i="105"/>
  <c r="H60" i="105"/>
  <c r="G60" i="105"/>
  <c r="F60" i="105"/>
  <c r="E60" i="105"/>
  <c r="D60" i="105"/>
  <c r="C60" i="105"/>
  <c r="AE59" i="105"/>
  <c r="AD59" i="105"/>
  <c r="AC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P59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C59" i="105"/>
  <c r="AE58" i="105"/>
  <c r="AD58" i="105"/>
  <c r="AC58" i="105"/>
  <c r="AB58" i="105"/>
  <c r="AA58" i="105"/>
  <c r="Z58" i="105"/>
  <c r="Y58" i="105"/>
  <c r="X58" i="105"/>
  <c r="W58" i="105"/>
  <c r="V58" i="105"/>
  <c r="U58" i="105"/>
  <c r="T58" i="105"/>
  <c r="S58" i="105"/>
  <c r="R58" i="105"/>
  <c r="Q58" i="105"/>
  <c r="P58" i="105"/>
  <c r="O58" i="105"/>
  <c r="N58" i="105"/>
  <c r="M58" i="105"/>
  <c r="L58" i="105"/>
  <c r="K58" i="105"/>
  <c r="J58" i="105"/>
  <c r="I58" i="105"/>
  <c r="H58" i="105"/>
  <c r="G58" i="105"/>
  <c r="F58" i="105"/>
  <c r="E58" i="105"/>
  <c r="D58" i="105"/>
  <c r="C58" i="105"/>
  <c r="AE57" i="105"/>
  <c r="AD57" i="105"/>
  <c r="AC57" i="105"/>
  <c r="AB57" i="105"/>
  <c r="AA57" i="105"/>
  <c r="Z57" i="105"/>
  <c r="Y57" i="105"/>
  <c r="X57" i="105"/>
  <c r="W57" i="105"/>
  <c r="V57" i="105"/>
  <c r="U57" i="105"/>
  <c r="T57" i="105"/>
  <c r="S57" i="105"/>
  <c r="R57" i="105"/>
  <c r="Q57" i="105"/>
  <c r="P57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C57" i="105"/>
  <c r="AE56" i="105"/>
  <c r="AD56" i="105"/>
  <c r="AC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P56" i="105"/>
  <c r="O56" i="105"/>
  <c r="N56" i="105"/>
  <c r="M56" i="105"/>
  <c r="L56" i="105"/>
  <c r="K56" i="105"/>
  <c r="J56" i="105"/>
  <c r="I56" i="105"/>
  <c r="H56" i="105"/>
  <c r="G56" i="105"/>
  <c r="F56" i="105"/>
  <c r="E56" i="105"/>
  <c r="D56" i="105"/>
  <c r="C56" i="105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C3" i="91" l="1"/>
  <c r="D3" i="91" s="1"/>
  <c r="E3" i="91" s="1"/>
  <c r="F3" i="91" s="1"/>
  <c r="G3" i="91" s="1"/>
  <c r="H3" i="91" s="1"/>
  <c r="I3" i="91" s="1"/>
  <c r="J3" i="91" s="1"/>
  <c r="K3" i="91" s="1"/>
  <c r="L3" i="91" s="1"/>
  <c r="M3" i="91" s="1"/>
  <c r="N3" i="91" s="1"/>
  <c r="O3" i="91" s="1"/>
  <c r="P3" i="91" s="1"/>
  <c r="Q3" i="91" s="1"/>
  <c r="R3" i="91" s="1"/>
  <c r="S3" i="91" s="1"/>
  <c r="T3" i="91" s="1"/>
  <c r="U3" i="91" s="1"/>
  <c r="V3" i="91" s="1"/>
  <c r="W3" i="91" s="1"/>
  <c r="X3" i="91" s="1"/>
  <c r="Y3" i="91" s="1"/>
  <c r="Z3" i="91" s="1"/>
  <c r="AA3" i="91" s="1"/>
  <c r="AB3" i="91" s="1"/>
  <c r="AC3" i="91" s="1"/>
  <c r="AD3" i="91" s="1"/>
  <c r="T353" i="46" l="1"/>
  <c r="C353" i="46"/>
  <c r="A353" i="46"/>
  <c r="A185" i="46"/>
  <c r="C185" i="46"/>
  <c r="E185" i="46"/>
  <c r="S185" i="46"/>
  <c r="T185" i="46"/>
  <c r="T197" i="46"/>
  <c r="S197" i="46"/>
  <c r="C197" i="46"/>
  <c r="A197" i="46"/>
  <c r="T84" i="46"/>
  <c r="C84" i="46"/>
  <c r="A84" i="46"/>
  <c r="S184" i="38"/>
  <c r="E184" i="38"/>
  <c r="C184" i="38"/>
  <c r="A184" i="38"/>
  <c r="E354" i="38" l="1"/>
  <c r="C354" i="38"/>
  <c r="A354" i="38"/>
  <c r="E84" i="38"/>
  <c r="C84" i="38"/>
  <c r="A84" i="38"/>
  <c r="A16" i="103" l="1"/>
  <c r="A17" i="103" s="1"/>
  <c r="A18" i="103" s="1"/>
  <c r="A19" i="103" s="1"/>
  <c r="P17" i="103"/>
  <c r="O17" i="103"/>
  <c r="N17" i="103"/>
  <c r="M17" i="103"/>
  <c r="L17" i="103"/>
  <c r="K17" i="103"/>
  <c r="J17" i="103"/>
  <c r="I17" i="103"/>
  <c r="H17" i="103"/>
  <c r="G17" i="103"/>
  <c r="F17" i="103"/>
  <c r="E17" i="103"/>
  <c r="D17" i="103"/>
  <c r="Q17" i="103" s="1"/>
  <c r="W17" i="103" s="1"/>
  <c r="A36" i="105"/>
  <c r="A16" i="99"/>
  <c r="A17" i="99" s="1"/>
  <c r="A18" i="99" s="1"/>
  <c r="A19" i="99" s="1"/>
  <c r="P17" i="99"/>
  <c r="O17" i="99"/>
  <c r="N17" i="99"/>
  <c r="M17" i="99"/>
  <c r="L17" i="99"/>
  <c r="K17" i="99"/>
  <c r="J17" i="99"/>
  <c r="I17" i="99"/>
  <c r="H17" i="99"/>
  <c r="G17" i="99"/>
  <c r="F17" i="99"/>
  <c r="E17" i="99"/>
  <c r="D17" i="99"/>
  <c r="F101" i="44"/>
  <c r="F102" i="44"/>
  <c r="F103" i="44" s="1"/>
  <c r="F100" i="44"/>
  <c r="F99" i="44"/>
  <c r="F98" i="44"/>
  <c r="F96" i="44"/>
  <c r="F95" i="44"/>
  <c r="Q17" i="99" l="1"/>
  <c r="W17" i="99" s="1"/>
  <c r="F112" i="44"/>
  <c r="D113" i="44"/>
  <c r="F113" i="44"/>
  <c r="F111" i="44"/>
  <c r="D110" i="44"/>
  <c r="F110" i="44"/>
  <c r="F108" i="44"/>
  <c r="D107" i="44"/>
  <c r="F107" i="44"/>
  <c r="F109" i="44"/>
  <c r="F91" i="44"/>
  <c r="F90" i="44"/>
  <c r="D85" i="44"/>
  <c r="F85" i="44"/>
  <c r="D77" i="44"/>
  <c r="F80" i="44"/>
  <c r="F78" i="44"/>
  <c r="F77" i="44"/>
  <c r="D76" i="44"/>
  <c r="F76" i="44"/>
  <c r="D35" i="44"/>
  <c r="D27" i="44"/>
  <c r="F38" i="44"/>
  <c r="F39" i="44"/>
  <c r="D54" i="44"/>
  <c r="F54" i="44"/>
  <c r="F52" i="44"/>
  <c r="F51" i="44"/>
  <c r="F53" i="44"/>
  <c r="F50" i="44"/>
  <c r="F46" i="44"/>
  <c r="D45" i="44"/>
  <c r="F43" i="44"/>
  <c r="D41" i="44"/>
  <c r="F41" i="44"/>
  <c r="X247" i="104"/>
  <c r="X246" i="104"/>
  <c r="X245" i="104"/>
  <c r="X244" i="104"/>
  <c r="X243" i="104"/>
  <c r="X242" i="104"/>
  <c r="X241" i="104"/>
  <c r="D91" i="44" s="1"/>
  <c r="X240" i="104"/>
  <c r="X239" i="104"/>
  <c r="X238" i="104"/>
  <c r="X237" i="104"/>
  <c r="X236" i="104"/>
  <c r="X235" i="104"/>
  <c r="X234" i="104"/>
  <c r="X233" i="104"/>
  <c r="X232" i="104"/>
  <c r="D90" i="44" s="1"/>
  <c r="X231" i="104"/>
  <c r="X230" i="104"/>
  <c r="D112" i="44" s="1"/>
  <c r="X229" i="104"/>
  <c r="X228" i="104"/>
  <c r="X227" i="104"/>
  <c r="D109" i="44" s="1"/>
  <c r="X226" i="104"/>
  <c r="X225" i="104"/>
  <c r="X224" i="104"/>
  <c r="X223" i="104"/>
  <c r="X222" i="104"/>
  <c r="X221" i="104"/>
  <c r="D111" i="44" s="1"/>
  <c r="X220" i="104"/>
  <c r="X219" i="104"/>
  <c r="X218" i="104"/>
  <c r="X217" i="104"/>
  <c r="X216" i="104"/>
  <c r="X215" i="104"/>
  <c r="X214" i="104"/>
  <c r="X213" i="104"/>
  <c r="X212" i="104"/>
  <c r="X211" i="104"/>
  <c r="X210" i="104"/>
  <c r="X209" i="104"/>
  <c r="X208" i="104"/>
  <c r="X207" i="104"/>
  <c r="X206" i="104"/>
  <c r="X205" i="104"/>
  <c r="X204" i="104"/>
  <c r="D108" i="44" s="1"/>
  <c r="X203" i="104"/>
  <c r="X202" i="104"/>
  <c r="X201" i="104"/>
  <c r="X200" i="104"/>
  <c r="X199" i="104"/>
  <c r="X198" i="104"/>
  <c r="X197" i="104"/>
  <c r="X196" i="104"/>
  <c r="X195" i="104"/>
  <c r="X194" i="104"/>
  <c r="X193" i="104"/>
  <c r="X192" i="104"/>
  <c r="X191" i="104"/>
  <c r="X190" i="104"/>
  <c r="X189" i="104"/>
  <c r="X188" i="104"/>
  <c r="X187" i="104"/>
  <c r="X186" i="104"/>
  <c r="X185" i="104"/>
  <c r="X184" i="104"/>
  <c r="X183" i="104"/>
  <c r="X182" i="104"/>
  <c r="X181" i="104"/>
  <c r="X180" i="104"/>
  <c r="D102" i="44" s="1"/>
  <c r="X179" i="104"/>
  <c r="X178" i="104"/>
  <c r="X177" i="104"/>
  <c r="X176" i="104"/>
  <c r="X175" i="104"/>
  <c r="D101" i="44" s="1"/>
  <c r="X174" i="104"/>
  <c r="X173" i="104"/>
  <c r="X172" i="104"/>
  <c r="X171" i="104"/>
  <c r="D100" i="44" s="1"/>
  <c r="X170" i="104"/>
  <c r="X169" i="104"/>
  <c r="D99" i="44" s="1"/>
  <c r="X168" i="104"/>
  <c r="X167" i="104"/>
  <c r="D98" i="44" s="1"/>
  <c r="X166" i="104"/>
  <c r="X165" i="104"/>
  <c r="X164" i="104"/>
  <c r="X163" i="104"/>
  <c r="X162" i="104"/>
  <c r="D96" i="44" s="1"/>
  <c r="X161" i="104"/>
  <c r="X160" i="104"/>
  <c r="X159" i="104"/>
  <c r="X158" i="104"/>
  <c r="X157" i="104"/>
  <c r="X156" i="104"/>
  <c r="D95" i="44" s="1"/>
  <c r="X155" i="104"/>
  <c r="X154" i="104"/>
  <c r="X153" i="104"/>
  <c r="X152" i="104"/>
  <c r="X151" i="104"/>
  <c r="X150" i="104"/>
  <c r="X149" i="104"/>
  <c r="X148" i="104"/>
  <c r="X147" i="104"/>
  <c r="X146" i="104"/>
  <c r="X145" i="104"/>
  <c r="X144" i="104"/>
  <c r="X143" i="104"/>
  <c r="X142" i="104"/>
  <c r="X141" i="104"/>
  <c r="X140" i="104"/>
  <c r="X139" i="104"/>
  <c r="X138" i="104"/>
  <c r="X137" i="104"/>
  <c r="X136" i="104"/>
  <c r="X135" i="104"/>
  <c r="X134" i="104"/>
  <c r="X133" i="104"/>
  <c r="X132" i="104"/>
  <c r="X131" i="104"/>
  <c r="X130" i="104"/>
  <c r="D80" i="44" s="1"/>
  <c r="X129" i="104"/>
  <c r="X128" i="104"/>
  <c r="X127" i="104"/>
  <c r="X126" i="104"/>
  <c r="X125" i="104"/>
  <c r="X124" i="104"/>
  <c r="X123" i="104"/>
  <c r="X122" i="104"/>
  <c r="D78" i="44" s="1"/>
  <c r="X121" i="104"/>
  <c r="X120" i="104"/>
  <c r="X119" i="104"/>
  <c r="X118" i="104"/>
  <c r="X117" i="104"/>
  <c r="X116" i="104"/>
  <c r="X115" i="104"/>
  <c r="X114" i="104"/>
  <c r="X113" i="104"/>
  <c r="X112" i="104"/>
  <c r="X111" i="104"/>
  <c r="X110" i="104"/>
  <c r="X109" i="104"/>
  <c r="X108" i="104"/>
  <c r="X107" i="104"/>
  <c r="X106" i="104"/>
  <c r="D52" i="44" s="1"/>
  <c r="X105" i="104"/>
  <c r="X104" i="104"/>
  <c r="X103" i="104"/>
  <c r="X102" i="104"/>
  <c r="X101" i="104"/>
  <c r="X100" i="104"/>
  <c r="X99" i="104"/>
  <c r="X98" i="104"/>
  <c r="X97" i="104"/>
  <c r="X96" i="104"/>
  <c r="X95" i="104"/>
  <c r="X94" i="104"/>
  <c r="X93" i="104"/>
  <c r="D51" i="44" s="1"/>
  <c r="X92" i="104"/>
  <c r="X91" i="104"/>
  <c r="X90" i="104"/>
  <c r="X89" i="104"/>
  <c r="X88" i="104"/>
  <c r="X87" i="104"/>
  <c r="X86" i="104"/>
  <c r="X85" i="104"/>
  <c r="X84" i="104"/>
  <c r="X83" i="104"/>
  <c r="X82" i="104"/>
  <c r="X81" i="104"/>
  <c r="X80" i="104"/>
  <c r="X79" i="104"/>
  <c r="X78" i="104"/>
  <c r="X77" i="104"/>
  <c r="X76" i="104"/>
  <c r="X75" i="104"/>
  <c r="D53" i="44" s="1"/>
  <c r="X74" i="104"/>
  <c r="X73" i="104"/>
  <c r="D50" i="44" s="1"/>
  <c r="X72" i="104"/>
  <c r="X71" i="104"/>
  <c r="X70" i="104"/>
  <c r="X69" i="104"/>
  <c r="X68" i="104"/>
  <c r="X67" i="104"/>
  <c r="D46" i="44" s="1"/>
  <c r="X66" i="104"/>
  <c r="X65" i="104"/>
  <c r="X64" i="104"/>
  <c r="X63" i="104"/>
  <c r="D43" i="44" s="1"/>
  <c r="X62" i="104"/>
  <c r="X61" i="104"/>
  <c r="X60" i="104"/>
  <c r="X59" i="104"/>
  <c r="X58" i="104"/>
  <c r="X57" i="104"/>
  <c r="X56" i="104"/>
  <c r="X55" i="104"/>
  <c r="X54" i="104"/>
  <c r="X53" i="104"/>
  <c r="D40" i="44" s="1"/>
  <c r="X52" i="104"/>
  <c r="D39" i="44" s="1"/>
  <c r="X51" i="104"/>
  <c r="X50" i="104"/>
  <c r="X49" i="104"/>
  <c r="D38" i="44" s="1"/>
  <c r="X48" i="104"/>
  <c r="X47" i="104"/>
  <c r="X46" i="104"/>
  <c r="X45" i="104"/>
  <c r="X44" i="104"/>
  <c r="X43" i="104"/>
  <c r="X42" i="104"/>
  <c r="X41" i="104"/>
  <c r="D44" i="44" s="1"/>
  <c r="X40" i="104"/>
  <c r="X39" i="104"/>
  <c r="D37" i="44" s="1"/>
  <c r="X38" i="104"/>
  <c r="X37" i="104"/>
  <c r="X36" i="104"/>
  <c r="D36" i="44" s="1"/>
  <c r="X35" i="104"/>
  <c r="X34" i="104"/>
  <c r="X33" i="104"/>
  <c r="X32" i="104"/>
  <c r="X31" i="104"/>
  <c r="D34" i="44" s="1"/>
  <c r="X30" i="104"/>
  <c r="X29" i="104"/>
  <c r="X28" i="104"/>
  <c r="X27" i="104"/>
  <c r="D33" i="44" s="1"/>
  <c r="X26" i="104"/>
  <c r="D31" i="44" s="1"/>
  <c r="X25" i="104"/>
  <c r="X24" i="104"/>
  <c r="X23" i="104"/>
  <c r="X22" i="104"/>
  <c r="X21" i="104"/>
  <c r="X20" i="104"/>
  <c r="X19" i="104"/>
  <c r="D24" i="44" s="1"/>
  <c r="X18" i="104"/>
  <c r="X17" i="104"/>
  <c r="D26" i="44" s="1"/>
  <c r="X16" i="104"/>
  <c r="X15" i="104"/>
  <c r="X14" i="104"/>
  <c r="X13" i="104"/>
  <c r="X12" i="104"/>
  <c r="X11" i="104"/>
  <c r="X10" i="104"/>
  <c r="D20" i="44" s="1"/>
  <c r="X9" i="104"/>
  <c r="F40" i="44"/>
  <c r="F45" i="44"/>
  <c r="F44" i="44"/>
  <c r="F37" i="44"/>
  <c r="F36" i="44"/>
  <c r="F35" i="44"/>
  <c r="F34" i="44"/>
  <c r="F33" i="44"/>
  <c r="F31" i="44"/>
  <c r="F27" i="44"/>
  <c r="F26" i="44"/>
  <c r="F24" i="44"/>
  <c r="F20" i="44"/>
  <c r="M116" i="31"/>
  <c r="M114" i="31"/>
  <c r="M113" i="31"/>
  <c r="M112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5" i="31"/>
  <c r="M92" i="31"/>
  <c r="M91" i="31"/>
  <c r="M87" i="31"/>
  <c r="M85" i="31"/>
  <c r="M82" i="31"/>
  <c r="M80" i="31"/>
  <c r="M78" i="31"/>
  <c r="M77" i="31"/>
  <c r="M76" i="31"/>
  <c r="M26" i="31"/>
  <c r="M57" i="31"/>
  <c r="M55" i="31"/>
  <c r="M54" i="31"/>
  <c r="M53" i="31"/>
  <c r="M52" i="31"/>
  <c r="M51" i="31"/>
  <c r="M50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1" i="31"/>
  <c r="M28" i="31"/>
  <c r="M27" i="31"/>
  <c r="M24" i="31"/>
  <c r="M21" i="31"/>
  <c r="M20" i="31"/>
  <c r="M19" i="31"/>
  <c r="M18" i="31"/>
  <c r="M17" i="31"/>
  <c r="P114" i="31"/>
  <c r="N114" i="31"/>
  <c r="O114" i="31" s="1"/>
  <c r="O113" i="31"/>
  <c r="O112" i="31"/>
  <c r="O111" i="31"/>
  <c r="O110" i="31"/>
  <c r="O109" i="31"/>
  <c r="O108" i="31"/>
  <c r="O107" i="31"/>
  <c r="P104" i="31"/>
  <c r="N104" i="31"/>
  <c r="O103" i="31"/>
  <c r="O101" i="31"/>
  <c r="O100" i="31"/>
  <c r="O99" i="31"/>
  <c r="O98" i="31"/>
  <c r="O96" i="31"/>
  <c r="O95" i="31"/>
  <c r="P92" i="31"/>
  <c r="N92" i="31"/>
  <c r="O91" i="31"/>
  <c r="P87" i="31"/>
  <c r="N87" i="31"/>
  <c r="O85" i="31"/>
  <c r="P82" i="31"/>
  <c r="N82" i="31"/>
  <c r="O80" i="31"/>
  <c r="O78" i="31"/>
  <c r="O77" i="31"/>
  <c r="O76" i="31"/>
  <c r="P55" i="31"/>
  <c r="N55" i="31"/>
  <c r="O54" i="31"/>
  <c r="O53" i="31"/>
  <c r="O52" i="31"/>
  <c r="O51" i="31"/>
  <c r="O50" i="31"/>
  <c r="P47" i="31"/>
  <c r="N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P28" i="31"/>
  <c r="N28" i="31"/>
  <c r="O27" i="31"/>
  <c r="O26" i="31"/>
  <c r="O24" i="31"/>
  <c r="O20" i="31"/>
  <c r="P19" i="31"/>
  <c r="P21" i="31" s="1"/>
  <c r="N19" i="31"/>
  <c r="O19" i="31" s="1"/>
  <c r="O18" i="31"/>
  <c r="O17" i="31"/>
  <c r="M116" i="44"/>
  <c r="M114" i="44"/>
  <c r="M113" i="44"/>
  <c r="M112" i="44"/>
  <c r="M111" i="44"/>
  <c r="M110" i="44"/>
  <c r="M109" i="44"/>
  <c r="M108" i="44"/>
  <c r="M107" i="44"/>
  <c r="M104" i="44"/>
  <c r="M103" i="44"/>
  <c r="M101" i="44"/>
  <c r="M100" i="44"/>
  <c r="M99" i="44"/>
  <c r="M98" i="44"/>
  <c r="M96" i="44"/>
  <c r="M95" i="44"/>
  <c r="M92" i="44"/>
  <c r="M91" i="44"/>
  <c r="M87" i="44"/>
  <c r="M85" i="44"/>
  <c r="M82" i="44"/>
  <c r="M80" i="44"/>
  <c r="M78" i="44"/>
  <c r="M77" i="44"/>
  <c r="M76" i="44"/>
  <c r="M57" i="44"/>
  <c r="M55" i="44"/>
  <c r="M54" i="44"/>
  <c r="M53" i="44"/>
  <c r="M52" i="44"/>
  <c r="M51" i="44"/>
  <c r="M50" i="44"/>
  <c r="M47" i="44"/>
  <c r="M46" i="44"/>
  <c r="M45" i="44"/>
  <c r="M44" i="44"/>
  <c r="M43" i="44"/>
  <c r="M41" i="44"/>
  <c r="M40" i="44"/>
  <c r="M39" i="44"/>
  <c r="M38" i="44"/>
  <c r="M37" i="44"/>
  <c r="M36" i="44"/>
  <c r="M35" i="44"/>
  <c r="M34" i="44"/>
  <c r="M31" i="44"/>
  <c r="M28" i="44"/>
  <c r="M27" i="44"/>
  <c r="M26" i="44"/>
  <c r="M24" i="44"/>
  <c r="M21" i="44"/>
  <c r="M20" i="44"/>
  <c r="M19" i="44"/>
  <c r="M18" i="44"/>
  <c r="M17" i="44"/>
  <c r="P114" i="44"/>
  <c r="N114" i="44"/>
  <c r="O113" i="44"/>
  <c r="O112" i="44"/>
  <c r="O111" i="44"/>
  <c r="O110" i="44"/>
  <c r="O109" i="44"/>
  <c r="O108" i="44"/>
  <c r="O107" i="44"/>
  <c r="P104" i="44"/>
  <c r="N104" i="44"/>
  <c r="O104" i="44" s="1"/>
  <c r="O103" i="44"/>
  <c r="O101" i="44"/>
  <c r="O100" i="44"/>
  <c r="O99" i="44"/>
  <c r="O98" i="44"/>
  <c r="O96" i="44"/>
  <c r="O95" i="44"/>
  <c r="P92" i="44"/>
  <c r="N92" i="44"/>
  <c r="O92" i="44" s="1"/>
  <c r="O91" i="44"/>
  <c r="P87" i="44"/>
  <c r="N87" i="44"/>
  <c r="O85" i="44"/>
  <c r="P82" i="44"/>
  <c r="O82" i="44"/>
  <c r="N82" i="44"/>
  <c r="O80" i="44"/>
  <c r="O78" i="44"/>
  <c r="O77" i="44"/>
  <c r="O76" i="44"/>
  <c r="P55" i="44"/>
  <c r="O55" i="44"/>
  <c r="N55" i="44"/>
  <c r="O54" i="44"/>
  <c r="O53" i="44"/>
  <c r="O52" i="44"/>
  <c r="O51" i="44"/>
  <c r="O50" i="44"/>
  <c r="P47" i="44"/>
  <c r="N47" i="44"/>
  <c r="O47" i="44" s="1"/>
  <c r="O46" i="44"/>
  <c r="O45" i="44"/>
  <c r="O44" i="44"/>
  <c r="O43" i="44"/>
  <c r="O41" i="44"/>
  <c r="O40" i="44"/>
  <c r="O39" i="44"/>
  <c r="O38" i="44"/>
  <c r="O37" i="44"/>
  <c r="O36" i="44"/>
  <c r="O35" i="44"/>
  <c r="O34" i="44"/>
  <c r="O33" i="44"/>
  <c r="O31" i="44"/>
  <c r="P28" i="44"/>
  <c r="N28" i="44"/>
  <c r="O27" i="44"/>
  <c r="O26" i="44"/>
  <c r="O24" i="44"/>
  <c r="O20" i="44"/>
  <c r="P19" i="44"/>
  <c r="P21" i="44" s="1"/>
  <c r="N19" i="44"/>
  <c r="O18" i="44"/>
  <c r="O17" i="44"/>
  <c r="D103" i="44" l="1"/>
  <c r="O47" i="31"/>
  <c r="O87" i="31"/>
  <c r="O104" i="31"/>
  <c r="N116" i="31"/>
  <c r="O28" i="31"/>
  <c r="O55" i="31"/>
  <c r="O92" i="31"/>
  <c r="P57" i="31"/>
  <c r="P116" i="31"/>
  <c r="O82" i="31"/>
  <c r="N21" i="31"/>
  <c r="O87" i="44"/>
  <c r="O114" i="44"/>
  <c r="P116" i="44"/>
  <c r="P57" i="44"/>
  <c r="N116" i="44"/>
  <c r="O19" i="44"/>
  <c r="O28" i="44"/>
  <c r="N21" i="44"/>
  <c r="P118" i="31" l="1"/>
  <c r="O116" i="31"/>
  <c r="O21" i="31"/>
  <c r="N57" i="31"/>
  <c r="O116" i="44"/>
  <c r="P118" i="44"/>
  <c r="O21" i="44"/>
  <c r="N57" i="44"/>
  <c r="N118" i="44" s="1"/>
  <c r="O57" i="31" l="1"/>
  <c r="N118" i="31"/>
  <c r="O57" i="44"/>
  <c r="H113" i="31" l="1"/>
  <c r="I113" i="31" s="1"/>
  <c r="H112" i="31"/>
  <c r="I112" i="31" s="1"/>
  <c r="H111" i="31"/>
  <c r="I111" i="31" s="1"/>
  <c r="H110" i="31"/>
  <c r="I110" i="31" s="1"/>
  <c r="H109" i="31"/>
  <c r="I109" i="31" s="1"/>
  <c r="H108" i="31"/>
  <c r="I108" i="31" s="1"/>
  <c r="H107" i="31"/>
  <c r="H103" i="31"/>
  <c r="I103" i="31" s="1"/>
  <c r="H102" i="31"/>
  <c r="H101" i="31"/>
  <c r="I101" i="31" s="1"/>
  <c r="H100" i="31"/>
  <c r="I100" i="31" s="1"/>
  <c r="H99" i="31"/>
  <c r="I99" i="31" s="1"/>
  <c r="H98" i="31"/>
  <c r="I98" i="31" s="1"/>
  <c r="H97" i="31"/>
  <c r="H96" i="31"/>
  <c r="I96" i="31" s="1"/>
  <c r="H95" i="31"/>
  <c r="I95" i="31" s="1"/>
  <c r="H91" i="31"/>
  <c r="I91" i="31" s="1"/>
  <c r="H90" i="31"/>
  <c r="H86" i="31"/>
  <c r="H87" i="31" s="1"/>
  <c r="I87" i="31" s="1"/>
  <c r="H85" i="31"/>
  <c r="I85" i="31" s="1"/>
  <c r="H80" i="31"/>
  <c r="I80" i="31" s="1"/>
  <c r="H79" i="31"/>
  <c r="I78" i="31"/>
  <c r="H78" i="31"/>
  <c r="H77" i="31"/>
  <c r="H76" i="31"/>
  <c r="I76" i="31" s="1"/>
  <c r="H71" i="31"/>
  <c r="H54" i="31"/>
  <c r="I54" i="31" s="1"/>
  <c r="H53" i="31"/>
  <c r="I53" i="31" s="1"/>
  <c r="H52" i="31"/>
  <c r="I52" i="31" s="1"/>
  <c r="H51" i="31"/>
  <c r="I51" i="31" s="1"/>
  <c r="H50" i="31"/>
  <c r="I50" i="31" s="1"/>
  <c r="H46" i="31"/>
  <c r="I46" i="31" s="1"/>
  <c r="H45" i="31"/>
  <c r="I45" i="31" s="1"/>
  <c r="H44" i="31"/>
  <c r="I44" i="31" s="1"/>
  <c r="H43" i="31"/>
  <c r="I43" i="31" s="1"/>
  <c r="H42" i="31"/>
  <c r="H41" i="31"/>
  <c r="I41" i="31" s="1"/>
  <c r="H40" i="31"/>
  <c r="I40" i="31" s="1"/>
  <c r="H39" i="31"/>
  <c r="I39" i="31" s="1"/>
  <c r="H38" i="31"/>
  <c r="H37" i="31"/>
  <c r="I37" i="31" s="1"/>
  <c r="H36" i="31"/>
  <c r="I36" i="31" s="1"/>
  <c r="H35" i="31"/>
  <c r="I35" i="31" s="1"/>
  <c r="H34" i="31"/>
  <c r="H33" i="31"/>
  <c r="H32" i="31"/>
  <c r="H31" i="31"/>
  <c r="I31" i="31" s="1"/>
  <c r="H27" i="31"/>
  <c r="I27" i="31" s="1"/>
  <c r="H26" i="31"/>
  <c r="I26" i="31" s="1"/>
  <c r="H24" i="31"/>
  <c r="I24" i="31" s="1"/>
  <c r="H20" i="31"/>
  <c r="I20" i="31" s="1"/>
  <c r="H18" i="31"/>
  <c r="I18" i="31" s="1"/>
  <c r="H17" i="31"/>
  <c r="I17" i="31" s="1"/>
  <c r="K26" i="31"/>
  <c r="K113" i="31"/>
  <c r="K112" i="31"/>
  <c r="K111" i="31"/>
  <c r="K110" i="31"/>
  <c r="K109" i="31"/>
  <c r="K108" i="31"/>
  <c r="K114" i="31"/>
  <c r="K103" i="31"/>
  <c r="K101" i="31"/>
  <c r="K100" i="31"/>
  <c r="K99" i="31"/>
  <c r="K98" i="31"/>
  <c r="K96" i="31"/>
  <c r="K104" i="31"/>
  <c r="K91" i="31"/>
  <c r="K92" i="31"/>
  <c r="K87" i="31"/>
  <c r="K85" i="31"/>
  <c r="K80" i="31"/>
  <c r="K77" i="31"/>
  <c r="K76" i="31"/>
  <c r="J71" i="31"/>
  <c r="K54" i="31"/>
  <c r="K53" i="31"/>
  <c r="K52" i="31"/>
  <c r="K51" i="31"/>
  <c r="K46" i="31"/>
  <c r="K45" i="31"/>
  <c r="K44" i="31"/>
  <c r="K43" i="31"/>
  <c r="K42" i="31"/>
  <c r="K41" i="31"/>
  <c r="K40" i="31"/>
  <c r="K39" i="31"/>
  <c r="K38" i="31"/>
  <c r="K36" i="31"/>
  <c r="K35" i="31"/>
  <c r="K34" i="31"/>
  <c r="K31" i="31"/>
  <c r="K27" i="31"/>
  <c r="K20" i="31"/>
  <c r="K18" i="31"/>
  <c r="H113" i="44"/>
  <c r="I113" i="44" s="1"/>
  <c r="H112" i="44"/>
  <c r="I112" i="44" s="1"/>
  <c r="H111" i="44"/>
  <c r="I111" i="44" s="1"/>
  <c r="H110" i="44"/>
  <c r="I110" i="44" s="1"/>
  <c r="H109" i="44"/>
  <c r="I109" i="44" s="1"/>
  <c r="H108" i="44"/>
  <c r="I108" i="44" s="1"/>
  <c r="H107" i="44"/>
  <c r="H103" i="44"/>
  <c r="I103" i="44" s="1"/>
  <c r="H102" i="44"/>
  <c r="H101" i="44"/>
  <c r="I101" i="44" s="1"/>
  <c r="H100" i="44"/>
  <c r="I100" i="44" s="1"/>
  <c r="H99" i="44"/>
  <c r="I99" i="44" s="1"/>
  <c r="H98" i="44"/>
  <c r="I98" i="44" s="1"/>
  <c r="H97" i="44"/>
  <c r="H96" i="44"/>
  <c r="I96" i="44" s="1"/>
  <c r="H95" i="44"/>
  <c r="H91" i="44"/>
  <c r="H90" i="44"/>
  <c r="H86" i="44"/>
  <c r="H85" i="44"/>
  <c r="I85" i="44" s="1"/>
  <c r="H80" i="44"/>
  <c r="I80" i="44" s="1"/>
  <c r="H79" i="44"/>
  <c r="H78" i="44"/>
  <c r="H77" i="44"/>
  <c r="I77" i="44" s="1"/>
  <c r="H76" i="44"/>
  <c r="I76" i="44" s="1"/>
  <c r="H71" i="44"/>
  <c r="H54" i="44"/>
  <c r="I54" i="44" s="1"/>
  <c r="H53" i="44"/>
  <c r="I53" i="44" s="1"/>
  <c r="H52" i="44"/>
  <c r="I52" i="44" s="1"/>
  <c r="H51" i="44"/>
  <c r="I51" i="44" s="1"/>
  <c r="H50" i="44"/>
  <c r="H46" i="44"/>
  <c r="I46" i="44" s="1"/>
  <c r="H45" i="44"/>
  <c r="I45" i="44" s="1"/>
  <c r="H44" i="44"/>
  <c r="I44" i="44" s="1"/>
  <c r="H43" i="44"/>
  <c r="I43" i="44" s="1"/>
  <c r="H42" i="44"/>
  <c r="H41" i="44"/>
  <c r="I41" i="44" s="1"/>
  <c r="H40" i="44"/>
  <c r="I40" i="44" s="1"/>
  <c r="H39" i="44"/>
  <c r="I39" i="44" s="1"/>
  <c r="H38" i="44"/>
  <c r="I38" i="44" s="1"/>
  <c r="H37" i="44"/>
  <c r="I37" i="44" s="1"/>
  <c r="H36" i="44"/>
  <c r="I36" i="44" s="1"/>
  <c r="H35" i="44"/>
  <c r="I35" i="44" s="1"/>
  <c r="H34" i="44"/>
  <c r="I34" i="44" s="1"/>
  <c r="H33" i="44"/>
  <c r="H32" i="44"/>
  <c r="H31" i="44"/>
  <c r="I31" i="44" s="1"/>
  <c r="H27" i="44"/>
  <c r="I27" i="44" s="1"/>
  <c r="H26" i="44"/>
  <c r="I26" i="44" s="1"/>
  <c r="H24" i="44"/>
  <c r="H20" i="44"/>
  <c r="I20" i="44" s="1"/>
  <c r="H18" i="44"/>
  <c r="I18" i="44" s="1"/>
  <c r="H17" i="44"/>
  <c r="I17" i="44" s="1"/>
  <c r="H82" i="31" l="1"/>
  <c r="H55" i="44"/>
  <c r="I55" i="44" s="1"/>
  <c r="H82" i="44"/>
  <c r="I82" i="44" s="1"/>
  <c r="H28" i="44"/>
  <c r="I28" i="44" s="1"/>
  <c r="I78" i="44"/>
  <c r="H92" i="44"/>
  <c r="I92" i="44" s="1"/>
  <c r="H104" i="44"/>
  <c r="I104" i="44" s="1"/>
  <c r="H114" i="44"/>
  <c r="I114" i="44" s="1"/>
  <c r="I24" i="44"/>
  <c r="H47" i="44"/>
  <c r="I47" i="44" s="1"/>
  <c r="H19" i="44"/>
  <c r="I19" i="44" s="1"/>
  <c r="H92" i="31"/>
  <c r="I92" i="31" s="1"/>
  <c r="H104" i="31"/>
  <c r="I104" i="31" s="1"/>
  <c r="H114" i="31"/>
  <c r="I114" i="31" s="1"/>
  <c r="H55" i="31"/>
  <c r="I55" i="31" s="1"/>
  <c r="H28" i="31"/>
  <c r="I28" i="31" s="1"/>
  <c r="I82" i="31"/>
  <c r="H19" i="31"/>
  <c r="H47" i="31"/>
  <c r="I47" i="31" s="1"/>
  <c r="I77" i="31"/>
  <c r="I34" i="31"/>
  <c r="I38" i="31"/>
  <c r="I107" i="31"/>
  <c r="I42" i="31"/>
  <c r="K95" i="31"/>
  <c r="K107" i="31"/>
  <c r="J116" i="31"/>
  <c r="K17" i="31"/>
  <c r="K28" i="31"/>
  <c r="K47" i="31"/>
  <c r="K55" i="31"/>
  <c r="K24" i="31"/>
  <c r="K37" i="31"/>
  <c r="K50" i="31"/>
  <c r="K19" i="31"/>
  <c r="K78" i="31"/>
  <c r="H21" i="44"/>
  <c r="I50" i="44"/>
  <c r="H87" i="44"/>
  <c r="I87" i="44" s="1"/>
  <c r="I91" i="44"/>
  <c r="I95" i="44"/>
  <c r="I107" i="44"/>
  <c r="H116" i="44" l="1"/>
  <c r="H116" i="31"/>
  <c r="I116" i="31" s="1"/>
  <c r="I19" i="31"/>
  <c r="H21" i="31"/>
  <c r="K82" i="31"/>
  <c r="J57" i="31"/>
  <c r="K21" i="31"/>
  <c r="H57" i="44"/>
  <c r="I21" i="44"/>
  <c r="H57" i="31" l="1"/>
  <c r="I21" i="31"/>
  <c r="J118" i="31"/>
  <c r="H118" i="44"/>
  <c r="H118" i="31" l="1"/>
  <c r="I57" i="31"/>
  <c r="K27" i="44" l="1"/>
  <c r="K26" i="44"/>
  <c r="K17" i="44"/>
  <c r="L71" i="44"/>
  <c r="L116" i="44" l="1"/>
  <c r="E371" i="38"/>
  <c r="E372" i="38"/>
  <c r="E373" i="38"/>
  <c r="E374" i="38"/>
  <c r="E375" i="38"/>
  <c r="E376" i="38"/>
  <c r="E377" i="38"/>
  <c r="E378" i="38"/>
  <c r="E379" i="38"/>
  <c r="E380" i="38"/>
  <c r="E381" i="38"/>
  <c r="E382" i="38"/>
  <c r="E383" i="38"/>
  <c r="E384" i="38"/>
  <c r="P31" i="103" l="1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D28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P16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P28" i="99"/>
  <c r="O28" i="99"/>
  <c r="N28" i="99"/>
  <c r="M28" i="99"/>
  <c r="L28" i="99"/>
  <c r="K28" i="99"/>
  <c r="J28" i="99"/>
  <c r="I28" i="99"/>
  <c r="H28" i="99"/>
  <c r="G28" i="99"/>
  <c r="F28" i="99"/>
  <c r="E28" i="99"/>
  <c r="D28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P16" i="99"/>
  <c r="O16" i="99"/>
  <c r="N16" i="99"/>
  <c r="M16" i="99"/>
  <c r="L16" i="99"/>
  <c r="K16" i="99"/>
  <c r="J16" i="99"/>
  <c r="I16" i="99"/>
  <c r="H16" i="99"/>
  <c r="G16" i="99"/>
  <c r="F16" i="99"/>
  <c r="E16" i="99"/>
  <c r="D16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A52" i="105"/>
  <c r="A51" i="105"/>
  <c r="A50" i="105"/>
  <c r="A49" i="105"/>
  <c r="A48" i="105"/>
  <c r="A47" i="105"/>
  <c r="A27" i="105"/>
  <c r="A26" i="105"/>
  <c r="L57" i="44" l="1"/>
  <c r="A22" i="105"/>
  <c r="A21" i="105"/>
  <c r="L118" i="44" l="1"/>
  <c r="A46" i="105"/>
  <c r="A45" i="105"/>
  <c r="A38" i="105"/>
  <c r="A37" i="105"/>
  <c r="A35" i="105"/>
  <c r="A34" i="105"/>
  <c r="A33" i="105"/>
  <c r="A32" i="105"/>
  <c r="A31" i="105"/>
  <c r="A28" i="105"/>
  <c r="A25" i="105"/>
  <c r="A24" i="105"/>
  <c r="A23" i="105"/>
  <c r="A20" i="105"/>
  <c r="A13" i="105"/>
  <c r="A12" i="105"/>
  <c r="A11" i="105"/>
  <c r="A10" i="105"/>
  <c r="A9" i="105"/>
  <c r="A8" i="105"/>
  <c r="A7" i="105"/>
  <c r="A6" i="105"/>
  <c r="G52" i="102" l="1"/>
  <c r="C62" i="102" l="1"/>
  <c r="O433" i="100" l="1"/>
  <c r="O432" i="100"/>
  <c r="O431" i="100"/>
  <c r="O430" i="100"/>
  <c r="O429" i="100"/>
  <c r="O428" i="100"/>
  <c r="O427" i="100"/>
  <c r="O426" i="100"/>
  <c r="O425" i="100"/>
  <c r="O418" i="100"/>
  <c r="C58" i="102" s="1"/>
  <c r="O417" i="100"/>
  <c r="O414" i="100"/>
  <c r="O409" i="100"/>
  <c r="C54" i="102" s="1"/>
  <c r="O402" i="100"/>
  <c r="C60" i="102" s="1"/>
  <c r="O398" i="100"/>
  <c r="O383" i="100"/>
  <c r="O382" i="100"/>
  <c r="O289" i="88"/>
  <c r="O288" i="88"/>
  <c r="O287" i="88"/>
  <c r="C45" i="102" s="1"/>
  <c r="O286" i="88"/>
  <c r="C44" i="102" s="1"/>
  <c r="O285" i="88"/>
  <c r="C43" i="102"/>
  <c r="Q62" i="85" l="1"/>
  <c r="O62" i="85"/>
  <c r="M62" i="85"/>
  <c r="K62" i="85"/>
  <c r="I62" i="85"/>
  <c r="G62" i="85"/>
  <c r="Q61" i="85"/>
  <c r="O61" i="85"/>
  <c r="M61" i="85"/>
  <c r="K61" i="85"/>
  <c r="I61" i="85"/>
  <c r="G61" i="85"/>
  <c r="Q58" i="85"/>
  <c r="O58" i="85"/>
  <c r="M58" i="85"/>
  <c r="K58" i="85"/>
  <c r="I58" i="85"/>
  <c r="G58" i="85"/>
  <c r="Q57" i="85"/>
  <c r="O57" i="85"/>
  <c r="M57" i="85"/>
  <c r="K57" i="85"/>
  <c r="I57" i="85"/>
  <c r="G57" i="85"/>
  <c r="Q54" i="85"/>
  <c r="O54" i="85"/>
  <c r="M54" i="85"/>
  <c r="K54" i="85"/>
  <c r="I54" i="85"/>
  <c r="G54" i="85"/>
  <c r="Q53" i="85"/>
  <c r="O53" i="85"/>
  <c r="M53" i="85"/>
  <c r="K53" i="85"/>
  <c r="I53" i="85"/>
  <c r="G53" i="85"/>
  <c r="Q52" i="85"/>
  <c r="O52" i="85"/>
  <c r="M52" i="85"/>
  <c r="K52" i="85"/>
  <c r="I52" i="85"/>
  <c r="G52" i="85"/>
  <c r="Q58" i="57"/>
  <c r="O58" i="57"/>
  <c r="M58" i="57"/>
  <c r="K58" i="57"/>
  <c r="I58" i="57"/>
  <c r="G58" i="57"/>
  <c r="Q57" i="57"/>
  <c r="O57" i="57"/>
  <c r="M57" i="57"/>
  <c r="K57" i="57"/>
  <c r="I57" i="57"/>
  <c r="G57" i="57"/>
  <c r="Q54" i="57"/>
  <c r="O54" i="57"/>
  <c r="M54" i="57"/>
  <c r="K54" i="57"/>
  <c r="I54" i="57"/>
  <c r="G54" i="57"/>
  <c r="Q53" i="57"/>
  <c r="O53" i="57"/>
  <c r="M53" i="57"/>
  <c r="K53" i="57"/>
  <c r="I53" i="57"/>
  <c r="G53" i="57"/>
  <c r="Q50" i="57"/>
  <c r="O50" i="57"/>
  <c r="M50" i="57"/>
  <c r="K50" i="57"/>
  <c r="I50" i="57"/>
  <c r="G50" i="57"/>
  <c r="Q49" i="57"/>
  <c r="O49" i="57"/>
  <c r="M49" i="57"/>
  <c r="K49" i="57"/>
  <c r="I49" i="57"/>
  <c r="G49" i="57"/>
  <c r="Q48" i="57"/>
  <c r="O48" i="57"/>
  <c r="M48" i="57"/>
  <c r="K48" i="57"/>
  <c r="I48" i="57"/>
  <c r="G48" i="57"/>
  <c r="H386" i="84"/>
  <c r="H382" i="84"/>
  <c r="H377" i="84"/>
  <c r="H372" i="84"/>
  <c r="H366" i="84"/>
  <c r="P313" i="84"/>
  <c r="P296" i="84"/>
  <c r="P276" i="84"/>
  <c r="P256" i="84"/>
  <c r="P239" i="84"/>
  <c r="P217" i="84"/>
  <c r="P195" i="84"/>
  <c r="P190" i="84"/>
  <c r="P184" i="84"/>
  <c r="P179" i="84"/>
  <c r="P174" i="84"/>
  <c r="P169" i="84"/>
  <c r="P146" i="84"/>
  <c r="P121" i="84"/>
  <c r="P96" i="84"/>
  <c r="R86" i="84"/>
  <c r="P68" i="84"/>
  <c r="P59" i="84"/>
  <c r="P43" i="84"/>
  <c r="P30" i="84"/>
  <c r="H391" i="56"/>
  <c r="H387" i="56"/>
  <c r="H382" i="56"/>
  <c r="H377" i="56"/>
  <c r="H371" i="56"/>
  <c r="P318" i="56"/>
  <c r="P301" i="56"/>
  <c r="P281" i="56"/>
  <c r="P261" i="56"/>
  <c r="P244" i="56"/>
  <c r="P222" i="56"/>
  <c r="P195" i="56"/>
  <c r="P189" i="56"/>
  <c r="P184" i="56"/>
  <c r="P179" i="56"/>
  <c r="P174" i="56"/>
  <c r="P151" i="56"/>
  <c r="P126" i="56"/>
  <c r="P101" i="56"/>
  <c r="R91" i="56"/>
  <c r="P67" i="56"/>
  <c r="P31" i="56"/>
  <c r="AD11" i="66"/>
  <c r="AD10" i="66"/>
  <c r="AD2" i="66"/>
  <c r="AD2" i="65"/>
  <c r="L37" i="68"/>
  <c r="K37" i="68"/>
  <c r="J37" i="68"/>
  <c r="O35" i="68"/>
  <c r="N35" i="68"/>
  <c r="M35" i="68"/>
  <c r="L35" i="68"/>
  <c r="K35" i="68"/>
  <c r="J35" i="68"/>
  <c r="I35" i="68"/>
  <c r="O34" i="68"/>
  <c r="O18" i="68"/>
  <c r="N18" i="68"/>
  <c r="M18" i="68"/>
  <c r="L18" i="68"/>
  <c r="K18" i="68"/>
  <c r="J18" i="68"/>
  <c r="I18" i="68"/>
  <c r="O17" i="68"/>
  <c r="AC48" i="62"/>
  <c r="O48" i="62"/>
  <c r="AB46" i="62"/>
  <c r="AA46" i="62"/>
  <c r="Z46" i="62"/>
  <c r="Y46" i="62"/>
  <c r="X46" i="62"/>
  <c r="W46" i="62"/>
  <c r="V46" i="62"/>
  <c r="U46" i="62"/>
  <c r="T46" i="62"/>
  <c r="S46" i="62"/>
  <c r="R46" i="62"/>
  <c r="Q46" i="62"/>
  <c r="P46" i="62"/>
  <c r="N46" i="62"/>
  <c r="M46" i="62"/>
  <c r="L46" i="62"/>
  <c r="K46" i="62"/>
  <c r="J46" i="62"/>
  <c r="I46" i="62"/>
  <c r="H46" i="62"/>
  <c r="G46" i="62"/>
  <c r="F46" i="62"/>
  <c r="E46" i="62"/>
  <c r="D46" i="62"/>
  <c r="C46" i="62"/>
  <c r="B46" i="62"/>
  <c r="AC44" i="62"/>
  <c r="AB44" i="62"/>
  <c r="AA44" i="62"/>
  <c r="Z44" i="62"/>
  <c r="Y44" i="62"/>
  <c r="X44" i="62"/>
  <c r="W44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B44" i="62"/>
  <c r="AC43" i="62"/>
  <c r="AB43" i="62"/>
  <c r="AA43" i="62"/>
  <c r="Z43" i="62"/>
  <c r="Y43" i="62"/>
  <c r="X43" i="62"/>
  <c r="W43" i="62"/>
  <c r="V43" i="62"/>
  <c r="U43" i="62"/>
  <c r="T43" i="62"/>
  <c r="S43" i="62"/>
  <c r="R43" i="62"/>
  <c r="Q43" i="62"/>
  <c r="P43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B43" i="62"/>
  <c r="AC42" i="62"/>
  <c r="AB42" i="62"/>
  <c r="AA42" i="62"/>
  <c r="Z42" i="62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B42" i="62"/>
  <c r="AC41" i="62"/>
  <c r="AB41" i="62"/>
  <c r="AA41" i="62"/>
  <c r="Z41" i="62"/>
  <c r="Y41" i="62"/>
  <c r="X41" i="62"/>
  <c r="W41" i="62"/>
  <c r="V41" i="62"/>
  <c r="U41" i="62"/>
  <c r="T41" i="62"/>
  <c r="S41" i="62"/>
  <c r="R41" i="62"/>
  <c r="Q41" i="62"/>
  <c r="P41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B41" i="62"/>
  <c r="AC40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B40" i="62"/>
  <c r="AC39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B39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B38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B37" i="62"/>
  <c r="AC36" i="62"/>
  <c r="AB36" i="62"/>
  <c r="AA36" i="62"/>
  <c r="Z36" i="62"/>
  <c r="Y36" i="62"/>
  <c r="X36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B36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B35" i="62"/>
  <c r="AC34" i="62"/>
  <c r="O34" i="62"/>
  <c r="AC33" i="62"/>
  <c r="O33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B32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E31" i="62"/>
  <c r="D31" i="62"/>
  <c r="C31" i="62"/>
  <c r="B31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B30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B29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E28" i="62"/>
  <c r="D28" i="62"/>
  <c r="C28" i="62"/>
  <c r="B28" i="62"/>
  <c r="AC27" i="62"/>
  <c r="O27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B26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B25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E24" i="62"/>
  <c r="D24" i="62"/>
  <c r="C24" i="62"/>
  <c r="B24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B23" i="62"/>
  <c r="AF433" i="100"/>
  <c r="AF432" i="100"/>
  <c r="AF431" i="100"/>
  <c r="AF430" i="100"/>
  <c r="AF429" i="100"/>
  <c r="AF428" i="100"/>
  <c r="AF427" i="100"/>
  <c r="AF426" i="100"/>
  <c r="AF425" i="100"/>
  <c r="AF418" i="100"/>
  <c r="AF417" i="100"/>
  <c r="AF414" i="100"/>
  <c r="AF409" i="100"/>
  <c r="AF402" i="100"/>
  <c r="AF398" i="100"/>
  <c r="AF383" i="100"/>
  <c r="AF382" i="100"/>
  <c r="AF311" i="88"/>
  <c r="O311" i="88"/>
  <c r="AF303" i="88"/>
  <c r="O303" i="88"/>
  <c r="AF298" i="88"/>
  <c r="O298" i="88"/>
  <c r="AF295" i="88"/>
  <c r="O295" i="88"/>
  <c r="AF289" i="88"/>
  <c r="AF288" i="88"/>
  <c r="AF287" i="88"/>
  <c r="C45" i="98" s="1"/>
  <c r="G45" i="98" s="1"/>
  <c r="I45" i="98" s="1"/>
  <c r="AF286" i="88"/>
  <c r="AF285" i="88"/>
  <c r="AF277" i="88"/>
  <c r="O277" i="88"/>
  <c r="AF273" i="88"/>
  <c r="O273" i="88"/>
  <c r="AF99" i="88"/>
  <c r="O99" i="88"/>
  <c r="F77" i="101"/>
  <c r="F75" i="101"/>
  <c r="F73" i="101"/>
  <c r="F69" i="101"/>
  <c r="F53" i="101"/>
  <c r="F52" i="101"/>
  <c r="F51" i="101"/>
  <c r="F47" i="101"/>
  <c r="F46" i="101"/>
  <c r="E17" i="101"/>
  <c r="E65" i="101" s="1"/>
  <c r="F65" i="101" s="1"/>
  <c r="F16" i="101"/>
  <c r="F15" i="101"/>
  <c r="F13" i="101"/>
  <c r="F17" i="101" s="1"/>
  <c r="AG280" i="87"/>
  <c r="P280" i="87"/>
  <c r="AG279" i="87"/>
  <c r="P279" i="87"/>
  <c r="AG278" i="87"/>
  <c r="P278" i="87"/>
  <c r="AG277" i="87"/>
  <c r="P277" i="87"/>
  <c r="AG276" i="87"/>
  <c r="P276" i="87"/>
  <c r="AG275" i="87"/>
  <c r="P275" i="87"/>
  <c r="AG274" i="87"/>
  <c r="P274" i="87"/>
  <c r="AG273" i="87"/>
  <c r="P273" i="87"/>
  <c r="AG272" i="87"/>
  <c r="P272" i="87"/>
  <c r="AG271" i="87"/>
  <c r="P271" i="87"/>
  <c r="AG270" i="87"/>
  <c r="P270" i="87"/>
  <c r="AG269" i="87"/>
  <c r="P269" i="87"/>
  <c r="AG268" i="87"/>
  <c r="P268" i="87"/>
  <c r="AG267" i="87"/>
  <c r="P267" i="87"/>
  <c r="AG266" i="87"/>
  <c r="P266" i="87"/>
  <c r="AG265" i="87"/>
  <c r="P265" i="87"/>
  <c r="AG264" i="87"/>
  <c r="P264" i="87"/>
  <c r="AG263" i="87"/>
  <c r="P263" i="87"/>
  <c r="AG262" i="87"/>
  <c r="P262" i="87"/>
  <c r="AG261" i="87"/>
  <c r="P261" i="87"/>
  <c r="AG260" i="87"/>
  <c r="P260" i="87"/>
  <c r="AG259" i="87"/>
  <c r="P259" i="87"/>
  <c r="AG258" i="87"/>
  <c r="P258" i="87"/>
  <c r="AG257" i="87"/>
  <c r="P257" i="87"/>
  <c r="AG256" i="87"/>
  <c r="P256" i="87"/>
  <c r="AG255" i="87"/>
  <c r="P255" i="87"/>
  <c r="AG254" i="87"/>
  <c r="P254" i="87"/>
  <c r="AG253" i="87"/>
  <c r="P253" i="87"/>
  <c r="AG252" i="87"/>
  <c r="P252" i="87"/>
  <c r="AG251" i="87"/>
  <c r="P251" i="87"/>
  <c r="AG250" i="87"/>
  <c r="P250" i="87"/>
  <c r="AG249" i="87"/>
  <c r="P249" i="87"/>
  <c r="AG248" i="87"/>
  <c r="P248" i="87"/>
  <c r="AG247" i="87"/>
  <c r="P247" i="87"/>
  <c r="AG246" i="87"/>
  <c r="P246" i="87"/>
  <c r="AG245" i="87"/>
  <c r="P245" i="87"/>
  <c r="AG244" i="87"/>
  <c r="P244" i="87"/>
  <c r="AG243" i="87"/>
  <c r="P243" i="87"/>
  <c r="AG242" i="87"/>
  <c r="P242" i="87"/>
  <c r="AG241" i="87"/>
  <c r="P241" i="87"/>
  <c r="AG240" i="87"/>
  <c r="P240" i="87"/>
  <c r="AG239" i="87"/>
  <c r="P239" i="87"/>
  <c r="AG238" i="87"/>
  <c r="P238" i="87"/>
  <c r="AG237" i="87"/>
  <c r="P237" i="87"/>
  <c r="AG236" i="87"/>
  <c r="P236" i="87"/>
  <c r="AG235" i="87"/>
  <c r="P235" i="87"/>
  <c r="AG234" i="87"/>
  <c r="P234" i="87"/>
  <c r="AG233" i="87"/>
  <c r="P233" i="87"/>
  <c r="AG232" i="87"/>
  <c r="P232" i="87"/>
  <c r="AG231" i="87"/>
  <c r="P231" i="87"/>
  <c r="AG230" i="87"/>
  <c r="P230" i="87"/>
  <c r="AG229" i="87"/>
  <c r="P229" i="87"/>
  <c r="AG228" i="87"/>
  <c r="P228" i="87"/>
  <c r="AG227" i="87"/>
  <c r="P227" i="87"/>
  <c r="AG226" i="87"/>
  <c r="P226" i="87"/>
  <c r="AG225" i="87"/>
  <c r="P225" i="87"/>
  <c r="AG224" i="87"/>
  <c r="P224" i="87"/>
  <c r="AG223" i="87"/>
  <c r="P223" i="87"/>
  <c r="AG222" i="87"/>
  <c r="P222" i="87"/>
  <c r="AG221" i="87"/>
  <c r="P221" i="87"/>
  <c r="AG220" i="87"/>
  <c r="P220" i="87"/>
  <c r="AG219" i="87"/>
  <c r="P219" i="87"/>
  <c r="AG218" i="87"/>
  <c r="P218" i="87"/>
  <c r="AG217" i="87"/>
  <c r="P217" i="87"/>
  <c r="AG216" i="87"/>
  <c r="P216" i="87"/>
  <c r="AG215" i="87"/>
  <c r="P215" i="87"/>
  <c r="AG214" i="87"/>
  <c r="P214" i="87"/>
  <c r="AG213" i="87"/>
  <c r="P213" i="87"/>
  <c r="AG212" i="87"/>
  <c r="P212" i="87"/>
  <c r="AG211" i="87"/>
  <c r="P211" i="87"/>
  <c r="AG210" i="87"/>
  <c r="P210" i="87"/>
  <c r="AG209" i="87"/>
  <c r="P209" i="87"/>
  <c r="AG208" i="87"/>
  <c r="P208" i="87"/>
  <c r="AG207" i="87"/>
  <c r="P207" i="87"/>
  <c r="AG206" i="87"/>
  <c r="P206" i="87"/>
  <c r="AG205" i="87"/>
  <c r="P205" i="87"/>
  <c r="AG204" i="87"/>
  <c r="P204" i="87"/>
  <c r="AG203" i="87"/>
  <c r="P203" i="87"/>
  <c r="AG202" i="87"/>
  <c r="P202" i="87"/>
  <c r="AG201" i="87"/>
  <c r="P201" i="87"/>
  <c r="AG200" i="87"/>
  <c r="P200" i="87"/>
  <c r="AG199" i="87"/>
  <c r="P199" i="87"/>
  <c r="AG198" i="87"/>
  <c r="P198" i="87"/>
  <c r="AG197" i="87"/>
  <c r="P197" i="87"/>
  <c r="AG196" i="87"/>
  <c r="P196" i="87"/>
  <c r="AG195" i="87"/>
  <c r="P195" i="87"/>
  <c r="AG194" i="87"/>
  <c r="P194" i="87"/>
  <c r="AG193" i="87"/>
  <c r="P193" i="87"/>
  <c r="AG192" i="87"/>
  <c r="P192" i="87"/>
  <c r="AG191" i="87"/>
  <c r="P191" i="87"/>
  <c r="AG190" i="87"/>
  <c r="P190" i="87"/>
  <c r="AG189" i="87"/>
  <c r="P189" i="87"/>
  <c r="AG188" i="87"/>
  <c r="P188" i="87"/>
  <c r="AG187" i="87"/>
  <c r="P187" i="87"/>
  <c r="AG186" i="87"/>
  <c r="P186" i="87"/>
  <c r="AG185" i="87"/>
  <c r="P185" i="87"/>
  <c r="AG184" i="87"/>
  <c r="P184" i="87"/>
  <c r="AG183" i="87"/>
  <c r="P183" i="87"/>
  <c r="AG182" i="87"/>
  <c r="P182" i="87"/>
  <c r="AG181" i="87"/>
  <c r="P181" i="87"/>
  <c r="AG180" i="87"/>
  <c r="P180" i="87"/>
  <c r="AG179" i="87"/>
  <c r="P179" i="87"/>
  <c r="AG178" i="87"/>
  <c r="P178" i="87"/>
  <c r="AG177" i="87"/>
  <c r="P177" i="87"/>
  <c r="AG176" i="87"/>
  <c r="P176" i="87"/>
  <c r="AG175" i="87"/>
  <c r="P175" i="87"/>
  <c r="AG174" i="87"/>
  <c r="P174" i="87"/>
  <c r="AG173" i="87"/>
  <c r="P173" i="87"/>
  <c r="AG172" i="87"/>
  <c r="P172" i="87"/>
  <c r="AG171" i="87"/>
  <c r="P171" i="87"/>
  <c r="AG170" i="87"/>
  <c r="P170" i="87"/>
  <c r="AG169" i="87"/>
  <c r="P169" i="87"/>
  <c r="AG168" i="87"/>
  <c r="P168" i="87"/>
  <c r="AG167" i="87"/>
  <c r="P167" i="87"/>
  <c r="AG166" i="87"/>
  <c r="P166" i="87"/>
  <c r="AG165" i="87"/>
  <c r="P165" i="87"/>
  <c r="AG164" i="87"/>
  <c r="P164" i="87"/>
  <c r="AG163" i="87"/>
  <c r="P163" i="87"/>
  <c r="AG162" i="87"/>
  <c r="P162" i="87"/>
  <c r="AG161" i="87"/>
  <c r="P161" i="87"/>
  <c r="AG160" i="87"/>
  <c r="P160" i="87"/>
  <c r="AG159" i="87"/>
  <c r="P159" i="87"/>
  <c r="AG158" i="87"/>
  <c r="P158" i="87"/>
  <c r="AG157" i="87"/>
  <c r="P157" i="87"/>
  <c r="AG156" i="87"/>
  <c r="P156" i="87"/>
  <c r="AG155" i="87"/>
  <c r="P155" i="87"/>
  <c r="AG154" i="87"/>
  <c r="P154" i="87"/>
  <c r="AG153" i="87"/>
  <c r="P153" i="87"/>
  <c r="AG152" i="87"/>
  <c r="P152" i="87"/>
  <c r="AG151" i="87"/>
  <c r="P151" i="87"/>
  <c r="AG150" i="87"/>
  <c r="P150" i="87"/>
  <c r="AG149" i="87"/>
  <c r="P149" i="87"/>
  <c r="AG148" i="87"/>
  <c r="P148" i="87"/>
  <c r="AG147" i="87"/>
  <c r="P147" i="87"/>
  <c r="AG146" i="87"/>
  <c r="P146" i="87"/>
  <c r="AG145" i="87"/>
  <c r="P145" i="87"/>
  <c r="AG144" i="87"/>
  <c r="P144" i="87"/>
  <c r="AG143" i="87"/>
  <c r="P143" i="87"/>
  <c r="AG142" i="87"/>
  <c r="P142" i="87"/>
  <c r="AG141" i="87"/>
  <c r="P141" i="87"/>
  <c r="AG140" i="87"/>
  <c r="P140" i="87"/>
  <c r="AG139" i="87"/>
  <c r="P139" i="87"/>
  <c r="AG138" i="87"/>
  <c r="P138" i="87"/>
  <c r="AG137" i="87"/>
  <c r="P137" i="87"/>
  <c r="AG136" i="87"/>
  <c r="P136" i="87"/>
  <c r="AG135" i="87"/>
  <c r="D52" i="31" s="1"/>
  <c r="P135" i="87"/>
  <c r="AG134" i="87"/>
  <c r="P134" i="87"/>
  <c r="AG133" i="87"/>
  <c r="P133" i="87"/>
  <c r="AG132" i="87"/>
  <c r="P132" i="87"/>
  <c r="AG131" i="87"/>
  <c r="P131" i="87"/>
  <c r="AG130" i="87"/>
  <c r="P130" i="87"/>
  <c r="AG129" i="87"/>
  <c r="P129" i="87"/>
  <c r="AG128" i="87"/>
  <c r="P128" i="87"/>
  <c r="AG127" i="87"/>
  <c r="P127" i="87"/>
  <c r="AG126" i="87"/>
  <c r="P126" i="87"/>
  <c r="AG125" i="87"/>
  <c r="P125" i="87"/>
  <c r="AG124" i="87"/>
  <c r="P124" i="87"/>
  <c r="AG123" i="87"/>
  <c r="P123" i="87"/>
  <c r="AG122" i="87"/>
  <c r="P122" i="87"/>
  <c r="AG121" i="87"/>
  <c r="D51" i="31" s="1"/>
  <c r="P121" i="87"/>
  <c r="AG120" i="87"/>
  <c r="P120" i="87"/>
  <c r="AG119" i="87"/>
  <c r="P119" i="87"/>
  <c r="AG118" i="87"/>
  <c r="P118" i="87"/>
  <c r="AG117" i="87"/>
  <c r="P117" i="87"/>
  <c r="AG116" i="87"/>
  <c r="P116" i="87"/>
  <c r="AG115" i="87"/>
  <c r="P115" i="87"/>
  <c r="AG114" i="87"/>
  <c r="P114" i="87"/>
  <c r="AG113" i="87"/>
  <c r="P113" i="87"/>
  <c r="AG112" i="87"/>
  <c r="P112" i="87"/>
  <c r="AG111" i="87"/>
  <c r="D54" i="31" s="1"/>
  <c r="P111" i="87"/>
  <c r="AG110" i="87"/>
  <c r="P110" i="87"/>
  <c r="AG109" i="87"/>
  <c r="P109" i="87"/>
  <c r="AG108" i="87"/>
  <c r="P108" i="87"/>
  <c r="AG107" i="87"/>
  <c r="P107" i="87"/>
  <c r="AG106" i="87"/>
  <c r="P106" i="87"/>
  <c r="AG105" i="87"/>
  <c r="P105" i="87"/>
  <c r="AG104" i="87"/>
  <c r="D53" i="31" s="1"/>
  <c r="P104" i="87"/>
  <c r="AG103" i="87"/>
  <c r="P103" i="87"/>
  <c r="AG102" i="87"/>
  <c r="P102" i="87"/>
  <c r="AG101" i="87"/>
  <c r="P101" i="87"/>
  <c r="AG100" i="87"/>
  <c r="P100" i="87"/>
  <c r="AG99" i="87"/>
  <c r="P99" i="87"/>
  <c r="AG98" i="87"/>
  <c r="P98" i="87"/>
  <c r="AG97" i="87"/>
  <c r="P97" i="87"/>
  <c r="AG96" i="87"/>
  <c r="D46" i="31" s="1"/>
  <c r="P96" i="87"/>
  <c r="AG95" i="87"/>
  <c r="P95" i="87"/>
  <c r="AG94" i="87"/>
  <c r="P94" i="87"/>
  <c r="AG93" i="87"/>
  <c r="P93" i="87"/>
  <c r="AG92" i="87"/>
  <c r="D43" i="31" s="1"/>
  <c r="P92" i="87"/>
  <c r="AG91" i="87"/>
  <c r="P91" i="87"/>
  <c r="AG90" i="87"/>
  <c r="P90" i="87"/>
  <c r="AG89" i="87"/>
  <c r="P89" i="87"/>
  <c r="AG88" i="87"/>
  <c r="P88" i="87"/>
  <c r="AG87" i="87"/>
  <c r="P87" i="87"/>
  <c r="AG86" i="87"/>
  <c r="P86" i="87"/>
  <c r="AG85" i="87"/>
  <c r="D42" i="31" s="1"/>
  <c r="P85" i="87"/>
  <c r="AG84" i="87"/>
  <c r="D41" i="31" s="1"/>
  <c r="P84" i="87"/>
  <c r="AG83" i="87"/>
  <c r="P83" i="87"/>
  <c r="AG82" i="87"/>
  <c r="P82" i="87"/>
  <c r="AG81" i="87"/>
  <c r="D39" i="31" s="1"/>
  <c r="P81" i="87"/>
  <c r="AG80" i="87"/>
  <c r="P80" i="87"/>
  <c r="AG79" i="87"/>
  <c r="P79" i="87"/>
  <c r="AG78" i="87"/>
  <c r="D38" i="31" s="1"/>
  <c r="P78" i="87"/>
  <c r="AG77" i="87"/>
  <c r="P77" i="87"/>
  <c r="AG76" i="87"/>
  <c r="P76" i="87"/>
  <c r="AG75" i="87"/>
  <c r="P75" i="87"/>
  <c r="AG74" i="87"/>
  <c r="P74" i="87"/>
  <c r="AG73" i="87"/>
  <c r="P73" i="87"/>
  <c r="AG72" i="87"/>
  <c r="D45" i="31" s="1"/>
  <c r="P72" i="87"/>
  <c r="AG71" i="87"/>
  <c r="P71" i="87"/>
  <c r="AG70" i="87"/>
  <c r="P70" i="87"/>
  <c r="AG69" i="87"/>
  <c r="P69" i="87"/>
  <c r="AG68" i="87"/>
  <c r="P68" i="87"/>
  <c r="AG67" i="87"/>
  <c r="P67" i="87"/>
  <c r="AG66" i="87"/>
  <c r="P66" i="87"/>
  <c r="AG65" i="87"/>
  <c r="P65" i="87"/>
  <c r="AG64" i="87"/>
  <c r="D36" i="31" s="1"/>
  <c r="P64" i="87"/>
  <c r="AG63" i="87"/>
  <c r="D35" i="31" s="1"/>
  <c r="P63" i="87"/>
  <c r="AG62" i="87"/>
  <c r="P62" i="87"/>
  <c r="AG61" i="87"/>
  <c r="P61" i="87"/>
  <c r="AG60" i="87"/>
  <c r="D34" i="31" s="1"/>
  <c r="P60" i="87"/>
  <c r="AG59" i="87"/>
  <c r="P59" i="87"/>
  <c r="AG58" i="87"/>
  <c r="P58" i="87"/>
  <c r="AG57" i="87"/>
  <c r="P57" i="87"/>
  <c r="AG56" i="87"/>
  <c r="P56" i="87"/>
  <c r="AG55" i="87"/>
  <c r="D33" i="31" s="1"/>
  <c r="P55" i="87"/>
  <c r="AG54" i="87"/>
  <c r="D31" i="31" s="1"/>
  <c r="P54" i="87"/>
  <c r="AG53" i="87"/>
  <c r="P53" i="87"/>
  <c r="AG52" i="87"/>
  <c r="P52" i="87"/>
  <c r="AG51" i="87"/>
  <c r="P51" i="87"/>
  <c r="AG50" i="87"/>
  <c r="P50" i="87"/>
  <c r="AG49" i="87"/>
  <c r="P49" i="87"/>
  <c r="AG48" i="87"/>
  <c r="D27" i="31" s="1"/>
  <c r="P48" i="87"/>
  <c r="AG47" i="87"/>
  <c r="P47" i="87"/>
  <c r="AG46" i="87"/>
  <c r="P46" i="87"/>
  <c r="AG45" i="87"/>
  <c r="P45" i="87"/>
  <c r="AG44" i="87"/>
  <c r="P44" i="87"/>
  <c r="AG43" i="87"/>
  <c r="D24" i="31" s="1"/>
  <c r="P43" i="87"/>
  <c r="AG42" i="87"/>
  <c r="P42" i="87"/>
  <c r="AG41" i="87"/>
  <c r="P41" i="87"/>
  <c r="AG40" i="87"/>
  <c r="P40" i="87"/>
  <c r="AG39" i="87"/>
  <c r="P39" i="87"/>
  <c r="AG38" i="87"/>
  <c r="D26" i="31" s="1"/>
  <c r="P38" i="87"/>
  <c r="AG37" i="87"/>
  <c r="P37" i="87"/>
  <c r="AG36" i="87"/>
  <c r="P36" i="87"/>
  <c r="AG35" i="87"/>
  <c r="P35" i="87"/>
  <c r="AG34" i="87"/>
  <c r="P34" i="87"/>
  <c r="AG33" i="87"/>
  <c r="P33" i="87"/>
  <c r="AG32" i="87"/>
  <c r="P32" i="87"/>
  <c r="AG31" i="87"/>
  <c r="D20" i="31" s="1"/>
  <c r="P31" i="87"/>
  <c r="AG30" i="87"/>
  <c r="P30" i="87"/>
  <c r="AG29" i="87"/>
  <c r="P29" i="87"/>
  <c r="AG28" i="87"/>
  <c r="P28" i="87"/>
  <c r="AG27" i="87"/>
  <c r="P27" i="87"/>
  <c r="AG26" i="87"/>
  <c r="P26" i="87"/>
  <c r="AG25" i="87"/>
  <c r="P25" i="87"/>
  <c r="AG24" i="87"/>
  <c r="P24" i="87"/>
  <c r="AG23" i="87"/>
  <c r="P23" i="87"/>
  <c r="AG22" i="87"/>
  <c r="P22" i="87"/>
  <c r="AG21" i="87"/>
  <c r="P21" i="87"/>
  <c r="AG20" i="87"/>
  <c r="P20" i="87"/>
  <c r="AG19" i="87"/>
  <c r="P19" i="87"/>
  <c r="AG18" i="87"/>
  <c r="P18" i="87"/>
  <c r="AG17" i="87"/>
  <c r="D18" i="31" s="1"/>
  <c r="D17" i="31" s="1"/>
  <c r="P17" i="87"/>
  <c r="AG16" i="87"/>
  <c r="P16" i="87"/>
  <c r="AG15" i="87"/>
  <c r="P15" i="87"/>
  <c r="AG14" i="87"/>
  <c r="P14" i="87"/>
  <c r="AG13" i="87"/>
  <c r="P13" i="87"/>
  <c r="AG12" i="87"/>
  <c r="P12" i="87"/>
  <c r="AG11" i="87"/>
  <c r="P11" i="87"/>
  <c r="AG10" i="87"/>
  <c r="P10" i="87"/>
  <c r="N25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B24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B22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N15" i="54"/>
  <c r="N14" i="54"/>
  <c r="N13" i="54"/>
  <c r="N12" i="54"/>
  <c r="N11" i="54"/>
  <c r="N10" i="54"/>
  <c r="N9" i="54"/>
  <c r="N8" i="54"/>
  <c r="N7" i="54"/>
  <c r="N6" i="54"/>
  <c r="N5" i="54"/>
  <c r="H74" i="53"/>
  <c r="H16" i="53" s="1"/>
  <c r="G74" i="53"/>
  <c r="G16" i="53" s="1"/>
  <c r="F74" i="53"/>
  <c r="F16" i="53" s="1"/>
  <c r="E74" i="53"/>
  <c r="E16" i="53" s="1"/>
  <c r="D74" i="53"/>
  <c r="D16" i="53" s="1"/>
  <c r="C74" i="53"/>
  <c r="C16" i="53" s="1"/>
  <c r="H73" i="53"/>
  <c r="H14" i="53" s="1"/>
  <c r="H23" i="53" s="1"/>
  <c r="G73" i="53"/>
  <c r="G14" i="53" s="1"/>
  <c r="G23" i="53" s="1"/>
  <c r="F73" i="53"/>
  <c r="F14" i="53" s="1"/>
  <c r="F23" i="53" s="1"/>
  <c r="E73" i="53"/>
  <c r="E14" i="53" s="1"/>
  <c r="E23" i="53" s="1"/>
  <c r="D73" i="53"/>
  <c r="D14" i="53" s="1"/>
  <c r="C73" i="53"/>
  <c r="C14" i="53" s="1"/>
  <c r="C23" i="53" s="1"/>
  <c r="H72" i="53"/>
  <c r="H13" i="53" s="1"/>
  <c r="G72" i="53"/>
  <c r="G13" i="53" s="1"/>
  <c r="F72" i="53"/>
  <c r="F13" i="53" s="1"/>
  <c r="E72" i="53"/>
  <c r="E13" i="53" s="1"/>
  <c r="D72" i="53"/>
  <c r="D13" i="53" s="1"/>
  <c r="C72" i="53"/>
  <c r="C13" i="53" s="1"/>
  <c r="H71" i="53"/>
  <c r="H12" i="53" s="1"/>
  <c r="H22" i="53" s="1"/>
  <c r="G71" i="53"/>
  <c r="G12" i="53" s="1"/>
  <c r="G22" i="53" s="1"/>
  <c r="F71" i="53"/>
  <c r="F12" i="53" s="1"/>
  <c r="F22" i="53" s="1"/>
  <c r="E71" i="53"/>
  <c r="E12" i="53" s="1"/>
  <c r="E22" i="53" s="1"/>
  <c r="D71" i="53"/>
  <c r="D12" i="53" s="1"/>
  <c r="D22" i="53" s="1"/>
  <c r="C71" i="53"/>
  <c r="C12" i="53" s="1"/>
  <c r="C22" i="53" s="1"/>
  <c r="H70" i="53"/>
  <c r="H11" i="53" s="1"/>
  <c r="H21" i="53" s="1"/>
  <c r="G70" i="53"/>
  <c r="G11" i="53" s="1"/>
  <c r="G21" i="53" s="1"/>
  <c r="F70" i="53"/>
  <c r="F11" i="53" s="1"/>
  <c r="F21" i="53" s="1"/>
  <c r="E70" i="53"/>
  <c r="E11" i="53" s="1"/>
  <c r="D70" i="53"/>
  <c r="D11" i="53" s="1"/>
  <c r="D21" i="53" s="1"/>
  <c r="C70" i="53"/>
  <c r="C11" i="53" s="1"/>
  <c r="C21" i="53" s="1"/>
  <c r="H69" i="53"/>
  <c r="H10" i="53" s="1"/>
  <c r="H20" i="53" s="1"/>
  <c r="G69" i="53"/>
  <c r="G10" i="53" s="1"/>
  <c r="G20" i="53" s="1"/>
  <c r="F69" i="53"/>
  <c r="F10" i="53" s="1"/>
  <c r="F20" i="53" s="1"/>
  <c r="E69" i="53"/>
  <c r="E10" i="53" s="1"/>
  <c r="E20" i="53" s="1"/>
  <c r="D69" i="53"/>
  <c r="D10" i="53" s="1"/>
  <c r="C69" i="53"/>
  <c r="C10" i="53" s="1"/>
  <c r="C20" i="53" s="1"/>
  <c r="H68" i="53"/>
  <c r="H9" i="53" s="1"/>
  <c r="G68" i="53"/>
  <c r="G9" i="53" s="1"/>
  <c r="F68" i="53"/>
  <c r="F9" i="53" s="1"/>
  <c r="E68" i="53"/>
  <c r="E9" i="53" s="1"/>
  <c r="D68" i="53"/>
  <c r="D9" i="53" s="1"/>
  <c r="C68" i="53"/>
  <c r="C9" i="53" s="1"/>
  <c r="H67" i="53"/>
  <c r="H8" i="53" s="1"/>
  <c r="G67" i="53"/>
  <c r="G8" i="53" s="1"/>
  <c r="F67" i="53"/>
  <c r="F8" i="53" s="1"/>
  <c r="E67" i="53"/>
  <c r="E8" i="53" s="1"/>
  <c r="D67" i="53"/>
  <c r="D8" i="53" s="1"/>
  <c r="C67" i="53"/>
  <c r="C8" i="53" s="1"/>
  <c r="H66" i="53"/>
  <c r="H7" i="53" s="1"/>
  <c r="G66" i="53"/>
  <c r="G7" i="53" s="1"/>
  <c r="F66" i="53"/>
  <c r="F7" i="53" s="1"/>
  <c r="E66" i="53"/>
  <c r="E7" i="53" s="1"/>
  <c r="D66" i="53"/>
  <c r="D7" i="53" s="1"/>
  <c r="C66" i="53"/>
  <c r="C7" i="53" s="1"/>
  <c r="H65" i="53"/>
  <c r="H6" i="53" s="1"/>
  <c r="G65" i="53"/>
  <c r="F65" i="53"/>
  <c r="E65" i="53"/>
  <c r="E6" i="53" s="1"/>
  <c r="D65" i="53"/>
  <c r="C65" i="53"/>
  <c r="H60" i="53"/>
  <c r="G60" i="53"/>
  <c r="F60" i="53"/>
  <c r="E60" i="53"/>
  <c r="D60" i="53"/>
  <c r="C60" i="53"/>
  <c r="A58" i="53"/>
  <c r="A57" i="53"/>
  <c r="A56" i="53"/>
  <c r="A55" i="53"/>
  <c r="A54" i="53"/>
  <c r="A53" i="53"/>
  <c r="A52" i="53"/>
  <c r="A51" i="53"/>
  <c r="A50" i="53"/>
  <c r="A49" i="53"/>
  <c r="A48" i="53"/>
  <c r="A46" i="53"/>
  <c r="A45" i="53"/>
  <c r="A44" i="53"/>
  <c r="A43" i="53"/>
  <c r="A42" i="53"/>
  <c r="A41" i="53"/>
  <c r="A40" i="53"/>
  <c r="A39" i="53"/>
  <c r="A38" i="53"/>
  <c r="A37" i="53"/>
  <c r="A36" i="53"/>
  <c r="A35" i="53"/>
  <c r="A34" i="53"/>
  <c r="A33" i="53"/>
  <c r="A31" i="53"/>
  <c r="N25" i="53"/>
  <c r="M25" i="53"/>
  <c r="L25" i="53"/>
  <c r="K25" i="53"/>
  <c r="J25" i="53"/>
  <c r="I25" i="53"/>
  <c r="N23" i="53"/>
  <c r="M23" i="53"/>
  <c r="L23" i="53"/>
  <c r="K23" i="53"/>
  <c r="J23" i="53"/>
  <c r="I23" i="53"/>
  <c r="N22" i="53"/>
  <c r="M22" i="53"/>
  <c r="L22" i="53"/>
  <c r="K22" i="53"/>
  <c r="J22" i="53"/>
  <c r="I22" i="53"/>
  <c r="N21" i="53"/>
  <c r="M21" i="53"/>
  <c r="L21" i="53"/>
  <c r="K21" i="53"/>
  <c r="J21" i="53"/>
  <c r="I21" i="53"/>
  <c r="N20" i="53"/>
  <c r="M20" i="53"/>
  <c r="L20" i="53"/>
  <c r="K20" i="53"/>
  <c r="J20" i="53"/>
  <c r="I20" i="53"/>
  <c r="N17" i="53"/>
  <c r="M17" i="53"/>
  <c r="L17" i="53"/>
  <c r="K17" i="53"/>
  <c r="J17" i="53"/>
  <c r="I17" i="53"/>
  <c r="O15" i="53"/>
  <c r="O5" i="53"/>
  <c r="H5" i="53"/>
  <c r="G5" i="53"/>
  <c r="F5" i="53"/>
  <c r="E5" i="53"/>
  <c r="D5" i="53"/>
  <c r="C5" i="53"/>
  <c r="AE13" i="91"/>
  <c r="B20" i="75"/>
  <c r="F19" i="75"/>
  <c r="E19" i="75"/>
  <c r="AN18" i="75"/>
  <c r="X18" i="75"/>
  <c r="G18" i="75"/>
  <c r="E18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G17" i="75"/>
  <c r="E17" i="75"/>
  <c r="B12" i="75"/>
  <c r="G9" i="75"/>
  <c r="F9" i="75"/>
  <c r="E9" i="75"/>
  <c r="G8" i="75"/>
  <c r="E8" i="75"/>
  <c r="AN7" i="75"/>
  <c r="AM7" i="75"/>
  <c r="AL7" i="75"/>
  <c r="AK7" i="75"/>
  <c r="AJ7" i="75"/>
  <c r="AI7" i="75"/>
  <c r="AH7" i="75"/>
  <c r="AG7" i="75"/>
  <c r="AF7" i="75"/>
  <c r="AE7" i="75"/>
  <c r="AD7" i="75"/>
  <c r="AC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K7" i="75"/>
  <c r="G7" i="75"/>
  <c r="E7" i="75"/>
  <c r="AN5" i="75"/>
  <c r="AM5" i="75"/>
  <c r="AL5" i="75"/>
  <c r="AK5" i="75"/>
  <c r="AJ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V5" i="75"/>
  <c r="U5" i="75"/>
  <c r="T5" i="75"/>
  <c r="S5" i="75"/>
  <c r="R5" i="75"/>
  <c r="Q5" i="75"/>
  <c r="P5" i="75"/>
  <c r="O5" i="75"/>
  <c r="N5" i="75"/>
  <c r="M5" i="75"/>
  <c r="C35" i="47"/>
  <c r="C34" i="47"/>
  <c r="C33" i="47"/>
  <c r="Q32" i="47"/>
  <c r="P32" i="47"/>
  <c r="C32" i="47"/>
  <c r="Q31" i="47"/>
  <c r="V97" i="48" s="1"/>
  <c r="C31" i="47"/>
  <c r="Q30" i="47"/>
  <c r="C30" i="47"/>
  <c r="Q29" i="47"/>
  <c r="C29" i="47"/>
  <c r="Q28" i="47"/>
  <c r="C28" i="47"/>
  <c r="Q27" i="47"/>
  <c r="C27" i="47"/>
  <c r="Q26" i="47"/>
  <c r="C26" i="47"/>
  <c r="Q25" i="47"/>
  <c r="C25" i="47"/>
  <c r="Q24" i="47"/>
  <c r="C24" i="47"/>
  <c r="Q22" i="47"/>
  <c r="C22" i="47"/>
  <c r="Q21" i="47"/>
  <c r="C21" i="47"/>
  <c r="Q20" i="47"/>
  <c r="C20" i="47"/>
  <c r="Q19" i="47"/>
  <c r="C19" i="47"/>
  <c r="C18" i="47"/>
  <c r="Q17" i="47"/>
  <c r="C17" i="47"/>
  <c r="A17" i="47"/>
  <c r="Q16" i="47"/>
  <c r="C16" i="47"/>
  <c r="A16" i="47"/>
  <c r="Q15" i="47"/>
  <c r="C31" i="43" s="1"/>
  <c r="C37" i="43" s="1"/>
  <c r="C15" i="47"/>
  <c r="A15" i="47"/>
  <c r="Q14" i="47"/>
  <c r="C14" i="47"/>
  <c r="A14" i="47"/>
  <c r="Q13" i="47"/>
  <c r="C13" i="47"/>
  <c r="A13" i="47"/>
  <c r="Q12" i="47"/>
  <c r="C12" i="47"/>
  <c r="A12" i="47"/>
  <c r="Q11" i="47"/>
  <c r="C42" i="20" s="1"/>
  <c r="F42" i="20" s="1"/>
  <c r="H42" i="20" s="1"/>
  <c r="J42" i="20" s="1"/>
  <c r="C11" i="47"/>
  <c r="A11" i="47"/>
  <c r="Q10" i="47"/>
  <c r="C10" i="47"/>
  <c r="A10" i="47"/>
  <c r="Q9" i="47"/>
  <c r="C50" i="20" s="1"/>
  <c r="F50" i="20" s="1"/>
  <c r="H50" i="20" s="1"/>
  <c r="J50" i="20" s="1"/>
  <c r="C9" i="47"/>
  <c r="A9" i="47"/>
  <c r="Q8" i="47"/>
  <c r="C8" i="47"/>
  <c r="A8" i="47"/>
  <c r="Q7" i="47"/>
  <c r="C7" i="47"/>
  <c r="A7" i="47"/>
  <c r="Q6" i="47"/>
  <c r="C6" i="47"/>
  <c r="A6" i="47"/>
  <c r="P34" i="34"/>
  <c r="T101" i="37" s="1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7" i="34"/>
  <c r="A17" i="34"/>
  <c r="C16" i="34"/>
  <c r="A16" i="34"/>
  <c r="C15" i="34"/>
  <c r="A15" i="34"/>
  <c r="C14" i="34"/>
  <c r="A14" i="34"/>
  <c r="C13" i="34"/>
  <c r="A13" i="34"/>
  <c r="C12" i="34"/>
  <c r="A12" i="34"/>
  <c r="C11" i="34"/>
  <c r="A11" i="34"/>
  <c r="C10" i="34"/>
  <c r="A10" i="34"/>
  <c r="C9" i="34"/>
  <c r="A9" i="34"/>
  <c r="C8" i="34"/>
  <c r="A8" i="34"/>
  <c r="C7" i="34"/>
  <c r="A7" i="34"/>
  <c r="C6" i="34"/>
  <c r="A6" i="34"/>
  <c r="T405" i="46"/>
  <c r="S405" i="46"/>
  <c r="E405" i="46"/>
  <c r="C405" i="46"/>
  <c r="A405" i="46"/>
  <c r="T404" i="46"/>
  <c r="S404" i="46"/>
  <c r="E404" i="46"/>
  <c r="C404" i="46"/>
  <c r="A404" i="46"/>
  <c r="T403" i="46"/>
  <c r="S403" i="46"/>
  <c r="E403" i="46"/>
  <c r="C403" i="46"/>
  <c r="A403" i="46"/>
  <c r="T402" i="46"/>
  <c r="S402" i="46"/>
  <c r="E402" i="46"/>
  <c r="C402" i="46"/>
  <c r="A402" i="46"/>
  <c r="T401" i="46"/>
  <c r="S401" i="46"/>
  <c r="E401" i="46"/>
  <c r="C401" i="46"/>
  <c r="A401" i="46"/>
  <c r="T400" i="46"/>
  <c r="S400" i="46"/>
  <c r="E400" i="46"/>
  <c r="C400" i="46"/>
  <c r="A400" i="46"/>
  <c r="T399" i="46"/>
  <c r="S399" i="46"/>
  <c r="E399" i="46"/>
  <c r="C399" i="46"/>
  <c r="A399" i="46"/>
  <c r="T398" i="46"/>
  <c r="S398" i="46"/>
  <c r="E398" i="46"/>
  <c r="C398" i="46"/>
  <c r="A398" i="46"/>
  <c r="T397" i="46"/>
  <c r="S397" i="46"/>
  <c r="E397" i="46"/>
  <c r="C397" i="46"/>
  <c r="A397" i="46"/>
  <c r="T396" i="46"/>
  <c r="S396" i="46"/>
  <c r="E396" i="46"/>
  <c r="C396" i="46"/>
  <c r="A396" i="46"/>
  <c r="T395" i="46"/>
  <c r="S395" i="46"/>
  <c r="E395" i="46"/>
  <c r="C395" i="46"/>
  <c r="J77" i="48" s="1"/>
  <c r="A395" i="46"/>
  <c r="E394" i="46"/>
  <c r="E393" i="46"/>
  <c r="T390" i="46"/>
  <c r="E390" i="46"/>
  <c r="C390" i="46"/>
  <c r="A390" i="46"/>
  <c r="T389" i="46"/>
  <c r="E389" i="46"/>
  <c r="C389" i="46"/>
  <c r="A389" i="46"/>
  <c r="T388" i="46"/>
  <c r="E388" i="46"/>
  <c r="C388" i="46"/>
  <c r="A388" i="46"/>
  <c r="T387" i="46"/>
  <c r="E387" i="46"/>
  <c r="C387" i="46"/>
  <c r="A387" i="46"/>
  <c r="T386" i="46"/>
  <c r="R129" i="48" s="1"/>
  <c r="E386" i="46"/>
  <c r="C386" i="46"/>
  <c r="A386" i="46"/>
  <c r="T385" i="46"/>
  <c r="R127" i="48" s="1"/>
  <c r="E385" i="46"/>
  <c r="C385" i="46"/>
  <c r="A385" i="46"/>
  <c r="T384" i="46"/>
  <c r="R126" i="48" s="1"/>
  <c r="E384" i="46"/>
  <c r="C384" i="46"/>
  <c r="A384" i="46"/>
  <c r="T383" i="46"/>
  <c r="E383" i="46"/>
  <c r="C383" i="46"/>
  <c r="A383" i="46"/>
  <c r="T382" i="46"/>
  <c r="R123" i="48" s="1"/>
  <c r="E382" i="46"/>
  <c r="C382" i="46"/>
  <c r="A382" i="46"/>
  <c r="T381" i="46"/>
  <c r="E381" i="46"/>
  <c r="C381" i="46"/>
  <c r="A381" i="46"/>
  <c r="T380" i="46"/>
  <c r="R112" i="48" s="1"/>
  <c r="E380" i="46"/>
  <c r="C380" i="46"/>
  <c r="A380" i="46"/>
  <c r="T379" i="46"/>
  <c r="E379" i="46"/>
  <c r="C379" i="46"/>
  <c r="A379" i="46"/>
  <c r="T378" i="46"/>
  <c r="E378" i="46"/>
  <c r="C378" i="46"/>
  <c r="A378" i="46"/>
  <c r="T377" i="46"/>
  <c r="E377" i="46"/>
  <c r="C377" i="46"/>
  <c r="A377" i="46"/>
  <c r="T376" i="46"/>
  <c r="E376" i="46"/>
  <c r="T375" i="46"/>
  <c r="E375" i="46"/>
  <c r="T374" i="46"/>
  <c r="E374" i="46"/>
  <c r="T373" i="46"/>
  <c r="E373" i="46"/>
  <c r="T372" i="46"/>
  <c r="E372" i="46"/>
  <c r="T371" i="46"/>
  <c r="E371" i="46"/>
  <c r="T370" i="46"/>
  <c r="E370" i="46"/>
  <c r="T369" i="46"/>
  <c r="E369" i="46"/>
  <c r="T368" i="46"/>
  <c r="E368" i="46"/>
  <c r="T367" i="46"/>
  <c r="E367" i="46"/>
  <c r="T366" i="46"/>
  <c r="E366" i="46"/>
  <c r="E365" i="46"/>
  <c r="T361" i="46"/>
  <c r="E361" i="46"/>
  <c r="C361" i="46"/>
  <c r="A361" i="46"/>
  <c r="T360" i="46"/>
  <c r="E360" i="46"/>
  <c r="C360" i="46"/>
  <c r="A360" i="46"/>
  <c r="T359" i="46"/>
  <c r="E359" i="46"/>
  <c r="C359" i="46"/>
  <c r="A359" i="46"/>
  <c r="T358" i="46"/>
  <c r="E358" i="46"/>
  <c r="C358" i="46"/>
  <c r="A358" i="46"/>
  <c r="T357" i="46"/>
  <c r="E357" i="46"/>
  <c r="C357" i="46"/>
  <c r="A357" i="46"/>
  <c r="T356" i="46"/>
  <c r="E356" i="46"/>
  <c r="C356" i="46"/>
  <c r="A356" i="46"/>
  <c r="T355" i="46"/>
  <c r="D46" i="18" s="1"/>
  <c r="F46" i="18" s="1"/>
  <c r="H89" i="19" s="1"/>
  <c r="E355" i="46"/>
  <c r="C355" i="46"/>
  <c r="A355" i="46"/>
  <c r="T354" i="46"/>
  <c r="C354" i="46"/>
  <c r="A354" i="46"/>
  <c r="T352" i="46"/>
  <c r="C352" i="46"/>
  <c r="A352" i="46"/>
  <c r="T351" i="46"/>
  <c r="C351" i="46"/>
  <c r="A351" i="46"/>
  <c r="T350" i="46"/>
  <c r="E350" i="46"/>
  <c r="C350" i="46"/>
  <c r="A350" i="46"/>
  <c r="T349" i="46"/>
  <c r="E349" i="46"/>
  <c r="C349" i="46"/>
  <c r="A349" i="46"/>
  <c r="T348" i="46"/>
  <c r="E348" i="46"/>
  <c r="C348" i="46"/>
  <c r="A348" i="46"/>
  <c r="T347" i="46"/>
  <c r="E347" i="46"/>
  <c r="C347" i="46"/>
  <c r="A347" i="46"/>
  <c r="T346" i="46"/>
  <c r="E346" i="46"/>
  <c r="C346" i="46"/>
  <c r="A346" i="46"/>
  <c r="T345" i="46"/>
  <c r="E345" i="46"/>
  <c r="C345" i="46"/>
  <c r="A345" i="46"/>
  <c r="T344" i="46"/>
  <c r="E344" i="46"/>
  <c r="C344" i="46"/>
  <c r="A344" i="46"/>
  <c r="T343" i="46"/>
  <c r="E343" i="46"/>
  <c r="C343" i="46"/>
  <c r="P172" i="45" s="1"/>
  <c r="P173" i="45" s="1"/>
  <c r="A343" i="46"/>
  <c r="T342" i="46"/>
  <c r="E342" i="46"/>
  <c r="C342" i="46"/>
  <c r="A342" i="46"/>
  <c r="T341" i="46"/>
  <c r="E341" i="46"/>
  <c r="C341" i="46"/>
  <c r="A341" i="46"/>
  <c r="T340" i="46"/>
  <c r="E340" i="46"/>
  <c r="C340" i="46"/>
  <c r="A340" i="46"/>
  <c r="T339" i="46"/>
  <c r="E339" i="46"/>
  <c r="C339" i="46"/>
  <c r="A339" i="46"/>
  <c r="T338" i="46"/>
  <c r="E338" i="46"/>
  <c r="C338" i="46"/>
  <c r="A338" i="46"/>
  <c r="T337" i="46"/>
  <c r="E337" i="46"/>
  <c r="C337" i="46"/>
  <c r="A337" i="46"/>
  <c r="T336" i="46"/>
  <c r="E336" i="46"/>
  <c r="C336" i="46"/>
  <c r="A336" i="46"/>
  <c r="T335" i="46"/>
  <c r="E335" i="46"/>
  <c r="C335" i="46"/>
  <c r="A335" i="46"/>
  <c r="T334" i="46"/>
  <c r="E334" i="46"/>
  <c r="C334" i="46"/>
  <c r="A334" i="46"/>
  <c r="T333" i="46"/>
  <c r="E333" i="46"/>
  <c r="C333" i="46"/>
  <c r="A333" i="46"/>
  <c r="T332" i="46"/>
  <c r="E332" i="46"/>
  <c r="C332" i="46"/>
  <c r="A332" i="46"/>
  <c r="T331" i="46"/>
  <c r="E331" i="46"/>
  <c r="C331" i="46"/>
  <c r="A331" i="46"/>
  <c r="T330" i="46"/>
  <c r="E330" i="46"/>
  <c r="C330" i="46"/>
  <c r="A330" i="46"/>
  <c r="T329" i="46"/>
  <c r="E329" i="46"/>
  <c r="C329" i="46"/>
  <c r="A329" i="46"/>
  <c r="T328" i="46"/>
  <c r="E328" i="46"/>
  <c r="C328" i="46"/>
  <c r="A328" i="46"/>
  <c r="T327" i="46"/>
  <c r="E327" i="46"/>
  <c r="C327" i="46"/>
  <c r="A327" i="46"/>
  <c r="T326" i="46"/>
  <c r="E326" i="46"/>
  <c r="C326" i="46"/>
  <c r="A326" i="46"/>
  <c r="T325" i="46"/>
  <c r="E325" i="46"/>
  <c r="C325" i="46"/>
  <c r="A325" i="46"/>
  <c r="T324" i="46"/>
  <c r="E324" i="46"/>
  <c r="C324" i="46"/>
  <c r="A324" i="46"/>
  <c r="T323" i="46"/>
  <c r="E323" i="46"/>
  <c r="C323" i="46"/>
  <c r="A323" i="46"/>
  <c r="T322" i="46"/>
  <c r="E322" i="46"/>
  <c r="C322" i="46"/>
  <c r="A322" i="46"/>
  <c r="T321" i="46"/>
  <c r="E321" i="46"/>
  <c r="C321" i="46"/>
  <c r="A321" i="46"/>
  <c r="T320" i="46"/>
  <c r="E320" i="46"/>
  <c r="C320" i="46"/>
  <c r="A320" i="46"/>
  <c r="T319" i="46"/>
  <c r="E319" i="46"/>
  <c r="C319" i="46"/>
  <c r="A319" i="46"/>
  <c r="T318" i="46"/>
  <c r="E318" i="46"/>
  <c r="C318" i="46"/>
  <c r="A318" i="46"/>
  <c r="T317" i="46"/>
  <c r="E317" i="46"/>
  <c r="C317" i="46"/>
  <c r="A317" i="46"/>
  <c r="T316" i="46"/>
  <c r="E316" i="46"/>
  <c r="C316" i="46"/>
  <c r="A316" i="46"/>
  <c r="T315" i="46"/>
  <c r="E315" i="46"/>
  <c r="C315" i="46"/>
  <c r="A315" i="46"/>
  <c r="T314" i="46"/>
  <c r="E314" i="46"/>
  <c r="C314" i="46"/>
  <c r="A314" i="46"/>
  <c r="T313" i="46"/>
  <c r="E313" i="46"/>
  <c r="C313" i="46"/>
  <c r="A313" i="46"/>
  <c r="T312" i="46"/>
  <c r="E312" i="46"/>
  <c r="C312" i="46"/>
  <c r="A312" i="46"/>
  <c r="T311" i="46"/>
  <c r="E311" i="46"/>
  <c r="C311" i="46"/>
  <c r="A311" i="46"/>
  <c r="T310" i="46"/>
  <c r="E310" i="46"/>
  <c r="C310" i="46"/>
  <c r="A310" i="46"/>
  <c r="T309" i="46"/>
  <c r="E309" i="46"/>
  <c r="C309" i="46"/>
  <c r="A309" i="46"/>
  <c r="T308" i="46"/>
  <c r="E308" i="46"/>
  <c r="C308" i="46"/>
  <c r="A308" i="46"/>
  <c r="T307" i="46"/>
  <c r="E307" i="46"/>
  <c r="C307" i="46"/>
  <c r="A307" i="46"/>
  <c r="T306" i="46"/>
  <c r="E306" i="46"/>
  <c r="C306" i="46"/>
  <c r="A306" i="46"/>
  <c r="T305" i="46"/>
  <c r="E305" i="46"/>
  <c r="C305" i="46"/>
  <c r="A305" i="46"/>
  <c r="T304" i="46"/>
  <c r="E304" i="46"/>
  <c r="C304" i="46"/>
  <c r="A304" i="46"/>
  <c r="T303" i="46"/>
  <c r="E303" i="46"/>
  <c r="C303" i="46"/>
  <c r="A303" i="46"/>
  <c r="T302" i="46"/>
  <c r="E302" i="46"/>
  <c r="C302" i="46"/>
  <c r="A302" i="46"/>
  <c r="T301" i="46"/>
  <c r="E301" i="46"/>
  <c r="C301" i="46"/>
  <c r="A301" i="46"/>
  <c r="T300" i="46"/>
  <c r="E300" i="46"/>
  <c r="C300" i="46"/>
  <c r="A300" i="46"/>
  <c r="T299" i="46"/>
  <c r="E299" i="46"/>
  <c r="C299" i="46"/>
  <c r="A299" i="46"/>
  <c r="T298" i="46"/>
  <c r="E298" i="46"/>
  <c r="C298" i="46"/>
  <c r="A298" i="46"/>
  <c r="T297" i="46"/>
  <c r="E297" i="46"/>
  <c r="C297" i="46"/>
  <c r="A297" i="46"/>
  <c r="T296" i="46"/>
  <c r="E296" i="46"/>
  <c r="C296" i="46"/>
  <c r="A296" i="46"/>
  <c r="T295" i="46"/>
  <c r="E295" i="46"/>
  <c r="C295" i="46"/>
  <c r="A295" i="46"/>
  <c r="T294" i="46"/>
  <c r="E294" i="46"/>
  <c r="C294" i="46"/>
  <c r="A294" i="46"/>
  <c r="T293" i="46"/>
  <c r="E293" i="46"/>
  <c r="C293" i="46"/>
  <c r="A293" i="46"/>
  <c r="T292" i="46"/>
  <c r="E292" i="46"/>
  <c r="C292" i="46"/>
  <c r="A292" i="46"/>
  <c r="T291" i="46"/>
  <c r="E291" i="46"/>
  <c r="C291" i="46"/>
  <c r="A291" i="46"/>
  <c r="T290" i="46"/>
  <c r="E290" i="46"/>
  <c r="C290" i="46"/>
  <c r="A290" i="46"/>
  <c r="T289" i="46"/>
  <c r="E289" i="46"/>
  <c r="C289" i="46"/>
  <c r="A289" i="46"/>
  <c r="T288" i="46"/>
  <c r="E288" i="46"/>
  <c r="C288" i="46"/>
  <c r="A288" i="46"/>
  <c r="T287" i="46"/>
  <c r="E287" i="46"/>
  <c r="C287" i="46"/>
  <c r="A287" i="46"/>
  <c r="T286" i="46"/>
  <c r="E286" i="46"/>
  <c r="C286" i="46"/>
  <c r="A286" i="46"/>
  <c r="T285" i="46"/>
  <c r="E285" i="46"/>
  <c r="C285" i="46"/>
  <c r="A285" i="46"/>
  <c r="T284" i="46"/>
  <c r="E284" i="46"/>
  <c r="C284" i="46"/>
  <c r="A284" i="46"/>
  <c r="T283" i="46"/>
  <c r="E283" i="46"/>
  <c r="C283" i="46"/>
  <c r="A283" i="46"/>
  <c r="T282" i="46"/>
  <c r="E282" i="46"/>
  <c r="C282" i="46"/>
  <c r="A282" i="46"/>
  <c r="T281" i="46"/>
  <c r="E281" i="46"/>
  <c r="C281" i="46"/>
  <c r="P93" i="45" s="1"/>
  <c r="A281" i="46"/>
  <c r="T280" i="46"/>
  <c r="E280" i="46"/>
  <c r="T279" i="46"/>
  <c r="E279" i="46"/>
  <c r="T278" i="46"/>
  <c r="E278" i="46"/>
  <c r="T277" i="46"/>
  <c r="E277" i="46"/>
  <c r="T276" i="46"/>
  <c r="E276" i="46"/>
  <c r="T275" i="46"/>
  <c r="S275" i="46"/>
  <c r="E275" i="46"/>
  <c r="C275" i="46"/>
  <c r="A275" i="46"/>
  <c r="T274" i="46"/>
  <c r="S274" i="46"/>
  <c r="E274" i="46"/>
  <c r="C274" i="46"/>
  <c r="A274" i="46"/>
  <c r="T273" i="46"/>
  <c r="S273" i="46"/>
  <c r="E273" i="46"/>
  <c r="C273" i="46"/>
  <c r="A273" i="46"/>
  <c r="T272" i="46"/>
  <c r="S272" i="46"/>
  <c r="E272" i="46"/>
  <c r="C272" i="46"/>
  <c r="A272" i="46"/>
  <c r="T271" i="46"/>
  <c r="S271" i="46"/>
  <c r="E271" i="46"/>
  <c r="C271" i="46"/>
  <c r="A271" i="46"/>
  <c r="T270" i="46"/>
  <c r="S270" i="46"/>
  <c r="E270" i="46"/>
  <c r="C270" i="46"/>
  <c r="H133" i="48" s="1"/>
  <c r="A270" i="46"/>
  <c r="T269" i="46"/>
  <c r="S269" i="46"/>
  <c r="E269" i="46"/>
  <c r="C269" i="46"/>
  <c r="A269" i="46"/>
  <c r="T268" i="46"/>
  <c r="S268" i="46"/>
  <c r="H137" i="48" s="1"/>
  <c r="E268" i="46"/>
  <c r="C268" i="46"/>
  <c r="A268" i="46"/>
  <c r="T267" i="46"/>
  <c r="S267" i="46"/>
  <c r="E267" i="46"/>
  <c r="T266" i="46"/>
  <c r="S266" i="46"/>
  <c r="E266" i="46"/>
  <c r="T265" i="46"/>
  <c r="E265" i="46"/>
  <c r="T262" i="46"/>
  <c r="S262" i="46"/>
  <c r="E262" i="46"/>
  <c r="C262" i="46"/>
  <c r="A262" i="46"/>
  <c r="T261" i="46"/>
  <c r="S261" i="46"/>
  <c r="C261" i="46"/>
  <c r="A261" i="46"/>
  <c r="T260" i="46"/>
  <c r="S260" i="46"/>
  <c r="C260" i="46"/>
  <c r="A260" i="46"/>
  <c r="T259" i="46"/>
  <c r="S259" i="46"/>
  <c r="C259" i="46"/>
  <c r="A259" i="46"/>
  <c r="T258" i="46"/>
  <c r="S258" i="46"/>
  <c r="E258" i="46"/>
  <c r="C258" i="46"/>
  <c r="A258" i="46"/>
  <c r="T257" i="46"/>
  <c r="S257" i="46"/>
  <c r="E257" i="46"/>
  <c r="C257" i="46"/>
  <c r="A257" i="46"/>
  <c r="T256" i="46"/>
  <c r="S256" i="46"/>
  <c r="E256" i="46"/>
  <c r="C256" i="46"/>
  <c r="A256" i="46"/>
  <c r="T255" i="46"/>
  <c r="S255" i="46"/>
  <c r="E255" i="46"/>
  <c r="C255" i="46"/>
  <c r="A255" i="46"/>
  <c r="T254" i="46"/>
  <c r="S254" i="46"/>
  <c r="E254" i="46"/>
  <c r="C254" i="46"/>
  <c r="A254" i="46"/>
  <c r="T253" i="46"/>
  <c r="S253" i="46"/>
  <c r="E253" i="46"/>
  <c r="C253" i="46"/>
  <c r="A253" i="46"/>
  <c r="T252" i="46"/>
  <c r="S252" i="46"/>
  <c r="E252" i="46"/>
  <c r="C252" i="46"/>
  <c r="A252" i="46"/>
  <c r="T251" i="46"/>
  <c r="S251" i="46"/>
  <c r="E251" i="46"/>
  <c r="C251" i="46"/>
  <c r="A251" i="46"/>
  <c r="T250" i="46"/>
  <c r="S250" i="46"/>
  <c r="H157" i="48" s="1"/>
  <c r="E250" i="46"/>
  <c r="C250" i="46"/>
  <c r="A250" i="46"/>
  <c r="T249" i="46"/>
  <c r="S249" i="46"/>
  <c r="E249" i="46"/>
  <c r="C249" i="46"/>
  <c r="A249" i="46"/>
  <c r="T248" i="46"/>
  <c r="S248" i="46"/>
  <c r="E248" i="46"/>
  <c r="C248" i="46"/>
  <c r="A248" i="46"/>
  <c r="T247" i="46"/>
  <c r="S247" i="46"/>
  <c r="E247" i="46"/>
  <c r="C247" i="46"/>
  <c r="A247" i="46"/>
  <c r="T246" i="46"/>
  <c r="S246" i="46"/>
  <c r="E246" i="46"/>
  <c r="C246" i="46"/>
  <c r="A246" i="46"/>
  <c r="T245" i="46"/>
  <c r="S245" i="46"/>
  <c r="E245" i="46"/>
  <c r="C245" i="46"/>
  <c r="A245" i="46"/>
  <c r="T244" i="46"/>
  <c r="S244" i="46"/>
  <c r="E244" i="46"/>
  <c r="C244" i="46"/>
  <c r="A244" i="46"/>
  <c r="T243" i="46"/>
  <c r="S243" i="46"/>
  <c r="E243" i="46"/>
  <c r="C243" i="46"/>
  <c r="A243" i="46"/>
  <c r="T242" i="46"/>
  <c r="S242" i="46"/>
  <c r="E242" i="46"/>
  <c r="C242" i="46"/>
  <c r="A242" i="46"/>
  <c r="T241" i="46"/>
  <c r="S241" i="46"/>
  <c r="E241" i="46"/>
  <c r="C241" i="46"/>
  <c r="A241" i="46"/>
  <c r="T240" i="46"/>
  <c r="S240" i="46"/>
  <c r="E240" i="46"/>
  <c r="C240" i="46"/>
  <c r="A240" i="46"/>
  <c r="T239" i="46"/>
  <c r="S239" i="46"/>
  <c r="E239" i="46"/>
  <c r="C239" i="46"/>
  <c r="A239" i="46"/>
  <c r="T238" i="46"/>
  <c r="S238" i="46"/>
  <c r="E238" i="46"/>
  <c r="C238" i="46"/>
  <c r="A238" i="46"/>
  <c r="T237" i="46"/>
  <c r="S237" i="46"/>
  <c r="E237" i="46"/>
  <c r="C237" i="46"/>
  <c r="A237" i="46"/>
  <c r="T236" i="46"/>
  <c r="S236" i="46"/>
  <c r="E236" i="46"/>
  <c r="C236" i="46"/>
  <c r="A236" i="46"/>
  <c r="T235" i="46"/>
  <c r="S235" i="46"/>
  <c r="E235" i="46"/>
  <c r="C235" i="46"/>
  <c r="A235" i="46"/>
  <c r="T234" i="46"/>
  <c r="S234" i="46"/>
  <c r="E234" i="46"/>
  <c r="C234" i="46"/>
  <c r="A234" i="46"/>
  <c r="T233" i="46"/>
  <c r="S233" i="46"/>
  <c r="E233" i="46"/>
  <c r="C233" i="46"/>
  <c r="A233" i="46"/>
  <c r="T232" i="46"/>
  <c r="S232" i="46"/>
  <c r="E232" i="46"/>
  <c r="C232" i="46"/>
  <c r="A232" i="46"/>
  <c r="T231" i="46"/>
  <c r="S231" i="46"/>
  <c r="E231" i="46"/>
  <c r="C231" i="46"/>
  <c r="A231" i="46"/>
  <c r="T230" i="46"/>
  <c r="S230" i="46"/>
  <c r="E230" i="46"/>
  <c r="C230" i="46"/>
  <c r="A230" i="46"/>
  <c r="T229" i="46"/>
  <c r="S229" i="46"/>
  <c r="E229" i="46"/>
  <c r="C229" i="46"/>
  <c r="A229" i="46"/>
  <c r="T228" i="46"/>
  <c r="S228" i="46"/>
  <c r="E228" i="46"/>
  <c r="C228" i="46"/>
  <c r="H95" i="48" s="1"/>
  <c r="A228" i="46"/>
  <c r="T227" i="46"/>
  <c r="S227" i="46"/>
  <c r="E227" i="46"/>
  <c r="T226" i="46"/>
  <c r="S226" i="46"/>
  <c r="E226" i="46"/>
  <c r="C226" i="46"/>
  <c r="B226" i="46"/>
  <c r="A226" i="46"/>
  <c r="T225" i="46"/>
  <c r="S225" i="46"/>
  <c r="E225" i="46"/>
  <c r="T224" i="46"/>
  <c r="S224" i="46"/>
  <c r="E224" i="46"/>
  <c r="T223" i="46"/>
  <c r="S223" i="46"/>
  <c r="E223" i="46"/>
  <c r="T222" i="46"/>
  <c r="S222" i="46"/>
  <c r="E222" i="46"/>
  <c r="T221" i="46"/>
  <c r="E221" i="46"/>
  <c r="T219" i="46"/>
  <c r="S219" i="46"/>
  <c r="F131" i="45" s="1"/>
  <c r="E126" i="5" s="1"/>
  <c r="E219" i="46"/>
  <c r="C219" i="46"/>
  <c r="A219" i="46"/>
  <c r="T218" i="46"/>
  <c r="S218" i="46"/>
  <c r="E218" i="46"/>
  <c r="C218" i="46"/>
  <c r="A218" i="46"/>
  <c r="T217" i="46"/>
  <c r="S217" i="46"/>
  <c r="F129" i="48" s="1"/>
  <c r="E217" i="46"/>
  <c r="C217" i="46"/>
  <c r="A217" i="46"/>
  <c r="T216" i="46"/>
  <c r="S216" i="46"/>
  <c r="E216" i="46"/>
  <c r="C216" i="46"/>
  <c r="A216" i="46"/>
  <c r="T215" i="46"/>
  <c r="S215" i="46"/>
  <c r="E215" i="46"/>
  <c r="C215" i="46"/>
  <c r="A215" i="46"/>
  <c r="T214" i="46"/>
  <c r="S214" i="46"/>
  <c r="E214" i="46"/>
  <c r="C214" i="46"/>
  <c r="A214" i="46"/>
  <c r="T213" i="46"/>
  <c r="S213" i="46"/>
  <c r="E213" i="46"/>
  <c r="C213" i="46"/>
  <c r="A213" i="46"/>
  <c r="T212" i="46"/>
  <c r="S212" i="46"/>
  <c r="E212" i="46"/>
  <c r="C212" i="46"/>
  <c r="A212" i="46"/>
  <c r="T211" i="46"/>
  <c r="S211" i="46"/>
  <c r="F137" i="48" s="1"/>
  <c r="E211" i="46"/>
  <c r="C211" i="46"/>
  <c r="F124" i="45" s="1"/>
  <c r="A211" i="46"/>
  <c r="T210" i="46"/>
  <c r="S210" i="46"/>
  <c r="E210" i="46"/>
  <c r="C210" i="46"/>
  <c r="F128" i="48" s="1"/>
  <c r="A210" i="46"/>
  <c r="T209" i="46"/>
  <c r="S209" i="46"/>
  <c r="E209" i="46"/>
  <c r="T208" i="46"/>
  <c r="E208" i="46"/>
  <c r="T203" i="46"/>
  <c r="S203" i="46"/>
  <c r="E203" i="46"/>
  <c r="C203" i="46"/>
  <c r="A203" i="46"/>
  <c r="T202" i="46"/>
  <c r="S202" i="46"/>
  <c r="E202" i="46"/>
  <c r="C202" i="46"/>
  <c r="A202" i="46"/>
  <c r="T201" i="46"/>
  <c r="S201" i="46"/>
  <c r="E201" i="46"/>
  <c r="C201" i="46"/>
  <c r="A201" i="46"/>
  <c r="T200" i="46"/>
  <c r="S200" i="46"/>
  <c r="E200" i="46"/>
  <c r="C200" i="46"/>
  <c r="A200" i="46"/>
  <c r="T199" i="46"/>
  <c r="S199" i="46"/>
  <c r="E199" i="46"/>
  <c r="C199" i="46"/>
  <c r="A199" i="46"/>
  <c r="T198" i="46"/>
  <c r="S198" i="46"/>
  <c r="E198" i="46"/>
  <c r="C198" i="46"/>
  <c r="A198" i="46"/>
  <c r="T196" i="46"/>
  <c r="S196" i="46"/>
  <c r="C196" i="46"/>
  <c r="A196" i="46"/>
  <c r="T195" i="46"/>
  <c r="S195" i="46"/>
  <c r="E195" i="46"/>
  <c r="C195" i="46"/>
  <c r="A195" i="46"/>
  <c r="T194" i="46"/>
  <c r="S194" i="46"/>
  <c r="E194" i="46"/>
  <c r="C194" i="46"/>
  <c r="A194" i="46"/>
  <c r="T193" i="46"/>
  <c r="S193" i="46"/>
  <c r="E193" i="46"/>
  <c r="C193" i="46"/>
  <c r="A193" i="46"/>
  <c r="T192" i="46"/>
  <c r="S192" i="46"/>
  <c r="E192" i="46"/>
  <c r="C192" i="46"/>
  <c r="A192" i="46"/>
  <c r="T191" i="46"/>
  <c r="S191" i="46"/>
  <c r="E191" i="46"/>
  <c r="C191" i="46"/>
  <c r="A191" i="46"/>
  <c r="T190" i="46"/>
  <c r="S190" i="46"/>
  <c r="E190" i="46"/>
  <c r="C190" i="46"/>
  <c r="A190" i="46"/>
  <c r="T189" i="46"/>
  <c r="S189" i="46"/>
  <c r="E189" i="46"/>
  <c r="C189" i="46"/>
  <c r="A189" i="46"/>
  <c r="T188" i="46"/>
  <c r="S188" i="46"/>
  <c r="E188" i="46"/>
  <c r="C188" i="46"/>
  <c r="A188" i="46"/>
  <c r="T187" i="46"/>
  <c r="S187" i="46"/>
  <c r="E187" i="46"/>
  <c r="C187" i="46"/>
  <c r="A187" i="46"/>
  <c r="T186" i="46"/>
  <c r="S186" i="46"/>
  <c r="E186" i="46"/>
  <c r="C186" i="46"/>
  <c r="A186" i="46"/>
  <c r="T184" i="46"/>
  <c r="S184" i="46"/>
  <c r="E184" i="46"/>
  <c r="C184" i="46"/>
  <c r="A184" i="46"/>
  <c r="T183" i="46"/>
  <c r="S183" i="46"/>
  <c r="E183" i="46"/>
  <c r="C183" i="46"/>
  <c r="A183" i="46"/>
  <c r="T182" i="46"/>
  <c r="S182" i="46"/>
  <c r="E182" i="46"/>
  <c r="C182" i="46"/>
  <c r="A182" i="46"/>
  <c r="T181" i="46"/>
  <c r="S181" i="46"/>
  <c r="E181" i="46"/>
  <c r="C181" i="46"/>
  <c r="A181" i="46"/>
  <c r="T180" i="46"/>
  <c r="S180" i="46"/>
  <c r="E180" i="46"/>
  <c r="C180" i="46"/>
  <c r="A180" i="46"/>
  <c r="T179" i="46"/>
  <c r="S179" i="46"/>
  <c r="E179" i="46"/>
  <c r="C179" i="46"/>
  <c r="A179" i="46"/>
  <c r="T178" i="46"/>
  <c r="S178" i="46"/>
  <c r="E178" i="46"/>
  <c r="C178" i="46"/>
  <c r="A178" i="46"/>
  <c r="T177" i="46"/>
  <c r="S177" i="46"/>
  <c r="E177" i="46"/>
  <c r="C177" i="46"/>
  <c r="A177" i="46"/>
  <c r="T176" i="46"/>
  <c r="S176" i="46"/>
  <c r="E176" i="46"/>
  <c r="C176" i="46"/>
  <c r="A176" i="46"/>
  <c r="T175" i="46"/>
  <c r="S175" i="46"/>
  <c r="E175" i="46"/>
  <c r="C175" i="46"/>
  <c r="A175" i="46"/>
  <c r="T174" i="46"/>
  <c r="S174" i="46"/>
  <c r="E174" i="46"/>
  <c r="C174" i="46"/>
  <c r="A174" i="46"/>
  <c r="T173" i="46"/>
  <c r="S173" i="46"/>
  <c r="E173" i="46"/>
  <c r="C173" i="46"/>
  <c r="A173" i="46"/>
  <c r="T172" i="46"/>
  <c r="S172" i="46"/>
  <c r="E172" i="46"/>
  <c r="C172" i="46"/>
  <c r="A172" i="46"/>
  <c r="T171" i="46"/>
  <c r="S171" i="46"/>
  <c r="E171" i="46"/>
  <c r="C171" i="46"/>
  <c r="A171" i="46"/>
  <c r="T170" i="46"/>
  <c r="S170" i="46"/>
  <c r="E170" i="46"/>
  <c r="C170" i="46"/>
  <c r="A170" i="46"/>
  <c r="T169" i="46"/>
  <c r="S169" i="46"/>
  <c r="E169" i="46"/>
  <c r="C169" i="46"/>
  <c r="A169" i="46"/>
  <c r="T168" i="46"/>
  <c r="S168" i="46"/>
  <c r="E168" i="46"/>
  <c r="C168" i="46"/>
  <c r="A168" i="46"/>
  <c r="T167" i="46"/>
  <c r="S167" i="46"/>
  <c r="E167" i="46"/>
  <c r="C167" i="46"/>
  <c r="A167" i="46"/>
  <c r="T166" i="46"/>
  <c r="S166" i="46"/>
  <c r="E166" i="46"/>
  <c r="C166" i="46"/>
  <c r="A166" i="46"/>
  <c r="T165" i="46"/>
  <c r="S165" i="46"/>
  <c r="E165" i="46"/>
  <c r="C165" i="46"/>
  <c r="A165" i="46"/>
  <c r="T164" i="46"/>
  <c r="S164" i="46"/>
  <c r="E164" i="46"/>
  <c r="C164" i="46"/>
  <c r="A164" i="46"/>
  <c r="T163" i="46"/>
  <c r="S163" i="46"/>
  <c r="E163" i="46"/>
  <c r="C163" i="46"/>
  <c r="A163" i="46"/>
  <c r="T162" i="46"/>
  <c r="S162" i="46"/>
  <c r="E162" i="46"/>
  <c r="C162" i="46"/>
  <c r="A162" i="46"/>
  <c r="T161" i="46"/>
  <c r="S161" i="46"/>
  <c r="E161" i="46"/>
  <c r="C161" i="46"/>
  <c r="A161" i="46"/>
  <c r="T160" i="46"/>
  <c r="S160" i="46"/>
  <c r="E160" i="46"/>
  <c r="C160" i="46"/>
  <c r="A160" i="46"/>
  <c r="T159" i="46"/>
  <c r="S159" i="46"/>
  <c r="E159" i="46"/>
  <c r="C159" i="46"/>
  <c r="A159" i="46"/>
  <c r="T158" i="46"/>
  <c r="S158" i="46"/>
  <c r="E158" i="46"/>
  <c r="C158" i="46"/>
  <c r="A158" i="46"/>
  <c r="T157" i="46"/>
  <c r="S157" i="46"/>
  <c r="E157" i="46"/>
  <c r="C157" i="46"/>
  <c r="A157" i="46"/>
  <c r="T156" i="46"/>
  <c r="S156" i="46"/>
  <c r="E156" i="46"/>
  <c r="C156" i="46"/>
  <c r="A156" i="46"/>
  <c r="T155" i="46"/>
  <c r="S155" i="46"/>
  <c r="E155" i="46"/>
  <c r="C155" i="46"/>
  <c r="A155" i="46"/>
  <c r="T154" i="46"/>
  <c r="S154" i="46"/>
  <c r="E154" i="46"/>
  <c r="C154" i="46"/>
  <c r="A154" i="46"/>
  <c r="T153" i="46"/>
  <c r="S153" i="46"/>
  <c r="E153" i="46"/>
  <c r="C153" i="46"/>
  <c r="A153" i="46"/>
  <c r="T152" i="46"/>
  <c r="S152" i="46"/>
  <c r="E152" i="46"/>
  <c r="C152" i="46"/>
  <c r="A152" i="46"/>
  <c r="T151" i="46"/>
  <c r="S151" i="46"/>
  <c r="E151" i="46"/>
  <c r="C151" i="46"/>
  <c r="A151" i="46"/>
  <c r="T150" i="46"/>
  <c r="S150" i="46"/>
  <c r="E150" i="46"/>
  <c r="C150" i="46"/>
  <c r="A150" i="46"/>
  <c r="T149" i="46"/>
  <c r="S149" i="46"/>
  <c r="E149" i="46"/>
  <c r="C149" i="46"/>
  <c r="A149" i="46"/>
  <c r="T148" i="46"/>
  <c r="S148" i="46"/>
  <c r="E148" i="46"/>
  <c r="C148" i="46"/>
  <c r="A148" i="46"/>
  <c r="T147" i="46"/>
  <c r="S147" i="46"/>
  <c r="E147" i="46"/>
  <c r="C147" i="46"/>
  <c r="A147" i="46"/>
  <c r="T146" i="46"/>
  <c r="S146" i="46"/>
  <c r="E146" i="46"/>
  <c r="C146" i="46"/>
  <c r="A146" i="46"/>
  <c r="T145" i="46"/>
  <c r="S145" i="46"/>
  <c r="E145" i="46"/>
  <c r="C145" i="46"/>
  <c r="A145" i="46"/>
  <c r="T144" i="46"/>
  <c r="S144" i="46"/>
  <c r="E144" i="46"/>
  <c r="C144" i="46"/>
  <c r="A144" i="46"/>
  <c r="T143" i="46"/>
  <c r="S143" i="46"/>
  <c r="E143" i="46"/>
  <c r="C143" i="46"/>
  <c r="A143" i="46"/>
  <c r="T142" i="46"/>
  <c r="S142" i="46"/>
  <c r="E142" i="46"/>
  <c r="C142" i="46"/>
  <c r="A142" i="46"/>
  <c r="T141" i="46"/>
  <c r="S141" i="46"/>
  <c r="E141" i="46"/>
  <c r="C141" i="46"/>
  <c r="A141" i="46"/>
  <c r="T140" i="46"/>
  <c r="S140" i="46"/>
  <c r="E140" i="46"/>
  <c r="C140" i="46"/>
  <c r="A140" i="46"/>
  <c r="T139" i="46"/>
  <c r="S139" i="46"/>
  <c r="E139" i="46"/>
  <c r="C139" i="46"/>
  <c r="F19" i="48" s="1"/>
  <c r="A139" i="46"/>
  <c r="T138" i="46"/>
  <c r="S138" i="46"/>
  <c r="E138" i="46"/>
  <c r="C138" i="46"/>
  <c r="A138" i="46"/>
  <c r="T137" i="46"/>
  <c r="E137" i="46"/>
  <c r="T136" i="46"/>
  <c r="E136" i="46"/>
  <c r="C136" i="46"/>
  <c r="B136" i="46"/>
  <c r="A136" i="46"/>
  <c r="T135" i="46"/>
  <c r="E135" i="46"/>
  <c r="T134" i="46"/>
  <c r="E134" i="46"/>
  <c r="T133" i="46"/>
  <c r="E133" i="46"/>
  <c r="T132" i="46"/>
  <c r="E132" i="46"/>
  <c r="T131" i="46"/>
  <c r="E131" i="46"/>
  <c r="T130" i="46"/>
  <c r="E130" i="46"/>
  <c r="T129" i="46"/>
  <c r="E129" i="46"/>
  <c r="T128" i="46"/>
  <c r="E128" i="46"/>
  <c r="T127" i="46"/>
  <c r="E127" i="46"/>
  <c r="T126" i="46"/>
  <c r="E126" i="46"/>
  <c r="T125" i="46"/>
  <c r="E125" i="46"/>
  <c r="T124" i="46"/>
  <c r="E124" i="46"/>
  <c r="T123" i="46"/>
  <c r="E123" i="46"/>
  <c r="T122" i="46"/>
  <c r="E122" i="46"/>
  <c r="T121" i="46"/>
  <c r="E121" i="46"/>
  <c r="T120" i="46"/>
  <c r="E120" i="46"/>
  <c r="T119" i="46"/>
  <c r="E119" i="46"/>
  <c r="T118" i="46"/>
  <c r="E118" i="46"/>
  <c r="T115" i="46"/>
  <c r="E115" i="46"/>
  <c r="C115" i="46"/>
  <c r="A115" i="46"/>
  <c r="T114" i="46"/>
  <c r="E114" i="46"/>
  <c r="C114" i="46"/>
  <c r="A114" i="46"/>
  <c r="T113" i="46"/>
  <c r="E113" i="46"/>
  <c r="C113" i="46"/>
  <c r="A113" i="46"/>
  <c r="T112" i="46"/>
  <c r="E112" i="46"/>
  <c r="C112" i="46"/>
  <c r="A112" i="46"/>
  <c r="T111" i="46"/>
  <c r="E111" i="46"/>
  <c r="C111" i="46"/>
  <c r="A111" i="46"/>
  <c r="T110" i="46"/>
  <c r="E110" i="46"/>
  <c r="C110" i="46"/>
  <c r="A110" i="46"/>
  <c r="T109" i="46"/>
  <c r="E109" i="46"/>
  <c r="C109" i="46"/>
  <c r="A109" i="46"/>
  <c r="T108" i="46"/>
  <c r="E108" i="46"/>
  <c r="C108" i="46"/>
  <c r="A108" i="46"/>
  <c r="T107" i="46"/>
  <c r="E107" i="46"/>
  <c r="C107" i="46"/>
  <c r="A107" i="46"/>
  <c r="T106" i="46"/>
  <c r="E106" i="46"/>
  <c r="C106" i="46"/>
  <c r="A106" i="46"/>
  <c r="T105" i="46"/>
  <c r="E105" i="46"/>
  <c r="C105" i="46"/>
  <c r="A105" i="46"/>
  <c r="T104" i="46"/>
  <c r="E104" i="46"/>
  <c r="C104" i="46"/>
  <c r="A104" i="46"/>
  <c r="T103" i="46"/>
  <c r="E103" i="46"/>
  <c r="C103" i="46"/>
  <c r="A103" i="46"/>
  <c r="T102" i="46"/>
  <c r="E102" i="46"/>
  <c r="C102" i="46"/>
  <c r="A102" i="46"/>
  <c r="T101" i="46"/>
  <c r="E101" i="46"/>
  <c r="C101" i="46"/>
  <c r="A101" i="46"/>
  <c r="T100" i="46"/>
  <c r="E100" i="46"/>
  <c r="C100" i="46"/>
  <c r="Y133" i="48" s="1"/>
  <c r="A100" i="46"/>
  <c r="T99" i="46"/>
  <c r="E99" i="46"/>
  <c r="T98" i="46"/>
  <c r="E98" i="46"/>
  <c r="T97" i="46"/>
  <c r="E97" i="46"/>
  <c r="T96" i="46"/>
  <c r="E96" i="46"/>
  <c r="T95" i="46"/>
  <c r="E95" i="46"/>
  <c r="E94" i="46"/>
  <c r="T92" i="46"/>
  <c r="E92" i="46"/>
  <c r="C92" i="46"/>
  <c r="A92" i="46"/>
  <c r="T91" i="46"/>
  <c r="E91" i="46"/>
  <c r="C91" i="46"/>
  <c r="A91" i="46"/>
  <c r="T90" i="46"/>
  <c r="E90" i="46"/>
  <c r="C90" i="46"/>
  <c r="A90" i="46"/>
  <c r="T89" i="46"/>
  <c r="E89" i="46"/>
  <c r="C89" i="46"/>
  <c r="A89" i="46"/>
  <c r="T88" i="46"/>
  <c r="E88" i="46"/>
  <c r="C88" i="46"/>
  <c r="A88" i="46"/>
  <c r="T87" i="46"/>
  <c r="E87" i="46"/>
  <c r="C87" i="46"/>
  <c r="A87" i="46"/>
  <c r="T86" i="46"/>
  <c r="E86" i="46"/>
  <c r="C86" i="46"/>
  <c r="A86" i="46"/>
  <c r="T85" i="46"/>
  <c r="E85" i="46"/>
  <c r="C85" i="46"/>
  <c r="A85" i="46"/>
  <c r="T83" i="46"/>
  <c r="C83" i="46"/>
  <c r="A83" i="46"/>
  <c r="T82" i="46"/>
  <c r="E82" i="46"/>
  <c r="C82" i="46"/>
  <c r="A82" i="46"/>
  <c r="T81" i="46"/>
  <c r="E81" i="46"/>
  <c r="C81" i="46"/>
  <c r="A81" i="46"/>
  <c r="T80" i="46"/>
  <c r="E80" i="46"/>
  <c r="C80" i="46"/>
  <c r="A80" i="46"/>
  <c r="T79" i="46"/>
  <c r="E79" i="46"/>
  <c r="C79" i="46"/>
  <c r="A79" i="46"/>
  <c r="T78" i="46"/>
  <c r="E78" i="46"/>
  <c r="C78" i="46"/>
  <c r="A78" i="46"/>
  <c r="T77" i="46"/>
  <c r="E77" i="46"/>
  <c r="C77" i="46"/>
  <c r="A77" i="46"/>
  <c r="T76" i="46"/>
  <c r="E76" i="46"/>
  <c r="C76" i="46"/>
  <c r="A76" i="46"/>
  <c r="T75" i="46"/>
  <c r="E75" i="46"/>
  <c r="C75" i="46"/>
  <c r="A75" i="46"/>
  <c r="T74" i="46"/>
  <c r="E74" i="46"/>
  <c r="C74" i="46"/>
  <c r="A74" i="46"/>
  <c r="T73" i="46"/>
  <c r="E73" i="46"/>
  <c r="C73" i="46"/>
  <c r="A73" i="46"/>
  <c r="T72" i="46"/>
  <c r="E72" i="46"/>
  <c r="C72" i="46"/>
  <c r="A72" i="46"/>
  <c r="T71" i="46"/>
  <c r="E71" i="46"/>
  <c r="C71" i="46"/>
  <c r="A71" i="46"/>
  <c r="T70" i="46"/>
  <c r="E70" i="46"/>
  <c r="C70" i="46"/>
  <c r="A70" i="46"/>
  <c r="T69" i="46"/>
  <c r="E69" i="46"/>
  <c r="C69" i="46"/>
  <c r="A69" i="46"/>
  <c r="T68" i="46"/>
  <c r="E68" i="46"/>
  <c r="C68" i="46"/>
  <c r="A68" i="46"/>
  <c r="T67" i="46"/>
  <c r="E67" i="46"/>
  <c r="C67" i="46"/>
  <c r="A67" i="46"/>
  <c r="T66" i="46"/>
  <c r="E66" i="46"/>
  <c r="C66" i="46"/>
  <c r="A66" i="46"/>
  <c r="T65" i="46"/>
  <c r="E65" i="46"/>
  <c r="C65" i="46"/>
  <c r="A65" i="46"/>
  <c r="T64" i="46"/>
  <c r="E64" i="46"/>
  <c r="C64" i="46"/>
  <c r="A64" i="46"/>
  <c r="T63" i="46"/>
  <c r="E63" i="46"/>
  <c r="C63" i="46"/>
  <c r="A63" i="46"/>
  <c r="T62" i="46"/>
  <c r="E62" i="46"/>
  <c r="C62" i="46"/>
  <c r="A62" i="46"/>
  <c r="T61" i="46"/>
  <c r="E61" i="46"/>
  <c r="C61" i="46"/>
  <c r="A61" i="46"/>
  <c r="T60" i="46"/>
  <c r="E60" i="46"/>
  <c r="C60" i="46"/>
  <c r="A60" i="46"/>
  <c r="T59" i="46"/>
  <c r="E59" i="46"/>
  <c r="C59" i="46"/>
  <c r="A59" i="46"/>
  <c r="T58" i="46"/>
  <c r="E58" i="46"/>
  <c r="C58" i="46"/>
  <c r="A58" i="46"/>
  <c r="T57" i="46"/>
  <c r="E57" i="46"/>
  <c r="C57" i="46"/>
  <c r="A57" i="46"/>
  <c r="T56" i="46"/>
  <c r="E56" i="46"/>
  <c r="C56" i="46"/>
  <c r="A56" i="46"/>
  <c r="T55" i="46"/>
  <c r="E55" i="46"/>
  <c r="C55" i="46"/>
  <c r="A55" i="46"/>
  <c r="T54" i="46"/>
  <c r="E54" i="46"/>
  <c r="C54" i="46"/>
  <c r="A54" i="46"/>
  <c r="T53" i="46"/>
  <c r="E53" i="46"/>
  <c r="C53" i="46"/>
  <c r="A53" i="46"/>
  <c r="T52" i="46"/>
  <c r="E52" i="46"/>
  <c r="C52" i="46"/>
  <c r="A52" i="46"/>
  <c r="T51" i="46"/>
  <c r="E51" i="46"/>
  <c r="C51" i="46"/>
  <c r="A51" i="46"/>
  <c r="T50" i="46"/>
  <c r="E50" i="46"/>
  <c r="C50" i="46"/>
  <c r="A50" i="46"/>
  <c r="T49" i="46"/>
  <c r="E49" i="46"/>
  <c r="C49" i="46"/>
  <c r="A49" i="46"/>
  <c r="T48" i="46"/>
  <c r="E48" i="46"/>
  <c r="C48" i="46"/>
  <c r="A48" i="46"/>
  <c r="T47" i="46"/>
  <c r="E47" i="46"/>
  <c r="C47" i="46"/>
  <c r="A47" i="46"/>
  <c r="T46" i="46"/>
  <c r="E46" i="46"/>
  <c r="C46" i="46"/>
  <c r="A46" i="46"/>
  <c r="T45" i="46"/>
  <c r="E45" i="46"/>
  <c r="C45" i="46"/>
  <c r="A45" i="46"/>
  <c r="T44" i="46"/>
  <c r="E44" i="46"/>
  <c r="C44" i="46"/>
  <c r="A44" i="46"/>
  <c r="T43" i="46"/>
  <c r="E43" i="46"/>
  <c r="C43" i="46"/>
  <c r="A43" i="46"/>
  <c r="T42" i="46"/>
  <c r="E42" i="46"/>
  <c r="C42" i="46"/>
  <c r="A42" i="46"/>
  <c r="T41" i="46"/>
  <c r="E41" i="46"/>
  <c r="C41" i="46"/>
  <c r="A41" i="46"/>
  <c r="T40" i="46"/>
  <c r="E40" i="46"/>
  <c r="C40" i="46"/>
  <c r="A40" i="46"/>
  <c r="T39" i="46"/>
  <c r="E39" i="46"/>
  <c r="C39" i="46"/>
  <c r="A39" i="46"/>
  <c r="T38" i="46"/>
  <c r="E38" i="46"/>
  <c r="C38" i="46"/>
  <c r="A38" i="46"/>
  <c r="T37" i="46"/>
  <c r="E37" i="46"/>
  <c r="C37" i="46"/>
  <c r="A37" i="46"/>
  <c r="T36" i="46"/>
  <c r="E36" i="46"/>
  <c r="C36" i="46"/>
  <c r="A36" i="46"/>
  <c r="T35" i="46"/>
  <c r="E35" i="46"/>
  <c r="C35" i="46"/>
  <c r="A35" i="46"/>
  <c r="T34" i="46"/>
  <c r="E34" i="46"/>
  <c r="C34" i="46"/>
  <c r="W165" i="45" s="1"/>
  <c r="A34" i="46"/>
  <c r="T33" i="46"/>
  <c r="E33" i="46"/>
  <c r="C33" i="46"/>
  <c r="A33" i="46"/>
  <c r="T32" i="46"/>
  <c r="E32" i="46"/>
  <c r="C32" i="46"/>
  <c r="A32" i="46"/>
  <c r="T31" i="46"/>
  <c r="E31" i="46"/>
  <c r="C31" i="46"/>
  <c r="A31" i="46"/>
  <c r="T30" i="46"/>
  <c r="E30" i="46"/>
  <c r="C30" i="46"/>
  <c r="A30" i="46"/>
  <c r="T29" i="46"/>
  <c r="E29" i="46"/>
  <c r="C29" i="46"/>
  <c r="A29" i="46"/>
  <c r="T28" i="46"/>
  <c r="E28" i="46"/>
  <c r="C28" i="46"/>
  <c r="A28" i="46"/>
  <c r="T27" i="46"/>
  <c r="E27" i="46"/>
  <c r="C27" i="46"/>
  <c r="A27" i="46"/>
  <c r="T26" i="46"/>
  <c r="E26" i="46"/>
  <c r="C26" i="46"/>
  <c r="A26" i="46"/>
  <c r="T25" i="46"/>
  <c r="E25" i="46"/>
  <c r="C25" i="46"/>
  <c r="A25" i="46"/>
  <c r="T24" i="46"/>
  <c r="E24" i="46"/>
  <c r="C24" i="46"/>
  <c r="A24" i="46"/>
  <c r="T23" i="46"/>
  <c r="E23" i="46"/>
  <c r="C23" i="46"/>
  <c r="A23" i="46"/>
  <c r="T22" i="46"/>
  <c r="E22" i="46"/>
  <c r="C22" i="46"/>
  <c r="A22" i="46"/>
  <c r="T21" i="46"/>
  <c r="E21" i="46"/>
  <c r="C21" i="46"/>
  <c r="A21" i="46"/>
  <c r="T20" i="46"/>
  <c r="E20" i="46"/>
  <c r="C20" i="46"/>
  <c r="A20" i="46"/>
  <c r="T19" i="46"/>
  <c r="E19" i="46"/>
  <c r="C19" i="46"/>
  <c r="A19" i="46"/>
  <c r="T18" i="46"/>
  <c r="E18" i="46"/>
  <c r="C18" i="46"/>
  <c r="A18" i="46"/>
  <c r="T17" i="46"/>
  <c r="E17" i="46"/>
  <c r="C17" i="46"/>
  <c r="A17" i="46"/>
  <c r="T16" i="46"/>
  <c r="E16" i="46"/>
  <c r="C16" i="46"/>
  <c r="A16" i="46"/>
  <c r="T15" i="46"/>
  <c r="E15" i="46"/>
  <c r="C15" i="46"/>
  <c r="A15" i="46"/>
  <c r="T14" i="46"/>
  <c r="E14" i="46"/>
  <c r="C14" i="46"/>
  <c r="A14" i="46"/>
  <c r="T13" i="46"/>
  <c r="E13" i="46"/>
  <c r="C13" i="46"/>
  <c r="A13" i="46"/>
  <c r="T12" i="46"/>
  <c r="E12" i="46"/>
  <c r="C12" i="46"/>
  <c r="A12" i="46"/>
  <c r="T11" i="46"/>
  <c r="E11" i="46"/>
  <c r="C11" i="46"/>
  <c r="A11" i="46"/>
  <c r="T10" i="46"/>
  <c r="E10" i="46"/>
  <c r="C10" i="46"/>
  <c r="A10" i="46"/>
  <c r="T9" i="46"/>
  <c r="E9" i="46"/>
  <c r="C9" i="46"/>
  <c r="A9" i="46"/>
  <c r="T8" i="46"/>
  <c r="E8" i="46"/>
  <c r="C8" i="46"/>
  <c r="A8" i="46"/>
  <c r="T7" i="46"/>
  <c r="E7" i="46"/>
  <c r="C7" i="46"/>
  <c r="A7" i="46"/>
  <c r="T6" i="46"/>
  <c r="E6" i="46"/>
  <c r="K38" i="11" s="1"/>
  <c r="M38" i="11" s="1"/>
  <c r="C6" i="46"/>
  <c r="A6" i="46"/>
  <c r="V175" i="48"/>
  <c r="V173" i="48"/>
  <c r="J172" i="48"/>
  <c r="J173" i="48" s="1"/>
  <c r="H172" i="48"/>
  <c r="H173" i="48" s="1"/>
  <c r="F172" i="48"/>
  <c r="F173" i="48" s="1"/>
  <c r="J167" i="48"/>
  <c r="H167" i="48"/>
  <c r="F167" i="48"/>
  <c r="B167" i="48"/>
  <c r="J166" i="48"/>
  <c r="H166" i="48"/>
  <c r="F166" i="48"/>
  <c r="B166" i="48"/>
  <c r="J165" i="48"/>
  <c r="H165" i="48"/>
  <c r="F165" i="48"/>
  <c r="B165" i="48"/>
  <c r="J164" i="48"/>
  <c r="H164" i="48"/>
  <c r="F164" i="48"/>
  <c r="J163" i="48"/>
  <c r="H163" i="48"/>
  <c r="F163" i="48"/>
  <c r="B163" i="48"/>
  <c r="J162" i="48"/>
  <c r="H162" i="48"/>
  <c r="F162" i="48"/>
  <c r="B162" i="48"/>
  <c r="J158" i="48"/>
  <c r="H158" i="48"/>
  <c r="F158" i="48"/>
  <c r="B158" i="48"/>
  <c r="R157" i="48"/>
  <c r="X157" i="48" s="1"/>
  <c r="J157" i="48"/>
  <c r="F157" i="48"/>
  <c r="B157" i="48"/>
  <c r="V140" i="48"/>
  <c r="V143" i="48" s="1"/>
  <c r="J139" i="48"/>
  <c r="R138" i="48"/>
  <c r="J138" i="48"/>
  <c r="F138" i="48"/>
  <c r="J137" i="48"/>
  <c r="B137" i="48"/>
  <c r="R136" i="48"/>
  <c r="J136" i="48"/>
  <c r="H136" i="48"/>
  <c r="B136" i="48"/>
  <c r="R135" i="48"/>
  <c r="J135" i="48"/>
  <c r="B135" i="48"/>
  <c r="R134" i="48"/>
  <c r="J134" i="48"/>
  <c r="H134" i="48"/>
  <c r="B134" i="48"/>
  <c r="R133" i="48"/>
  <c r="J133" i="48"/>
  <c r="B133" i="48"/>
  <c r="R132" i="48"/>
  <c r="J132" i="48"/>
  <c r="J131" i="48"/>
  <c r="B131" i="48"/>
  <c r="J130" i="48"/>
  <c r="D130" i="48"/>
  <c r="J129" i="48"/>
  <c r="B129" i="48"/>
  <c r="R128" i="48"/>
  <c r="J128" i="48"/>
  <c r="B128" i="48"/>
  <c r="Y127" i="48"/>
  <c r="J127" i="48"/>
  <c r="B127" i="48"/>
  <c r="J126" i="48"/>
  <c r="D126" i="48"/>
  <c r="B126" i="48"/>
  <c r="J125" i="48"/>
  <c r="R124" i="48"/>
  <c r="J124" i="48"/>
  <c r="J123" i="48"/>
  <c r="F123" i="48"/>
  <c r="B123" i="48"/>
  <c r="J122" i="48"/>
  <c r="P121" i="48"/>
  <c r="J121" i="48"/>
  <c r="R120" i="48"/>
  <c r="J120" i="48"/>
  <c r="Y119" i="48"/>
  <c r="J119" i="48"/>
  <c r="R118" i="48"/>
  <c r="J118" i="48"/>
  <c r="J117" i="48"/>
  <c r="B117" i="48"/>
  <c r="R116" i="48"/>
  <c r="J116" i="48"/>
  <c r="Y115" i="48"/>
  <c r="R115" i="48"/>
  <c r="J115" i="48"/>
  <c r="F115" i="48"/>
  <c r="J114" i="48"/>
  <c r="J113" i="48"/>
  <c r="D113" i="48"/>
  <c r="J112" i="48"/>
  <c r="B112" i="48"/>
  <c r="R111" i="48"/>
  <c r="J111" i="48"/>
  <c r="D111" i="48"/>
  <c r="J110" i="48"/>
  <c r="B110" i="48"/>
  <c r="V101" i="48"/>
  <c r="B98" i="48"/>
  <c r="B96" i="48"/>
  <c r="B94" i="48"/>
  <c r="B93" i="48"/>
  <c r="B92" i="48"/>
  <c r="B91" i="48"/>
  <c r="Y90" i="48"/>
  <c r="B90" i="48"/>
  <c r="J89" i="48"/>
  <c r="B88" i="48"/>
  <c r="B87" i="48"/>
  <c r="H86" i="48"/>
  <c r="B85" i="48"/>
  <c r="B83" i="48"/>
  <c r="V82" i="48"/>
  <c r="B82" i="48"/>
  <c r="B81" i="48"/>
  <c r="B80" i="48"/>
  <c r="B78" i="48"/>
  <c r="B77" i="48"/>
  <c r="B75" i="48"/>
  <c r="H74" i="48"/>
  <c r="B73" i="48"/>
  <c r="B70" i="48"/>
  <c r="B68" i="48"/>
  <c r="V67" i="48"/>
  <c r="B65" i="48"/>
  <c r="B64" i="48"/>
  <c r="B63" i="48"/>
  <c r="B62" i="48"/>
  <c r="B61" i="48"/>
  <c r="B60" i="48"/>
  <c r="H59" i="48"/>
  <c r="B59" i="48"/>
  <c r="B58" i="48"/>
  <c r="B56" i="48"/>
  <c r="V55" i="48"/>
  <c r="B55" i="48"/>
  <c r="B54" i="48"/>
  <c r="B53" i="48"/>
  <c r="B51" i="48"/>
  <c r="V50" i="48"/>
  <c r="B50" i="48"/>
  <c r="B49" i="48"/>
  <c r="B48" i="48"/>
  <c r="B47" i="48"/>
  <c r="H46" i="48"/>
  <c r="B46" i="48"/>
  <c r="B45" i="48"/>
  <c r="B44" i="48"/>
  <c r="H43" i="48"/>
  <c r="B43" i="48"/>
  <c r="B42" i="48"/>
  <c r="B40" i="48"/>
  <c r="V39" i="48"/>
  <c r="B39" i="48"/>
  <c r="B38" i="48"/>
  <c r="B36" i="48"/>
  <c r="B35" i="48"/>
  <c r="B34" i="48"/>
  <c r="B32" i="48"/>
  <c r="B30" i="48"/>
  <c r="V29" i="48"/>
  <c r="B27" i="48"/>
  <c r="B24" i="48"/>
  <c r="B22" i="48"/>
  <c r="B21" i="48"/>
  <c r="B19" i="48"/>
  <c r="B18" i="48"/>
  <c r="B17" i="48"/>
  <c r="B16" i="48"/>
  <c r="B15" i="48"/>
  <c r="B14" i="48"/>
  <c r="B13" i="48"/>
  <c r="B12" i="48"/>
  <c r="Y11" i="48"/>
  <c r="R11" i="48"/>
  <c r="X11" i="48" s="1"/>
  <c r="P11" i="48"/>
  <c r="J11" i="48"/>
  <c r="H11" i="48"/>
  <c r="F11" i="48"/>
  <c r="D11" i="48"/>
  <c r="T175" i="45"/>
  <c r="T173" i="45"/>
  <c r="J172" i="45"/>
  <c r="J173" i="45" s="1"/>
  <c r="H172" i="45"/>
  <c r="H173" i="45" s="1"/>
  <c r="F172" i="45"/>
  <c r="J167" i="45"/>
  <c r="H167" i="45"/>
  <c r="F167" i="45"/>
  <c r="B167" i="45"/>
  <c r="J166" i="45"/>
  <c r="H166" i="45"/>
  <c r="F166" i="45"/>
  <c r="B166" i="45"/>
  <c r="J165" i="45"/>
  <c r="H165" i="45"/>
  <c r="F165" i="45"/>
  <c r="B165" i="45"/>
  <c r="J164" i="45"/>
  <c r="H164" i="45"/>
  <c r="F164" i="45"/>
  <c r="J163" i="45"/>
  <c r="H163" i="45"/>
  <c r="F163" i="45"/>
  <c r="B163" i="45"/>
  <c r="J162" i="45"/>
  <c r="H162" i="45"/>
  <c r="F162" i="45"/>
  <c r="B162" i="45"/>
  <c r="J158" i="45"/>
  <c r="H158" i="45"/>
  <c r="F158" i="45"/>
  <c r="B158" i="45"/>
  <c r="J157" i="45"/>
  <c r="F157" i="45"/>
  <c r="B157" i="45"/>
  <c r="T140" i="45"/>
  <c r="T143" i="45" s="1"/>
  <c r="P139" i="45"/>
  <c r="J139" i="45"/>
  <c r="P138" i="45"/>
  <c r="J138" i="45"/>
  <c r="D138" i="45"/>
  <c r="P137" i="45"/>
  <c r="J137" i="45"/>
  <c r="B137" i="45"/>
  <c r="P136" i="45"/>
  <c r="J136" i="45"/>
  <c r="G116" i="5" s="1"/>
  <c r="B136" i="45"/>
  <c r="P135" i="45"/>
  <c r="J135" i="45"/>
  <c r="G115" i="5" s="1"/>
  <c r="D135" i="45"/>
  <c r="B135" i="45"/>
  <c r="J134" i="45"/>
  <c r="G128" i="5" s="1"/>
  <c r="B134" i="45"/>
  <c r="P133" i="45"/>
  <c r="J133" i="45"/>
  <c r="G127" i="5" s="1"/>
  <c r="B133" i="45"/>
  <c r="P132" i="45"/>
  <c r="J132" i="45"/>
  <c r="F132" i="45"/>
  <c r="J131" i="45"/>
  <c r="G126" i="5" s="1"/>
  <c r="B131" i="45"/>
  <c r="P130" i="45"/>
  <c r="J130" i="45"/>
  <c r="P129" i="45"/>
  <c r="J129" i="45"/>
  <c r="G125" i="5" s="1"/>
  <c r="B129" i="45"/>
  <c r="J128" i="45"/>
  <c r="G124" i="5" s="1"/>
  <c r="B128" i="45"/>
  <c r="P127" i="45"/>
  <c r="J127" i="45"/>
  <c r="G123" i="5" s="1"/>
  <c r="B127" i="45"/>
  <c r="P126" i="45"/>
  <c r="J126" i="45"/>
  <c r="G122" i="5" s="1"/>
  <c r="B126" i="45"/>
  <c r="P125" i="45"/>
  <c r="J125" i="45"/>
  <c r="P124" i="45"/>
  <c r="J124" i="45"/>
  <c r="P123" i="45"/>
  <c r="J123" i="45"/>
  <c r="G121" i="5" s="1"/>
  <c r="B123" i="45"/>
  <c r="J122" i="45"/>
  <c r="P121" i="45"/>
  <c r="J121" i="45"/>
  <c r="W120" i="45"/>
  <c r="J120" i="45"/>
  <c r="P119" i="45"/>
  <c r="J119" i="45"/>
  <c r="J118" i="45"/>
  <c r="P117" i="45"/>
  <c r="J117" i="45"/>
  <c r="G120" i="5" s="1"/>
  <c r="F117" i="45"/>
  <c r="E120" i="5" s="1"/>
  <c r="B117" i="45"/>
  <c r="P116" i="45"/>
  <c r="J116" i="45"/>
  <c r="W115" i="45"/>
  <c r="P115" i="45"/>
  <c r="J115" i="45"/>
  <c r="P114" i="45"/>
  <c r="J114" i="45"/>
  <c r="P113" i="45"/>
  <c r="J113" i="45"/>
  <c r="P112" i="45"/>
  <c r="J112" i="45"/>
  <c r="G119" i="5" s="1"/>
  <c r="B112" i="45"/>
  <c r="J111" i="45"/>
  <c r="P110" i="45"/>
  <c r="J110" i="45"/>
  <c r="G118" i="5" s="1"/>
  <c r="D110" i="45"/>
  <c r="B110" i="45"/>
  <c r="T101" i="45"/>
  <c r="B98" i="45"/>
  <c r="T97" i="45"/>
  <c r="B96" i="45"/>
  <c r="B94" i="45"/>
  <c r="B93" i="45"/>
  <c r="B92" i="45"/>
  <c r="H91" i="45"/>
  <c r="F67" i="5" s="1"/>
  <c r="B91" i="45"/>
  <c r="B90" i="45"/>
  <c r="W88" i="45"/>
  <c r="B88" i="45"/>
  <c r="B87" i="45"/>
  <c r="B85" i="45"/>
  <c r="B83" i="45"/>
  <c r="T82" i="45"/>
  <c r="B82" i="45"/>
  <c r="H81" i="45"/>
  <c r="F26" i="5" s="1"/>
  <c r="B81" i="45"/>
  <c r="B80" i="45"/>
  <c r="P78" i="45"/>
  <c r="B78" i="45"/>
  <c r="B77" i="45"/>
  <c r="B75" i="45"/>
  <c r="P73" i="45"/>
  <c r="B73" i="45"/>
  <c r="B70" i="45"/>
  <c r="B68" i="45"/>
  <c r="T67" i="45"/>
  <c r="B65" i="45"/>
  <c r="W64" i="45"/>
  <c r="B64" i="45"/>
  <c r="B63" i="45"/>
  <c r="B62" i="45"/>
  <c r="B61" i="45"/>
  <c r="B60" i="45"/>
  <c r="H59" i="45"/>
  <c r="F42" i="5" s="1"/>
  <c r="B59" i="45"/>
  <c r="B58" i="45"/>
  <c r="B56" i="45"/>
  <c r="T55" i="45"/>
  <c r="B55" i="45"/>
  <c r="B54" i="45"/>
  <c r="J53" i="45"/>
  <c r="G13" i="5" s="1"/>
  <c r="B53" i="45"/>
  <c r="B51" i="45"/>
  <c r="T50" i="45"/>
  <c r="B50" i="45"/>
  <c r="B49" i="45"/>
  <c r="B48" i="45"/>
  <c r="B47" i="45"/>
  <c r="B46" i="45"/>
  <c r="B45" i="45"/>
  <c r="H44" i="45"/>
  <c r="F32" i="5" s="1"/>
  <c r="B44" i="45"/>
  <c r="B43" i="45"/>
  <c r="B42" i="45"/>
  <c r="B40" i="45"/>
  <c r="T39" i="45"/>
  <c r="B39" i="45"/>
  <c r="H38" i="45"/>
  <c r="F99" i="5" s="1"/>
  <c r="B38" i="45"/>
  <c r="B36" i="45"/>
  <c r="B35" i="45"/>
  <c r="B34" i="45"/>
  <c r="H32" i="45"/>
  <c r="F94" i="5" s="1"/>
  <c r="B32" i="45"/>
  <c r="B30" i="45"/>
  <c r="T29" i="45"/>
  <c r="P28" i="45"/>
  <c r="B27" i="45"/>
  <c r="D24" i="45"/>
  <c r="D86" i="5" s="1"/>
  <c r="B24" i="45"/>
  <c r="B22" i="45"/>
  <c r="H21" i="45"/>
  <c r="F83" i="5" s="1"/>
  <c r="B21" i="45"/>
  <c r="B19" i="45"/>
  <c r="B18" i="45"/>
  <c r="B17" i="45"/>
  <c r="B16" i="45"/>
  <c r="B15" i="45"/>
  <c r="B14" i="45"/>
  <c r="H13" i="45"/>
  <c r="F76" i="5" s="1"/>
  <c r="B13" i="45"/>
  <c r="B12" i="45"/>
  <c r="W11" i="45"/>
  <c r="P11" i="45"/>
  <c r="J11" i="45"/>
  <c r="H11" i="45"/>
  <c r="F11" i="45"/>
  <c r="D11" i="45"/>
  <c r="S411" i="38"/>
  <c r="S399" i="38"/>
  <c r="E399" i="38"/>
  <c r="C399" i="38"/>
  <c r="A399" i="38"/>
  <c r="S398" i="38"/>
  <c r="J88" i="37" s="1"/>
  <c r="E398" i="38"/>
  <c r="C398" i="38"/>
  <c r="A398" i="38"/>
  <c r="S397" i="38"/>
  <c r="E397" i="38"/>
  <c r="C397" i="38"/>
  <c r="A397" i="38"/>
  <c r="S396" i="38"/>
  <c r="E396" i="38"/>
  <c r="C396" i="38"/>
  <c r="A396" i="38"/>
  <c r="S395" i="38"/>
  <c r="E395" i="38"/>
  <c r="C395" i="38"/>
  <c r="A395" i="38"/>
  <c r="S394" i="38"/>
  <c r="J81" i="37" s="1"/>
  <c r="E394" i="38"/>
  <c r="C394" i="38"/>
  <c r="A394" i="38"/>
  <c r="S393" i="38"/>
  <c r="E393" i="38"/>
  <c r="C393" i="38"/>
  <c r="A393" i="38"/>
  <c r="S392" i="38"/>
  <c r="E392" i="38"/>
  <c r="C392" i="38"/>
  <c r="A392" i="38"/>
  <c r="S391" i="38"/>
  <c r="E391" i="38"/>
  <c r="C391" i="38"/>
  <c r="A391" i="38"/>
  <c r="S390" i="38"/>
  <c r="J75" i="37" s="1"/>
  <c r="E390" i="38"/>
  <c r="C390" i="38"/>
  <c r="A390" i="38"/>
  <c r="S389" i="38"/>
  <c r="E389" i="38"/>
  <c r="C389" i="38"/>
  <c r="J94" i="37" s="1"/>
  <c r="A389" i="38"/>
  <c r="E388" i="38"/>
  <c r="E387" i="38"/>
  <c r="C384" i="38"/>
  <c r="A384" i="38"/>
  <c r="C383" i="38"/>
  <c r="A383" i="38"/>
  <c r="C382" i="38"/>
  <c r="A382" i="38"/>
  <c r="C381" i="38"/>
  <c r="A381" i="38"/>
  <c r="C380" i="38"/>
  <c r="A380" i="38"/>
  <c r="C379" i="38"/>
  <c r="A379" i="38"/>
  <c r="C378" i="38"/>
  <c r="A378" i="38"/>
  <c r="C377" i="38"/>
  <c r="A377" i="38"/>
  <c r="C376" i="38"/>
  <c r="A376" i="38"/>
  <c r="C375" i="38"/>
  <c r="A375" i="38"/>
  <c r="C374" i="38"/>
  <c r="A374" i="38"/>
  <c r="C373" i="38"/>
  <c r="A373" i="38"/>
  <c r="C372" i="38"/>
  <c r="A372" i="38"/>
  <c r="C371" i="38"/>
  <c r="A371" i="38"/>
  <c r="E370" i="38"/>
  <c r="E369" i="38"/>
  <c r="E368" i="38"/>
  <c r="E367" i="38"/>
  <c r="E366" i="38"/>
  <c r="E362" i="38"/>
  <c r="C362" i="38"/>
  <c r="A362" i="38"/>
  <c r="E361" i="38"/>
  <c r="C361" i="38"/>
  <c r="A361" i="38"/>
  <c r="E360" i="38"/>
  <c r="C360" i="38"/>
  <c r="A360" i="38"/>
  <c r="E359" i="38"/>
  <c r="C359" i="38"/>
  <c r="A359" i="38"/>
  <c r="E358" i="38"/>
  <c r="C358" i="38"/>
  <c r="A358" i="38"/>
  <c r="E357" i="38"/>
  <c r="C357" i="38"/>
  <c r="A357" i="38"/>
  <c r="E356" i="38"/>
  <c r="C356" i="38"/>
  <c r="A356" i="38"/>
  <c r="E355" i="38"/>
  <c r="C355" i="38"/>
  <c r="A355" i="38"/>
  <c r="E353" i="38"/>
  <c r="C353" i="38"/>
  <c r="A353" i="38"/>
  <c r="E352" i="38"/>
  <c r="C352" i="38"/>
  <c r="A352" i="38"/>
  <c r="E351" i="38"/>
  <c r="C351" i="38"/>
  <c r="A351" i="38"/>
  <c r="E350" i="38"/>
  <c r="C350" i="38"/>
  <c r="A350" i="38"/>
  <c r="E349" i="38"/>
  <c r="C349" i="38"/>
  <c r="A349" i="38"/>
  <c r="E348" i="38"/>
  <c r="C348" i="38"/>
  <c r="A348" i="38"/>
  <c r="E347" i="38"/>
  <c r="C347" i="38"/>
  <c r="A347" i="38"/>
  <c r="E346" i="38"/>
  <c r="C346" i="38"/>
  <c r="A346" i="38"/>
  <c r="E345" i="38"/>
  <c r="C345" i="38"/>
  <c r="A345" i="38"/>
  <c r="E344" i="38"/>
  <c r="C344" i="38"/>
  <c r="A344" i="38"/>
  <c r="E343" i="38"/>
  <c r="C343" i="38"/>
  <c r="A343" i="38"/>
  <c r="E342" i="38"/>
  <c r="C342" i="38"/>
  <c r="A342" i="38"/>
  <c r="E341" i="38"/>
  <c r="C341" i="38"/>
  <c r="A341" i="38"/>
  <c r="E340" i="38"/>
  <c r="C340" i="38"/>
  <c r="A340" i="38"/>
  <c r="E339" i="38"/>
  <c r="C339" i="38"/>
  <c r="A339" i="38"/>
  <c r="E338" i="38"/>
  <c r="C338" i="38"/>
  <c r="A338" i="38"/>
  <c r="E337" i="38"/>
  <c r="C337" i="38"/>
  <c r="A337" i="38"/>
  <c r="E336" i="38"/>
  <c r="C336" i="38"/>
  <c r="A336" i="38"/>
  <c r="E335" i="38"/>
  <c r="C335" i="38"/>
  <c r="A335" i="38"/>
  <c r="E334" i="38"/>
  <c r="C334" i="38"/>
  <c r="A334" i="38"/>
  <c r="E333" i="38"/>
  <c r="C333" i="38"/>
  <c r="A333" i="38"/>
  <c r="E332" i="38"/>
  <c r="C332" i="38"/>
  <c r="A332" i="38"/>
  <c r="E331" i="38"/>
  <c r="C331" i="38"/>
  <c r="A331" i="38"/>
  <c r="E330" i="38"/>
  <c r="C330" i="38"/>
  <c r="A330" i="38"/>
  <c r="E329" i="38"/>
  <c r="C329" i="38"/>
  <c r="A329" i="38"/>
  <c r="E328" i="38"/>
  <c r="C328" i="38"/>
  <c r="A328" i="38"/>
  <c r="E327" i="38"/>
  <c r="C327" i="38"/>
  <c r="A327" i="38"/>
  <c r="E326" i="38"/>
  <c r="C326" i="38"/>
  <c r="A326" i="38"/>
  <c r="E325" i="38"/>
  <c r="C325" i="38"/>
  <c r="A325" i="38"/>
  <c r="E324" i="38"/>
  <c r="C324" i="38"/>
  <c r="A324" i="38"/>
  <c r="E323" i="38"/>
  <c r="C323" i="38"/>
  <c r="A323" i="38"/>
  <c r="E322" i="38"/>
  <c r="C322" i="38"/>
  <c r="A322" i="38"/>
  <c r="E321" i="38"/>
  <c r="C321" i="38"/>
  <c r="A321" i="38"/>
  <c r="E320" i="38"/>
  <c r="C320" i="38"/>
  <c r="A320" i="38"/>
  <c r="E319" i="38"/>
  <c r="C319" i="38"/>
  <c r="A319" i="38"/>
  <c r="E318" i="38"/>
  <c r="C318" i="38"/>
  <c r="A318" i="38"/>
  <c r="E317" i="38"/>
  <c r="C317" i="38"/>
  <c r="A317" i="38"/>
  <c r="E316" i="38"/>
  <c r="C316" i="38"/>
  <c r="A316" i="38"/>
  <c r="E315" i="38"/>
  <c r="C315" i="38"/>
  <c r="A315" i="38"/>
  <c r="E314" i="38"/>
  <c r="C314" i="38"/>
  <c r="A314" i="38"/>
  <c r="E313" i="38"/>
  <c r="C313" i="38"/>
  <c r="A313" i="38"/>
  <c r="E312" i="38"/>
  <c r="C312" i="38"/>
  <c r="A312" i="38"/>
  <c r="E311" i="38"/>
  <c r="C311" i="38"/>
  <c r="A311" i="38"/>
  <c r="E310" i="38"/>
  <c r="C310" i="38"/>
  <c r="A310" i="38"/>
  <c r="E309" i="38"/>
  <c r="C309" i="38"/>
  <c r="A309" i="38"/>
  <c r="E308" i="38"/>
  <c r="C308" i="38"/>
  <c r="A308" i="38"/>
  <c r="E307" i="38"/>
  <c r="C307" i="38"/>
  <c r="A307" i="38"/>
  <c r="E306" i="38"/>
  <c r="C306" i="38"/>
  <c r="A306" i="38"/>
  <c r="E305" i="38"/>
  <c r="C305" i="38"/>
  <c r="A305" i="38"/>
  <c r="E304" i="38"/>
  <c r="C304" i="38"/>
  <c r="A304" i="38"/>
  <c r="E303" i="38"/>
  <c r="C303" i="38"/>
  <c r="A303" i="38"/>
  <c r="E302" i="38"/>
  <c r="C302" i="38"/>
  <c r="A302" i="38"/>
  <c r="E301" i="38"/>
  <c r="C301" i="38"/>
  <c r="A301" i="38"/>
  <c r="E300" i="38"/>
  <c r="C300" i="38"/>
  <c r="A300" i="38"/>
  <c r="E299" i="38"/>
  <c r="C299" i="38"/>
  <c r="A299" i="38"/>
  <c r="E298" i="38"/>
  <c r="C298" i="38"/>
  <c r="A298" i="38"/>
  <c r="E297" i="38"/>
  <c r="C297" i="38"/>
  <c r="A297" i="38"/>
  <c r="E296" i="38"/>
  <c r="C296" i="38"/>
  <c r="A296" i="38"/>
  <c r="E295" i="38"/>
  <c r="C295" i="38"/>
  <c r="A295" i="38"/>
  <c r="E294" i="38"/>
  <c r="C294" i="38"/>
  <c r="A294" i="38"/>
  <c r="E293" i="38"/>
  <c r="C293" i="38"/>
  <c r="A293" i="38"/>
  <c r="E292" i="38"/>
  <c r="C292" i="38"/>
  <c r="A292" i="38"/>
  <c r="E291" i="38"/>
  <c r="C291" i="38"/>
  <c r="A291" i="38"/>
  <c r="E290" i="38"/>
  <c r="C290" i="38"/>
  <c r="A290" i="38"/>
  <c r="E289" i="38"/>
  <c r="C289" i="38"/>
  <c r="A289" i="38"/>
  <c r="E288" i="38"/>
  <c r="C288" i="38"/>
  <c r="A288" i="38"/>
  <c r="E287" i="38"/>
  <c r="C287" i="38"/>
  <c r="A287" i="38"/>
  <c r="E286" i="38"/>
  <c r="C286" i="38"/>
  <c r="A286" i="38"/>
  <c r="E285" i="38"/>
  <c r="C285" i="38"/>
  <c r="A285" i="38"/>
  <c r="E284" i="38"/>
  <c r="C284" i="38"/>
  <c r="A284" i="38"/>
  <c r="E283" i="38"/>
  <c r="D22" i="18" s="1"/>
  <c r="F22" i="18" s="1"/>
  <c r="C283" i="38"/>
  <c r="A283" i="38"/>
  <c r="E282" i="38"/>
  <c r="C282" i="38"/>
  <c r="A282" i="38"/>
  <c r="E281" i="38"/>
  <c r="E280" i="38"/>
  <c r="E279" i="38"/>
  <c r="E278" i="38"/>
  <c r="E277" i="38"/>
  <c r="S276" i="38"/>
  <c r="E276" i="38"/>
  <c r="C276" i="38"/>
  <c r="A276" i="38"/>
  <c r="S275" i="38"/>
  <c r="E275" i="38"/>
  <c r="C275" i="38"/>
  <c r="A275" i="38"/>
  <c r="S274" i="38"/>
  <c r="E274" i="38"/>
  <c r="C274" i="38"/>
  <c r="A274" i="38"/>
  <c r="S273" i="38"/>
  <c r="E273" i="38"/>
  <c r="C273" i="38"/>
  <c r="A273" i="38"/>
  <c r="S272" i="38"/>
  <c r="E272" i="38"/>
  <c r="C272" i="38"/>
  <c r="A272" i="38"/>
  <c r="S271" i="38"/>
  <c r="E271" i="38"/>
  <c r="C271" i="38"/>
  <c r="A271" i="38"/>
  <c r="S270" i="38"/>
  <c r="E270" i="38"/>
  <c r="C270" i="38"/>
  <c r="A270" i="38"/>
  <c r="S269" i="38"/>
  <c r="E269" i="38"/>
  <c r="C269" i="38"/>
  <c r="A269" i="38"/>
  <c r="S268" i="38"/>
  <c r="E268" i="38"/>
  <c r="S267" i="38"/>
  <c r="E267" i="38"/>
  <c r="E266" i="38"/>
  <c r="S263" i="38"/>
  <c r="E263" i="38"/>
  <c r="C263" i="38"/>
  <c r="A263" i="38"/>
  <c r="S262" i="38"/>
  <c r="E262" i="38"/>
  <c r="C262" i="38"/>
  <c r="A262" i="38"/>
  <c r="S261" i="38"/>
  <c r="E261" i="38"/>
  <c r="C261" i="38"/>
  <c r="A261" i="38"/>
  <c r="S260" i="38"/>
  <c r="E260" i="38"/>
  <c r="C260" i="38"/>
  <c r="A260" i="38"/>
  <c r="S259" i="38"/>
  <c r="E259" i="38"/>
  <c r="C259" i="38"/>
  <c r="A259" i="38"/>
  <c r="S258" i="38"/>
  <c r="E258" i="38"/>
  <c r="C258" i="38"/>
  <c r="A258" i="38"/>
  <c r="S257" i="38"/>
  <c r="E257" i="38"/>
  <c r="C257" i="38"/>
  <c r="A257" i="38"/>
  <c r="S256" i="38"/>
  <c r="E256" i="38"/>
  <c r="C256" i="38"/>
  <c r="A256" i="38"/>
  <c r="S255" i="38"/>
  <c r="E255" i="38"/>
  <c r="C255" i="38"/>
  <c r="A255" i="38"/>
  <c r="S254" i="38"/>
  <c r="E254" i="38"/>
  <c r="C254" i="38"/>
  <c r="A254" i="38"/>
  <c r="S253" i="38"/>
  <c r="E253" i="38"/>
  <c r="C253" i="38"/>
  <c r="A253" i="38"/>
  <c r="S252" i="38"/>
  <c r="H14" i="37" s="1"/>
  <c r="E252" i="38"/>
  <c r="C252" i="38"/>
  <c r="A252" i="38"/>
  <c r="S251" i="38"/>
  <c r="E251" i="38"/>
  <c r="C251" i="38"/>
  <c r="H166" i="37" s="1"/>
  <c r="A251" i="38"/>
  <c r="S250" i="38"/>
  <c r="E250" i="38"/>
  <c r="C250" i="38"/>
  <c r="A250" i="38"/>
  <c r="S249" i="38"/>
  <c r="H94" i="37" s="1"/>
  <c r="E249" i="38"/>
  <c r="C249" i="38"/>
  <c r="A249" i="38"/>
  <c r="S248" i="38"/>
  <c r="E248" i="38"/>
  <c r="C248" i="38"/>
  <c r="A248" i="38"/>
  <c r="S247" i="38"/>
  <c r="E247" i="38"/>
  <c r="C247" i="38"/>
  <c r="A247" i="38"/>
  <c r="S246" i="38"/>
  <c r="E246" i="38"/>
  <c r="C246" i="38"/>
  <c r="A246" i="38"/>
  <c r="S245" i="38"/>
  <c r="H90" i="37" s="1"/>
  <c r="E245" i="38"/>
  <c r="C245" i="38"/>
  <c r="A245" i="38"/>
  <c r="S244" i="38"/>
  <c r="E244" i="38"/>
  <c r="C244" i="38"/>
  <c r="A244" i="38"/>
  <c r="S243" i="38"/>
  <c r="E243" i="38"/>
  <c r="C243" i="38"/>
  <c r="A243" i="38"/>
  <c r="S242" i="38"/>
  <c r="E242" i="38"/>
  <c r="C242" i="38"/>
  <c r="A242" i="38"/>
  <c r="S241" i="38"/>
  <c r="E241" i="38"/>
  <c r="C241" i="38"/>
  <c r="A241" i="38"/>
  <c r="S240" i="38"/>
  <c r="E240" i="38"/>
  <c r="C240" i="38"/>
  <c r="A240" i="38"/>
  <c r="S239" i="38"/>
  <c r="E239" i="38"/>
  <c r="C239" i="38"/>
  <c r="A239" i="38"/>
  <c r="S238" i="38"/>
  <c r="E238" i="38"/>
  <c r="C238" i="38"/>
  <c r="A238" i="38"/>
  <c r="S237" i="38"/>
  <c r="E237" i="38"/>
  <c r="C237" i="38"/>
  <c r="A237" i="38"/>
  <c r="S236" i="38"/>
  <c r="E236" i="38"/>
  <c r="C236" i="38"/>
  <c r="A236" i="38"/>
  <c r="S235" i="38"/>
  <c r="E235" i="38"/>
  <c r="C235" i="38"/>
  <c r="A235" i="38"/>
  <c r="S234" i="38"/>
  <c r="H80" i="37" s="1"/>
  <c r="E234" i="38"/>
  <c r="C234" i="38"/>
  <c r="A234" i="38"/>
  <c r="S233" i="38"/>
  <c r="E233" i="38"/>
  <c r="C233" i="38"/>
  <c r="A233" i="38"/>
  <c r="S232" i="38"/>
  <c r="E232" i="38"/>
  <c r="C232" i="38"/>
  <c r="A232" i="38"/>
  <c r="S231" i="38"/>
  <c r="E231" i="38"/>
  <c r="C231" i="38"/>
  <c r="A231" i="38"/>
  <c r="S230" i="38"/>
  <c r="H75" i="37" s="1"/>
  <c r="E230" i="38"/>
  <c r="C230" i="38"/>
  <c r="A230" i="38"/>
  <c r="S229" i="38"/>
  <c r="E229" i="38"/>
  <c r="C229" i="38"/>
  <c r="A229" i="38"/>
  <c r="S228" i="38"/>
  <c r="E228" i="38"/>
  <c r="S227" i="38"/>
  <c r="E227" i="38"/>
  <c r="C227" i="38"/>
  <c r="B227" i="38"/>
  <c r="A227" i="38"/>
  <c r="S226" i="38"/>
  <c r="E226" i="38"/>
  <c r="S225" i="38"/>
  <c r="E225" i="38"/>
  <c r="S224" i="38"/>
  <c r="E224" i="38"/>
  <c r="S223" i="38"/>
  <c r="E223" i="38"/>
  <c r="E222" i="38"/>
  <c r="S220" i="38"/>
  <c r="E220" i="38"/>
  <c r="C220" i="38"/>
  <c r="A220" i="38"/>
  <c r="S219" i="38"/>
  <c r="E219" i="38"/>
  <c r="C219" i="38"/>
  <c r="A219" i="38"/>
  <c r="S218" i="38"/>
  <c r="E218" i="38"/>
  <c r="C218" i="38"/>
  <c r="A218" i="38"/>
  <c r="S217" i="38"/>
  <c r="E217" i="38"/>
  <c r="C217" i="38"/>
  <c r="A217" i="38"/>
  <c r="S216" i="38"/>
  <c r="E216" i="38"/>
  <c r="C216" i="38"/>
  <c r="A216" i="38"/>
  <c r="S215" i="38"/>
  <c r="E215" i="38"/>
  <c r="C215" i="38"/>
  <c r="A215" i="38"/>
  <c r="S214" i="38"/>
  <c r="E214" i="38"/>
  <c r="C214" i="38"/>
  <c r="A214" i="38"/>
  <c r="S213" i="38"/>
  <c r="E213" i="38"/>
  <c r="C213" i="38"/>
  <c r="A213" i="38"/>
  <c r="S212" i="38"/>
  <c r="E212" i="38"/>
  <c r="C212" i="38"/>
  <c r="A212" i="38"/>
  <c r="S211" i="38"/>
  <c r="E211" i="38"/>
  <c r="C211" i="38"/>
  <c r="F139" i="37" s="1"/>
  <c r="A211" i="38"/>
  <c r="S210" i="38"/>
  <c r="E210" i="38"/>
  <c r="S203" i="38"/>
  <c r="E203" i="38"/>
  <c r="C203" i="38"/>
  <c r="A203" i="38"/>
  <c r="S202" i="38"/>
  <c r="E202" i="38"/>
  <c r="C202" i="38"/>
  <c r="A202" i="38"/>
  <c r="S201" i="38"/>
  <c r="E201" i="38"/>
  <c r="C201" i="38"/>
  <c r="A201" i="38"/>
  <c r="S200" i="38"/>
  <c r="E200" i="38"/>
  <c r="C200" i="38"/>
  <c r="A200" i="38"/>
  <c r="S199" i="38"/>
  <c r="E199" i="38"/>
  <c r="C199" i="38"/>
  <c r="A199" i="38"/>
  <c r="S198" i="38"/>
  <c r="E198" i="38"/>
  <c r="C198" i="38"/>
  <c r="A198" i="38"/>
  <c r="S197" i="38"/>
  <c r="E197" i="38"/>
  <c r="C197" i="38"/>
  <c r="F96" i="37" s="1"/>
  <c r="A197" i="38"/>
  <c r="S196" i="38"/>
  <c r="E196" i="38"/>
  <c r="C196" i="38"/>
  <c r="A196" i="38"/>
  <c r="S195" i="38"/>
  <c r="E195" i="38"/>
  <c r="C195" i="38"/>
  <c r="A195" i="38"/>
  <c r="S194" i="38"/>
  <c r="E194" i="38"/>
  <c r="C194" i="38"/>
  <c r="A194" i="38"/>
  <c r="S193" i="38"/>
  <c r="E193" i="38"/>
  <c r="C193" i="38"/>
  <c r="A193" i="38"/>
  <c r="S192" i="38"/>
  <c r="E192" i="38"/>
  <c r="C192" i="38"/>
  <c r="A192" i="38"/>
  <c r="S191" i="38"/>
  <c r="E191" i="38"/>
  <c r="C191" i="38"/>
  <c r="A191" i="38"/>
  <c r="S190" i="38"/>
  <c r="E190" i="38"/>
  <c r="C190" i="38"/>
  <c r="A190" i="38"/>
  <c r="S189" i="38"/>
  <c r="E189" i="38"/>
  <c r="C189" i="38"/>
  <c r="A189" i="38"/>
  <c r="S188" i="38"/>
  <c r="E188" i="38"/>
  <c r="C188" i="38"/>
  <c r="A188" i="38"/>
  <c r="S187" i="38"/>
  <c r="E187" i="38"/>
  <c r="C187" i="38"/>
  <c r="A187" i="38"/>
  <c r="S186" i="38"/>
  <c r="E186" i="38"/>
  <c r="C186" i="38"/>
  <c r="A186" i="38"/>
  <c r="S185" i="38"/>
  <c r="E185" i="38"/>
  <c r="C185" i="38"/>
  <c r="A185" i="38"/>
  <c r="S183" i="38"/>
  <c r="E183" i="38"/>
  <c r="C183" i="38"/>
  <c r="A183" i="38"/>
  <c r="S182" i="38"/>
  <c r="E182" i="38"/>
  <c r="C182" i="38"/>
  <c r="A182" i="38"/>
  <c r="S181" i="38"/>
  <c r="E181" i="38"/>
  <c r="C181" i="38"/>
  <c r="A181" i="38"/>
  <c r="S180" i="38"/>
  <c r="E180" i="38"/>
  <c r="C180" i="38"/>
  <c r="A180" i="38"/>
  <c r="S179" i="38"/>
  <c r="E179" i="38"/>
  <c r="C179" i="38"/>
  <c r="A179" i="38"/>
  <c r="S178" i="38"/>
  <c r="E178" i="38"/>
  <c r="C178" i="38"/>
  <c r="A178" i="38"/>
  <c r="S177" i="38"/>
  <c r="E177" i="38"/>
  <c r="C177" i="38"/>
  <c r="A177" i="38"/>
  <c r="S176" i="38"/>
  <c r="E176" i="38"/>
  <c r="C176" i="38"/>
  <c r="A176" i="38"/>
  <c r="S175" i="38"/>
  <c r="E175" i="38"/>
  <c r="C175" i="38"/>
  <c r="A175" i="38"/>
  <c r="S174" i="38"/>
  <c r="E174" i="38"/>
  <c r="C174" i="38"/>
  <c r="A174" i="38"/>
  <c r="S173" i="38"/>
  <c r="E173" i="38"/>
  <c r="C173" i="38"/>
  <c r="A173" i="38"/>
  <c r="S172" i="38"/>
  <c r="E172" i="38"/>
  <c r="C172" i="38"/>
  <c r="A172" i="38"/>
  <c r="S171" i="38"/>
  <c r="E171" i="38"/>
  <c r="C171" i="38"/>
  <c r="A171" i="38"/>
  <c r="S170" i="38"/>
  <c r="E170" i="38"/>
  <c r="C170" i="38"/>
  <c r="A170" i="38"/>
  <c r="S169" i="38"/>
  <c r="E169" i="38"/>
  <c r="C169" i="38"/>
  <c r="A169" i="38"/>
  <c r="S168" i="38"/>
  <c r="E168" i="38"/>
  <c r="C168" i="38"/>
  <c r="A168" i="38"/>
  <c r="S167" i="38"/>
  <c r="E167" i="38"/>
  <c r="C167" i="38"/>
  <c r="A167" i="38"/>
  <c r="S166" i="38"/>
  <c r="E166" i="38"/>
  <c r="C166" i="38"/>
  <c r="A166" i="38"/>
  <c r="S165" i="38"/>
  <c r="E165" i="38"/>
  <c r="C165" i="38"/>
  <c r="A165" i="38"/>
  <c r="S164" i="38"/>
  <c r="E164" i="38"/>
  <c r="C164" i="38"/>
  <c r="A164" i="38"/>
  <c r="S163" i="38"/>
  <c r="E163" i="38"/>
  <c r="C163" i="38"/>
  <c r="A163" i="38"/>
  <c r="S162" i="38"/>
  <c r="E162" i="38"/>
  <c r="C162" i="38"/>
  <c r="A162" i="38"/>
  <c r="S161" i="38"/>
  <c r="E161" i="38"/>
  <c r="C161" i="38"/>
  <c r="A161" i="38"/>
  <c r="S160" i="38"/>
  <c r="E160" i="38"/>
  <c r="C160" i="38"/>
  <c r="A160" i="38"/>
  <c r="S159" i="38"/>
  <c r="E159" i="38"/>
  <c r="C159" i="38"/>
  <c r="A159" i="38"/>
  <c r="S158" i="38"/>
  <c r="E158" i="38"/>
  <c r="C158" i="38"/>
  <c r="A158" i="38"/>
  <c r="S157" i="38"/>
  <c r="E157" i="38"/>
  <c r="C157" i="38"/>
  <c r="A157" i="38"/>
  <c r="S156" i="38"/>
  <c r="E156" i="38"/>
  <c r="C156" i="38"/>
  <c r="A156" i="38"/>
  <c r="S155" i="38"/>
  <c r="E155" i="38"/>
  <c r="C155" i="38"/>
  <c r="A155" i="38"/>
  <c r="S154" i="38"/>
  <c r="E154" i="38"/>
  <c r="C154" i="38"/>
  <c r="A154" i="38"/>
  <c r="S153" i="38"/>
  <c r="E153" i="38"/>
  <c r="C153" i="38"/>
  <c r="A153" i="38"/>
  <c r="S152" i="38"/>
  <c r="E152" i="38"/>
  <c r="C152" i="38"/>
  <c r="A152" i="38"/>
  <c r="S151" i="38"/>
  <c r="E151" i="38"/>
  <c r="C151" i="38"/>
  <c r="A151" i="38"/>
  <c r="S150" i="38"/>
  <c r="E150" i="38"/>
  <c r="C150" i="38"/>
  <c r="A150" i="38"/>
  <c r="S149" i="38"/>
  <c r="E149" i="38"/>
  <c r="C149" i="38"/>
  <c r="A149" i="38"/>
  <c r="S148" i="38"/>
  <c r="E148" i="38"/>
  <c r="C148" i="38"/>
  <c r="A148" i="38"/>
  <c r="S147" i="38"/>
  <c r="E147" i="38"/>
  <c r="C147" i="38"/>
  <c r="A147" i="38"/>
  <c r="S146" i="38"/>
  <c r="E146" i="38"/>
  <c r="C146" i="38"/>
  <c r="A146" i="38"/>
  <c r="S145" i="38"/>
  <c r="E145" i="38"/>
  <c r="C145" i="38"/>
  <c r="A145" i="38"/>
  <c r="S144" i="38"/>
  <c r="E144" i="38"/>
  <c r="C144" i="38"/>
  <c r="A144" i="38"/>
  <c r="S143" i="38"/>
  <c r="E143" i="38"/>
  <c r="C143" i="38"/>
  <c r="A143" i="38"/>
  <c r="S142" i="38"/>
  <c r="E142" i="38"/>
  <c r="C142" i="38"/>
  <c r="A142" i="38"/>
  <c r="S141" i="38"/>
  <c r="E141" i="38"/>
  <c r="C141" i="38"/>
  <c r="A141" i="38"/>
  <c r="S140" i="38"/>
  <c r="E140" i="38"/>
  <c r="C140" i="38"/>
  <c r="A140" i="38"/>
  <c r="S139" i="38"/>
  <c r="E139" i="38"/>
  <c r="C139" i="38"/>
  <c r="A139" i="38"/>
  <c r="S138" i="38"/>
  <c r="E138" i="38"/>
  <c r="C138" i="38"/>
  <c r="A138" i="38"/>
  <c r="E137" i="38"/>
  <c r="E136" i="38"/>
  <c r="C136" i="38"/>
  <c r="B136" i="38"/>
  <c r="A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6" i="38"/>
  <c r="C116" i="38"/>
  <c r="A116" i="38"/>
  <c r="E115" i="38"/>
  <c r="C115" i="38"/>
  <c r="A115" i="38"/>
  <c r="E114" i="38"/>
  <c r="C114" i="38"/>
  <c r="A114" i="38"/>
  <c r="E113" i="38"/>
  <c r="C113" i="38"/>
  <c r="A113" i="38"/>
  <c r="E112" i="38"/>
  <c r="C112" i="38"/>
  <c r="A112" i="38"/>
  <c r="E111" i="38"/>
  <c r="C111" i="38"/>
  <c r="A111" i="38"/>
  <c r="E110" i="38"/>
  <c r="C110" i="38"/>
  <c r="A110" i="38"/>
  <c r="E109" i="38"/>
  <c r="C109" i="38"/>
  <c r="A109" i="38"/>
  <c r="E108" i="38"/>
  <c r="C108" i="38"/>
  <c r="A108" i="38"/>
  <c r="E107" i="38"/>
  <c r="C107" i="38"/>
  <c r="A107" i="38"/>
  <c r="E106" i="38"/>
  <c r="C106" i="38"/>
  <c r="A106" i="38"/>
  <c r="E105" i="38"/>
  <c r="C105" i="38"/>
  <c r="A105" i="38"/>
  <c r="E104" i="38"/>
  <c r="C104" i="38"/>
  <c r="A104" i="38"/>
  <c r="E103" i="38"/>
  <c r="C103" i="38"/>
  <c r="A103" i="38"/>
  <c r="E102" i="38"/>
  <c r="C102" i="38"/>
  <c r="A102" i="38"/>
  <c r="E101" i="38"/>
  <c r="C101" i="38"/>
  <c r="A101" i="38"/>
  <c r="E100" i="38"/>
  <c r="E99" i="38"/>
  <c r="E98" i="38"/>
  <c r="E97" i="38"/>
  <c r="E96" i="38"/>
  <c r="E95" i="38"/>
  <c r="E94" i="38"/>
  <c r="E92" i="38"/>
  <c r="C92" i="38"/>
  <c r="A92" i="38"/>
  <c r="E91" i="38"/>
  <c r="C91" i="38"/>
  <c r="A91" i="38"/>
  <c r="E90" i="38"/>
  <c r="C90" i="38"/>
  <c r="A90" i="38"/>
  <c r="E89" i="38"/>
  <c r="C89" i="38"/>
  <c r="A89" i="38"/>
  <c r="E88" i="38"/>
  <c r="C88" i="38"/>
  <c r="A88" i="38"/>
  <c r="E87" i="38"/>
  <c r="C87" i="38"/>
  <c r="A87" i="38"/>
  <c r="E86" i="38"/>
  <c r="C86" i="38"/>
  <c r="A86" i="38"/>
  <c r="E85" i="38"/>
  <c r="C85" i="38"/>
  <c r="A85" i="38"/>
  <c r="E83" i="38"/>
  <c r="C83" i="38"/>
  <c r="A83" i="38"/>
  <c r="E82" i="38"/>
  <c r="C82" i="38"/>
  <c r="A82" i="38"/>
  <c r="E81" i="38"/>
  <c r="C81" i="38"/>
  <c r="A81" i="38"/>
  <c r="E80" i="38"/>
  <c r="C80" i="38"/>
  <c r="A80" i="38"/>
  <c r="E79" i="38"/>
  <c r="C79" i="38"/>
  <c r="A79" i="38"/>
  <c r="E78" i="38"/>
  <c r="C78" i="38"/>
  <c r="A78" i="38"/>
  <c r="E77" i="38"/>
  <c r="C77" i="38"/>
  <c r="A77" i="38"/>
  <c r="E76" i="38"/>
  <c r="C76" i="38"/>
  <c r="A76" i="38"/>
  <c r="E75" i="38"/>
  <c r="C75" i="38"/>
  <c r="A75" i="38"/>
  <c r="E74" i="38"/>
  <c r="C74" i="38"/>
  <c r="A74" i="38"/>
  <c r="E73" i="38"/>
  <c r="C73" i="38"/>
  <c r="A73" i="38"/>
  <c r="E72" i="38"/>
  <c r="C72" i="38"/>
  <c r="A72" i="38"/>
  <c r="E71" i="38"/>
  <c r="C71" i="38"/>
  <c r="D166" i="37" s="1"/>
  <c r="A71" i="38"/>
  <c r="E70" i="38"/>
  <c r="C70" i="38"/>
  <c r="A70" i="38"/>
  <c r="E69" i="38"/>
  <c r="C69" i="38"/>
  <c r="A69" i="38"/>
  <c r="E68" i="38"/>
  <c r="C68" i="38"/>
  <c r="A68" i="38"/>
  <c r="E67" i="38"/>
  <c r="C67" i="38"/>
  <c r="A67" i="38"/>
  <c r="E66" i="38"/>
  <c r="C66" i="38"/>
  <c r="A66" i="38"/>
  <c r="E65" i="38"/>
  <c r="C65" i="38"/>
  <c r="A65" i="38"/>
  <c r="E64" i="38"/>
  <c r="C64" i="38"/>
  <c r="A64" i="38"/>
  <c r="E63" i="38"/>
  <c r="C63" i="38"/>
  <c r="A63" i="38"/>
  <c r="E62" i="38"/>
  <c r="C62" i="38"/>
  <c r="A62" i="38"/>
  <c r="E61" i="38"/>
  <c r="C61" i="38"/>
  <c r="A61" i="38"/>
  <c r="E60" i="38"/>
  <c r="C60" i="38"/>
  <c r="A60" i="38"/>
  <c r="E59" i="38"/>
  <c r="C59" i="38"/>
  <c r="A59" i="38"/>
  <c r="E58" i="38"/>
  <c r="C58" i="38"/>
  <c r="A58" i="38"/>
  <c r="E57" i="38"/>
  <c r="C57" i="38"/>
  <c r="A57" i="38"/>
  <c r="E56" i="38"/>
  <c r="C56" i="38"/>
  <c r="A56" i="38"/>
  <c r="E55" i="38"/>
  <c r="C55" i="38"/>
  <c r="A55" i="38"/>
  <c r="E54" i="38"/>
  <c r="C54" i="38"/>
  <c r="A54" i="38"/>
  <c r="E53" i="38"/>
  <c r="C53" i="38"/>
  <c r="A53" i="38"/>
  <c r="E52" i="38"/>
  <c r="C52" i="38"/>
  <c r="A52" i="38"/>
  <c r="E51" i="38"/>
  <c r="C51" i="38"/>
  <c r="A51" i="38"/>
  <c r="E50" i="38"/>
  <c r="C50" i="38"/>
  <c r="A50" i="38"/>
  <c r="E49" i="38"/>
  <c r="C49" i="38"/>
  <c r="A49" i="38"/>
  <c r="E48" i="38"/>
  <c r="C48" i="38"/>
  <c r="A48" i="38"/>
  <c r="E47" i="38"/>
  <c r="C47" i="38"/>
  <c r="A47" i="38"/>
  <c r="E46" i="38"/>
  <c r="C46" i="38"/>
  <c r="A46" i="38"/>
  <c r="E45" i="38"/>
  <c r="C45" i="38"/>
  <c r="A45" i="38"/>
  <c r="E44" i="38"/>
  <c r="C44" i="38"/>
  <c r="A44" i="38"/>
  <c r="E43" i="38"/>
  <c r="C43" i="38"/>
  <c r="A43" i="38"/>
  <c r="E42" i="38"/>
  <c r="C42" i="38"/>
  <c r="A42" i="38"/>
  <c r="E41" i="38"/>
  <c r="C41" i="38"/>
  <c r="A41" i="38"/>
  <c r="E40" i="38"/>
  <c r="C40" i="38"/>
  <c r="A40" i="38"/>
  <c r="E39" i="38"/>
  <c r="C39" i="38"/>
  <c r="A39" i="38"/>
  <c r="E38" i="38"/>
  <c r="C38" i="38"/>
  <c r="A38" i="38"/>
  <c r="E37" i="38"/>
  <c r="C37" i="38"/>
  <c r="A37" i="38"/>
  <c r="E36" i="38"/>
  <c r="C36" i="38"/>
  <c r="A36" i="38"/>
  <c r="E35" i="38"/>
  <c r="C35" i="38"/>
  <c r="A35" i="38"/>
  <c r="E34" i="38"/>
  <c r="C34" i="38"/>
  <c r="A34" i="38"/>
  <c r="E33" i="38"/>
  <c r="C33" i="38"/>
  <c r="A33" i="38"/>
  <c r="E32" i="38"/>
  <c r="C32" i="38"/>
  <c r="A32" i="38"/>
  <c r="E31" i="38"/>
  <c r="C31" i="38"/>
  <c r="A31" i="38"/>
  <c r="E30" i="38"/>
  <c r="C30" i="38"/>
  <c r="A30" i="38"/>
  <c r="E29" i="38"/>
  <c r="C29" i="38"/>
  <c r="A29" i="38"/>
  <c r="E28" i="38"/>
  <c r="C28" i="38"/>
  <c r="A28" i="38"/>
  <c r="E27" i="38"/>
  <c r="C27" i="38"/>
  <c r="A27" i="38"/>
  <c r="E26" i="38"/>
  <c r="C26" i="38"/>
  <c r="A26" i="38"/>
  <c r="E25" i="38"/>
  <c r="C25" i="38"/>
  <c r="A25" i="38"/>
  <c r="E24" i="38"/>
  <c r="C24" i="38"/>
  <c r="A24" i="38"/>
  <c r="E23" i="38"/>
  <c r="C23" i="38"/>
  <c r="A23" i="38"/>
  <c r="E22" i="38"/>
  <c r="C22" i="38"/>
  <c r="A22" i="38"/>
  <c r="E21" i="38"/>
  <c r="C21" i="38"/>
  <c r="A21" i="38"/>
  <c r="E20" i="38"/>
  <c r="C20" i="38"/>
  <c r="A20" i="38"/>
  <c r="E19" i="38"/>
  <c r="C19" i="38"/>
  <c r="A19" i="38"/>
  <c r="E18" i="38"/>
  <c r="C18" i="38"/>
  <c r="A18" i="38"/>
  <c r="E17" i="38"/>
  <c r="C17" i="38"/>
  <c r="A17" i="38"/>
  <c r="E16" i="38"/>
  <c r="C16" i="38"/>
  <c r="A16" i="38"/>
  <c r="E15" i="38"/>
  <c r="C15" i="38"/>
  <c r="A15" i="38"/>
  <c r="E14" i="38"/>
  <c r="C14" i="38"/>
  <c r="A14" i="38"/>
  <c r="E13" i="38"/>
  <c r="C13" i="38"/>
  <c r="A13" i="38"/>
  <c r="E12" i="38"/>
  <c r="C12" i="38"/>
  <c r="A12" i="38"/>
  <c r="E11" i="38"/>
  <c r="C11" i="38"/>
  <c r="A11" i="38"/>
  <c r="E10" i="38"/>
  <c r="C10" i="38"/>
  <c r="A10" i="38"/>
  <c r="E9" i="38"/>
  <c r="C9" i="38"/>
  <c r="A9" i="38"/>
  <c r="E8" i="38"/>
  <c r="C8" i="38"/>
  <c r="A8" i="38"/>
  <c r="E7" i="38"/>
  <c r="C7" i="38"/>
  <c r="D47" i="37" s="1"/>
  <c r="A7" i="38"/>
  <c r="E6" i="38"/>
  <c r="C6" i="38"/>
  <c r="A6" i="38"/>
  <c r="T174" i="37"/>
  <c r="P171" i="37"/>
  <c r="J171" i="37"/>
  <c r="J172" i="37" s="1"/>
  <c r="H171" i="37"/>
  <c r="H172" i="37" s="1"/>
  <c r="F171" i="37"/>
  <c r="P167" i="37"/>
  <c r="J167" i="37"/>
  <c r="F167" i="37"/>
  <c r="B167" i="37"/>
  <c r="P166" i="37"/>
  <c r="J166" i="37"/>
  <c r="F166" i="37"/>
  <c r="B166" i="37"/>
  <c r="P165" i="37"/>
  <c r="J165" i="37"/>
  <c r="F165" i="37"/>
  <c r="B165" i="37"/>
  <c r="P164" i="37"/>
  <c r="J164" i="37"/>
  <c r="H164" i="37"/>
  <c r="F164" i="37"/>
  <c r="P163" i="37"/>
  <c r="V163" i="37" s="1"/>
  <c r="J163" i="37"/>
  <c r="H163" i="37"/>
  <c r="F163" i="37"/>
  <c r="B163" i="37"/>
  <c r="P162" i="37"/>
  <c r="J162" i="37"/>
  <c r="F162" i="37"/>
  <c r="B162" i="37"/>
  <c r="W158" i="37"/>
  <c r="P158" i="37"/>
  <c r="J158" i="37"/>
  <c r="F158" i="37"/>
  <c r="B158" i="37"/>
  <c r="W157" i="37"/>
  <c r="P157" i="37"/>
  <c r="J157" i="37"/>
  <c r="F157" i="37"/>
  <c r="T143" i="37"/>
  <c r="T140" i="37"/>
  <c r="J139" i="37"/>
  <c r="H139" i="37"/>
  <c r="J138" i="37"/>
  <c r="H138" i="37"/>
  <c r="F138" i="37"/>
  <c r="D138" i="37"/>
  <c r="J137" i="37"/>
  <c r="G116" i="4" s="1"/>
  <c r="H137" i="37"/>
  <c r="F116" i="4" s="1"/>
  <c r="F137" i="37"/>
  <c r="E116" i="4" s="1"/>
  <c r="B137" i="37"/>
  <c r="J136" i="37"/>
  <c r="G115" i="4" s="1"/>
  <c r="H136" i="37"/>
  <c r="F115" i="4" s="1"/>
  <c r="F136" i="37"/>
  <c r="E115" i="4" s="1"/>
  <c r="B136" i="37"/>
  <c r="J135" i="37"/>
  <c r="G114" i="4" s="1"/>
  <c r="H135" i="37"/>
  <c r="F114" i="4" s="1"/>
  <c r="F135" i="37"/>
  <c r="E114" i="4" s="1"/>
  <c r="B135" i="37"/>
  <c r="J134" i="37"/>
  <c r="G127" i="4" s="1"/>
  <c r="H134" i="37"/>
  <c r="F127" i="4" s="1"/>
  <c r="F134" i="37"/>
  <c r="E127" i="4" s="1"/>
  <c r="B134" i="37"/>
  <c r="J133" i="37"/>
  <c r="H133" i="37"/>
  <c r="F126" i="4" s="1"/>
  <c r="F133" i="37"/>
  <c r="E126" i="4" s="1"/>
  <c r="B133" i="37"/>
  <c r="J132" i="37"/>
  <c r="H132" i="37"/>
  <c r="F132" i="37"/>
  <c r="W131" i="37"/>
  <c r="J131" i="37"/>
  <c r="G125" i="4" s="1"/>
  <c r="H131" i="37"/>
  <c r="F125" i="4" s="1"/>
  <c r="F131" i="37"/>
  <c r="B131" i="37"/>
  <c r="J130" i="37"/>
  <c r="H130" i="37"/>
  <c r="F130" i="37"/>
  <c r="J129" i="37"/>
  <c r="H129" i="37"/>
  <c r="F124" i="4" s="1"/>
  <c r="F129" i="37"/>
  <c r="E124" i="4" s="1"/>
  <c r="B129" i="37"/>
  <c r="J128" i="37"/>
  <c r="G123" i="4" s="1"/>
  <c r="H128" i="37"/>
  <c r="F123" i="4" s="1"/>
  <c r="F128" i="37"/>
  <c r="E123" i="4" s="1"/>
  <c r="B128" i="37"/>
  <c r="J127" i="37"/>
  <c r="H127" i="37"/>
  <c r="F122" i="4" s="1"/>
  <c r="F127" i="37"/>
  <c r="E122" i="4" s="1"/>
  <c r="B127" i="37"/>
  <c r="J126" i="37"/>
  <c r="G121" i="4" s="1"/>
  <c r="H126" i="37"/>
  <c r="F121" i="4" s="1"/>
  <c r="F126" i="37"/>
  <c r="E121" i="4" s="1"/>
  <c r="B126" i="37"/>
  <c r="J125" i="37"/>
  <c r="H125" i="37"/>
  <c r="F125" i="37"/>
  <c r="J124" i="37"/>
  <c r="H124" i="37"/>
  <c r="J123" i="37"/>
  <c r="G120" i="4" s="1"/>
  <c r="H123" i="37"/>
  <c r="F120" i="4" s="1"/>
  <c r="B123" i="37"/>
  <c r="J122" i="37"/>
  <c r="H122" i="37"/>
  <c r="J121" i="37"/>
  <c r="H121" i="37"/>
  <c r="F121" i="37"/>
  <c r="W120" i="37"/>
  <c r="J120" i="37"/>
  <c r="H120" i="37"/>
  <c r="F120" i="37"/>
  <c r="D120" i="37"/>
  <c r="J119" i="37"/>
  <c r="H119" i="37"/>
  <c r="F119" i="37"/>
  <c r="J118" i="37"/>
  <c r="H118" i="37"/>
  <c r="F118" i="37"/>
  <c r="J117" i="37"/>
  <c r="H117" i="37"/>
  <c r="F119" i="4" s="1"/>
  <c r="B117" i="37"/>
  <c r="J116" i="37"/>
  <c r="H116" i="37"/>
  <c r="J115" i="37"/>
  <c r="H115" i="37"/>
  <c r="J114" i="37"/>
  <c r="H114" i="37"/>
  <c r="F114" i="37"/>
  <c r="J113" i="37"/>
  <c r="H113" i="37"/>
  <c r="F113" i="37"/>
  <c r="J112" i="37"/>
  <c r="G118" i="4" s="1"/>
  <c r="H112" i="37"/>
  <c r="F118" i="4" s="1"/>
  <c r="B112" i="37"/>
  <c r="J111" i="37"/>
  <c r="H111" i="37"/>
  <c r="J110" i="37"/>
  <c r="H110" i="37"/>
  <c r="B110" i="37"/>
  <c r="B98" i="37"/>
  <c r="T97" i="37"/>
  <c r="J96" i="37"/>
  <c r="B96" i="37"/>
  <c r="H95" i="37"/>
  <c r="F95" i="37"/>
  <c r="B94" i="37"/>
  <c r="J93" i="37"/>
  <c r="F93" i="37"/>
  <c r="B93" i="37"/>
  <c r="B92" i="37"/>
  <c r="F91" i="37"/>
  <c r="B91" i="37"/>
  <c r="B90" i="37"/>
  <c r="J89" i="37"/>
  <c r="B88" i="37"/>
  <c r="J87" i="37"/>
  <c r="B87" i="37"/>
  <c r="J86" i="37"/>
  <c r="F86" i="37"/>
  <c r="B85" i="37"/>
  <c r="B83" i="37"/>
  <c r="T82" i="37"/>
  <c r="B82" i="37"/>
  <c r="F81" i="37"/>
  <c r="B81" i="37"/>
  <c r="F80" i="37"/>
  <c r="B80" i="37"/>
  <c r="J78" i="37"/>
  <c r="F78" i="37"/>
  <c r="B78" i="37"/>
  <c r="F77" i="37"/>
  <c r="B77" i="37"/>
  <c r="H76" i="37"/>
  <c r="F75" i="37"/>
  <c r="B75" i="37"/>
  <c r="J74" i="37"/>
  <c r="F73" i="37"/>
  <c r="B73" i="37"/>
  <c r="F72" i="37"/>
  <c r="J71" i="37"/>
  <c r="F71" i="37"/>
  <c r="B70" i="37"/>
  <c r="B68" i="37"/>
  <c r="T67" i="37"/>
  <c r="P66" i="37"/>
  <c r="J66" i="37"/>
  <c r="F65" i="37"/>
  <c r="B65" i="37"/>
  <c r="F64" i="37"/>
  <c r="B64" i="37"/>
  <c r="J63" i="37"/>
  <c r="H63" i="37"/>
  <c r="F63" i="37"/>
  <c r="B63" i="37"/>
  <c r="P62" i="37"/>
  <c r="B62" i="37"/>
  <c r="P61" i="37"/>
  <c r="F61" i="37"/>
  <c r="B61" i="37"/>
  <c r="P60" i="37"/>
  <c r="B60" i="37"/>
  <c r="P59" i="37"/>
  <c r="H59" i="37"/>
  <c r="B59" i="37"/>
  <c r="B58" i="37"/>
  <c r="B56" i="37"/>
  <c r="T55" i="37"/>
  <c r="B55" i="37"/>
  <c r="P54" i="37"/>
  <c r="V54" i="37" s="1"/>
  <c r="J54" i="37"/>
  <c r="F54" i="37"/>
  <c r="B54" i="37"/>
  <c r="P53" i="37"/>
  <c r="V53" i="37" s="1"/>
  <c r="J53" i="37"/>
  <c r="J55" i="37" s="1"/>
  <c r="F53" i="37"/>
  <c r="B53" i="37"/>
  <c r="B51" i="37"/>
  <c r="T50" i="37"/>
  <c r="B50" i="37"/>
  <c r="B49" i="37"/>
  <c r="B48" i="37"/>
  <c r="J47" i="37"/>
  <c r="H47" i="37"/>
  <c r="B47" i="37"/>
  <c r="P46" i="37"/>
  <c r="F46" i="37"/>
  <c r="D46" i="37"/>
  <c r="B46" i="37"/>
  <c r="B45" i="37"/>
  <c r="J44" i="37"/>
  <c r="H44" i="37"/>
  <c r="B44" i="37"/>
  <c r="J43" i="37"/>
  <c r="F43" i="37"/>
  <c r="B43" i="37"/>
  <c r="J42" i="37"/>
  <c r="B42" i="37"/>
  <c r="B40" i="37"/>
  <c r="T39" i="37"/>
  <c r="B39" i="37"/>
  <c r="F38" i="37"/>
  <c r="B38" i="37"/>
  <c r="J37" i="37"/>
  <c r="J36" i="37"/>
  <c r="B36" i="37"/>
  <c r="J35" i="37"/>
  <c r="H35" i="37"/>
  <c r="B35" i="37"/>
  <c r="J34" i="37"/>
  <c r="F34" i="37"/>
  <c r="B34" i="37"/>
  <c r="F33" i="37"/>
  <c r="D33" i="37"/>
  <c r="F32" i="37"/>
  <c r="B32" i="37"/>
  <c r="B30" i="37"/>
  <c r="T29" i="37"/>
  <c r="F28" i="37"/>
  <c r="W27" i="37"/>
  <c r="F27" i="37"/>
  <c r="E87" i="4" s="1"/>
  <c r="B27" i="37"/>
  <c r="J26" i="37"/>
  <c r="H26" i="37"/>
  <c r="F26" i="37"/>
  <c r="J25" i="37"/>
  <c r="H25" i="37"/>
  <c r="B24" i="37"/>
  <c r="H24" i="37" s="1"/>
  <c r="B22" i="37"/>
  <c r="J22" i="37" s="1"/>
  <c r="G84" i="4" s="1"/>
  <c r="J21" i="37"/>
  <c r="B21" i="37"/>
  <c r="J20" i="37"/>
  <c r="F20" i="37"/>
  <c r="B19" i="37"/>
  <c r="B18" i="37"/>
  <c r="J18" i="37" s="1"/>
  <c r="P17" i="37"/>
  <c r="B17" i="37"/>
  <c r="F17" i="37" s="1"/>
  <c r="E80" i="4" s="1"/>
  <c r="B16" i="37"/>
  <c r="P16" i="37" s="1"/>
  <c r="B15" i="37"/>
  <c r="P15" i="37" s="1"/>
  <c r="P14" i="37"/>
  <c r="B14" i="37"/>
  <c r="B13" i="37"/>
  <c r="P12" i="37"/>
  <c r="B12" i="37"/>
  <c r="W11" i="37"/>
  <c r="P11" i="37"/>
  <c r="J11" i="37"/>
  <c r="H11" i="37"/>
  <c r="F11" i="37"/>
  <c r="D11" i="37"/>
  <c r="G113" i="44"/>
  <c r="K112" i="44"/>
  <c r="G112" i="44"/>
  <c r="K111" i="44"/>
  <c r="G111" i="44"/>
  <c r="E111" i="44"/>
  <c r="K110" i="44"/>
  <c r="G110" i="44"/>
  <c r="G109" i="44"/>
  <c r="K108" i="44"/>
  <c r="G108" i="44"/>
  <c r="K107" i="44"/>
  <c r="G107" i="44"/>
  <c r="E107" i="44"/>
  <c r="K103" i="44"/>
  <c r="G103" i="44"/>
  <c r="K101" i="44"/>
  <c r="G101" i="44"/>
  <c r="K100" i="44"/>
  <c r="G100" i="44"/>
  <c r="K99" i="44"/>
  <c r="G99" i="44"/>
  <c r="K98" i="44"/>
  <c r="G98" i="44"/>
  <c r="K96" i="44"/>
  <c r="G96" i="44"/>
  <c r="G95" i="44"/>
  <c r="K91" i="44"/>
  <c r="D92" i="44"/>
  <c r="K85" i="44"/>
  <c r="K80" i="44"/>
  <c r="G80" i="44"/>
  <c r="K78" i="44"/>
  <c r="G78" i="44"/>
  <c r="K77" i="44"/>
  <c r="G77" i="44"/>
  <c r="K76" i="44"/>
  <c r="G76" i="44"/>
  <c r="A75" i="44"/>
  <c r="A76" i="44" s="1"/>
  <c r="A77" i="44" s="1"/>
  <c r="A78" i="44" s="1"/>
  <c r="A79" i="44" s="1"/>
  <c r="A80" i="44" s="1"/>
  <c r="A81" i="44" s="1"/>
  <c r="A82" i="44" s="1"/>
  <c r="A84" i="44" s="1"/>
  <c r="A85" i="44" s="1"/>
  <c r="A86" i="44" s="1"/>
  <c r="A87" i="44" s="1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A118" i="44" s="1"/>
  <c r="P71" i="44"/>
  <c r="N71" i="44"/>
  <c r="J71" i="44"/>
  <c r="A67" i="44"/>
  <c r="A65" i="44"/>
  <c r="A63" i="44"/>
  <c r="A62" i="44"/>
  <c r="K54" i="44"/>
  <c r="G54" i="44"/>
  <c r="K53" i="44"/>
  <c r="G53" i="44"/>
  <c r="K52" i="44"/>
  <c r="G52" i="44"/>
  <c r="K51" i="44"/>
  <c r="G51" i="44"/>
  <c r="K50" i="44"/>
  <c r="G50" i="44"/>
  <c r="K46" i="44"/>
  <c r="G46" i="44"/>
  <c r="K45" i="44"/>
  <c r="G45" i="44"/>
  <c r="K44" i="44"/>
  <c r="G44" i="44"/>
  <c r="K43" i="44"/>
  <c r="G43" i="44"/>
  <c r="G41" i="44"/>
  <c r="G40" i="44"/>
  <c r="G39" i="44"/>
  <c r="G38" i="44"/>
  <c r="G37" i="44"/>
  <c r="G36" i="44"/>
  <c r="G35" i="44"/>
  <c r="G34" i="44"/>
  <c r="K31" i="44"/>
  <c r="G31" i="44"/>
  <c r="G26" i="44"/>
  <c r="G24" i="44"/>
  <c r="K20" i="44"/>
  <c r="G20" i="44"/>
  <c r="K18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A7" i="44"/>
  <c r="A66" i="44" s="1"/>
  <c r="A2" i="44"/>
  <c r="A61" i="44" s="1"/>
  <c r="A1" i="44"/>
  <c r="A60" i="44" s="1"/>
  <c r="L116" i="31"/>
  <c r="K116" i="31" s="1"/>
  <c r="F113" i="31"/>
  <c r="G113" i="31" s="1"/>
  <c r="D113" i="31"/>
  <c r="F112" i="31"/>
  <c r="G112" i="31" s="1"/>
  <c r="D112" i="31"/>
  <c r="F111" i="31"/>
  <c r="G111" i="31" s="1"/>
  <c r="D111" i="31"/>
  <c r="F110" i="31"/>
  <c r="G110" i="31" s="1"/>
  <c r="D110" i="31"/>
  <c r="F109" i="31"/>
  <c r="G109" i="31" s="1"/>
  <c r="D109" i="31"/>
  <c r="F108" i="31"/>
  <c r="G108" i="31" s="1"/>
  <c r="D108" i="31"/>
  <c r="F107" i="31"/>
  <c r="G107" i="31" s="1"/>
  <c r="D107" i="31"/>
  <c r="F102" i="31"/>
  <c r="F103" i="31" s="1"/>
  <c r="G103" i="31" s="1"/>
  <c r="D102" i="31"/>
  <c r="F101" i="31"/>
  <c r="G101" i="31" s="1"/>
  <c r="D101" i="31"/>
  <c r="F100" i="31"/>
  <c r="G100" i="31" s="1"/>
  <c r="D100" i="31"/>
  <c r="F99" i="31"/>
  <c r="D99" i="31"/>
  <c r="F98" i="31"/>
  <c r="G98" i="31" s="1"/>
  <c r="D98" i="31"/>
  <c r="F96" i="31"/>
  <c r="G96" i="31" s="1"/>
  <c r="D96" i="31"/>
  <c r="F95" i="31"/>
  <c r="G95" i="31" s="1"/>
  <c r="D95" i="31"/>
  <c r="F91" i="31"/>
  <c r="D91" i="31"/>
  <c r="F85" i="31"/>
  <c r="G85" i="31" s="1"/>
  <c r="D85" i="31"/>
  <c r="F80" i="31"/>
  <c r="G80" i="31" s="1"/>
  <c r="D80" i="31"/>
  <c r="F79" i="31"/>
  <c r="D79" i="31"/>
  <c r="F78" i="31"/>
  <c r="G78" i="31" s="1"/>
  <c r="D78" i="31"/>
  <c r="F77" i="31"/>
  <c r="D77" i="31"/>
  <c r="F76" i="31"/>
  <c r="G76" i="31" s="1"/>
  <c r="D76" i="31"/>
  <c r="A75" i="31"/>
  <c r="A76" i="31" s="1"/>
  <c r="A77" i="31" s="1"/>
  <c r="A78" i="31" s="1"/>
  <c r="A79" i="31" s="1"/>
  <c r="A80" i="31" s="1"/>
  <c r="A81" i="31" s="1"/>
  <c r="A82" i="31" s="1"/>
  <c r="A84" i="31" s="1"/>
  <c r="A85" i="31" s="1"/>
  <c r="A86" i="31" s="1"/>
  <c r="A87" i="31" s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P71" i="31"/>
  <c r="N71" i="31"/>
  <c r="L71" i="31"/>
  <c r="A67" i="31"/>
  <c r="A65" i="31"/>
  <c r="A63" i="31"/>
  <c r="A62" i="31"/>
  <c r="L57" i="31"/>
  <c r="K57" i="31" s="1"/>
  <c r="F54" i="31"/>
  <c r="G54" i="31" s="1"/>
  <c r="F53" i="31"/>
  <c r="G53" i="31" s="1"/>
  <c r="F52" i="31"/>
  <c r="F51" i="31"/>
  <c r="G51" i="31" s="1"/>
  <c r="F50" i="31"/>
  <c r="G50" i="31" s="1"/>
  <c r="F46" i="31"/>
  <c r="G46" i="31" s="1"/>
  <c r="F45" i="31"/>
  <c r="F44" i="31"/>
  <c r="G44" i="31" s="1"/>
  <c r="F43" i="31"/>
  <c r="G43" i="31" s="1"/>
  <c r="F42" i="31"/>
  <c r="G42" i="31" s="1"/>
  <c r="F41" i="31"/>
  <c r="F40" i="31"/>
  <c r="G40" i="31" s="1"/>
  <c r="F39" i="31"/>
  <c r="G39" i="31" s="1"/>
  <c r="F38" i="31"/>
  <c r="G38" i="31" s="1"/>
  <c r="F37" i="31"/>
  <c r="F36" i="31"/>
  <c r="G36" i="31" s="1"/>
  <c r="F35" i="31"/>
  <c r="G35" i="31" s="1"/>
  <c r="F34" i="31"/>
  <c r="G34" i="31" s="1"/>
  <c r="F33" i="31"/>
  <c r="F31" i="31"/>
  <c r="G31" i="31" s="1"/>
  <c r="F27" i="31"/>
  <c r="F26" i="31"/>
  <c r="G26" i="31" s="1"/>
  <c r="F24" i="31"/>
  <c r="G24" i="31" s="1"/>
  <c r="F20" i="31"/>
  <c r="F18" i="31"/>
  <c r="G18" i="31" s="1"/>
  <c r="A17" i="3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7" i="31" s="1"/>
  <c r="A16" i="31"/>
  <c r="A7" i="31"/>
  <c r="A66" i="31" s="1"/>
  <c r="A2" i="31"/>
  <c r="A61" i="31" s="1"/>
  <c r="A1" i="31"/>
  <c r="A60" i="31" s="1"/>
  <c r="A8" i="33"/>
  <c r="A5" i="33"/>
  <c r="A4" i="33"/>
  <c r="A2" i="33"/>
  <c r="A1" i="33"/>
  <c r="G9" i="32"/>
  <c r="A8" i="32"/>
  <c r="A5" i="32"/>
  <c r="A4" i="32"/>
  <c r="A2" i="32"/>
  <c r="A1" i="32"/>
  <c r="A8" i="30"/>
  <c r="A5" i="30"/>
  <c r="A4" i="30"/>
  <c r="A2" i="30"/>
  <c r="A1" i="30"/>
  <c r="D40" i="28"/>
  <c r="F40" i="28" s="1"/>
  <c r="G38" i="28"/>
  <c r="D38" i="28"/>
  <c r="F38" i="28" s="1"/>
  <c r="H36" i="28"/>
  <c r="F36" i="28"/>
  <c r="H34" i="28"/>
  <c r="F34" i="28"/>
  <c r="D34" i="28"/>
  <c r="A25" i="28"/>
  <c r="A24" i="28"/>
  <c r="A22" i="28"/>
  <c r="D18" i="28"/>
  <c r="F18" i="28" s="1"/>
  <c r="G16" i="28"/>
  <c r="D16" i="28"/>
  <c r="F16" i="28" s="1"/>
  <c r="H14" i="28"/>
  <c r="F14" i="28"/>
  <c r="H12" i="28"/>
  <c r="F12" i="28"/>
  <c r="D12" i="28"/>
  <c r="A7" i="28"/>
  <c r="A28" i="28" s="1"/>
  <c r="A4" i="28"/>
  <c r="A2" i="28"/>
  <c r="A23" i="28" s="1"/>
  <c r="A1" i="28"/>
  <c r="Q61" i="99"/>
  <c r="W61" i="99" s="1"/>
  <c r="P59" i="99"/>
  <c r="O59" i="99"/>
  <c r="N59" i="99"/>
  <c r="M59" i="99"/>
  <c r="L59" i="99"/>
  <c r="K59" i="99"/>
  <c r="J59" i="99"/>
  <c r="I59" i="99"/>
  <c r="H59" i="99"/>
  <c r="G59" i="99"/>
  <c r="F59" i="99"/>
  <c r="E59" i="99"/>
  <c r="A53" i="99"/>
  <c r="AC45" i="99"/>
  <c r="AE45" i="99" s="1"/>
  <c r="AF45" i="99" s="1"/>
  <c r="AC44" i="99"/>
  <c r="AE44" i="99" s="1"/>
  <c r="AF44" i="99" s="1"/>
  <c r="Q33" i="99"/>
  <c r="W33" i="99" s="1"/>
  <c r="Q32" i="99"/>
  <c r="P24" i="99"/>
  <c r="O24" i="99"/>
  <c r="N24" i="99"/>
  <c r="M24" i="99"/>
  <c r="L24" i="99"/>
  <c r="K24" i="99"/>
  <c r="J24" i="99"/>
  <c r="I24" i="99"/>
  <c r="H24" i="99"/>
  <c r="G24" i="99"/>
  <c r="F24" i="99"/>
  <c r="E24" i="99"/>
  <c r="D24" i="99"/>
  <c r="A15" i="99"/>
  <c r="A7" i="99"/>
  <c r="A54" i="99" s="1"/>
  <c r="A4" i="99"/>
  <c r="A51" i="99" s="1"/>
  <c r="A2" i="99"/>
  <c r="A49" i="99" s="1"/>
  <c r="A1" i="99"/>
  <c r="A48" i="99" s="1"/>
  <c r="A82" i="98"/>
  <c r="A80" i="98"/>
  <c r="A78" i="98"/>
  <c r="A76" i="98"/>
  <c r="A74" i="98"/>
  <c r="M72" i="98"/>
  <c r="I72" i="98"/>
  <c r="G72" i="98"/>
  <c r="C72" i="98"/>
  <c r="A72" i="98"/>
  <c r="M70" i="98"/>
  <c r="I70" i="98"/>
  <c r="G70" i="98"/>
  <c r="C70" i="98"/>
  <c r="A70" i="98"/>
  <c r="M68" i="98"/>
  <c r="I68" i="98"/>
  <c r="G68" i="98"/>
  <c r="C68" i="98"/>
  <c r="A68" i="98"/>
  <c r="A66" i="98"/>
  <c r="G64" i="98"/>
  <c r="I64" i="98" s="1"/>
  <c r="A64" i="98"/>
  <c r="M62" i="98"/>
  <c r="I62" i="98"/>
  <c r="G62" i="98"/>
  <c r="E62" i="98"/>
  <c r="C62" i="98"/>
  <c r="A62" i="98"/>
  <c r="C60" i="98"/>
  <c r="G60" i="98" s="1"/>
  <c r="I60" i="98" s="1"/>
  <c r="A60" i="98"/>
  <c r="A58" i="98"/>
  <c r="Q56" i="98"/>
  <c r="O56" i="98"/>
  <c r="M56" i="98"/>
  <c r="I56" i="98"/>
  <c r="G56" i="98"/>
  <c r="A56" i="98"/>
  <c r="C54" i="98"/>
  <c r="C58" i="98" s="1"/>
  <c r="A54" i="98"/>
  <c r="C52" i="98"/>
  <c r="E52" i="98" s="1"/>
  <c r="G52" i="98" s="1"/>
  <c r="I52" i="98" s="1"/>
  <c r="A52" i="98"/>
  <c r="I50" i="98"/>
  <c r="G50" i="98"/>
  <c r="E50" i="98"/>
  <c r="A50" i="98"/>
  <c r="I48" i="98"/>
  <c r="G48" i="98"/>
  <c r="A48" i="98"/>
  <c r="A46" i="98"/>
  <c r="M45" i="98"/>
  <c r="E45" i="98"/>
  <c r="A45" i="98"/>
  <c r="M44" i="98"/>
  <c r="E44" i="98"/>
  <c r="C44" i="98"/>
  <c r="G44" i="98" s="1"/>
  <c r="I44" i="98" s="1"/>
  <c r="A44" i="98"/>
  <c r="M43" i="98"/>
  <c r="E43" i="98"/>
  <c r="C43" i="98"/>
  <c r="G43" i="98" s="1"/>
  <c r="A43" i="98"/>
  <c r="A42" i="98"/>
  <c r="C40" i="98"/>
  <c r="C41" i="98" s="1"/>
  <c r="A40" i="98"/>
  <c r="M39" i="98"/>
  <c r="G39" i="98"/>
  <c r="I39" i="98" s="1"/>
  <c r="E39" i="98"/>
  <c r="A39" i="98"/>
  <c r="M38" i="98"/>
  <c r="G38" i="98"/>
  <c r="I38" i="98" s="1"/>
  <c r="E38" i="98"/>
  <c r="A38" i="98"/>
  <c r="M37" i="98"/>
  <c r="G37" i="98"/>
  <c r="G40" i="98" s="1"/>
  <c r="E37" i="98"/>
  <c r="A37" i="98"/>
  <c r="A36" i="98"/>
  <c r="A34" i="98"/>
  <c r="G33" i="98"/>
  <c r="I33" i="98" s="1"/>
  <c r="E33" i="98"/>
  <c r="A33" i="98"/>
  <c r="G32" i="98"/>
  <c r="I32" i="98" s="1"/>
  <c r="E32" i="98"/>
  <c r="A32" i="98"/>
  <c r="E31" i="98"/>
  <c r="C31" i="98"/>
  <c r="G31" i="98" s="1"/>
  <c r="I31" i="98" s="1"/>
  <c r="A31" i="98"/>
  <c r="E30" i="98"/>
  <c r="C30" i="98"/>
  <c r="C34" i="98" s="1"/>
  <c r="A30" i="98"/>
  <c r="A29" i="98"/>
  <c r="A27" i="98"/>
  <c r="M26" i="98"/>
  <c r="G26" i="98"/>
  <c r="I26" i="98" s="1"/>
  <c r="E26" i="98"/>
  <c r="A26" i="98"/>
  <c r="M25" i="98"/>
  <c r="G25" i="98"/>
  <c r="I25" i="98" s="1"/>
  <c r="E25" i="98"/>
  <c r="A25" i="98"/>
  <c r="M24" i="98"/>
  <c r="I24" i="98"/>
  <c r="G24" i="98"/>
  <c r="E24" i="98"/>
  <c r="A24" i="98"/>
  <c r="M23" i="98"/>
  <c r="E23" i="98"/>
  <c r="C23" i="98"/>
  <c r="G23" i="98" s="1"/>
  <c r="I23" i="98" s="1"/>
  <c r="A23" i="98"/>
  <c r="M22" i="98"/>
  <c r="I22" i="98"/>
  <c r="G22" i="98"/>
  <c r="E22" i="98"/>
  <c r="A22" i="98"/>
  <c r="M21" i="98"/>
  <c r="I21" i="98"/>
  <c r="G21" i="98"/>
  <c r="E21" i="98"/>
  <c r="A21" i="98"/>
  <c r="M20" i="98"/>
  <c r="G20" i="98"/>
  <c r="I20" i="98" s="1"/>
  <c r="E20" i="98"/>
  <c r="A20" i="98"/>
  <c r="M19" i="98"/>
  <c r="I19" i="98"/>
  <c r="G19" i="98"/>
  <c r="E19" i="98"/>
  <c r="A19" i="98"/>
  <c r="M18" i="98"/>
  <c r="G18" i="98"/>
  <c r="I18" i="98" s="1"/>
  <c r="E18" i="98"/>
  <c r="A18" i="98"/>
  <c r="M17" i="98"/>
  <c r="G17" i="98"/>
  <c r="I17" i="98" s="1"/>
  <c r="E17" i="98"/>
  <c r="A17" i="98"/>
  <c r="M16" i="98"/>
  <c r="E16" i="98"/>
  <c r="C16" i="98"/>
  <c r="G16" i="98" s="1"/>
  <c r="I16" i="98" s="1"/>
  <c r="A16" i="98"/>
  <c r="M15" i="98"/>
  <c r="I15" i="98"/>
  <c r="G15" i="98"/>
  <c r="E15" i="98"/>
  <c r="A15" i="98"/>
  <c r="M14" i="98"/>
  <c r="I14" i="98"/>
  <c r="G14" i="98"/>
  <c r="E14" i="98"/>
  <c r="A14" i="98"/>
  <c r="M13" i="98"/>
  <c r="I13" i="98"/>
  <c r="G13" i="98"/>
  <c r="E13" i="98"/>
  <c r="A13" i="98"/>
  <c r="M12" i="98"/>
  <c r="I12" i="98"/>
  <c r="G12" i="98"/>
  <c r="A7" i="98"/>
  <c r="A4" i="98"/>
  <c r="A2" i="98"/>
  <c r="A1" i="98"/>
  <c r="Q61" i="103"/>
  <c r="W61" i="103" s="1"/>
  <c r="P59" i="103"/>
  <c r="O59" i="103"/>
  <c r="N59" i="103"/>
  <c r="M59" i="103"/>
  <c r="L59" i="103"/>
  <c r="K59" i="103"/>
  <c r="A53" i="103"/>
  <c r="AE45" i="103"/>
  <c r="AF45" i="103" s="1"/>
  <c r="AC45" i="103"/>
  <c r="AC44" i="103"/>
  <c r="AE44" i="103" s="1"/>
  <c r="AF44" i="103" s="1"/>
  <c r="Q33" i="103"/>
  <c r="W33" i="103" s="1"/>
  <c r="Q32" i="103"/>
  <c r="W32" i="103" s="1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D24" i="103"/>
  <c r="A15" i="103"/>
  <c r="A21" i="103" s="1"/>
  <c r="A28" i="103" s="1"/>
  <c r="A29" i="103" s="1"/>
  <c r="A30" i="103" s="1"/>
  <c r="A31" i="103" s="1"/>
  <c r="A7" i="103"/>
  <c r="A54" i="103" s="1"/>
  <c r="A4" i="103"/>
  <c r="A51" i="103" s="1"/>
  <c r="A2" i="103"/>
  <c r="A49" i="103" s="1"/>
  <c r="A1" i="103"/>
  <c r="A48" i="103" s="1"/>
  <c r="A82" i="102"/>
  <c r="A80" i="102"/>
  <c r="A78" i="102"/>
  <c r="A76" i="102"/>
  <c r="A74" i="102"/>
  <c r="M72" i="102"/>
  <c r="I72" i="102"/>
  <c r="G72" i="102"/>
  <c r="C72" i="102"/>
  <c r="A72" i="102"/>
  <c r="M70" i="102"/>
  <c r="I70" i="102"/>
  <c r="G70" i="102"/>
  <c r="C70" i="102"/>
  <c r="A70" i="102"/>
  <c r="M68" i="102"/>
  <c r="I68" i="102"/>
  <c r="G68" i="102"/>
  <c r="C68" i="102"/>
  <c r="A68" i="102"/>
  <c r="A66" i="102"/>
  <c r="A64" i="102"/>
  <c r="M62" i="102"/>
  <c r="E62" i="102"/>
  <c r="G62" i="102"/>
  <c r="A62" i="102"/>
  <c r="G60" i="102"/>
  <c r="I60" i="102" s="1"/>
  <c r="A60" i="102"/>
  <c r="A58" i="102"/>
  <c r="O56" i="102"/>
  <c r="M56" i="102"/>
  <c r="G56" i="102"/>
  <c r="I56" i="102" s="1"/>
  <c r="Q56" i="102" s="1"/>
  <c r="A56" i="102"/>
  <c r="G54" i="102"/>
  <c r="I54" i="102" s="1"/>
  <c r="G58" i="102"/>
  <c r="I58" i="102" s="1"/>
  <c r="A54" i="102"/>
  <c r="C52" i="102"/>
  <c r="A52" i="102"/>
  <c r="I50" i="102"/>
  <c r="G50" i="102"/>
  <c r="E50" i="102"/>
  <c r="A50" i="102"/>
  <c r="I48" i="102"/>
  <c r="G48" i="102"/>
  <c r="A48" i="102"/>
  <c r="C46" i="102"/>
  <c r="A46" i="102"/>
  <c r="M45" i="102"/>
  <c r="I45" i="102"/>
  <c r="G45" i="102"/>
  <c r="E45" i="102"/>
  <c r="A45" i="102"/>
  <c r="M44" i="102"/>
  <c r="G44" i="102"/>
  <c r="I44" i="102" s="1"/>
  <c r="E44" i="102"/>
  <c r="A44" i="102"/>
  <c r="M43" i="102"/>
  <c r="G43" i="102"/>
  <c r="E43" i="102"/>
  <c r="A43" i="102"/>
  <c r="A42" i="102"/>
  <c r="C40" i="102"/>
  <c r="C41" i="102" s="1"/>
  <c r="A40" i="102"/>
  <c r="M39" i="102"/>
  <c r="G39" i="102"/>
  <c r="I39" i="102" s="1"/>
  <c r="E39" i="102"/>
  <c r="A39" i="102"/>
  <c r="M38" i="102"/>
  <c r="G38" i="102"/>
  <c r="I38" i="102" s="1"/>
  <c r="E38" i="102"/>
  <c r="A38" i="102"/>
  <c r="M37" i="102"/>
  <c r="G37" i="102"/>
  <c r="G40" i="102" s="1"/>
  <c r="E37" i="102"/>
  <c r="A37" i="102"/>
  <c r="A36" i="102"/>
  <c r="A34" i="102"/>
  <c r="I33" i="102"/>
  <c r="G33" i="102"/>
  <c r="E33" i="102"/>
  <c r="A33" i="102"/>
  <c r="G32" i="102"/>
  <c r="I32" i="102" s="1"/>
  <c r="E32" i="102"/>
  <c r="A32" i="102"/>
  <c r="G31" i="102"/>
  <c r="I31" i="102" s="1"/>
  <c r="E31" i="102"/>
  <c r="C31" i="102"/>
  <c r="A31" i="102"/>
  <c r="E30" i="102"/>
  <c r="C30" i="102"/>
  <c r="C34" i="102" s="1"/>
  <c r="A30" i="102"/>
  <c r="A29" i="102"/>
  <c r="A27" i="102"/>
  <c r="M26" i="102"/>
  <c r="G26" i="102"/>
  <c r="I26" i="102" s="1"/>
  <c r="E26" i="102"/>
  <c r="A26" i="102"/>
  <c r="M25" i="102"/>
  <c r="G25" i="102"/>
  <c r="I25" i="102" s="1"/>
  <c r="E25" i="102"/>
  <c r="A25" i="102"/>
  <c r="M24" i="102"/>
  <c r="I24" i="102"/>
  <c r="G24" i="102"/>
  <c r="E24" i="102"/>
  <c r="A24" i="102"/>
  <c r="M23" i="102"/>
  <c r="E23" i="102"/>
  <c r="C23" i="102"/>
  <c r="G23" i="102" s="1"/>
  <c r="I23" i="102" s="1"/>
  <c r="A23" i="102"/>
  <c r="M22" i="102"/>
  <c r="G22" i="102"/>
  <c r="I22" i="102" s="1"/>
  <c r="E22" i="102"/>
  <c r="A22" i="102"/>
  <c r="M21" i="102"/>
  <c r="I21" i="102"/>
  <c r="G21" i="102"/>
  <c r="E21" i="102"/>
  <c r="A21" i="102"/>
  <c r="M20" i="102"/>
  <c r="G20" i="102"/>
  <c r="I20" i="102" s="1"/>
  <c r="E20" i="102"/>
  <c r="A20" i="102"/>
  <c r="M19" i="102"/>
  <c r="G19" i="102"/>
  <c r="I19" i="102" s="1"/>
  <c r="E19" i="102"/>
  <c r="A19" i="102"/>
  <c r="M18" i="102"/>
  <c r="I18" i="102"/>
  <c r="G18" i="102"/>
  <c r="E18" i="102"/>
  <c r="A18" i="102"/>
  <c r="M17" i="102"/>
  <c r="G17" i="102"/>
  <c r="I17" i="102" s="1"/>
  <c r="E17" i="102"/>
  <c r="A17" i="102"/>
  <c r="M16" i="102"/>
  <c r="E16" i="102"/>
  <c r="C16" i="102"/>
  <c r="A16" i="102"/>
  <c r="M15" i="102"/>
  <c r="I15" i="102"/>
  <c r="G15" i="102"/>
  <c r="E15" i="102"/>
  <c r="A15" i="102"/>
  <c r="M14" i="102"/>
  <c r="I14" i="102"/>
  <c r="G14" i="102"/>
  <c r="E14" i="102"/>
  <c r="A14" i="102"/>
  <c r="M13" i="102"/>
  <c r="I13" i="102"/>
  <c r="G13" i="102"/>
  <c r="E13" i="102"/>
  <c r="A13" i="102"/>
  <c r="M12" i="102"/>
  <c r="K12" i="102"/>
  <c r="K20" i="102" s="1"/>
  <c r="I12" i="102"/>
  <c r="G12" i="102"/>
  <c r="A7" i="102"/>
  <c r="A4" i="102"/>
  <c r="A2" i="102"/>
  <c r="A1" i="102"/>
  <c r="E49" i="26"/>
  <c r="C49" i="26"/>
  <c r="E47" i="26"/>
  <c r="E45" i="26"/>
  <c r="C45" i="26"/>
  <c r="E43" i="26"/>
  <c r="C43" i="26"/>
  <c r="E41" i="26"/>
  <c r="C41" i="26"/>
  <c r="A35" i="26"/>
  <c r="A31" i="26"/>
  <c r="A30" i="26"/>
  <c r="A29" i="26"/>
  <c r="A28" i="26"/>
  <c r="E22" i="26"/>
  <c r="C22" i="26"/>
  <c r="E20" i="26"/>
  <c r="E18" i="26"/>
  <c r="C18" i="26"/>
  <c r="E16" i="26"/>
  <c r="C16" i="26"/>
  <c r="E14" i="26"/>
  <c r="C14" i="26"/>
  <c r="A7" i="26"/>
  <c r="A34" i="26" s="1"/>
  <c r="A4" i="26"/>
  <c r="A2" i="26"/>
  <c r="A1" i="26"/>
  <c r="G47" i="25"/>
  <c r="E47" i="25"/>
  <c r="G45" i="25"/>
  <c r="E45" i="25"/>
  <c r="G43" i="25"/>
  <c r="E43" i="25"/>
  <c r="G41" i="25"/>
  <c r="E41" i="25"/>
  <c r="A36" i="25"/>
  <c r="A32" i="25"/>
  <c r="A31" i="25"/>
  <c r="A30" i="25"/>
  <c r="G19" i="25"/>
  <c r="E19" i="25"/>
  <c r="G17" i="25"/>
  <c r="E17" i="25"/>
  <c r="G15" i="25"/>
  <c r="E15" i="25"/>
  <c r="G13" i="25"/>
  <c r="E13" i="25"/>
  <c r="A7" i="25"/>
  <c r="A35" i="25" s="1"/>
  <c r="A4" i="25"/>
  <c r="A2" i="25"/>
  <c r="A1" i="25"/>
  <c r="A29" i="25" s="1"/>
  <c r="O247" i="77"/>
  <c r="P247" i="77" s="1"/>
  <c r="M247" i="77"/>
  <c r="A247" i="77"/>
  <c r="P246" i="77"/>
  <c r="O246" i="77"/>
  <c r="M246" i="77"/>
  <c r="A246" i="77"/>
  <c r="O245" i="77"/>
  <c r="P245" i="77" s="1"/>
  <c r="M245" i="77"/>
  <c r="A245" i="77"/>
  <c r="O244" i="77"/>
  <c r="M244" i="77"/>
  <c r="P244" i="77" s="1"/>
  <c r="A244" i="77"/>
  <c r="O243" i="77"/>
  <c r="M243" i="77"/>
  <c r="A243" i="77"/>
  <c r="O242" i="77"/>
  <c r="M242" i="77"/>
  <c r="P242" i="77" s="1"/>
  <c r="A242" i="77"/>
  <c r="O241" i="77"/>
  <c r="M241" i="77"/>
  <c r="A241" i="77"/>
  <c r="O240" i="77"/>
  <c r="P240" i="77" s="1"/>
  <c r="M240" i="77"/>
  <c r="A240" i="77"/>
  <c r="O239" i="77"/>
  <c r="P239" i="77" s="1"/>
  <c r="M239" i="77"/>
  <c r="A239" i="77"/>
  <c r="P238" i="77"/>
  <c r="O238" i="77"/>
  <c r="M238" i="77"/>
  <c r="A238" i="77"/>
  <c r="O237" i="77"/>
  <c r="P237" i="77" s="1"/>
  <c r="M237" i="77"/>
  <c r="A237" i="77"/>
  <c r="A232" i="77"/>
  <c r="A230" i="77"/>
  <c r="O224" i="77"/>
  <c r="P224" i="77" s="1"/>
  <c r="M224" i="77"/>
  <c r="J224" i="77"/>
  <c r="A224" i="77"/>
  <c r="O223" i="77"/>
  <c r="P223" i="77" s="1"/>
  <c r="M223" i="77"/>
  <c r="J223" i="77"/>
  <c r="A223" i="77"/>
  <c r="O222" i="77"/>
  <c r="P222" i="77" s="1"/>
  <c r="M222" i="77"/>
  <c r="J222" i="77"/>
  <c r="A222" i="77"/>
  <c r="O221" i="77"/>
  <c r="P221" i="77" s="1"/>
  <c r="M221" i="77"/>
  <c r="J221" i="77"/>
  <c r="A221" i="77"/>
  <c r="O220" i="77"/>
  <c r="P220" i="77" s="1"/>
  <c r="M220" i="77"/>
  <c r="J220" i="77"/>
  <c r="A220" i="77"/>
  <c r="O219" i="77"/>
  <c r="P219" i="77" s="1"/>
  <c r="M219" i="77"/>
  <c r="J219" i="77"/>
  <c r="A219" i="77"/>
  <c r="O218" i="77"/>
  <c r="P218" i="77" s="1"/>
  <c r="M218" i="77"/>
  <c r="J218" i="77"/>
  <c r="A218" i="77"/>
  <c r="O217" i="77"/>
  <c r="P217" i="77" s="1"/>
  <c r="M217" i="77"/>
  <c r="J217" i="77"/>
  <c r="A217" i="77"/>
  <c r="O216" i="77"/>
  <c r="P216" i="77" s="1"/>
  <c r="M216" i="77"/>
  <c r="J216" i="77"/>
  <c r="A216" i="77"/>
  <c r="O215" i="77"/>
  <c r="P215" i="77" s="1"/>
  <c r="M215" i="77"/>
  <c r="J215" i="77"/>
  <c r="A215" i="77"/>
  <c r="O214" i="77"/>
  <c r="P214" i="77" s="1"/>
  <c r="M214" i="77"/>
  <c r="J214" i="77"/>
  <c r="A214" i="77"/>
  <c r="O213" i="77"/>
  <c r="P213" i="77" s="1"/>
  <c r="M213" i="77"/>
  <c r="J213" i="77"/>
  <c r="A213" i="77"/>
  <c r="O212" i="77"/>
  <c r="P212" i="77" s="1"/>
  <c r="M212" i="77"/>
  <c r="J212" i="77"/>
  <c r="A212" i="77"/>
  <c r="O211" i="77"/>
  <c r="P211" i="77" s="1"/>
  <c r="M211" i="77"/>
  <c r="J211" i="77"/>
  <c r="A211" i="77"/>
  <c r="O210" i="77"/>
  <c r="P210" i="77" s="1"/>
  <c r="M210" i="77"/>
  <c r="J210" i="77"/>
  <c r="A210" i="77"/>
  <c r="O209" i="77"/>
  <c r="P209" i="77" s="1"/>
  <c r="M209" i="77"/>
  <c r="J209" i="77"/>
  <c r="A209" i="77"/>
  <c r="O208" i="77"/>
  <c r="P208" i="77" s="1"/>
  <c r="M208" i="77"/>
  <c r="J208" i="77"/>
  <c r="A208" i="77"/>
  <c r="O207" i="77"/>
  <c r="P207" i="77" s="1"/>
  <c r="M207" i="77"/>
  <c r="J207" i="77"/>
  <c r="A207" i="77"/>
  <c r="O206" i="77"/>
  <c r="P206" i="77" s="1"/>
  <c r="M206" i="77"/>
  <c r="J206" i="77"/>
  <c r="A206" i="77"/>
  <c r="O205" i="77"/>
  <c r="P205" i="77" s="1"/>
  <c r="M205" i="77"/>
  <c r="J205" i="77"/>
  <c r="A205" i="77"/>
  <c r="O204" i="77"/>
  <c r="P204" i="77" s="1"/>
  <c r="M204" i="77"/>
  <c r="J204" i="77"/>
  <c r="A204" i="77"/>
  <c r="O203" i="77"/>
  <c r="P203" i="77" s="1"/>
  <c r="M203" i="77"/>
  <c r="J203" i="77"/>
  <c r="A203" i="77"/>
  <c r="O202" i="77"/>
  <c r="P202" i="77" s="1"/>
  <c r="M202" i="77"/>
  <c r="J202" i="77"/>
  <c r="A202" i="77"/>
  <c r="O201" i="77"/>
  <c r="P201" i="77" s="1"/>
  <c r="M201" i="77"/>
  <c r="J201" i="77"/>
  <c r="A201" i="77"/>
  <c r="O200" i="77"/>
  <c r="P200" i="77" s="1"/>
  <c r="M200" i="77"/>
  <c r="J200" i="77"/>
  <c r="A200" i="77"/>
  <c r="O199" i="77"/>
  <c r="P199" i="77" s="1"/>
  <c r="M199" i="77"/>
  <c r="J199" i="77"/>
  <c r="A199" i="77"/>
  <c r="O198" i="77"/>
  <c r="P198" i="77" s="1"/>
  <c r="M198" i="77"/>
  <c r="J198" i="77"/>
  <c r="A198" i="77"/>
  <c r="O197" i="77"/>
  <c r="P197" i="77" s="1"/>
  <c r="M197" i="77"/>
  <c r="J197" i="77"/>
  <c r="A197" i="77"/>
  <c r="O196" i="77"/>
  <c r="P196" i="77" s="1"/>
  <c r="M196" i="77"/>
  <c r="J196" i="77"/>
  <c r="A196" i="77"/>
  <c r="O195" i="77"/>
  <c r="P195" i="77" s="1"/>
  <c r="M195" i="77"/>
  <c r="J195" i="77"/>
  <c r="A195" i="77"/>
  <c r="O194" i="77"/>
  <c r="P194" i="77" s="1"/>
  <c r="M194" i="77"/>
  <c r="J194" i="77"/>
  <c r="A194" i="77"/>
  <c r="O193" i="77"/>
  <c r="P193" i="77" s="1"/>
  <c r="M193" i="77"/>
  <c r="J193" i="77"/>
  <c r="A193" i="77"/>
  <c r="O192" i="77"/>
  <c r="P192" i="77" s="1"/>
  <c r="M192" i="77"/>
  <c r="J192" i="77"/>
  <c r="A192" i="77"/>
  <c r="O191" i="77"/>
  <c r="P191" i="77" s="1"/>
  <c r="M191" i="77"/>
  <c r="J191" i="77"/>
  <c r="A191" i="77"/>
  <c r="O190" i="77"/>
  <c r="P190" i="77" s="1"/>
  <c r="M190" i="77"/>
  <c r="J190" i="77"/>
  <c r="A190" i="77"/>
  <c r="O189" i="77"/>
  <c r="P189" i="77" s="1"/>
  <c r="M189" i="77"/>
  <c r="J189" i="77"/>
  <c r="A189" i="77"/>
  <c r="O188" i="77"/>
  <c r="P188" i="77" s="1"/>
  <c r="M188" i="77"/>
  <c r="J188" i="77"/>
  <c r="A188" i="77"/>
  <c r="O187" i="77"/>
  <c r="P187" i="77" s="1"/>
  <c r="M187" i="77"/>
  <c r="J187" i="77"/>
  <c r="A187" i="77"/>
  <c r="O186" i="77"/>
  <c r="P186" i="77" s="1"/>
  <c r="M186" i="77"/>
  <c r="J186" i="77"/>
  <c r="A186" i="77"/>
  <c r="O185" i="77"/>
  <c r="P185" i="77" s="1"/>
  <c r="M185" i="77"/>
  <c r="J185" i="77"/>
  <c r="A185" i="77"/>
  <c r="O184" i="77"/>
  <c r="P184" i="77" s="1"/>
  <c r="M184" i="77"/>
  <c r="J184" i="77"/>
  <c r="A184" i="77"/>
  <c r="O183" i="77"/>
  <c r="P183" i="77" s="1"/>
  <c r="M183" i="77"/>
  <c r="J183" i="77"/>
  <c r="A183" i="77"/>
  <c r="O182" i="77"/>
  <c r="P182" i="77" s="1"/>
  <c r="M182" i="77"/>
  <c r="J182" i="77"/>
  <c r="A182" i="77"/>
  <c r="O181" i="77"/>
  <c r="P181" i="77" s="1"/>
  <c r="M181" i="77"/>
  <c r="J181" i="77"/>
  <c r="A181" i="77"/>
  <c r="A176" i="77"/>
  <c r="A174" i="77"/>
  <c r="A172" i="77"/>
  <c r="A170" i="77"/>
  <c r="O168" i="77"/>
  <c r="P168" i="77" s="1"/>
  <c r="M168" i="77"/>
  <c r="J168" i="77"/>
  <c r="A168" i="77"/>
  <c r="P167" i="77"/>
  <c r="O167" i="77"/>
  <c r="M167" i="77"/>
  <c r="J167" i="77"/>
  <c r="A167" i="77"/>
  <c r="O166" i="77"/>
  <c r="M166" i="77"/>
  <c r="J166" i="77"/>
  <c r="A166" i="77"/>
  <c r="O165" i="77"/>
  <c r="M165" i="77"/>
  <c r="P165" i="77" s="1"/>
  <c r="J165" i="77"/>
  <c r="A165" i="77"/>
  <c r="O164" i="77"/>
  <c r="M164" i="77"/>
  <c r="J164" i="77"/>
  <c r="A164" i="77"/>
  <c r="O163" i="77"/>
  <c r="P163" i="77" s="1"/>
  <c r="M163" i="77"/>
  <c r="J163" i="77"/>
  <c r="A163" i="77"/>
  <c r="O162" i="77"/>
  <c r="P162" i="77" s="1"/>
  <c r="M162" i="77"/>
  <c r="J162" i="77"/>
  <c r="A162" i="77"/>
  <c r="P161" i="77"/>
  <c r="O161" i="77"/>
  <c r="M161" i="77"/>
  <c r="J161" i="77"/>
  <c r="A161" i="77"/>
  <c r="O160" i="77"/>
  <c r="M160" i="77"/>
  <c r="J160" i="77"/>
  <c r="A160" i="77"/>
  <c r="O159" i="77"/>
  <c r="M159" i="77"/>
  <c r="P159" i="77" s="1"/>
  <c r="J159" i="77"/>
  <c r="A159" i="77"/>
  <c r="O158" i="77"/>
  <c r="P158" i="77" s="1"/>
  <c r="M158" i="77"/>
  <c r="J158" i="77"/>
  <c r="A158" i="77"/>
  <c r="O157" i="77"/>
  <c r="M157" i="77"/>
  <c r="P157" i="77" s="1"/>
  <c r="J157" i="77"/>
  <c r="A157" i="77"/>
  <c r="O156" i="77"/>
  <c r="M156" i="77"/>
  <c r="J156" i="77"/>
  <c r="A156" i="77"/>
  <c r="O155" i="77"/>
  <c r="M155" i="77"/>
  <c r="P155" i="77" s="1"/>
  <c r="J155" i="77"/>
  <c r="A155" i="77"/>
  <c r="O154" i="77"/>
  <c r="P154" i="77" s="1"/>
  <c r="M154" i="77"/>
  <c r="J154" i="77"/>
  <c r="A154" i="77"/>
  <c r="P153" i="77"/>
  <c r="O153" i="77"/>
  <c r="M153" i="77"/>
  <c r="J153" i="77"/>
  <c r="A153" i="77"/>
  <c r="O152" i="77"/>
  <c r="M152" i="77"/>
  <c r="J152" i="77"/>
  <c r="A152" i="77"/>
  <c r="O151" i="77"/>
  <c r="M151" i="77"/>
  <c r="P151" i="77" s="1"/>
  <c r="J151" i="77"/>
  <c r="A151" i="77"/>
  <c r="O150" i="77"/>
  <c r="P150" i="77" s="1"/>
  <c r="M150" i="77"/>
  <c r="J150" i="77"/>
  <c r="A150" i="77"/>
  <c r="O149" i="77"/>
  <c r="M149" i="77"/>
  <c r="P149" i="77" s="1"/>
  <c r="J149" i="77"/>
  <c r="A149" i="77"/>
  <c r="O148" i="77"/>
  <c r="M148" i="77"/>
  <c r="J148" i="77"/>
  <c r="A148" i="77"/>
  <c r="O147" i="77"/>
  <c r="M147" i="77"/>
  <c r="P147" i="77" s="1"/>
  <c r="J147" i="77"/>
  <c r="A147" i="77"/>
  <c r="O146" i="77"/>
  <c r="P146" i="77" s="1"/>
  <c r="M146" i="77"/>
  <c r="J146" i="77"/>
  <c r="A146" i="77"/>
  <c r="P145" i="77"/>
  <c r="O145" i="77"/>
  <c r="M145" i="77"/>
  <c r="J145" i="77"/>
  <c r="A145" i="77"/>
  <c r="O144" i="77"/>
  <c r="M144" i="77"/>
  <c r="J144" i="77"/>
  <c r="A144" i="77"/>
  <c r="O143" i="77"/>
  <c r="M143" i="77"/>
  <c r="P143" i="77" s="1"/>
  <c r="J143" i="77"/>
  <c r="A143" i="77"/>
  <c r="O142" i="77"/>
  <c r="P142" i="77" s="1"/>
  <c r="M142" i="77"/>
  <c r="J142" i="77"/>
  <c r="A142" i="77"/>
  <c r="O141" i="77"/>
  <c r="M141" i="77"/>
  <c r="P141" i="77" s="1"/>
  <c r="J141" i="77"/>
  <c r="A141" i="77"/>
  <c r="O140" i="77"/>
  <c r="M140" i="77"/>
  <c r="J140" i="77"/>
  <c r="A140" i="77"/>
  <c r="O139" i="77"/>
  <c r="P139" i="77" s="1"/>
  <c r="M139" i="77"/>
  <c r="J139" i="77"/>
  <c r="A139" i="77"/>
  <c r="O138" i="77"/>
  <c r="P138" i="77" s="1"/>
  <c r="M138" i="77"/>
  <c r="J138" i="77"/>
  <c r="A138" i="77"/>
  <c r="P137" i="77"/>
  <c r="O137" i="77"/>
  <c r="M137" i="77"/>
  <c r="J137" i="77"/>
  <c r="A137" i="77"/>
  <c r="O136" i="77"/>
  <c r="M136" i="77"/>
  <c r="J136" i="77"/>
  <c r="A136" i="77"/>
  <c r="O135" i="77"/>
  <c r="M135" i="77"/>
  <c r="P135" i="77" s="1"/>
  <c r="J135" i="77"/>
  <c r="A135" i="77"/>
  <c r="O134" i="77"/>
  <c r="P134" i="77" s="1"/>
  <c r="M134" i="77"/>
  <c r="J134" i="77"/>
  <c r="A134" i="77"/>
  <c r="O133" i="77"/>
  <c r="M133" i="77"/>
  <c r="P133" i="77" s="1"/>
  <c r="J133" i="77"/>
  <c r="A133" i="77"/>
  <c r="O132" i="77"/>
  <c r="M132" i="77"/>
  <c r="J132" i="77"/>
  <c r="A132" i="77"/>
  <c r="O131" i="77"/>
  <c r="M131" i="77"/>
  <c r="P131" i="77" s="1"/>
  <c r="J131" i="77"/>
  <c r="A131" i="77"/>
  <c r="O130" i="77"/>
  <c r="P130" i="77" s="1"/>
  <c r="M130" i="77"/>
  <c r="J130" i="77"/>
  <c r="A130" i="77"/>
  <c r="P129" i="77"/>
  <c r="O129" i="77"/>
  <c r="M129" i="77"/>
  <c r="J129" i="77"/>
  <c r="A129" i="77"/>
  <c r="O128" i="77"/>
  <c r="M128" i="77"/>
  <c r="J128" i="77"/>
  <c r="A128" i="77"/>
  <c r="O127" i="77"/>
  <c r="M127" i="77"/>
  <c r="P127" i="77" s="1"/>
  <c r="J127" i="77"/>
  <c r="A127" i="77"/>
  <c r="O126" i="77"/>
  <c r="P126" i="77" s="1"/>
  <c r="M126" i="77"/>
  <c r="J126" i="77"/>
  <c r="A126" i="77"/>
  <c r="O125" i="77"/>
  <c r="M125" i="77"/>
  <c r="P125" i="77" s="1"/>
  <c r="J125" i="77"/>
  <c r="A125" i="77"/>
  <c r="A120" i="77"/>
  <c r="A118" i="77"/>
  <c r="A116" i="77"/>
  <c r="A114" i="77"/>
  <c r="O112" i="77"/>
  <c r="M112" i="77"/>
  <c r="J112" i="77"/>
  <c r="A112" i="77"/>
  <c r="O111" i="77"/>
  <c r="M111" i="77"/>
  <c r="J111" i="77"/>
  <c r="A111" i="77"/>
  <c r="O110" i="77"/>
  <c r="M110" i="77"/>
  <c r="J110" i="77"/>
  <c r="A110" i="77"/>
  <c r="O109" i="77"/>
  <c r="M109" i="77"/>
  <c r="J109" i="77"/>
  <c r="A109" i="77"/>
  <c r="O108" i="77"/>
  <c r="M108" i="77"/>
  <c r="J108" i="77"/>
  <c r="A108" i="77"/>
  <c r="O107" i="77"/>
  <c r="M107" i="77"/>
  <c r="J107" i="77"/>
  <c r="A107" i="77"/>
  <c r="O106" i="77"/>
  <c r="M106" i="77"/>
  <c r="J106" i="77"/>
  <c r="A106" i="77"/>
  <c r="O105" i="77"/>
  <c r="M105" i="77"/>
  <c r="J105" i="77"/>
  <c r="A105" i="77"/>
  <c r="O104" i="77"/>
  <c r="M104" i="77"/>
  <c r="J104" i="77"/>
  <c r="A104" i="77"/>
  <c r="O103" i="77"/>
  <c r="M103" i="77"/>
  <c r="J103" i="77"/>
  <c r="A103" i="77"/>
  <c r="O102" i="77"/>
  <c r="M102" i="77"/>
  <c r="J102" i="77"/>
  <c r="A102" i="77"/>
  <c r="O101" i="77"/>
  <c r="M101" i="77"/>
  <c r="J101" i="77"/>
  <c r="A101" i="77"/>
  <c r="O100" i="77"/>
  <c r="M100" i="77"/>
  <c r="J100" i="77"/>
  <c r="A100" i="77"/>
  <c r="O99" i="77"/>
  <c r="M99" i="77"/>
  <c r="J99" i="77"/>
  <c r="A99" i="77"/>
  <c r="O98" i="77"/>
  <c r="M98" i="77"/>
  <c r="J98" i="77"/>
  <c r="A98" i="77"/>
  <c r="O97" i="77"/>
  <c r="M97" i="77"/>
  <c r="J97" i="77"/>
  <c r="A97" i="77"/>
  <c r="O96" i="77"/>
  <c r="M96" i="77"/>
  <c r="J96" i="77"/>
  <c r="A96" i="77"/>
  <c r="O95" i="77"/>
  <c r="M95" i="77"/>
  <c r="J95" i="77"/>
  <c r="A95" i="77"/>
  <c r="O94" i="77"/>
  <c r="M94" i="77"/>
  <c r="J94" i="77"/>
  <c r="A94" i="77"/>
  <c r="O93" i="77"/>
  <c r="M93" i="77"/>
  <c r="J93" i="77"/>
  <c r="A93" i="77"/>
  <c r="O92" i="77"/>
  <c r="M92" i="77"/>
  <c r="J92" i="77"/>
  <c r="A92" i="77"/>
  <c r="O91" i="77"/>
  <c r="M91" i="77"/>
  <c r="J91" i="77"/>
  <c r="A91" i="77"/>
  <c r="O90" i="77"/>
  <c r="M90" i="77"/>
  <c r="J90" i="77"/>
  <c r="A90" i="77"/>
  <c r="O89" i="77"/>
  <c r="M89" i="77"/>
  <c r="J89" i="77"/>
  <c r="A89" i="77"/>
  <c r="O88" i="77"/>
  <c r="M88" i="77"/>
  <c r="J88" i="77"/>
  <c r="A88" i="77"/>
  <c r="O87" i="77"/>
  <c r="M87" i="77"/>
  <c r="J87" i="77"/>
  <c r="A87" i="77"/>
  <c r="O86" i="77"/>
  <c r="M86" i="77"/>
  <c r="J86" i="77"/>
  <c r="A86" i="77"/>
  <c r="O85" i="77"/>
  <c r="M85" i="77"/>
  <c r="J85" i="77"/>
  <c r="A85" i="77"/>
  <c r="O84" i="77"/>
  <c r="M84" i="77"/>
  <c r="J84" i="77"/>
  <c r="A84" i="77"/>
  <c r="O83" i="77"/>
  <c r="M83" i="77"/>
  <c r="J83" i="77"/>
  <c r="A83" i="77"/>
  <c r="O82" i="77"/>
  <c r="M82" i="77"/>
  <c r="J82" i="77"/>
  <c r="A82" i="77"/>
  <c r="O81" i="77"/>
  <c r="M81" i="77"/>
  <c r="J81" i="77"/>
  <c r="A81" i="77"/>
  <c r="O80" i="77"/>
  <c r="M80" i="77"/>
  <c r="J80" i="77"/>
  <c r="A80" i="77"/>
  <c r="O79" i="77"/>
  <c r="M79" i="77"/>
  <c r="J79" i="77"/>
  <c r="A79" i="77"/>
  <c r="O78" i="77"/>
  <c r="M78" i="77"/>
  <c r="J78" i="77"/>
  <c r="A78" i="77"/>
  <c r="O77" i="77"/>
  <c r="M77" i="77"/>
  <c r="J77" i="77"/>
  <c r="A77" i="77"/>
  <c r="O76" i="77"/>
  <c r="M76" i="77"/>
  <c r="J76" i="77"/>
  <c r="A76" i="77"/>
  <c r="O75" i="77"/>
  <c r="M75" i="77"/>
  <c r="J75" i="77"/>
  <c r="A75" i="77"/>
  <c r="O74" i="77"/>
  <c r="M74" i="77"/>
  <c r="J74" i="77"/>
  <c r="A74" i="77"/>
  <c r="O73" i="77"/>
  <c r="M73" i="77"/>
  <c r="J73" i="77"/>
  <c r="A73" i="77"/>
  <c r="O72" i="77"/>
  <c r="M72" i="77"/>
  <c r="J72" i="77"/>
  <c r="A72" i="77"/>
  <c r="O71" i="77"/>
  <c r="M71" i="77"/>
  <c r="J71" i="77"/>
  <c r="A71" i="77"/>
  <c r="O70" i="77"/>
  <c r="M70" i="77"/>
  <c r="P70" i="77" s="1"/>
  <c r="J70" i="77"/>
  <c r="A70" i="77"/>
  <c r="O69" i="77"/>
  <c r="M69" i="77"/>
  <c r="J69" i="77"/>
  <c r="A69" i="77"/>
  <c r="A64" i="77"/>
  <c r="A62" i="77"/>
  <c r="O56" i="77"/>
  <c r="P56" i="77" s="1"/>
  <c r="M56" i="77"/>
  <c r="J56" i="77"/>
  <c r="A56" i="77"/>
  <c r="O55" i="77"/>
  <c r="P55" i="77" s="1"/>
  <c r="M55" i="77"/>
  <c r="J55" i="77"/>
  <c r="A55" i="77"/>
  <c r="O54" i="77"/>
  <c r="P54" i="77" s="1"/>
  <c r="M54" i="77"/>
  <c r="J54" i="77"/>
  <c r="A54" i="77"/>
  <c r="O53" i="77"/>
  <c r="P53" i="77" s="1"/>
  <c r="M53" i="77"/>
  <c r="J53" i="77"/>
  <c r="A53" i="77"/>
  <c r="O52" i="77"/>
  <c r="P52" i="77" s="1"/>
  <c r="M52" i="77"/>
  <c r="J52" i="77"/>
  <c r="A52" i="77"/>
  <c r="O51" i="77"/>
  <c r="P51" i="77" s="1"/>
  <c r="M51" i="77"/>
  <c r="J51" i="77"/>
  <c r="A51" i="77"/>
  <c r="O50" i="77"/>
  <c r="P50" i="77" s="1"/>
  <c r="M50" i="77"/>
  <c r="J50" i="77"/>
  <c r="A50" i="77"/>
  <c r="O49" i="77"/>
  <c r="P49" i="77" s="1"/>
  <c r="M49" i="77"/>
  <c r="J49" i="77"/>
  <c r="A49" i="77"/>
  <c r="O48" i="77"/>
  <c r="P48" i="77" s="1"/>
  <c r="M48" i="77"/>
  <c r="J48" i="77"/>
  <c r="A48" i="77"/>
  <c r="O47" i="77"/>
  <c r="P47" i="77" s="1"/>
  <c r="M47" i="77"/>
  <c r="J47" i="77"/>
  <c r="A47" i="77"/>
  <c r="O46" i="77"/>
  <c r="P46" i="77" s="1"/>
  <c r="M46" i="77"/>
  <c r="J46" i="77"/>
  <c r="A46" i="77"/>
  <c r="O45" i="77"/>
  <c r="P45" i="77" s="1"/>
  <c r="M45" i="77"/>
  <c r="J45" i="77"/>
  <c r="A45" i="77"/>
  <c r="O44" i="77"/>
  <c r="P44" i="77" s="1"/>
  <c r="M44" i="77"/>
  <c r="J44" i="77"/>
  <c r="A44" i="77"/>
  <c r="O43" i="77"/>
  <c r="P43" i="77" s="1"/>
  <c r="M43" i="77"/>
  <c r="J43" i="77"/>
  <c r="A43" i="77"/>
  <c r="O42" i="77"/>
  <c r="P42" i="77" s="1"/>
  <c r="M42" i="77"/>
  <c r="J42" i="77"/>
  <c r="A42" i="77"/>
  <c r="O41" i="77"/>
  <c r="P41" i="77" s="1"/>
  <c r="M41" i="77"/>
  <c r="J41" i="77"/>
  <c r="A41" i="77"/>
  <c r="O40" i="77"/>
  <c r="P40" i="77" s="1"/>
  <c r="M40" i="77"/>
  <c r="J40" i="77"/>
  <c r="A40" i="77"/>
  <c r="O39" i="77"/>
  <c r="P39" i="77" s="1"/>
  <c r="M39" i="77"/>
  <c r="J39" i="77"/>
  <c r="A39" i="77"/>
  <c r="O38" i="77"/>
  <c r="P38" i="77" s="1"/>
  <c r="M38" i="77"/>
  <c r="J38" i="77"/>
  <c r="A38" i="77"/>
  <c r="O37" i="77"/>
  <c r="P37" i="77" s="1"/>
  <c r="M37" i="77"/>
  <c r="J37" i="77"/>
  <c r="A37" i="77"/>
  <c r="O36" i="77"/>
  <c r="P36" i="77" s="1"/>
  <c r="M36" i="77"/>
  <c r="J36" i="77"/>
  <c r="A36" i="77"/>
  <c r="O35" i="77"/>
  <c r="P35" i="77" s="1"/>
  <c r="M35" i="77"/>
  <c r="J35" i="77"/>
  <c r="A35" i="77"/>
  <c r="O34" i="77"/>
  <c r="P34" i="77" s="1"/>
  <c r="M34" i="77"/>
  <c r="J34" i="77"/>
  <c r="A34" i="77"/>
  <c r="O33" i="77"/>
  <c r="P33" i="77" s="1"/>
  <c r="M33" i="77"/>
  <c r="J33" i="77"/>
  <c r="A33" i="77"/>
  <c r="O32" i="77"/>
  <c r="P32" i="77" s="1"/>
  <c r="M32" i="77"/>
  <c r="J32" i="77"/>
  <c r="A32" i="77"/>
  <c r="O31" i="77"/>
  <c r="P31" i="77" s="1"/>
  <c r="M31" i="77"/>
  <c r="J31" i="77"/>
  <c r="A31" i="77"/>
  <c r="O30" i="77"/>
  <c r="P30" i="77" s="1"/>
  <c r="M30" i="77"/>
  <c r="J30" i="77"/>
  <c r="A30" i="77"/>
  <c r="O29" i="77"/>
  <c r="P29" i="77" s="1"/>
  <c r="M29" i="77"/>
  <c r="J29" i="77"/>
  <c r="A29" i="77"/>
  <c r="O28" i="77"/>
  <c r="P28" i="77" s="1"/>
  <c r="M28" i="77"/>
  <c r="J28" i="77"/>
  <c r="A28" i="77"/>
  <c r="O27" i="77"/>
  <c r="P27" i="77" s="1"/>
  <c r="M27" i="77"/>
  <c r="J27" i="77"/>
  <c r="A27" i="77"/>
  <c r="O26" i="77"/>
  <c r="P26" i="77" s="1"/>
  <c r="M26" i="77"/>
  <c r="J26" i="77"/>
  <c r="A26" i="77"/>
  <c r="O25" i="77"/>
  <c r="P25" i="77" s="1"/>
  <c r="M25" i="77"/>
  <c r="J25" i="77"/>
  <c r="A25" i="77"/>
  <c r="O24" i="77"/>
  <c r="P24" i="77" s="1"/>
  <c r="M24" i="77"/>
  <c r="J24" i="77"/>
  <c r="A24" i="77"/>
  <c r="O23" i="77"/>
  <c r="P23" i="77" s="1"/>
  <c r="M23" i="77"/>
  <c r="J23" i="77"/>
  <c r="A23" i="77"/>
  <c r="O22" i="77"/>
  <c r="P22" i="77" s="1"/>
  <c r="M22" i="77"/>
  <c r="J22" i="77"/>
  <c r="A22" i="77"/>
  <c r="O21" i="77"/>
  <c r="P21" i="77" s="1"/>
  <c r="M21" i="77"/>
  <c r="J21" i="77"/>
  <c r="A21" i="77"/>
  <c r="O20" i="77"/>
  <c r="P20" i="77" s="1"/>
  <c r="M20" i="77"/>
  <c r="J20" i="77"/>
  <c r="A20" i="77"/>
  <c r="O19" i="77"/>
  <c r="P19" i="77" s="1"/>
  <c r="M19" i="77"/>
  <c r="J19" i="77"/>
  <c r="A19" i="77"/>
  <c r="O18" i="77"/>
  <c r="P18" i="77" s="1"/>
  <c r="M18" i="77"/>
  <c r="J18" i="77"/>
  <c r="A18" i="77"/>
  <c r="O17" i="77"/>
  <c r="P17" i="77" s="1"/>
  <c r="M17" i="77"/>
  <c r="J17" i="77"/>
  <c r="A17" i="77"/>
  <c r="O16" i="77"/>
  <c r="P16" i="77" s="1"/>
  <c r="M16" i="77"/>
  <c r="J16" i="77"/>
  <c r="A16" i="77"/>
  <c r="O15" i="77"/>
  <c r="P15" i="77" s="1"/>
  <c r="M15" i="77"/>
  <c r="J15" i="77"/>
  <c r="A15" i="77"/>
  <c r="O14" i="77"/>
  <c r="P14" i="77" s="1"/>
  <c r="M14" i="77"/>
  <c r="J14" i="77"/>
  <c r="A14" i="77"/>
  <c r="O13" i="77"/>
  <c r="P13" i="77" s="1"/>
  <c r="M13" i="77"/>
  <c r="J13" i="77"/>
  <c r="A7" i="77"/>
  <c r="A175" i="77" s="1"/>
  <c r="A4" i="77"/>
  <c r="A228" i="77" s="1"/>
  <c r="A2" i="77"/>
  <c r="A226" i="77" s="1"/>
  <c r="A1" i="77"/>
  <c r="A225" i="77" s="1"/>
  <c r="O142" i="76"/>
  <c r="M142" i="76"/>
  <c r="O141" i="76"/>
  <c r="M141" i="76"/>
  <c r="P141" i="76" s="1"/>
  <c r="O140" i="76"/>
  <c r="M140" i="76"/>
  <c r="O139" i="76"/>
  <c r="M139" i="76"/>
  <c r="O138" i="76"/>
  <c r="M138" i="76"/>
  <c r="O137" i="76"/>
  <c r="M137" i="76"/>
  <c r="P137" i="76" s="1"/>
  <c r="O136" i="76"/>
  <c r="M136" i="76"/>
  <c r="O135" i="76"/>
  <c r="M135" i="76"/>
  <c r="O134" i="76"/>
  <c r="M134" i="76"/>
  <c r="O133" i="76"/>
  <c r="M133" i="76"/>
  <c r="P133" i="76" s="1"/>
  <c r="O132" i="76"/>
  <c r="P132" i="76" s="1"/>
  <c r="M132" i="76"/>
  <c r="O131" i="76"/>
  <c r="P131" i="76" s="1"/>
  <c r="M131" i="76"/>
  <c r="O130" i="76"/>
  <c r="M130" i="76"/>
  <c r="O129" i="76"/>
  <c r="P129" i="76" s="1"/>
  <c r="M129" i="76"/>
  <c r="O128" i="76"/>
  <c r="M128" i="76"/>
  <c r="O127" i="76"/>
  <c r="M127" i="76"/>
  <c r="O126" i="76"/>
  <c r="M126" i="76"/>
  <c r="O125" i="76"/>
  <c r="M125" i="76"/>
  <c r="A120" i="76"/>
  <c r="A118" i="76"/>
  <c r="O112" i="76"/>
  <c r="M112" i="76"/>
  <c r="P112" i="76" s="1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P108" i="76" s="1"/>
  <c r="J108" i="76"/>
  <c r="O107" i="76"/>
  <c r="M107" i="76"/>
  <c r="J107" i="76"/>
  <c r="P106" i="76"/>
  <c r="O106" i="76"/>
  <c r="M106" i="76"/>
  <c r="J106" i="76"/>
  <c r="O105" i="76"/>
  <c r="M105" i="76"/>
  <c r="J105" i="76"/>
  <c r="O104" i="76"/>
  <c r="M104" i="76"/>
  <c r="J104" i="76"/>
  <c r="O103" i="76"/>
  <c r="P103" i="76" s="1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P99" i="76" s="1"/>
  <c r="M99" i="76"/>
  <c r="J99" i="76"/>
  <c r="P98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P94" i="76" s="1"/>
  <c r="J94" i="76"/>
  <c r="O93" i="76"/>
  <c r="M93" i="76"/>
  <c r="J93" i="76"/>
  <c r="O92" i="76"/>
  <c r="M92" i="76"/>
  <c r="P92" i="76" s="1"/>
  <c r="J92" i="76"/>
  <c r="O91" i="76"/>
  <c r="M91" i="76"/>
  <c r="J91" i="76"/>
  <c r="O90" i="76"/>
  <c r="M90" i="76"/>
  <c r="P90" i="76" s="1"/>
  <c r="J90" i="76"/>
  <c r="O89" i="76"/>
  <c r="M89" i="76"/>
  <c r="J89" i="76"/>
  <c r="O88" i="76"/>
  <c r="M88" i="76"/>
  <c r="P88" i="76" s="1"/>
  <c r="J88" i="76"/>
  <c r="O87" i="76"/>
  <c r="M87" i="76"/>
  <c r="J87" i="76"/>
  <c r="O86" i="76"/>
  <c r="M86" i="76"/>
  <c r="P86" i="76" s="1"/>
  <c r="J86" i="76"/>
  <c r="O85" i="76"/>
  <c r="M85" i="76"/>
  <c r="J85" i="76"/>
  <c r="O84" i="76"/>
  <c r="M84" i="76"/>
  <c r="P84" i="76" s="1"/>
  <c r="J84" i="76"/>
  <c r="O83" i="76"/>
  <c r="M83" i="76"/>
  <c r="J83" i="76"/>
  <c r="O82" i="76"/>
  <c r="M82" i="76"/>
  <c r="P82" i="76" s="1"/>
  <c r="J82" i="76"/>
  <c r="O81" i="76"/>
  <c r="M81" i="76"/>
  <c r="J81" i="76"/>
  <c r="O80" i="76"/>
  <c r="M80" i="76"/>
  <c r="J80" i="76"/>
  <c r="O79" i="76"/>
  <c r="P79" i="76" s="1"/>
  <c r="M79" i="76"/>
  <c r="J79" i="76"/>
  <c r="O78" i="76"/>
  <c r="M78" i="76"/>
  <c r="P78" i="76" s="1"/>
  <c r="J78" i="76"/>
  <c r="O77" i="76"/>
  <c r="M77" i="76"/>
  <c r="J77" i="76"/>
  <c r="O76" i="76"/>
  <c r="M76" i="76"/>
  <c r="J76" i="76"/>
  <c r="O75" i="76"/>
  <c r="P75" i="76" s="1"/>
  <c r="M75" i="76"/>
  <c r="J75" i="76"/>
  <c r="O74" i="76"/>
  <c r="P74" i="76" s="1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A64" i="76"/>
  <c r="A62" i="76"/>
  <c r="O56" i="76"/>
  <c r="P56" i="76" s="1"/>
  <c r="M56" i="76"/>
  <c r="O55" i="76"/>
  <c r="M55" i="76"/>
  <c r="O54" i="76"/>
  <c r="M54" i="76"/>
  <c r="O53" i="76"/>
  <c r="P53" i="76" s="1"/>
  <c r="M53" i="76"/>
  <c r="O52" i="76"/>
  <c r="P52" i="76" s="1"/>
  <c r="M52" i="76"/>
  <c r="O51" i="76"/>
  <c r="M51" i="76"/>
  <c r="O50" i="76"/>
  <c r="M50" i="76"/>
  <c r="O49" i="76"/>
  <c r="P49" i="76" s="1"/>
  <c r="M49" i="76"/>
  <c r="O48" i="76"/>
  <c r="P48" i="76" s="1"/>
  <c r="M48" i="76"/>
  <c r="O47" i="76"/>
  <c r="M47" i="76"/>
  <c r="O46" i="76"/>
  <c r="M46" i="76"/>
  <c r="O45" i="76"/>
  <c r="P45" i="76" s="1"/>
  <c r="M45" i="76"/>
  <c r="O44" i="76"/>
  <c r="P44" i="76" s="1"/>
  <c r="M44" i="76"/>
  <c r="O43" i="76"/>
  <c r="M43" i="76"/>
  <c r="O42" i="76"/>
  <c r="M42" i="76"/>
  <c r="O41" i="76"/>
  <c r="P41" i="76" s="1"/>
  <c r="M41" i="76"/>
  <c r="O40" i="76"/>
  <c r="P40" i="76" s="1"/>
  <c r="M40" i="76"/>
  <c r="O39" i="76"/>
  <c r="M39" i="76"/>
  <c r="O38" i="76"/>
  <c r="M38" i="76"/>
  <c r="O37" i="76"/>
  <c r="P37" i="76" s="1"/>
  <c r="M37" i="76"/>
  <c r="O36" i="76"/>
  <c r="P36" i="76" s="1"/>
  <c r="M36" i="76"/>
  <c r="O35" i="76"/>
  <c r="M35" i="76"/>
  <c r="O34" i="76"/>
  <c r="M34" i="76"/>
  <c r="O33" i="76"/>
  <c r="P33" i="76" s="1"/>
  <c r="M33" i="76"/>
  <c r="O32" i="76"/>
  <c r="P32" i="76" s="1"/>
  <c r="M32" i="76"/>
  <c r="O31" i="76"/>
  <c r="M31" i="76"/>
  <c r="O30" i="76"/>
  <c r="M30" i="76"/>
  <c r="O29" i="76"/>
  <c r="P29" i="76" s="1"/>
  <c r="M29" i="76"/>
  <c r="O28" i="76"/>
  <c r="P28" i="76" s="1"/>
  <c r="M28" i="76"/>
  <c r="O27" i="76"/>
  <c r="P27" i="76" s="1"/>
  <c r="M27" i="76"/>
  <c r="O26" i="76"/>
  <c r="P26" i="76" s="1"/>
  <c r="M26" i="76"/>
  <c r="O25" i="76"/>
  <c r="P25" i="76" s="1"/>
  <c r="M25" i="76"/>
  <c r="O24" i="76"/>
  <c r="P24" i="76" s="1"/>
  <c r="M24" i="76"/>
  <c r="O23" i="76"/>
  <c r="P23" i="76" s="1"/>
  <c r="M23" i="76"/>
  <c r="O22" i="76"/>
  <c r="P22" i="76" s="1"/>
  <c r="M22" i="76"/>
  <c r="O21" i="76"/>
  <c r="P21" i="76" s="1"/>
  <c r="M21" i="76"/>
  <c r="O20" i="76"/>
  <c r="M20" i="76"/>
  <c r="O19" i="76"/>
  <c r="P19" i="76" s="1"/>
  <c r="M19" i="76"/>
  <c r="O18" i="76"/>
  <c r="P18" i="76" s="1"/>
  <c r="M18" i="76"/>
  <c r="O17" i="76"/>
  <c r="P17" i="76" s="1"/>
  <c r="M17" i="76"/>
  <c r="O16" i="76"/>
  <c r="P16" i="76" s="1"/>
  <c r="M16" i="76"/>
  <c r="O15" i="76"/>
  <c r="P15" i="76" s="1"/>
  <c r="M15" i="76"/>
  <c r="O14" i="76"/>
  <c r="P14" i="76" s="1"/>
  <c r="M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O13" i="76"/>
  <c r="P13" i="76" s="1"/>
  <c r="M13" i="76"/>
  <c r="J8" i="76"/>
  <c r="J64" i="76" s="1"/>
  <c r="A7" i="76"/>
  <c r="A4" i="76"/>
  <c r="A116" i="76" s="1"/>
  <c r="A2" i="76"/>
  <c r="A114" i="76" s="1"/>
  <c r="A1" i="76"/>
  <c r="A37" i="43"/>
  <c r="E35" i="43"/>
  <c r="A35" i="43"/>
  <c r="E34" i="43"/>
  <c r="A34" i="43"/>
  <c r="E33" i="43"/>
  <c r="A33" i="43"/>
  <c r="E32" i="43"/>
  <c r="A32" i="43"/>
  <c r="A27" i="43"/>
  <c r="A23" i="43"/>
  <c r="A22" i="43"/>
  <c r="A21" i="43"/>
  <c r="A18" i="43"/>
  <c r="E16" i="43"/>
  <c r="A16" i="43"/>
  <c r="E15" i="43"/>
  <c r="A15" i="43"/>
  <c r="E14" i="43"/>
  <c r="A14" i="43"/>
  <c r="E13" i="43"/>
  <c r="A13" i="43"/>
  <c r="C12" i="43"/>
  <c r="E12" i="43" s="1"/>
  <c r="A7" i="43"/>
  <c r="A26" i="43" s="1"/>
  <c r="A4" i="43"/>
  <c r="A2" i="43"/>
  <c r="A1" i="43"/>
  <c r="A20" i="43" s="1"/>
  <c r="E54" i="20"/>
  <c r="D54" i="20"/>
  <c r="C48" i="20"/>
  <c r="F48" i="20" s="1"/>
  <c r="H48" i="20" s="1"/>
  <c r="J48" i="20" s="1"/>
  <c r="C46" i="20"/>
  <c r="F46" i="20" s="1"/>
  <c r="H46" i="20" s="1"/>
  <c r="J46" i="20" s="1"/>
  <c r="C44" i="20"/>
  <c r="F44" i="20" s="1"/>
  <c r="H44" i="20" s="1"/>
  <c r="A36" i="20"/>
  <c r="A32" i="20"/>
  <c r="A31" i="20"/>
  <c r="A30" i="20"/>
  <c r="E26" i="20"/>
  <c r="D26" i="20"/>
  <c r="C24" i="20"/>
  <c r="F24" i="20" s="1"/>
  <c r="H24" i="20" s="1"/>
  <c r="J24" i="20" s="1"/>
  <c r="C22" i="20"/>
  <c r="F22" i="20" s="1"/>
  <c r="H22" i="20" s="1"/>
  <c r="J22" i="20" s="1"/>
  <c r="C20" i="20"/>
  <c r="F20" i="20" s="1"/>
  <c r="H20" i="20" s="1"/>
  <c r="J20" i="20" s="1"/>
  <c r="C18" i="20"/>
  <c r="F18" i="20" s="1"/>
  <c r="H18" i="20" s="1"/>
  <c r="J18" i="20" s="1"/>
  <c r="C16" i="20"/>
  <c r="C14" i="20"/>
  <c r="F14" i="20" s="1"/>
  <c r="H14" i="20" s="1"/>
  <c r="J14" i="20" s="1"/>
  <c r="A7" i="20"/>
  <c r="A35" i="20" s="1"/>
  <c r="A4" i="20"/>
  <c r="A2" i="20"/>
  <c r="A1" i="20"/>
  <c r="A29" i="20" s="1"/>
  <c r="A123" i="58"/>
  <c r="A121" i="58"/>
  <c r="A120" i="58"/>
  <c r="A119" i="58"/>
  <c r="J118" i="58"/>
  <c r="I118" i="58"/>
  <c r="F118" i="58"/>
  <c r="A118" i="58"/>
  <c r="J117" i="58"/>
  <c r="I117" i="58"/>
  <c r="F117" i="58"/>
  <c r="A117" i="58"/>
  <c r="A116" i="58"/>
  <c r="J115" i="58"/>
  <c r="I115" i="58"/>
  <c r="F115" i="58"/>
  <c r="A115" i="58"/>
  <c r="J114" i="58"/>
  <c r="I114" i="58"/>
  <c r="F114" i="58"/>
  <c r="A114" i="58"/>
  <c r="J113" i="58"/>
  <c r="I113" i="58"/>
  <c r="F113" i="58"/>
  <c r="A113" i="58"/>
  <c r="J112" i="58"/>
  <c r="I112" i="58"/>
  <c r="F112" i="58"/>
  <c r="A112" i="58"/>
  <c r="J111" i="58"/>
  <c r="I111" i="58"/>
  <c r="F111" i="58"/>
  <c r="A111" i="58"/>
  <c r="A110" i="58"/>
  <c r="J109" i="58"/>
  <c r="I109" i="58"/>
  <c r="F109" i="58"/>
  <c r="A109" i="58"/>
  <c r="A108" i="58"/>
  <c r="A107" i="58"/>
  <c r="A106" i="58"/>
  <c r="A104" i="58"/>
  <c r="J103" i="58"/>
  <c r="I103" i="58"/>
  <c r="F103" i="58"/>
  <c r="A103" i="58"/>
  <c r="J102" i="58"/>
  <c r="I102" i="58"/>
  <c r="F102" i="58"/>
  <c r="A102" i="58"/>
  <c r="J101" i="58"/>
  <c r="I101" i="58"/>
  <c r="F101" i="58"/>
  <c r="A101" i="58"/>
  <c r="A100" i="58"/>
  <c r="J99" i="58"/>
  <c r="I99" i="58"/>
  <c r="F99" i="58"/>
  <c r="A99" i="58"/>
  <c r="J98" i="58"/>
  <c r="I98" i="58"/>
  <c r="F98" i="58"/>
  <c r="A98" i="58"/>
  <c r="J97" i="58"/>
  <c r="I97" i="58"/>
  <c r="F97" i="58"/>
  <c r="A97" i="58"/>
  <c r="J96" i="58"/>
  <c r="I96" i="58"/>
  <c r="F96" i="58"/>
  <c r="A96" i="58"/>
  <c r="J95" i="58"/>
  <c r="I95" i="58"/>
  <c r="F95" i="58"/>
  <c r="A95" i="58"/>
  <c r="A94" i="58"/>
  <c r="A93" i="58"/>
  <c r="A91" i="58"/>
  <c r="A90" i="58"/>
  <c r="J89" i="58"/>
  <c r="I89" i="58"/>
  <c r="F89" i="58"/>
  <c r="A89" i="58"/>
  <c r="A88" i="58"/>
  <c r="J87" i="58"/>
  <c r="I87" i="58"/>
  <c r="H87" i="58"/>
  <c r="F87" i="58"/>
  <c r="A87" i="58"/>
  <c r="J86" i="58"/>
  <c r="I86" i="58"/>
  <c r="F86" i="58"/>
  <c r="A86" i="58"/>
  <c r="J85" i="58"/>
  <c r="I85" i="58"/>
  <c r="H85" i="58"/>
  <c r="F85" i="58"/>
  <c r="A85" i="58"/>
  <c r="J84" i="58"/>
  <c r="I84" i="58"/>
  <c r="H84" i="58"/>
  <c r="F84" i="58"/>
  <c r="A84" i="58"/>
  <c r="J83" i="58"/>
  <c r="I83" i="58"/>
  <c r="H83" i="58"/>
  <c r="F83" i="58"/>
  <c r="A83" i="58"/>
  <c r="J82" i="58"/>
  <c r="I82" i="58"/>
  <c r="H82" i="58"/>
  <c r="F82" i="58"/>
  <c r="A82" i="58"/>
  <c r="J81" i="58"/>
  <c r="I81" i="58"/>
  <c r="H81" i="58"/>
  <c r="F81" i="58"/>
  <c r="A81" i="58"/>
  <c r="J80" i="58"/>
  <c r="I80" i="58"/>
  <c r="H80" i="58"/>
  <c r="F80" i="58"/>
  <c r="A80" i="58"/>
  <c r="J79" i="58"/>
  <c r="I79" i="58"/>
  <c r="H79" i="58"/>
  <c r="F79" i="58"/>
  <c r="A79" i="58"/>
  <c r="A78" i="58"/>
  <c r="A77" i="58"/>
  <c r="A71" i="58"/>
  <c r="A70" i="58"/>
  <c r="A69" i="58"/>
  <c r="A66" i="58"/>
  <c r="A63" i="58"/>
  <c r="A62" i="58"/>
  <c r="J61" i="58"/>
  <c r="I61" i="58"/>
  <c r="H61" i="58"/>
  <c r="F61" i="58"/>
  <c r="A61" i="58"/>
  <c r="J60" i="58"/>
  <c r="I60" i="58"/>
  <c r="H60" i="58"/>
  <c r="F60" i="58"/>
  <c r="A60" i="58"/>
  <c r="J59" i="58"/>
  <c r="I59" i="58"/>
  <c r="H59" i="58"/>
  <c r="F59" i="58"/>
  <c r="A59" i="58"/>
  <c r="J58" i="58"/>
  <c r="I58" i="58"/>
  <c r="H58" i="58"/>
  <c r="F58" i="58"/>
  <c r="A58" i="58"/>
  <c r="J57" i="58"/>
  <c r="I57" i="58"/>
  <c r="H57" i="58"/>
  <c r="F57" i="58"/>
  <c r="A57" i="58"/>
  <c r="J56" i="58"/>
  <c r="I56" i="58"/>
  <c r="H56" i="58"/>
  <c r="F56" i="58"/>
  <c r="A56" i="58"/>
  <c r="J55" i="58"/>
  <c r="I55" i="58"/>
  <c r="H55" i="58"/>
  <c r="F55" i="58"/>
  <c r="A55" i="58"/>
  <c r="J54" i="58"/>
  <c r="I54" i="58"/>
  <c r="H54" i="58"/>
  <c r="F54" i="58"/>
  <c r="A54" i="58"/>
  <c r="A53" i="58"/>
  <c r="A51" i="58"/>
  <c r="A50" i="58"/>
  <c r="J49" i="58"/>
  <c r="I49" i="58"/>
  <c r="F49" i="58"/>
  <c r="A49" i="58"/>
  <c r="J48" i="58"/>
  <c r="I48" i="58"/>
  <c r="F48" i="58"/>
  <c r="A48" i="58"/>
  <c r="J47" i="58"/>
  <c r="I47" i="58"/>
  <c r="F47" i="58"/>
  <c r="A47" i="58"/>
  <c r="J46" i="58"/>
  <c r="I46" i="58"/>
  <c r="F46" i="58"/>
  <c r="A46" i="58"/>
  <c r="J45" i="58"/>
  <c r="I45" i="58"/>
  <c r="F45" i="58"/>
  <c r="A45" i="58"/>
  <c r="J44" i="58"/>
  <c r="I44" i="58"/>
  <c r="F44" i="58"/>
  <c r="A44" i="58"/>
  <c r="A43" i="58"/>
  <c r="A42" i="58"/>
  <c r="A40" i="58"/>
  <c r="A39" i="58"/>
  <c r="J38" i="58"/>
  <c r="I38" i="58"/>
  <c r="F38" i="58"/>
  <c r="A38" i="58"/>
  <c r="J37" i="58"/>
  <c r="I37" i="58"/>
  <c r="F37" i="58"/>
  <c r="A37" i="58"/>
  <c r="J36" i="58"/>
  <c r="I36" i="58"/>
  <c r="F36" i="58"/>
  <c r="A36" i="58"/>
  <c r="J35" i="58"/>
  <c r="I35" i="58"/>
  <c r="F35" i="58"/>
  <c r="A35" i="58"/>
  <c r="J34" i="58"/>
  <c r="I34" i="58"/>
  <c r="F34" i="58"/>
  <c r="A34" i="58"/>
  <c r="J33" i="58"/>
  <c r="I33" i="58"/>
  <c r="F33" i="58"/>
  <c r="A33" i="58"/>
  <c r="A32" i="58"/>
  <c r="A31" i="58"/>
  <c r="A29" i="58"/>
  <c r="A28" i="58"/>
  <c r="J27" i="58"/>
  <c r="I27" i="58"/>
  <c r="F27" i="58"/>
  <c r="A27" i="58"/>
  <c r="J26" i="58"/>
  <c r="I26" i="58"/>
  <c r="F26" i="58"/>
  <c r="A26" i="58"/>
  <c r="J25" i="58"/>
  <c r="I25" i="58"/>
  <c r="F25" i="58"/>
  <c r="A25" i="58"/>
  <c r="A24" i="58"/>
  <c r="J23" i="58"/>
  <c r="I23" i="58"/>
  <c r="F23" i="58"/>
  <c r="A23" i="58"/>
  <c r="J22" i="58"/>
  <c r="I22" i="58"/>
  <c r="F22" i="58"/>
  <c r="A22" i="58"/>
  <c r="A21" i="58"/>
  <c r="A20" i="58"/>
  <c r="A18" i="58"/>
  <c r="J17" i="58"/>
  <c r="I17" i="58"/>
  <c r="F17" i="58"/>
  <c r="A17" i="58"/>
  <c r="A16" i="58"/>
  <c r="A15" i="58"/>
  <c r="J8" i="58"/>
  <c r="J71" i="58" s="1"/>
  <c r="A7" i="58"/>
  <c r="A4" i="58"/>
  <c r="A67" i="58" s="1"/>
  <c r="A2" i="58"/>
  <c r="A65" i="58" s="1"/>
  <c r="A1" i="58"/>
  <c r="A64" i="58" s="1"/>
  <c r="A123" i="23"/>
  <c r="A121" i="23"/>
  <c r="A120" i="23"/>
  <c r="A119" i="23"/>
  <c r="J118" i="23"/>
  <c r="I118" i="23"/>
  <c r="F118" i="23"/>
  <c r="A118" i="23"/>
  <c r="J117" i="23"/>
  <c r="I117" i="23"/>
  <c r="F117" i="23"/>
  <c r="A117" i="23"/>
  <c r="A116" i="23"/>
  <c r="J115" i="23"/>
  <c r="I115" i="23"/>
  <c r="F115" i="23"/>
  <c r="A115" i="23"/>
  <c r="J114" i="23"/>
  <c r="I114" i="23"/>
  <c r="F114" i="23"/>
  <c r="A114" i="23"/>
  <c r="J113" i="23"/>
  <c r="I113" i="23"/>
  <c r="F113" i="23"/>
  <c r="A113" i="23"/>
  <c r="J112" i="23"/>
  <c r="I112" i="23"/>
  <c r="F112" i="23"/>
  <c r="A112" i="23"/>
  <c r="J111" i="23"/>
  <c r="I111" i="23"/>
  <c r="F111" i="23"/>
  <c r="A111" i="23"/>
  <c r="A110" i="23"/>
  <c r="J109" i="23"/>
  <c r="I109" i="23"/>
  <c r="F109" i="23"/>
  <c r="A109" i="23"/>
  <c r="A108" i="23"/>
  <c r="A107" i="23"/>
  <c r="A106" i="23"/>
  <c r="A104" i="23"/>
  <c r="F103" i="23"/>
  <c r="A103" i="23"/>
  <c r="J102" i="23"/>
  <c r="I102" i="23"/>
  <c r="F102" i="23"/>
  <c r="A102" i="23"/>
  <c r="J101" i="23"/>
  <c r="I101" i="23"/>
  <c r="F101" i="23"/>
  <c r="A101" i="23"/>
  <c r="A100" i="23"/>
  <c r="J99" i="23"/>
  <c r="I99" i="23"/>
  <c r="F99" i="23"/>
  <c r="A99" i="23"/>
  <c r="J98" i="23"/>
  <c r="I98" i="23"/>
  <c r="F98" i="23"/>
  <c r="A98" i="23"/>
  <c r="J97" i="23"/>
  <c r="I97" i="23"/>
  <c r="F97" i="23"/>
  <c r="A97" i="23"/>
  <c r="J96" i="23"/>
  <c r="I96" i="23"/>
  <c r="F96" i="23"/>
  <c r="A96" i="23"/>
  <c r="J95" i="23"/>
  <c r="I95" i="23"/>
  <c r="F95" i="23"/>
  <c r="A95" i="23"/>
  <c r="A94" i="23"/>
  <c r="A93" i="23"/>
  <c r="A91" i="23"/>
  <c r="A90" i="23"/>
  <c r="J89" i="23"/>
  <c r="I89" i="23"/>
  <c r="F89" i="23"/>
  <c r="A89" i="23"/>
  <c r="A88" i="23"/>
  <c r="J87" i="23"/>
  <c r="I87" i="23"/>
  <c r="F87" i="23"/>
  <c r="A87" i="23"/>
  <c r="J86" i="23"/>
  <c r="I86" i="23"/>
  <c r="F86" i="23"/>
  <c r="A86" i="23"/>
  <c r="J85" i="23"/>
  <c r="I85" i="23"/>
  <c r="F85" i="23"/>
  <c r="A85" i="23"/>
  <c r="J84" i="23"/>
  <c r="I84" i="23"/>
  <c r="F84" i="23"/>
  <c r="A84" i="23"/>
  <c r="J83" i="23"/>
  <c r="I83" i="23"/>
  <c r="F83" i="23"/>
  <c r="A83" i="23"/>
  <c r="J82" i="23"/>
  <c r="I82" i="23"/>
  <c r="F82" i="23"/>
  <c r="A82" i="23"/>
  <c r="J81" i="23"/>
  <c r="I81" i="23"/>
  <c r="F81" i="23"/>
  <c r="A81" i="23"/>
  <c r="J80" i="23"/>
  <c r="I80" i="23"/>
  <c r="F80" i="23"/>
  <c r="A80" i="23"/>
  <c r="J79" i="23"/>
  <c r="I79" i="23"/>
  <c r="F79" i="23"/>
  <c r="A79" i="23"/>
  <c r="A78" i="23"/>
  <c r="A77" i="23"/>
  <c r="A71" i="23"/>
  <c r="A70" i="23"/>
  <c r="A69" i="23"/>
  <c r="A66" i="23"/>
  <c r="A63" i="23"/>
  <c r="A62" i="23"/>
  <c r="J61" i="23"/>
  <c r="I61" i="23"/>
  <c r="F61" i="23"/>
  <c r="A61" i="23"/>
  <c r="J60" i="23"/>
  <c r="I60" i="23"/>
  <c r="F60" i="23"/>
  <c r="A60" i="23"/>
  <c r="J59" i="23"/>
  <c r="I59" i="23"/>
  <c r="F59" i="23"/>
  <c r="A59" i="23"/>
  <c r="J58" i="23"/>
  <c r="I58" i="23"/>
  <c r="F58" i="23"/>
  <c r="A58" i="23"/>
  <c r="J57" i="23"/>
  <c r="I57" i="23"/>
  <c r="F57" i="23"/>
  <c r="A57" i="23"/>
  <c r="J56" i="23"/>
  <c r="I56" i="23"/>
  <c r="F56" i="23"/>
  <c r="A56" i="23"/>
  <c r="J55" i="23"/>
  <c r="I55" i="23"/>
  <c r="F55" i="23"/>
  <c r="A55" i="23"/>
  <c r="J54" i="23"/>
  <c r="I54" i="23"/>
  <c r="F54" i="23"/>
  <c r="A54" i="23"/>
  <c r="A53" i="23"/>
  <c r="A51" i="23"/>
  <c r="A50" i="23"/>
  <c r="J49" i="23"/>
  <c r="I49" i="23"/>
  <c r="F49" i="23"/>
  <c r="A49" i="23"/>
  <c r="J48" i="23"/>
  <c r="I48" i="23"/>
  <c r="F48" i="23"/>
  <c r="A48" i="23"/>
  <c r="J47" i="23"/>
  <c r="I47" i="23"/>
  <c r="F47" i="23"/>
  <c r="A47" i="23"/>
  <c r="J46" i="23"/>
  <c r="I46" i="23"/>
  <c r="F46" i="23"/>
  <c r="A46" i="23"/>
  <c r="J45" i="23"/>
  <c r="I45" i="23"/>
  <c r="F45" i="23"/>
  <c r="A45" i="23"/>
  <c r="J44" i="23"/>
  <c r="I44" i="23"/>
  <c r="F44" i="23"/>
  <c r="A44" i="23"/>
  <c r="A43" i="23"/>
  <c r="A42" i="23"/>
  <c r="A40" i="23"/>
  <c r="A39" i="23"/>
  <c r="J38" i="23"/>
  <c r="I38" i="23"/>
  <c r="F38" i="23"/>
  <c r="A38" i="23"/>
  <c r="J37" i="23"/>
  <c r="I37" i="23"/>
  <c r="F37" i="23"/>
  <c r="A37" i="23"/>
  <c r="J36" i="23"/>
  <c r="I36" i="23"/>
  <c r="F36" i="23"/>
  <c r="A36" i="23"/>
  <c r="J35" i="23"/>
  <c r="I35" i="23"/>
  <c r="F35" i="23"/>
  <c r="A35" i="23"/>
  <c r="J34" i="23"/>
  <c r="I34" i="23"/>
  <c r="F34" i="23"/>
  <c r="A34" i="23"/>
  <c r="J33" i="23"/>
  <c r="I33" i="23"/>
  <c r="F33" i="23"/>
  <c r="A33" i="23"/>
  <c r="A32" i="23"/>
  <c r="A31" i="23"/>
  <c r="A29" i="23"/>
  <c r="A28" i="23"/>
  <c r="J27" i="23"/>
  <c r="I27" i="23"/>
  <c r="F27" i="23"/>
  <c r="A27" i="23"/>
  <c r="J26" i="23"/>
  <c r="I26" i="23"/>
  <c r="F26" i="23"/>
  <c r="A26" i="23"/>
  <c r="J25" i="23"/>
  <c r="I25" i="23"/>
  <c r="F25" i="23"/>
  <c r="A25" i="23"/>
  <c r="A24" i="23"/>
  <c r="J23" i="23"/>
  <c r="I23" i="23"/>
  <c r="F23" i="23"/>
  <c r="A23" i="23"/>
  <c r="J22" i="23"/>
  <c r="I22" i="23"/>
  <c r="F22" i="23"/>
  <c r="A22" i="23"/>
  <c r="A21" i="23"/>
  <c r="A20" i="23"/>
  <c r="A18" i="23"/>
  <c r="J17" i="23"/>
  <c r="I17" i="23"/>
  <c r="F17" i="23"/>
  <c r="A17" i="23"/>
  <c r="A16" i="23"/>
  <c r="A15" i="23"/>
  <c r="J8" i="23"/>
  <c r="J71" i="23" s="1"/>
  <c r="A7" i="23"/>
  <c r="A4" i="23"/>
  <c r="A67" i="23" s="1"/>
  <c r="A2" i="23"/>
  <c r="A65" i="23" s="1"/>
  <c r="A1" i="23"/>
  <c r="A64" i="23" s="1"/>
  <c r="C46" i="18"/>
  <c r="C44" i="18"/>
  <c r="C43" i="18"/>
  <c r="C42" i="18"/>
  <c r="C41" i="18"/>
  <c r="A38" i="18"/>
  <c r="A39" i="18" s="1"/>
  <c r="A40" i="18" s="1"/>
  <c r="A41" i="18" s="1"/>
  <c r="A42" i="18" s="1"/>
  <c r="A43" i="18" s="1"/>
  <c r="L37" i="18"/>
  <c r="A33" i="18"/>
  <c r="A29" i="18"/>
  <c r="A28" i="18"/>
  <c r="D21" i="18"/>
  <c r="C20" i="18"/>
  <c r="B20" i="18"/>
  <c r="C19" i="18"/>
  <c r="B19" i="18"/>
  <c r="C18" i="18"/>
  <c r="B18" i="18"/>
  <c r="H84" i="17" s="1"/>
  <c r="C17" i="18"/>
  <c r="B17" i="18"/>
  <c r="H113" i="17" s="1"/>
  <c r="C16" i="18"/>
  <c r="B16" i="18"/>
  <c r="A15" i="18"/>
  <c r="A16" i="18" s="1"/>
  <c r="A17" i="18" s="1"/>
  <c r="A18" i="18" s="1"/>
  <c r="A19" i="18" s="1"/>
  <c r="A20" i="18" s="1"/>
  <c r="A21" i="18" s="1"/>
  <c r="A22" i="18" s="1"/>
  <c r="A24" i="18" s="1"/>
  <c r="A14" i="18"/>
  <c r="A13" i="18"/>
  <c r="L12" i="18"/>
  <c r="A7" i="18"/>
  <c r="A32" i="18" s="1"/>
  <c r="A4" i="18"/>
  <c r="A2" i="18"/>
  <c r="A27" i="18" s="1"/>
  <c r="A1" i="18"/>
  <c r="A26" i="18" s="1"/>
  <c r="A133" i="19"/>
  <c r="H131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4" i="19"/>
  <c r="H113" i="19"/>
  <c r="E113" i="19"/>
  <c r="G113" i="19" s="1"/>
  <c r="A113" i="19"/>
  <c r="A112" i="19"/>
  <c r="H111" i="19"/>
  <c r="A111" i="19"/>
  <c r="H110" i="19"/>
  <c r="A110" i="19"/>
  <c r="H109" i="19"/>
  <c r="A109" i="19"/>
  <c r="H108" i="19"/>
  <c r="E108" i="19"/>
  <c r="G108" i="19" s="1"/>
  <c r="A108" i="19"/>
  <c r="H107" i="19"/>
  <c r="A107" i="19"/>
  <c r="H106" i="19"/>
  <c r="E106" i="19"/>
  <c r="G106" i="19" s="1"/>
  <c r="A106" i="19"/>
  <c r="H105" i="19"/>
  <c r="E105" i="19"/>
  <c r="G105" i="19" s="1"/>
  <c r="A105" i="19"/>
  <c r="H104" i="19"/>
  <c r="E104" i="19"/>
  <c r="G104" i="19" s="1"/>
  <c r="A104" i="19"/>
  <c r="A103" i="19"/>
  <c r="A98" i="19"/>
  <c r="I96" i="19"/>
  <c r="A96" i="19"/>
  <c r="A93" i="19"/>
  <c r="A92" i="19"/>
  <c r="A90" i="19"/>
  <c r="A89" i="19"/>
  <c r="H88" i="19"/>
  <c r="A88" i="19"/>
  <c r="H87" i="19"/>
  <c r="A87" i="19"/>
  <c r="H86" i="19"/>
  <c r="A86" i="19"/>
  <c r="H85" i="19"/>
  <c r="A85" i="19"/>
  <c r="H84" i="19"/>
  <c r="A84" i="19"/>
  <c r="H83" i="19"/>
  <c r="A83" i="19"/>
  <c r="H82" i="19"/>
  <c r="A82" i="19"/>
  <c r="H81" i="19"/>
  <c r="A81" i="19"/>
  <c r="H80" i="19"/>
  <c r="A80" i="19"/>
  <c r="H79" i="19"/>
  <c r="A79" i="19"/>
  <c r="H78" i="19"/>
  <c r="A78" i="19"/>
  <c r="H77" i="19"/>
  <c r="A77" i="19"/>
  <c r="A76" i="19"/>
  <c r="A74" i="19"/>
  <c r="A73" i="19"/>
  <c r="H72" i="19"/>
  <c r="A72" i="19"/>
  <c r="H71" i="19"/>
  <c r="A71" i="19"/>
  <c r="H70" i="19"/>
  <c r="A70" i="19"/>
  <c r="H69" i="19"/>
  <c r="A69" i="19"/>
  <c r="H68" i="19"/>
  <c r="A68" i="19"/>
  <c r="H67" i="19"/>
  <c r="A67" i="19"/>
  <c r="H66" i="19"/>
  <c r="A66" i="19"/>
  <c r="H65" i="19"/>
  <c r="A65" i="19"/>
  <c r="A64" i="19"/>
  <c r="A62" i="19"/>
  <c r="A61" i="19"/>
  <c r="H60" i="19"/>
  <c r="A60" i="19"/>
  <c r="H59" i="19"/>
  <c r="A59" i="19"/>
  <c r="H58" i="19"/>
  <c r="A58" i="19"/>
  <c r="A53" i="19"/>
  <c r="I51" i="19"/>
  <c r="A51" i="19"/>
  <c r="A48" i="19"/>
  <c r="A47" i="19"/>
  <c r="H45" i="19"/>
  <c r="A45" i="19"/>
  <c r="H44" i="19"/>
  <c r="A44" i="19"/>
  <c r="H43" i="19"/>
  <c r="A43" i="19"/>
  <c r="H42" i="19"/>
  <c r="A42" i="19"/>
  <c r="A41" i="19"/>
  <c r="A39" i="19"/>
  <c r="A38" i="19"/>
  <c r="H37" i="19"/>
  <c r="A37" i="19"/>
  <c r="H36" i="19"/>
  <c r="A36" i="19"/>
  <c r="H35" i="19"/>
  <c r="A35" i="19"/>
  <c r="H34" i="19"/>
  <c r="A34" i="19"/>
  <c r="H33" i="19"/>
  <c r="A33" i="19"/>
  <c r="H32" i="19"/>
  <c r="A32" i="19"/>
  <c r="H31" i="19"/>
  <c r="A31" i="19"/>
  <c r="A30" i="19"/>
  <c r="A28" i="19"/>
  <c r="A27" i="19"/>
  <c r="A26" i="19"/>
  <c r="A25" i="19"/>
  <c r="H24" i="19"/>
  <c r="A24" i="19"/>
  <c r="H23" i="19"/>
  <c r="E23" i="19"/>
  <c r="G23" i="19" s="1"/>
  <c r="A23" i="19"/>
  <c r="A22" i="19"/>
  <c r="A21" i="19"/>
  <c r="H20" i="19"/>
  <c r="A20" i="19"/>
  <c r="A19" i="19"/>
  <c r="A17" i="19"/>
  <c r="H16" i="19"/>
  <c r="E16" i="19"/>
  <c r="G16" i="19" s="1"/>
  <c r="A16" i="19"/>
  <c r="H15" i="19"/>
  <c r="A15" i="19"/>
  <c r="H14" i="19"/>
  <c r="A14" i="19"/>
  <c r="A7" i="19"/>
  <c r="A52" i="19" s="1"/>
  <c r="A4" i="19"/>
  <c r="A49" i="19" s="1"/>
  <c r="A2" i="19"/>
  <c r="A1" i="19"/>
  <c r="A91" i="19" s="1"/>
  <c r="A133" i="17"/>
  <c r="H131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4" i="17"/>
  <c r="A113" i="17"/>
  <c r="A112" i="17"/>
  <c r="H111" i="17"/>
  <c r="A111" i="17"/>
  <c r="A110" i="17"/>
  <c r="H109" i="17"/>
  <c r="A109" i="17"/>
  <c r="A108" i="17"/>
  <c r="H107" i="17"/>
  <c r="A107" i="17"/>
  <c r="A106" i="17"/>
  <c r="H105" i="17"/>
  <c r="A105" i="17"/>
  <c r="A104" i="17"/>
  <c r="A103" i="17"/>
  <c r="A98" i="17"/>
  <c r="I96" i="17"/>
  <c r="A96" i="17"/>
  <c r="A93" i="17"/>
  <c r="A90" i="17"/>
  <c r="A89" i="17"/>
  <c r="H88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4" i="17"/>
  <c r="A73" i="17"/>
  <c r="A72" i="17"/>
  <c r="H71" i="17"/>
  <c r="A71" i="17"/>
  <c r="A70" i="17"/>
  <c r="H69" i="17"/>
  <c r="A69" i="17"/>
  <c r="A68" i="17"/>
  <c r="H67" i="17"/>
  <c r="A67" i="17"/>
  <c r="A66" i="17"/>
  <c r="H65" i="17"/>
  <c r="A65" i="17"/>
  <c r="A64" i="17"/>
  <c r="A62" i="17"/>
  <c r="A61" i="17"/>
  <c r="A60" i="17"/>
  <c r="A59" i="17"/>
  <c r="A58" i="17"/>
  <c r="A53" i="17"/>
  <c r="I51" i="17"/>
  <c r="A51" i="17"/>
  <c r="A48" i="17"/>
  <c r="H45" i="17"/>
  <c r="A45" i="17"/>
  <c r="A44" i="17"/>
  <c r="H43" i="17"/>
  <c r="A43" i="17"/>
  <c r="A42" i="17"/>
  <c r="A41" i="17"/>
  <c r="A39" i="17"/>
  <c r="A38" i="17"/>
  <c r="A37" i="17"/>
  <c r="A36" i="17"/>
  <c r="A35" i="17"/>
  <c r="A34" i="17"/>
  <c r="A33" i="17"/>
  <c r="A32" i="17"/>
  <c r="A31" i="17"/>
  <c r="A30" i="17"/>
  <c r="A28" i="17"/>
  <c r="A27" i="17"/>
  <c r="A26" i="17"/>
  <c r="A25" i="17"/>
  <c r="A24" i="17"/>
  <c r="H23" i="17"/>
  <c r="A23" i="17"/>
  <c r="A22" i="17"/>
  <c r="A21" i="17"/>
  <c r="H20" i="17"/>
  <c r="A20" i="17"/>
  <c r="A19" i="17"/>
  <c r="A17" i="17"/>
  <c r="H16" i="17"/>
  <c r="E16" i="17"/>
  <c r="G16" i="17" s="1"/>
  <c r="A16" i="17"/>
  <c r="A15" i="17"/>
  <c r="A14" i="17"/>
  <c r="I8" i="17"/>
  <c r="I98" i="17" s="1"/>
  <c r="A7" i="17"/>
  <c r="A97" i="17" s="1"/>
  <c r="A4" i="17"/>
  <c r="A94" i="17" s="1"/>
  <c r="A2" i="17"/>
  <c r="A92" i="17" s="1"/>
  <c r="A1" i="17"/>
  <c r="A91" i="17" s="1"/>
  <c r="H67" i="10"/>
  <c r="G67" i="10"/>
  <c r="F67" i="10"/>
  <c r="E67" i="10"/>
  <c r="A67" i="10"/>
  <c r="G66" i="10"/>
  <c r="F66" i="10"/>
  <c r="A66" i="10"/>
  <c r="G65" i="10"/>
  <c r="F65" i="10"/>
  <c r="A65" i="10"/>
  <c r="G64" i="10"/>
  <c r="F64" i="10"/>
  <c r="A64" i="10"/>
  <c r="G63" i="10"/>
  <c r="A63" i="10"/>
  <c r="G62" i="10"/>
  <c r="A62" i="10"/>
  <c r="G61" i="10"/>
  <c r="A61" i="10"/>
  <c r="G60" i="10"/>
  <c r="A60" i="10"/>
  <c r="G59" i="10"/>
  <c r="A59" i="10"/>
  <c r="G58" i="10"/>
  <c r="A58" i="10"/>
  <c r="G57" i="10"/>
  <c r="A57" i="10"/>
  <c r="G56" i="10"/>
  <c r="A56" i="10"/>
  <c r="G55" i="10"/>
  <c r="A55" i="10"/>
  <c r="G54" i="10"/>
  <c r="A54" i="10"/>
  <c r="G53" i="10"/>
  <c r="A53" i="10"/>
  <c r="G52" i="10"/>
  <c r="A52" i="10"/>
  <c r="G51" i="10"/>
  <c r="A51" i="10"/>
  <c r="G50" i="10"/>
  <c r="A50" i="10"/>
  <c r="G49" i="10"/>
  <c r="A49" i="10"/>
  <c r="A43" i="10"/>
  <c r="A39" i="10"/>
  <c r="A38" i="10"/>
  <c r="A37" i="10"/>
  <c r="A35" i="10"/>
  <c r="H33" i="10"/>
  <c r="G33" i="10"/>
  <c r="F33" i="10"/>
  <c r="E33" i="10"/>
  <c r="A33" i="10"/>
  <c r="G32" i="10"/>
  <c r="F32" i="10"/>
  <c r="A32" i="10"/>
  <c r="G31" i="10"/>
  <c r="F31" i="10"/>
  <c r="A31" i="10"/>
  <c r="G30" i="10"/>
  <c r="F30" i="10"/>
  <c r="A30" i="10"/>
  <c r="G29" i="10"/>
  <c r="A29" i="10"/>
  <c r="G28" i="10"/>
  <c r="A28" i="10"/>
  <c r="G27" i="10"/>
  <c r="A27" i="10"/>
  <c r="G26" i="10"/>
  <c r="A26" i="10"/>
  <c r="G25" i="10"/>
  <c r="A25" i="10"/>
  <c r="G24" i="10"/>
  <c r="A24" i="10"/>
  <c r="G23" i="10"/>
  <c r="A23" i="10"/>
  <c r="G22" i="10"/>
  <c r="A22" i="10"/>
  <c r="G21" i="10"/>
  <c r="A21" i="10"/>
  <c r="G20" i="10"/>
  <c r="A20" i="10"/>
  <c r="G19" i="10"/>
  <c r="A19" i="10"/>
  <c r="G18" i="10"/>
  <c r="A18" i="10"/>
  <c r="G17" i="10"/>
  <c r="A17" i="10"/>
  <c r="G16" i="10"/>
  <c r="A16" i="10"/>
  <c r="G15" i="10"/>
  <c r="A15" i="10"/>
  <c r="A8" i="10"/>
  <c r="A42" i="10" s="1"/>
  <c r="A5" i="10"/>
  <c r="A2" i="10"/>
  <c r="A36" i="10" s="1"/>
  <c r="A1" i="10"/>
  <c r="E59" i="9"/>
  <c r="K55" i="9"/>
  <c r="G55" i="9"/>
  <c r="F55" i="9"/>
  <c r="E55" i="9"/>
  <c r="D55" i="9"/>
  <c r="A55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36" i="9"/>
  <c r="A32" i="9"/>
  <c r="A31" i="9"/>
  <c r="K27" i="9"/>
  <c r="G27" i="9"/>
  <c r="F27" i="9"/>
  <c r="E27" i="9"/>
  <c r="D27" i="9"/>
  <c r="A27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7" i="9"/>
  <c r="A35" i="9" s="1"/>
  <c r="A4" i="9"/>
  <c r="A2" i="9"/>
  <c r="A30" i="9" s="1"/>
  <c r="A1" i="9"/>
  <c r="A29" i="9" s="1"/>
  <c r="A21" i="8"/>
  <c r="A17" i="8"/>
  <c r="A16" i="8"/>
  <c r="A14" i="8"/>
  <c r="A7" i="8"/>
  <c r="A20" i="8" s="1"/>
  <c r="A4" i="8"/>
  <c r="A2" i="8"/>
  <c r="A15" i="8" s="1"/>
  <c r="A1" i="8"/>
  <c r="A21" i="7"/>
  <c r="A17" i="7"/>
  <c r="A16" i="7"/>
  <c r="A14" i="7"/>
  <c r="A7" i="7"/>
  <c r="A20" i="7" s="1"/>
  <c r="A4" i="7"/>
  <c r="A2" i="7"/>
  <c r="A15" i="7" s="1"/>
  <c r="A1" i="7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G117" i="5"/>
  <c r="A117" i="5"/>
  <c r="A116" i="5"/>
  <c r="A115" i="5"/>
  <c r="A114" i="5"/>
  <c r="A112" i="5"/>
  <c r="I111" i="5"/>
  <c r="D110" i="14" s="1"/>
  <c r="D113" i="19" s="1"/>
  <c r="G111" i="5"/>
  <c r="F111" i="5"/>
  <c r="E111" i="5"/>
  <c r="D111" i="5"/>
  <c r="A111" i="5"/>
  <c r="A107" i="5"/>
  <c r="I105" i="5"/>
  <c r="A105" i="5"/>
  <c r="A102" i="5"/>
  <c r="A101" i="5"/>
  <c r="A100" i="5"/>
  <c r="A99" i="5"/>
  <c r="A98" i="5"/>
  <c r="A97" i="5"/>
  <c r="A96" i="5"/>
  <c r="I95" i="5"/>
  <c r="D105" i="14" s="1"/>
  <c r="D108" i="19" s="1"/>
  <c r="G95" i="5"/>
  <c r="F95" i="5"/>
  <c r="E95" i="5"/>
  <c r="D95" i="5"/>
  <c r="A95" i="5"/>
  <c r="A94" i="5"/>
  <c r="I93" i="5"/>
  <c r="D103" i="14" s="1"/>
  <c r="D106" i="19" s="1"/>
  <c r="G93" i="5"/>
  <c r="F93" i="5"/>
  <c r="E93" i="5"/>
  <c r="D93" i="5"/>
  <c r="A93" i="5"/>
  <c r="I92" i="5"/>
  <c r="D102" i="14" s="1"/>
  <c r="D105" i="19" s="1"/>
  <c r="G92" i="5"/>
  <c r="F92" i="5"/>
  <c r="E92" i="5"/>
  <c r="D92" i="5"/>
  <c r="A92" i="5"/>
  <c r="I91" i="5"/>
  <c r="D101" i="14" s="1"/>
  <c r="D104" i="19" s="1"/>
  <c r="G91" i="5"/>
  <c r="F91" i="5"/>
  <c r="E91" i="5"/>
  <c r="D91" i="5"/>
  <c r="A91" i="5"/>
  <c r="A90" i="5"/>
  <c r="A88" i="5"/>
  <c r="A87" i="5"/>
  <c r="A86" i="5"/>
  <c r="I85" i="5"/>
  <c r="D85" i="14" s="1"/>
  <c r="D87" i="19" s="1"/>
  <c r="G85" i="5"/>
  <c r="F85" i="5"/>
  <c r="E85" i="5"/>
  <c r="D85" i="5"/>
  <c r="A85" i="5"/>
  <c r="A84" i="5"/>
  <c r="A83" i="5"/>
  <c r="A82" i="5"/>
  <c r="A81" i="5"/>
  <c r="A80" i="5"/>
  <c r="A79" i="5"/>
  <c r="A78" i="5"/>
  <c r="A77" i="5"/>
  <c r="A76" i="5"/>
  <c r="A75" i="5"/>
  <c r="A74" i="5"/>
  <c r="A72" i="5"/>
  <c r="A71" i="5"/>
  <c r="A70" i="5"/>
  <c r="A69" i="5"/>
  <c r="A68" i="5"/>
  <c r="A67" i="5"/>
  <c r="A66" i="5"/>
  <c r="A65" i="5"/>
  <c r="A64" i="5"/>
  <c r="A63" i="5"/>
  <c r="A62" i="5"/>
  <c r="A58" i="5"/>
  <c r="I56" i="5"/>
  <c r="A56" i="5"/>
  <c r="A53" i="5"/>
  <c r="A52" i="5"/>
  <c r="A49" i="5"/>
  <c r="A48" i="5"/>
  <c r="A47" i="5"/>
  <c r="A46" i="5"/>
  <c r="A45" i="5"/>
  <c r="A44" i="5"/>
  <c r="A43" i="5"/>
  <c r="A42" i="5"/>
  <c r="A41" i="5"/>
  <c r="A40" i="5"/>
  <c r="A38" i="5"/>
  <c r="A37" i="5"/>
  <c r="A36" i="5"/>
  <c r="A35" i="5"/>
  <c r="A34" i="5"/>
  <c r="A33" i="5"/>
  <c r="A32" i="5"/>
  <c r="A31" i="5"/>
  <c r="A30" i="5"/>
  <c r="A29" i="5"/>
  <c r="A27" i="5"/>
  <c r="A26" i="5"/>
  <c r="A25" i="5"/>
  <c r="A24" i="5"/>
  <c r="A23" i="5"/>
  <c r="I22" i="5"/>
  <c r="D22" i="14" s="1"/>
  <c r="D23" i="19" s="1"/>
  <c r="G22" i="5"/>
  <c r="F22" i="5"/>
  <c r="E22" i="5"/>
  <c r="D22" i="5"/>
  <c r="A22" i="5"/>
  <c r="A21" i="5"/>
  <c r="A20" i="5"/>
  <c r="A19" i="5"/>
  <c r="A18" i="5"/>
  <c r="A16" i="5"/>
  <c r="I15" i="5"/>
  <c r="D15" i="14" s="1"/>
  <c r="G15" i="5"/>
  <c r="F15" i="5"/>
  <c r="E15" i="5"/>
  <c r="D15" i="5"/>
  <c r="A15" i="5"/>
  <c r="A14" i="5"/>
  <c r="A13" i="5"/>
  <c r="A7" i="5"/>
  <c r="A106" i="5" s="1"/>
  <c r="A4" i="5"/>
  <c r="A103" i="5" s="1"/>
  <c r="A2" i="5"/>
  <c r="A1" i="5"/>
  <c r="A51" i="5" s="1"/>
  <c r="A130" i="4"/>
  <c r="A128" i="4"/>
  <c r="A127" i="4"/>
  <c r="G126" i="4"/>
  <c r="A126" i="4"/>
  <c r="A125" i="4"/>
  <c r="G124" i="4"/>
  <c r="A124" i="4"/>
  <c r="A123" i="4"/>
  <c r="G122" i="4"/>
  <c r="A122" i="4"/>
  <c r="A121" i="4"/>
  <c r="A120" i="4"/>
  <c r="G119" i="4"/>
  <c r="A119" i="4"/>
  <c r="A118" i="4"/>
  <c r="F117" i="4"/>
  <c r="A117" i="4"/>
  <c r="A116" i="4"/>
  <c r="A115" i="4"/>
  <c r="A114" i="4"/>
  <c r="A113" i="4"/>
  <c r="A111" i="4"/>
  <c r="F110" i="4"/>
  <c r="A110" i="4"/>
  <c r="A109" i="4"/>
  <c r="A108" i="4"/>
  <c r="A107" i="4"/>
  <c r="A106" i="4"/>
  <c r="A105" i="4"/>
  <c r="A104" i="4"/>
  <c r="E103" i="4"/>
  <c r="A103" i="4"/>
  <c r="A102" i="4"/>
  <c r="G101" i="4"/>
  <c r="A101" i="4"/>
  <c r="A100" i="4"/>
  <c r="A96" i="4"/>
  <c r="H94" i="4"/>
  <c r="A94" i="4"/>
  <c r="A91" i="4"/>
  <c r="A89" i="4"/>
  <c r="A88" i="4"/>
  <c r="A87" i="4"/>
  <c r="A86" i="4"/>
  <c r="E85" i="4"/>
  <c r="A85" i="4"/>
  <c r="A84" i="4"/>
  <c r="A83" i="4"/>
  <c r="A82" i="4"/>
  <c r="A81" i="4"/>
  <c r="A80" i="4"/>
  <c r="A79" i="4"/>
  <c r="A78" i="4"/>
  <c r="A77" i="4"/>
  <c r="A76" i="4"/>
  <c r="A75" i="4"/>
  <c r="A74" i="4"/>
  <c r="A72" i="4"/>
  <c r="A71" i="4"/>
  <c r="A70" i="4"/>
  <c r="A69" i="4"/>
  <c r="A68" i="4"/>
  <c r="A67" i="4"/>
  <c r="A66" i="4"/>
  <c r="A65" i="4"/>
  <c r="A64" i="4"/>
  <c r="A63" i="4"/>
  <c r="A62" i="4"/>
  <c r="A60" i="4"/>
  <c r="A59" i="4"/>
  <c r="A58" i="4"/>
  <c r="A57" i="4"/>
  <c r="A56" i="4"/>
  <c r="A52" i="4"/>
  <c r="H50" i="4"/>
  <c r="A50" i="4"/>
  <c r="A47" i="4"/>
  <c r="A45" i="4"/>
  <c r="A44" i="4"/>
  <c r="A43" i="4"/>
  <c r="A42" i="4"/>
  <c r="A41" i="4"/>
  <c r="A40" i="4"/>
  <c r="A38" i="4"/>
  <c r="A37" i="4"/>
  <c r="A36" i="4"/>
  <c r="A35" i="4"/>
  <c r="A34" i="4"/>
  <c r="A33" i="4"/>
  <c r="A32" i="4"/>
  <c r="A31" i="4"/>
  <c r="A30" i="4"/>
  <c r="A29" i="4"/>
  <c r="A27" i="4"/>
  <c r="A26" i="4"/>
  <c r="A25" i="4"/>
  <c r="A24" i="4"/>
  <c r="A23" i="4"/>
  <c r="A22" i="4"/>
  <c r="A21" i="4"/>
  <c r="A20" i="4"/>
  <c r="A19" i="4"/>
  <c r="A18" i="4"/>
  <c r="A16" i="4"/>
  <c r="E15" i="4"/>
  <c r="A15" i="4"/>
  <c r="A14" i="4"/>
  <c r="A13" i="4"/>
  <c r="A7" i="4"/>
  <c r="A51" i="4" s="1"/>
  <c r="A4" i="4"/>
  <c r="A92" i="4" s="1"/>
  <c r="A2" i="4"/>
  <c r="A90" i="4" s="1"/>
  <c r="A1" i="4"/>
  <c r="D45" i="11"/>
  <c r="F45" i="11" s="1"/>
  <c r="G59" i="14" s="1"/>
  <c r="A39" i="11"/>
  <c r="A40" i="11" s="1"/>
  <c r="A41" i="11" s="1"/>
  <c r="A42" i="11" s="1"/>
  <c r="A43" i="11" s="1"/>
  <c r="A44" i="11" s="1"/>
  <c r="A45" i="11" s="1"/>
  <c r="L38" i="11"/>
  <c r="A34" i="11"/>
  <c r="A30" i="11"/>
  <c r="A29" i="11"/>
  <c r="A27" i="11"/>
  <c r="C21" i="11"/>
  <c r="C20" i="11"/>
  <c r="C19" i="11"/>
  <c r="A19" i="11"/>
  <c r="A20" i="11" s="1"/>
  <c r="A21" i="11" s="1"/>
  <c r="A22" i="11" s="1"/>
  <c r="A23" i="11" s="1"/>
  <c r="A25" i="11" s="1"/>
  <c r="C18" i="11"/>
  <c r="A18" i="11"/>
  <c r="C17" i="11"/>
  <c r="A17" i="11"/>
  <c r="A16" i="11"/>
  <c r="A15" i="11"/>
  <c r="A14" i="11"/>
  <c r="A13" i="11"/>
  <c r="L12" i="11"/>
  <c r="A7" i="11"/>
  <c r="A33" i="11" s="1"/>
  <c r="A4" i="11"/>
  <c r="A2" i="11"/>
  <c r="A28" i="11" s="1"/>
  <c r="A1" i="11"/>
  <c r="A130" i="14"/>
  <c r="G128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1" i="14"/>
  <c r="G110" i="14"/>
  <c r="A110" i="14"/>
  <c r="A109" i="14"/>
  <c r="G108" i="14"/>
  <c r="A108" i="14"/>
  <c r="G107" i="14"/>
  <c r="A107" i="14"/>
  <c r="G106" i="14"/>
  <c r="A106" i="14"/>
  <c r="G105" i="14"/>
  <c r="A105" i="14"/>
  <c r="G104" i="14"/>
  <c r="A104" i="14"/>
  <c r="G103" i="14"/>
  <c r="A103" i="14"/>
  <c r="G102" i="14"/>
  <c r="A102" i="14"/>
  <c r="G101" i="14"/>
  <c r="A101" i="14"/>
  <c r="A100" i="14"/>
  <c r="E99" i="14"/>
  <c r="A96" i="14"/>
  <c r="A94" i="14"/>
  <c r="A91" i="14"/>
  <c r="A88" i="14"/>
  <c r="A87" i="14"/>
  <c r="G86" i="14"/>
  <c r="A86" i="14"/>
  <c r="G85" i="14"/>
  <c r="A85" i="14"/>
  <c r="G84" i="14"/>
  <c r="A84" i="14"/>
  <c r="G83" i="14"/>
  <c r="A83" i="14"/>
  <c r="G82" i="14"/>
  <c r="A82" i="14"/>
  <c r="G81" i="14"/>
  <c r="A81" i="14"/>
  <c r="G80" i="14"/>
  <c r="A80" i="14"/>
  <c r="G79" i="14"/>
  <c r="A79" i="14"/>
  <c r="G78" i="14"/>
  <c r="A78" i="14"/>
  <c r="G77" i="14"/>
  <c r="A77" i="14"/>
  <c r="G76" i="14"/>
  <c r="A76" i="14"/>
  <c r="G75" i="14"/>
  <c r="A75" i="14"/>
  <c r="A74" i="14"/>
  <c r="A72" i="14"/>
  <c r="A71" i="14"/>
  <c r="G70" i="14"/>
  <c r="A70" i="14"/>
  <c r="G69" i="14"/>
  <c r="A69" i="14"/>
  <c r="G68" i="14"/>
  <c r="A68" i="14"/>
  <c r="G67" i="14"/>
  <c r="A67" i="14"/>
  <c r="G66" i="14"/>
  <c r="A66" i="14"/>
  <c r="G65" i="14"/>
  <c r="A65" i="14"/>
  <c r="G64" i="14"/>
  <c r="A64" i="14"/>
  <c r="G63" i="14"/>
  <c r="A63" i="14"/>
  <c r="A62" i="14"/>
  <c r="A60" i="14"/>
  <c r="A59" i="14"/>
  <c r="G58" i="14"/>
  <c r="A58" i="14"/>
  <c r="G57" i="14"/>
  <c r="A57" i="14"/>
  <c r="G56" i="14"/>
  <c r="A56" i="14"/>
  <c r="E55" i="14"/>
  <c r="A52" i="14"/>
  <c r="A50" i="14"/>
  <c r="A47" i="14"/>
  <c r="G44" i="14"/>
  <c r="A44" i="14"/>
  <c r="G43" i="14"/>
  <c r="A43" i="14"/>
  <c r="G42" i="14"/>
  <c r="A42" i="14"/>
  <c r="G41" i="14"/>
  <c r="A41" i="14"/>
  <c r="A40" i="14"/>
  <c r="A38" i="14"/>
  <c r="A37" i="14"/>
  <c r="G36" i="14"/>
  <c r="A36" i="14"/>
  <c r="G35" i="14"/>
  <c r="A35" i="14"/>
  <c r="G34" i="14"/>
  <c r="A34" i="14"/>
  <c r="G33" i="14"/>
  <c r="A33" i="14"/>
  <c r="G32" i="14"/>
  <c r="A32" i="14"/>
  <c r="G31" i="14"/>
  <c r="A31" i="14"/>
  <c r="G30" i="14"/>
  <c r="A30" i="14"/>
  <c r="A29" i="14"/>
  <c r="A27" i="14"/>
  <c r="A26" i="14"/>
  <c r="A25" i="14"/>
  <c r="A24" i="14"/>
  <c r="G23" i="14"/>
  <c r="A23" i="14"/>
  <c r="G22" i="14"/>
  <c r="A22" i="14"/>
  <c r="A21" i="14"/>
  <c r="A20" i="14"/>
  <c r="A19" i="14"/>
  <c r="A18" i="14"/>
  <c r="A16" i="14"/>
  <c r="G15" i="14"/>
  <c r="A15" i="14"/>
  <c r="G14" i="14"/>
  <c r="A14" i="14"/>
  <c r="G13" i="14"/>
  <c r="A13" i="14"/>
  <c r="H8" i="14"/>
  <c r="H96" i="14" s="1"/>
  <c r="A7" i="14"/>
  <c r="A95" i="14" s="1"/>
  <c r="A4" i="14"/>
  <c r="A48" i="14" s="1"/>
  <c r="A2" i="14"/>
  <c r="A90" i="14" s="1"/>
  <c r="A1" i="14"/>
  <c r="A45" i="14" s="1"/>
  <c r="A130" i="12"/>
  <c r="G128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G110" i="12"/>
  <c r="A110" i="12"/>
  <c r="A109" i="12"/>
  <c r="G108" i="12"/>
  <c r="A108" i="12"/>
  <c r="G107" i="12"/>
  <c r="A107" i="12"/>
  <c r="G106" i="12"/>
  <c r="A106" i="12"/>
  <c r="G105" i="12"/>
  <c r="A105" i="12"/>
  <c r="G104" i="12"/>
  <c r="A104" i="12"/>
  <c r="G103" i="12"/>
  <c r="A103" i="12"/>
  <c r="G102" i="12"/>
  <c r="A102" i="12"/>
  <c r="G101" i="12"/>
  <c r="A101" i="12"/>
  <c r="A100" i="12"/>
  <c r="E99" i="12"/>
  <c r="A96" i="12"/>
  <c r="A94" i="12"/>
  <c r="A91" i="12"/>
  <c r="A90" i="12"/>
  <c r="A88" i="12"/>
  <c r="A87" i="12"/>
  <c r="G86" i="12"/>
  <c r="A86" i="12"/>
  <c r="G85" i="12"/>
  <c r="A85" i="12"/>
  <c r="A84" i="12"/>
  <c r="G83" i="12"/>
  <c r="A83" i="12"/>
  <c r="G82" i="12"/>
  <c r="A82" i="12"/>
  <c r="G81" i="12"/>
  <c r="A81" i="12"/>
  <c r="G80" i="12"/>
  <c r="A80" i="12"/>
  <c r="G79" i="12"/>
  <c r="A79" i="12"/>
  <c r="G78" i="12"/>
  <c r="A78" i="12"/>
  <c r="G77" i="12"/>
  <c r="A77" i="12"/>
  <c r="G76" i="12"/>
  <c r="A76" i="12"/>
  <c r="G75" i="12"/>
  <c r="A75" i="12"/>
  <c r="A74" i="12"/>
  <c r="A72" i="12"/>
  <c r="A71" i="12"/>
  <c r="G70" i="12"/>
  <c r="A70" i="12"/>
  <c r="G69" i="12"/>
  <c r="A69" i="12"/>
  <c r="G68" i="12"/>
  <c r="A68" i="12"/>
  <c r="G67" i="12"/>
  <c r="A67" i="12"/>
  <c r="G66" i="12"/>
  <c r="A66" i="12"/>
  <c r="G65" i="12"/>
  <c r="A65" i="12"/>
  <c r="G64" i="12"/>
  <c r="A64" i="12"/>
  <c r="G63" i="12"/>
  <c r="A63" i="12"/>
  <c r="A62" i="12"/>
  <c r="A60" i="12"/>
  <c r="A59" i="12"/>
  <c r="G58" i="12"/>
  <c r="A58" i="12"/>
  <c r="G57" i="12"/>
  <c r="A57" i="12"/>
  <c r="G56" i="12"/>
  <c r="A56" i="12"/>
  <c r="E55" i="12"/>
  <c r="A52" i="12"/>
  <c r="A50" i="12"/>
  <c r="A47" i="12"/>
  <c r="A46" i="12"/>
  <c r="A45" i="12"/>
  <c r="G44" i="12"/>
  <c r="A44" i="12"/>
  <c r="G43" i="12"/>
  <c r="A43" i="12"/>
  <c r="G42" i="12"/>
  <c r="A42" i="12"/>
  <c r="G41" i="12"/>
  <c r="A41" i="12"/>
  <c r="A40" i="12"/>
  <c r="A38" i="12"/>
  <c r="A37" i="12"/>
  <c r="G36" i="12"/>
  <c r="A36" i="12"/>
  <c r="G35" i="12"/>
  <c r="A35" i="12"/>
  <c r="G34" i="12"/>
  <c r="A34" i="12"/>
  <c r="G33" i="12"/>
  <c r="A33" i="12"/>
  <c r="G32" i="12"/>
  <c r="A32" i="12"/>
  <c r="G31" i="12"/>
  <c r="A31" i="12"/>
  <c r="G30" i="12"/>
  <c r="A30" i="12"/>
  <c r="A29" i="12"/>
  <c r="A27" i="12"/>
  <c r="A26" i="12"/>
  <c r="A25" i="12"/>
  <c r="A24" i="12"/>
  <c r="G23" i="12"/>
  <c r="A23" i="12"/>
  <c r="G22" i="12"/>
  <c r="A22" i="12"/>
  <c r="A21" i="12"/>
  <c r="A20" i="12"/>
  <c r="A19" i="12"/>
  <c r="A18" i="12"/>
  <c r="A16" i="12"/>
  <c r="G15" i="12"/>
  <c r="A15" i="12"/>
  <c r="G14" i="12"/>
  <c r="A14" i="12"/>
  <c r="G13" i="12"/>
  <c r="A13" i="12"/>
  <c r="A7" i="12"/>
  <c r="A95" i="12" s="1"/>
  <c r="A4" i="12"/>
  <c r="A48" i="12" s="1"/>
  <c r="A2" i="12"/>
  <c r="A1" i="12"/>
  <c r="A89" i="12" s="1"/>
  <c r="F57" i="15"/>
  <c r="A38" i="15"/>
  <c r="A34" i="15"/>
  <c r="A33" i="15"/>
  <c r="A32" i="15"/>
  <c r="F27" i="15"/>
  <c r="A7" i="15"/>
  <c r="A37" i="15" s="1"/>
  <c r="A4" i="15"/>
  <c r="A2" i="15"/>
  <c r="A1" i="15"/>
  <c r="A31" i="15" s="1"/>
  <c r="F25" i="16"/>
  <c r="D25" i="16"/>
  <c r="F23" i="16"/>
  <c r="D23" i="16"/>
  <c r="F22" i="16"/>
  <c r="D22" i="16"/>
  <c r="F15" i="16"/>
  <c r="D15" i="16"/>
  <c r="F9" i="16"/>
  <c r="A8" i="16"/>
  <c r="A5" i="16"/>
  <c r="A4" i="16"/>
  <c r="A2" i="16"/>
  <c r="A1" i="16"/>
  <c r="C13" i="40"/>
  <c r="C11" i="40"/>
  <c r="A9" i="40"/>
  <c r="A7" i="40"/>
  <c r="C48" i="3"/>
  <c r="C47" i="3"/>
  <c r="C46" i="3"/>
  <c r="C45" i="3"/>
  <c r="C44" i="3"/>
  <c r="C43" i="3"/>
  <c r="C42" i="3"/>
  <c r="C41" i="3"/>
  <c r="C40" i="3"/>
  <c r="C39" i="3"/>
  <c r="C38" i="3"/>
  <c r="AE2" i="70" s="1"/>
  <c r="C37" i="3"/>
  <c r="C36" i="3"/>
  <c r="P8" i="44" s="1"/>
  <c r="P67" i="44" s="1"/>
  <c r="AE40" i="69"/>
  <c r="O36" i="69"/>
  <c r="K36" i="69"/>
  <c r="I36" i="69"/>
  <c r="AE32" i="69"/>
  <c r="Q32" i="69"/>
  <c r="E32" i="69"/>
  <c r="AE31" i="69"/>
  <c r="Q31" i="69"/>
  <c r="M30" i="69"/>
  <c r="M36" i="69" s="1"/>
  <c r="G30" i="69"/>
  <c r="E30" i="69" s="1"/>
  <c r="O25" i="69"/>
  <c r="M25" i="69"/>
  <c r="K25" i="69"/>
  <c r="I25" i="69"/>
  <c r="G25" i="69"/>
  <c r="I23" i="69"/>
  <c r="G23" i="69"/>
  <c r="E22" i="69"/>
  <c r="O19" i="69"/>
  <c r="O27" i="69" s="1"/>
  <c r="O38" i="69" s="1"/>
  <c r="O42" i="69" s="1"/>
  <c r="M17" i="69"/>
  <c r="M19" i="69" s="1"/>
  <c r="M27" i="69" s="1"/>
  <c r="M38" i="69" s="1"/>
  <c r="M42" i="69" s="1"/>
  <c r="M14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AE40" i="70"/>
  <c r="O36" i="70"/>
  <c r="K36" i="70"/>
  <c r="I36" i="70"/>
  <c r="E32" i="70"/>
  <c r="AE32" i="70" s="1"/>
  <c r="AE31" i="70"/>
  <c r="Q31" i="70"/>
  <c r="M30" i="70"/>
  <c r="M36" i="70" s="1"/>
  <c r="G30" i="70"/>
  <c r="E30" i="70" s="1"/>
  <c r="O25" i="70"/>
  <c r="M25" i="70"/>
  <c r="K25" i="70"/>
  <c r="I23" i="70"/>
  <c r="I25" i="70" s="1"/>
  <c r="G23" i="70"/>
  <c r="G25" i="70" s="1"/>
  <c r="E22" i="70"/>
  <c r="O19" i="70"/>
  <c r="O27" i="70" s="1"/>
  <c r="O38" i="70" s="1"/>
  <c r="O42" i="70" s="1"/>
  <c r="M17" i="70"/>
  <c r="M19" i="70" s="1"/>
  <c r="M14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4" i="70" s="1"/>
  <c r="A36" i="70" s="1"/>
  <c r="A38" i="70" s="1"/>
  <c r="A40" i="70" s="1"/>
  <c r="A42" i="70" s="1"/>
  <c r="A44" i="70" s="1"/>
  <c r="B2" i="70"/>
  <c r="A92" i="12" l="1"/>
  <c r="H52" i="14"/>
  <c r="A89" i="14"/>
  <c r="A46" i="17"/>
  <c r="A94" i="19"/>
  <c r="AE2" i="69"/>
  <c r="H8" i="12"/>
  <c r="A95" i="4"/>
  <c r="I8" i="5"/>
  <c r="A54" i="5"/>
  <c r="I8" i="19"/>
  <c r="J8" i="20"/>
  <c r="J36" i="20" s="1"/>
  <c r="G8" i="43"/>
  <c r="G27" i="43" s="1"/>
  <c r="A60" i="76"/>
  <c r="A58" i="77"/>
  <c r="G8" i="25"/>
  <c r="G36" i="25" s="1"/>
  <c r="E8" i="26"/>
  <c r="E35" i="26" s="1"/>
  <c r="W8" i="99"/>
  <c r="W55" i="99" s="1"/>
  <c r="E9" i="30"/>
  <c r="E9" i="33"/>
  <c r="P8" i="31"/>
  <c r="P67" i="31" s="1"/>
  <c r="A46" i="14"/>
  <c r="A92" i="14"/>
  <c r="H8" i="11"/>
  <c r="H34" i="11" s="1"/>
  <c r="A48" i="4"/>
  <c r="K9" i="10"/>
  <c r="K43" i="10" s="1"/>
  <c r="A49" i="17"/>
  <c r="I53" i="17"/>
  <c r="A46" i="19"/>
  <c r="A60" i="77"/>
  <c r="A113" i="77"/>
  <c r="A169" i="77"/>
  <c r="Q8" i="102"/>
  <c r="W8" i="103"/>
  <c r="W55" i="103" s="1"/>
  <c r="Q8" i="98"/>
  <c r="H8" i="28"/>
  <c r="H29" i="28" s="1"/>
  <c r="G8" i="15"/>
  <c r="G38" i="15" s="1"/>
  <c r="H8" i="4"/>
  <c r="A46" i="4"/>
  <c r="I8" i="7"/>
  <c r="I21" i="7" s="1"/>
  <c r="H8" i="8"/>
  <c r="H21" i="8" s="1"/>
  <c r="M8" i="9"/>
  <c r="M36" i="9" s="1"/>
  <c r="A47" i="17"/>
  <c r="H8" i="18"/>
  <c r="H33" i="18" s="1"/>
  <c r="J8" i="77"/>
  <c r="A57" i="77"/>
  <c r="A51" i="14"/>
  <c r="A57" i="5"/>
  <c r="A52" i="17"/>
  <c r="A97" i="19"/>
  <c r="A119" i="77"/>
  <c r="A231" i="77"/>
  <c r="A51" i="12"/>
  <c r="A63" i="77"/>
  <c r="I37" i="98"/>
  <c r="I37" i="102"/>
  <c r="C27" i="98"/>
  <c r="C28" i="98" s="1"/>
  <c r="C27" i="102"/>
  <c r="C28" i="102" s="1"/>
  <c r="O20" i="102"/>
  <c r="K18" i="102"/>
  <c r="O18" i="102" s="1"/>
  <c r="Q18" i="102" s="1"/>
  <c r="K13" i="102"/>
  <c r="O13" i="102" s="1"/>
  <c r="Q13" i="102" s="1"/>
  <c r="K15" i="102"/>
  <c r="O15" i="102" s="1"/>
  <c r="Q15" i="102" s="1"/>
  <c r="K72" i="102"/>
  <c r="O72" i="102" s="1"/>
  <c r="Q72" i="102" s="1"/>
  <c r="K70" i="102"/>
  <c r="O70" i="102" s="1"/>
  <c r="Q70" i="102" s="1"/>
  <c r="K68" i="102"/>
  <c r="O68" i="102" s="1"/>
  <c r="Q68" i="102" s="1"/>
  <c r="K64" i="102"/>
  <c r="K62" i="102"/>
  <c r="O62" i="102" s="1"/>
  <c r="K43" i="102"/>
  <c r="O43" i="102" s="1"/>
  <c r="K38" i="102"/>
  <c r="O38" i="102" s="1"/>
  <c r="Q38" i="102" s="1"/>
  <c r="K30" i="102"/>
  <c r="O30" i="102" s="1"/>
  <c r="K26" i="102"/>
  <c r="O26" i="102" s="1"/>
  <c r="K23" i="102"/>
  <c r="O23" i="102" s="1"/>
  <c r="K21" i="102"/>
  <c r="O21" i="102" s="1"/>
  <c r="K16" i="102"/>
  <c r="O16" i="102" s="1"/>
  <c r="K58" i="102"/>
  <c r="K48" i="102"/>
  <c r="K52" i="102"/>
  <c r="K39" i="102"/>
  <c r="O39" i="102" s="1"/>
  <c r="K32" i="102"/>
  <c r="O32" i="102" s="1"/>
  <c r="K24" i="102"/>
  <c r="O24" i="102" s="1"/>
  <c r="Q24" i="102" s="1"/>
  <c r="K19" i="102"/>
  <c r="O19" i="102" s="1"/>
  <c r="O12" i="102"/>
  <c r="Q12" i="102" s="1"/>
  <c r="K54" i="102"/>
  <c r="K60" i="102"/>
  <c r="K44" i="102"/>
  <c r="O44" i="102" s="1"/>
  <c r="K37" i="102"/>
  <c r="O37" i="102" s="1"/>
  <c r="Q37" i="102" s="1"/>
  <c r="K31" i="102"/>
  <c r="O31" i="102" s="1"/>
  <c r="Q31" i="102" s="1"/>
  <c r="K25" i="102"/>
  <c r="O25" i="102" s="1"/>
  <c r="Q25" i="102" s="1"/>
  <c r="K22" i="102"/>
  <c r="O22" i="102" s="1"/>
  <c r="Q22" i="102" s="1"/>
  <c r="K17" i="102"/>
  <c r="O17" i="102" s="1"/>
  <c r="Q17" i="102" s="1"/>
  <c r="K50" i="102"/>
  <c r="K45" i="102"/>
  <c r="O45" i="102" s="1"/>
  <c r="K14" i="102"/>
  <c r="O14" i="102" s="1"/>
  <c r="Q14" i="102" s="1"/>
  <c r="K33" i="102"/>
  <c r="O33" i="102" s="1"/>
  <c r="Q33" i="102" s="1"/>
  <c r="Q44" i="102"/>
  <c r="E71" i="101"/>
  <c r="F71" i="101" s="1"/>
  <c r="Q19" i="102"/>
  <c r="Q23" i="102"/>
  <c r="Q32" i="102"/>
  <c r="Q39" i="102"/>
  <c r="E57" i="101"/>
  <c r="F57" i="101" s="1"/>
  <c r="E61" i="101"/>
  <c r="F61" i="101" s="1"/>
  <c r="E67" i="101"/>
  <c r="F67" i="101" s="1"/>
  <c r="Q21" i="102"/>
  <c r="Q26" i="102"/>
  <c r="Q20" i="102"/>
  <c r="Q45" i="102"/>
  <c r="K12" i="98"/>
  <c r="E55" i="101"/>
  <c r="F55" i="101" s="1"/>
  <c r="E59" i="101"/>
  <c r="F59" i="101" s="1"/>
  <c r="D37" i="31"/>
  <c r="D44" i="31"/>
  <c r="D40" i="31"/>
  <c r="E40" i="31" s="1"/>
  <c r="D50" i="31"/>
  <c r="E50" i="31" s="1"/>
  <c r="P241" i="77"/>
  <c r="P243" i="77"/>
  <c r="P166" i="77"/>
  <c r="P128" i="77"/>
  <c r="P136" i="77"/>
  <c r="P144" i="77"/>
  <c r="P152" i="77"/>
  <c r="P160" i="77"/>
  <c r="P132" i="77"/>
  <c r="P140" i="77"/>
  <c r="P148" i="77"/>
  <c r="P156" i="77"/>
  <c r="P164" i="77"/>
  <c r="P69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A113" i="76"/>
  <c r="A57" i="76"/>
  <c r="P31" i="76"/>
  <c r="P35" i="76"/>
  <c r="P39" i="76"/>
  <c r="P43" i="76"/>
  <c r="P47" i="76"/>
  <c r="P55" i="76"/>
  <c r="J120" i="76"/>
  <c r="P130" i="76"/>
  <c r="P30" i="76"/>
  <c r="P34" i="76"/>
  <c r="P38" i="76"/>
  <c r="P42" i="76"/>
  <c r="P46" i="76"/>
  <c r="P50" i="76"/>
  <c r="P54" i="76"/>
  <c r="P76" i="76"/>
  <c r="P80" i="76"/>
  <c r="P107" i="76"/>
  <c r="P110" i="76"/>
  <c r="P111" i="76"/>
  <c r="A119" i="76"/>
  <c r="A63" i="76"/>
  <c r="P83" i="76"/>
  <c r="P87" i="76"/>
  <c r="P134" i="76"/>
  <c r="P135" i="76"/>
  <c r="P136" i="76"/>
  <c r="A58" i="76"/>
  <c r="P70" i="76"/>
  <c r="P72" i="76"/>
  <c r="P91" i="76"/>
  <c r="P95" i="76"/>
  <c r="P96" i="76"/>
  <c r="P100" i="76"/>
  <c r="P102" i="76"/>
  <c r="P104" i="76"/>
  <c r="P125" i="76"/>
  <c r="P138" i="76"/>
  <c r="P139" i="76"/>
  <c r="P140" i="76"/>
  <c r="P126" i="76"/>
  <c r="P127" i="76"/>
  <c r="P128" i="76"/>
  <c r="P142" i="76"/>
  <c r="P71" i="76"/>
  <c r="P73" i="76"/>
  <c r="P81" i="76"/>
  <c r="P89" i="76"/>
  <c r="P97" i="76"/>
  <c r="P105" i="76"/>
  <c r="P69" i="76"/>
  <c r="P77" i="76"/>
  <c r="P85" i="76"/>
  <c r="P93" i="76"/>
  <c r="P101" i="76"/>
  <c r="P109" i="76"/>
  <c r="P20" i="76"/>
  <c r="P51" i="76"/>
  <c r="A49" i="18"/>
  <c r="H15" i="17"/>
  <c r="I15" i="17" s="1"/>
  <c r="E16" i="23" s="1"/>
  <c r="H33" i="17"/>
  <c r="H39" i="17" s="1"/>
  <c r="H37" i="17"/>
  <c r="H78" i="17"/>
  <c r="H82" i="17"/>
  <c r="H24" i="17"/>
  <c r="H42" i="17"/>
  <c r="H44" i="17"/>
  <c r="H66" i="17"/>
  <c r="H68" i="17"/>
  <c r="H70" i="17"/>
  <c r="H72" i="17"/>
  <c r="H87" i="17"/>
  <c r="H104" i="17"/>
  <c r="H114" i="17" s="1"/>
  <c r="H106" i="17"/>
  <c r="H108" i="17"/>
  <c r="H110" i="17"/>
  <c r="H112" i="17"/>
  <c r="H31" i="17"/>
  <c r="H35" i="17"/>
  <c r="H59" i="17"/>
  <c r="H80" i="17"/>
  <c r="H14" i="17"/>
  <c r="H32" i="17"/>
  <c r="H34" i="17"/>
  <c r="H36" i="17"/>
  <c r="H58" i="17"/>
  <c r="H60" i="17"/>
  <c r="H77" i="17"/>
  <c r="H79" i="17"/>
  <c r="H81" i="17"/>
  <c r="H83" i="17"/>
  <c r="H85" i="17"/>
  <c r="A51" i="11"/>
  <c r="R23" i="48"/>
  <c r="T23" i="48" s="1"/>
  <c r="P23" i="45"/>
  <c r="R23" i="45" s="1"/>
  <c r="T100" i="45"/>
  <c r="T145" i="45" s="1"/>
  <c r="T177" i="45" s="1"/>
  <c r="F102" i="4"/>
  <c r="G81" i="4"/>
  <c r="G22" i="4"/>
  <c r="G105" i="4"/>
  <c r="E104" i="17"/>
  <c r="G104" i="17" s="1"/>
  <c r="E108" i="17"/>
  <c r="G108" i="17" s="1"/>
  <c r="E105" i="17"/>
  <c r="G105" i="17" s="1"/>
  <c r="I105" i="17" s="1"/>
  <c r="E95" i="23" s="1"/>
  <c r="E110" i="4"/>
  <c r="F105" i="4"/>
  <c r="D103" i="4"/>
  <c r="E102" i="4"/>
  <c r="H102" i="4" s="1"/>
  <c r="D102" i="12" s="1"/>
  <c r="D105" i="17" s="1"/>
  <c r="F101" i="4"/>
  <c r="D85" i="4"/>
  <c r="G24" i="4"/>
  <c r="F22" i="4"/>
  <c r="D15" i="4"/>
  <c r="P13" i="37"/>
  <c r="E106" i="17"/>
  <c r="G106" i="17" s="1"/>
  <c r="D110" i="4"/>
  <c r="H110" i="4" s="1"/>
  <c r="D110" i="12" s="1"/>
  <c r="D113" i="17" s="1"/>
  <c r="E105" i="4"/>
  <c r="G103" i="4"/>
  <c r="D102" i="4"/>
  <c r="E101" i="4"/>
  <c r="H101" i="4" s="1"/>
  <c r="G85" i="4"/>
  <c r="E22" i="4"/>
  <c r="G15" i="4"/>
  <c r="F13" i="37"/>
  <c r="E76" i="4" s="1"/>
  <c r="E113" i="17"/>
  <c r="G113" i="17" s="1"/>
  <c r="I113" i="17" s="1"/>
  <c r="E103" i="23" s="1"/>
  <c r="E23" i="17"/>
  <c r="G23" i="17" s="1"/>
  <c r="G110" i="4"/>
  <c r="D105" i="4"/>
  <c r="H105" i="4" s="1"/>
  <c r="D105" i="12" s="1"/>
  <c r="F103" i="4"/>
  <c r="G102" i="4"/>
  <c r="D101" i="4"/>
  <c r="F85" i="4"/>
  <c r="H85" i="4" s="1"/>
  <c r="D85" i="12" s="1"/>
  <c r="D87" i="17" s="1"/>
  <c r="D22" i="4"/>
  <c r="F15" i="4"/>
  <c r="G83" i="4"/>
  <c r="G108" i="4"/>
  <c r="G30" i="4"/>
  <c r="F57" i="4"/>
  <c r="G64" i="4"/>
  <c r="G70" i="4"/>
  <c r="F107" i="4"/>
  <c r="F32" i="4"/>
  <c r="D34" i="4"/>
  <c r="F35" i="4"/>
  <c r="E13" i="4"/>
  <c r="E16" i="4" s="1"/>
  <c r="E14" i="4"/>
  <c r="F42" i="4"/>
  <c r="G57" i="4"/>
  <c r="E59" i="4"/>
  <c r="E23" i="4"/>
  <c r="E67" i="4"/>
  <c r="G69" i="4"/>
  <c r="E71" i="4"/>
  <c r="F21" i="4"/>
  <c r="F25" i="4"/>
  <c r="F66" i="4"/>
  <c r="F70" i="4"/>
  <c r="F77" i="4"/>
  <c r="F15" i="37"/>
  <c r="E78" i="4" s="1"/>
  <c r="H18" i="37"/>
  <c r="F81" i="4" s="1"/>
  <c r="F22" i="37"/>
  <c r="E84" i="4" s="1"/>
  <c r="E104" i="4"/>
  <c r="G107" i="4"/>
  <c r="E31" i="4"/>
  <c r="G32" i="4"/>
  <c r="E34" i="4"/>
  <c r="G35" i="4"/>
  <c r="G14" i="4"/>
  <c r="E44" i="4"/>
  <c r="E21" i="4"/>
  <c r="G71" i="4"/>
  <c r="G21" i="4"/>
  <c r="G26" i="4"/>
  <c r="G65" i="4"/>
  <c r="G106" i="4"/>
  <c r="E109" i="4"/>
  <c r="G31" i="4"/>
  <c r="E14" i="17"/>
  <c r="G14" i="17" s="1"/>
  <c r="E15" i="17"/>
  <c r="G15" i="17" s="1"/>
  <c r="E57" i="4"/>
  <c r="E58" i="4"/>
  <c r="E24" i="4"/>
  <c r="J168" i="37"/>
  <c r="J159" i="37"/>
  <c r="E35" i="31"/>
  <c r="F17" i="31"/>
  <c r="F19" i="31" s="1"/>
  <c r="E98" i="31"/>
  <c r="E23" i="69"/>
  <c r="H38" i="28"/>
  <c r="F24" i="16" s="1"/>
  <c r="E25" i="69"/>
  <c r="H16" i="28"/>
  <c r="D24" i="16" s="1"/>
  <c r="E23" i="70"/>
  <c r="AE23" i="70" s="1"/>
  <c r="G30" i="102"/>
  <c r="I30" i="102" s="1"/>
  <c r="Q30" i="102" s="1"/>
  <c r="G30" i="98"/>
  <c r="G16" i="102"/>
  <c r="I16" i="102" s="1"/>
  <c r="Q16" i="102" s="1"/>
  <c r="C64" i="102"/>
  <c r="C66" i="102" s="1"/>
  <c r="E31" i="31"/>
  <c r="E44" i="31"/>
  <c r="E51" i="31"/>
  <c r="E100" i="31"/>
  <c r="E108" i="31"/>
  <c r="E112" i="31"/>
  <c r="G46" i="98"/>
  <c r="I43" i="98"/>
  <c r="C46" i="98"/>
  <c r="C64" i="98" s="1"/>
  <c r="C66" i="98" s="1"/>
  <c r="G54" i="98"/>
  <c r="I54" i="98" s="1"/>
  <c r="N16" i="54"/>
  <c r="G18" i="28"/>
  <c r="G34" i="70" s="1"/>
  <c r="E34" i="70"/>
  <c r="AE34" i="70" s="1"/>
  <c r="G40" i="28"/>
  <c r="G34" i="69" s="1"/>
  <c r="E34" i="69"/>
  <c r="AE34" i="69" s="1"/>
  <c r="V100" i="48"/>
  <c r="V102" i="48" s="1"/>
  <c r="V145" i="48"/>
  <c r="V177" i="48" s="1"/>
  <c r="Q18" i="47"/>
  <c r="E31" i="43"/>
  <c r="C52" i="20"/>
  <c r="F52" i="20" s="1"/>
  <c r="H52" i="20" s="1"/>
  <c r="J52" i="20" s="1"/>
  <c r="T100" i="37"/>
  <c r="T145" i="37" s="1"/>
  <c r="T176" i="37" s="1"/>
  <c r="C26" i="20"/>
  <c r="I16" i="20"/>
  <c r="I26" i="20" s="1"/>
  <c r="E18" i="43"/>
  <c r="C18" i="43"/>
  <c r="F16" i="20"/>
  <c r="I23" i="19"/>
  <c r="E24" i="58" s="1"/>
  <c r="D44" i="18"/>
  <c r="F44" i="18" s="1"/>
  <c r="H73" i="19" s="1"/>
  <c r="H74" i="19" s="1"/>
  <c r="K41" i="18"/>
  <c r="H137" i="45"/>
  <c r="F117" i="5" s="1"/>
  <c r="H112" i="48"/>
  <c r="D43" i="11"/>
  <c r="H19" i="45"/>
  <c r="F82" i="5" s="1"/>
  <c r="H24" i="45"/>
  <c r="F86" i="5" s="1"/>
  <c r="P33" i="45"/>
  <c r="J36" i="45"/>
  <c r="G98" i="5" s="1"/>
  <c r="J42" i="45"/>
  <c r="G30" i="5" s="1"/>
  <c r="H77" i="45"/>
  <c r="F23" i="5" s="1"/>
  <c r="H79" i="45"/>
  <c r="P89" i="45"/>
  <c r="H95" i="45"/>
  <c r="D115" i="45"/>
  <c r="W128" i="45"/>
  <c r="H131" i="45"/>
  <c r="F126" i="5" s="1"/>
  <c r="H133" i="45"/>
  <c r="F127" i="5" s="1"/>
  <c r="F134" i="45"/>
  <c r="E128" i="5" s="1"/>
  <c r="P162" i="45"/>
  <c r="V162" i="45" s="1"/>
  <c r="H16" i="48"/>
  <c r="R28" i="48"/>
  <c r="H32" i="48"/>
  <c r="R37" i="48"/>
  <c r="X37" i="48" s="1"/>
  <c r="H65" i="48"/>
  <c r="R78" i="48"/>
  <c r="D112" i="48"/>
  <c r="H115" i="48"/>
  <c r="L115" i="48" s="1"/>
  <c r="Y117" i="48"/>
  <c r="D119" i="48"/>
  <c r="H125" i="48"/>
  <c r="H129" i="48"/>
  <c r="D132" i="48"/>
  <c r="Y139" i="48"/>
  <c r="R158" i="48"/>
  <c r="X158" i="48" s="1"/>
  <c r="X159" i="48" s="1"/>
  <c r="R165" i="48"/>
  <c r="X165" i="48" s="1"/>
  <c r="K37" i="18"/>
  <c r="M37" i="18" s="1"/>
  <c r="D39" i="18"/>
  <c r="F39" i="18" s="1"/>
  <c r="H25" i="19" s="1"/>
  <c r="H17" i="45"/>
  <c r="F80" i="5" s="1"/>
  <c r="H20" i="45"/>
  <c r="H22" i="45"/>
  <c r="F84" i="5" s="1"/>
  <c r="J25" i="45"/>
  <c r="H37" i="45"/>
  <c r="H48" i="45"/>
  <c r="F36" i="5" s="1"/>
  <c r="H54" i="45"/>
  <c r="F14" i="5" s="1"/>
  <c r="H63" i="45"/>
  <c r="F46" i="5" s="1"/>
  <c r="J65" i="45"/>
  <c r="G48" i="5" s="1"/>
  <c r="H72" i="45"/>
  <c r="H75" i="45"/>
  <c r="F21" i="5" s="1"/>
  <c r="P77" i="45"/>
  <c r="H87" i="45"/>
  <c r="F64" i="5" s="1"/>
  <c r="D112" i="45"/>
  <c r="D119" i="5" s="1"/>
  <c r="D113" i="45"/>
  <c r="W113" i="45"/>
  <c r="D123" i="45"/>
  <c r="D121" i="5" s="1"/>
  <c r="D124" i="45"/>
  <c r="W124" i="45"/>
  <c r="D127" i="45"/>
  <c r="D123" i="5" s="1"/>
  <c r="W127" i="45"/>
  <c r="P163" i="45"/>
  <c r="V163" i="45" s="1"/>
  <c r="P164" i="45"/>
  <c r="V164" i="45" s="1"/>
  <c r="H14" i="48"/>
  <c r="J24" i="48"/>
  <c r="J54" i="48"/>
  <c r="H63" i="48"/>
  <c r="J66" i="48"/>
  <c r="H70" i="48"/>
  <c r="P111" i="48"/>
  <c r="F114" i="48"/>
  <c r="D118" i="48"/>
  <c r="P122" i="48"/>
  <c r="F124" i="48"/>
  <c r="Y128" i="48"/>
  <c r="Y130" i="48"/>
  <c r="D133" i="48"/>
  <c r="R166" i="48"/>
  <c r="X166" i="48" s="1"/>
  <c r="Y135" i="48"/>
  <c r="D135" i="48"/>
  <c r="P134" i="48"/>
  <c r="I128" i="5" s="1"/>
  <c r="D127" i="14" s="1"/>
  <c r="D130" i="19" s="1"/>
  <c r="Y132" i="48"/>
  <c r="D131" i="48"/>
  <c r="P125" i="48"/>
  <c r="Y121" i="48"/>
  <c r="Y120" i="48"/>
  <c r="P114" i="48"/>
  <c r="P113" i="48"/>
  <c r="Y111" i="48"/>
  <c r="D110" i="48"/>
  <c r="W139" i="45"/>
  <c r="W136" i="45"/>
  <c r="D136" i="45"/>
  <c r="D116" i="5" s="1"/>
  <c r="D133" i="45"/>
  <c r="W130" i="45"/>
  <c r="D130" i="45"/>
  <c r="W126" i="45"/>
  <c r="D126" i="45"/>
  <c r="D122" i="5" s="1"/>
  <c r="W122" i="45"/>
  <c r="W121" i="45"/>
  <c r="D121" i="45"/>
  <c r="W119" i="45"/>
  <c r="W118" i="45"/>
  <c r="D116" i="45"/>
  <c r="D114" i="45"/>
  <c r="W111" i="45"/>
  <c r="P139" i="48"/>
  <c r="P138" i="48"/>
  <c r="T138" i="48" s="1"/>
  <c r="Y137" i="48"/>
  <c r="D134" i="48"/>
  <c r="P133" i="48"/>
  <c r="P130" i="48"/>
  <c r="D129" i="48"/>
  <c r="P128" i="48"/>
  <c r="D128" i="48"/>
  <c r="D127" i="48"/>
  <c r="Y124" i="48"/>
  <c r="Y123" i="48"/>
  <c r="D123" i="48"/>
  <c r="D121" i="48"/>
  <c r="P118" i="48"/>
  <c r="T118" i="48" s="1"/>
  <c r="P115" i="48"/>
  <c r="D115" i="48"/>
  <c r="Y113" i="48"/>
  <c r="Y112" i="48"/>
  <c r="W134" i="45"/>
  <c r="W133" i="45"/>
  <c r="W131" i="45"/>
  <c r="D129" i="45"/>
  <c r="D125" i="5" s="1"/>
  <c r="D119" i="45"/>
  <c r="W117" i="45"/>
  <c r="D117" i="45"/>
  <c r="D120" i="5" s="1"/>
  <c r="W110" i="45"/>
  <c r="H15" i="45"/>
  <c r="F78" i="5" s="1"/>
  <c r="H46" i="45"/>
  <c r="F34" i="5" s="1"/>
  <c r="P61" i="45"/>
  <c r="H76" i="45"/>
  <c r="H111" i="45"/>
  <c r="H112" i="45"/>
  <c r="F119" i="5" s="1"/>
  <c r="F113" i="45"/>
  <c r="F118" i="45"/>
  <c r="H122" i="45"/>
  <c r="H123" i="45"/>
  <c r="F121" i="5" s="1"/>
  <c r="D125" i="45"/>
  <c r="H127" i="45"/>
  <c r="F123" i="5" s="1"/>
  <c r="D132" i="45"/>
  <c r="W132" i="45"/>
  <c r="D137" i="45"/>
  <c r="D117" i="5" s="1"/>
  <c r="W137" i="45"/>
  <c r="D139" i="45"/>
  <c r="H157" i="45"/>
  <c r="L157" i="45" s="1"/>
  <c r="P167" i="45"/>
  <c r="V167" i="45" s="1"/>
  <c r="H12" i="48"/>
  <c r="H21" i="48"/>
  <c r="H25" i="48"/>
  <c r="H48" i="48"/>
  <c r="H61" i="48"/>
  <c r="H88" i="48"/>
  <c r="P119" i="48"/>
  <c r="H128" i="48"/>
  <c r="L128" i="48" s="1"/>
  <c r="N128" i="48" s="1"/>
  <c r="Z128" i="48" s="1"/>
  <c r="Y129" i="48"/>
  <c r="P132" i="48"/>
  <c r="Y134" i="48"/>
  <c r="D138" i="48"/>
  <c r="D139" i="48"/>
  <c r="D46" i="11"/>
  <c r="F46" i="11" s="1"/>
  <c r="G71" i="14" s="1"/>
  <c r="F120" i="48"/>
  <c r="F117" i="48"/>
  <c r="F139" i="45"/>
  <c r="F128" i="45"/>
  <c r="E124" i="5" s="1"/>
  <c r="F122" i="48"/>
  <c r="F136" i="45"/>
  <c r="E116" i="5" s="1"/>
  <c r="F133" i="45"/>
  <c r="E127" i="5" s="1"/>
  <c r="F126" i="45"/>
  <c r="E122" i="5" s="1"/>
  <c r="F122" i="45"/>
  <c r="F121" i="45"/>
  <c r="H132" i="48"/>
  <c r="H119" i="48"/>
  <c r="H116" i="48"/>
  <c r="H111" i="48"/>
  <c r="H138" i="45"/>
  <c r="H135" i="45"/>
  <c r="F115" i="5" s="1"/>
  <c r="H125" i="45"/>
  <c r="H115" i="45"/>
  <c r="H113" i="45"/>
  <c r="L113" i="45" s="1"/>
  <c r="H135" i="48"/>
  <c r="H131" i="48"/>
  <c r="H120" i="48"/>
  <c r="L120" i="48" s="1"/>
  <c r="H110" i="48"/>
  <c r="H139" i="45"/>
  <c r="H130" i="45"/>
  <c r="H128" i="45"/>
  <c r="F124" i="5" s="1"/>
  <c r="H120" i="45"/>
  <c r="H116" i="45"/>
  <c r="H71" i="48"/>
  <c r="H62" i="48"/>
  <c r="H58" i="48"/>
  <c r="H22" i="48"/>
  <c r="H20" i="48"/>
  <c r="H15" i="48"/>
  <c r="H13" i="48"/>
  <c r="H74" i="45"/>
  <c r="H66" i="45"/>
  <c r="H64" i="45"/>
  <c r="F47" i="5" s="1"/>
  <c r="H62" i="45"/>
  <c r="F45" i="5" s="1"/>
  <c r="H60" i="45"/>
  <c r="F43" i="5" s="1"/>
  <c r="H58" i="45"/>
  <c r="F41" i="5" s="1"/>
  <c r="H49" i="45"/>
  <c r="F37" i="5" s="1"/>
  <c r="H45" i="45"/>
  <c r="F33" i="5" s="1"/>
  <c r="H43" i="45"/>
  <c r="F31" i="5" s="1"/>
  <c r="H16" i="45"/>
  <c r="F79" i="5" s="1"/>
  <c r="H12" i="45"/>
  <c r="F75" i="5" s="1"/>
  <c r="H93" i="48"/>
  <c r="H81" i="48"/>
  <c r="H78" i="48"/>
  <c r="H76" i="48"/>
  <c r="H53" i="48"/>
  <c r="H47" i="48"/>
  <c r="H94" i="45"/>
  <c r="F70" i="5" s="1"/>
  <c r="H92" i="45"/>
  <c r="F68" i="5" s="1"/>
  <c r="H90" i="45"/>
  <c r="F66" i="5" s="1"/>
  <c r="H88" i="45"/>
  <c r="F65" i="5" s="1"/>
  <c r="H86" i="45"/>
  <c r="H80" i="45"/>
  <c r="F25" i="5" s="1"/>
  <c r="H78" i="45"/>
  <c r="F24" i="5" s="1"/>
  <c r="R64" i="48"/>
  <c r="R60" i="48"/>
  <c r="R26" i="48"/>
  <c r="P76" i="45"/>
  <c r="P47" i="45"/>
  <c r="R71" i="48"/>
  <c r="R35" i="48"/>
  <c r="X35" i="48" s="1"/>
  <c r="E110" i="19" s="1"/>
  <c r="G110" i="19" s="1"/>
  <c r="I110" i="19" s="1"/>
  <c r="E100" i="58" s="1"/>
  <c r="R172" i="48"/>
  <c r="X172" i="48" s="1"/>
  <c r="X173" i="48" s="1"/>
  <c r="R167" i="48"/>
  <c r="X167" i="48" s="1"/>
  <c r="R162" i="48"/>
  <c r="X162" i="48" s="1"/>
  <c r="P165" i="45"/>
  <c r="V165" i="45" s="1"/>
  <c r="P157" i="45"/>
  <c r="V157" i="45" s="1"/>
  <c r="R164" i="48"/>
  <c r="X164" i="48" s="1"/>
  <c r="R163" i="48"/>
  <c r="X163" i="48" s="1"/>
  <c r="P166" i="45"/>
  <c r="V166" i="45" s="1"/>
  <c r="P158" i="45"/>
  <c r="V158" i="45" s="1"/>
  <c r="J87" i="48"/>
  <c r="J17" i="48"/>
  <c r="J96" i="45"/>
  <c r="G71" i="5" s="1"/>
  <c r="J85" i="45"/>
  <c r="G63" i="5" s="1"/>
  <c r="J70" i="45"/>
  <c r="G19" i="5" s="1"/>
  <c r="J18" i="45"/>
  <c r="G81" i="5" s="1"/>
  <c r="J14" i="45"/>
  <c r="G77" i="5" s="1"/>
  <c r="J96" i="48"/>
  <c r="J42" i="48"/>
  <c r="P78" i="48"/>
  <c r="D38" i="11"/>
  <c r="F38" i="11" s="1"/>
  <c r="G19" i="14" s="1"/>
  <c r="D48" i="11"/>
  <c r="P135" i="48"/>
  <c r="P137" i="48"/>
  <c r="P110" i="48"/>
  <c r="I118" i="5" s="1"/>
  <c r="D117" i="14" s="1"/>
  <c r="F117" i="14" s="1"/>
  <c r="H117" i="14" s="1"/>
  <c r="D110" i="58" s="1"/>
  <c r="G110" i="58" s="1"/>
  <c r="P112" i="48"/>
  <c r="I119" i="5" s="1"/>
  <c r="D118" i="14" s="1"/>
  <c r="D121" i="19" s="1"/>
  <c r="P117" i="48"/>
  <c r="P123" i="48"/>
  <c r="P126" i="48"/>
  <c r="T126" i="48" s="1"/>
  <c r="P127" i="48"/>
  <c r="T127" i="48" s="1"/>
  <c r="P129" i="48"/>
  <c r="P131" i="48"/>
  <c r="L158" i="48"/>
  <c r="F137" i="45"/>
  <c r="E117" i="5" s="1"/>
  <c r="F135" i="48"/>
  <c r="L135" i="48" s="1"/>
  <c r="N135" i="48" s="1"/>
  <c r="Z135" i="48" s="1"/>
  <c r="H96" i="48"/>
  <c r="H139" i="48"/>
  <c r="D47" i="18"/>
  <c r="F47" i="18" s="1"/>
  <c r="H112" i="19" s="1"/>
  <c r="H114" i="19" s="1"/>
  <c r="J159" i="45"/>
  <c r="H159" i="45"/>
  <c r="V172" i="45"/>
  <c r="V173" i="45" s="1"/>
  <c r="T11" i="48"/>
  <c r="L129" i="48"/>
  <c r="J94" i="48"/>
  <c r="J93" i="48"/>
  <c r="J81" i="48"/>
  <c r="J80" i="48"/>
  <c r="J79" i="48"/>
  <c r="J78" i="48"/>
  <c r="J75" i="48"/>
  <c r="J74" i="48"/>
  <c r="J49" i="48"/>
  <c r="J48" i="48"/>
  <c r="J38" i="48"/>
  <c r="J37" i="48"/>
  <c r="J28" i="48"/>
  <c r="J90" i="48"/>
  <c r="J72" i="48"/>
  <c r="J70" i="48"/>
  <c r="J65" i="48"/>
  <c r="J64" i="48"/>
  <c r="J63" i="48"/>
  <c r="J62" i="48"/>
  <c r="J61" i="48"/>
  <c r="J60" i="48"/>
  <c r="J59" i="48"/>
  <c r="J58" i="48"/>
  <c r="J45" i="48"/>
  <c r="J35" i="48"/>
  <c r="J32" i="48"/>
  <c r="J27" i="48"/>
  <c r="J20" i="48"/>
  <c r="J18" i="48"/>
  <c r="J94" i="45"/>
  <c r="G70" i="5" s="1"/>
  <c r="J93" i="45"/>
  <c r="G69" i="5" s="1"/>
  <c r="J92" i="45"/>
  <c r="G68" i="5" s="1"/>
  <c r="J91" i="45"/>
  <c r="G67" i="5" s="1"/>
  <c r="J90" i="45"/>
  <c r="G66" i="5" s="1"/>
  <c r="J89" i="45"/>
  <c r="J88" i="45"/>
  <c r="G65" i="5" s="1"/>
  <c r="J87" i="45"/>
  <c r="G64" i="5" s="1"/>
  <c r="J86" i="45"/>
  <c r="J73" i="45"/>
  <c r="G20" i="5" s="1"/>
  <c r="J72" i="45"/>
  <c r="J66" i="45"/>
  <c r="J64" i="45"/>
  <c r="G47" i="5" s="1"/>
  <c r="J63" i="45"/>
  <c r="G46" i="5" s="1"/>
  <c r="J62" i="45"/>
  <c r="G45" i="5" s="1"/>
  <c r="J61" i="45"/>
  <c r="G44" i="5" s="1"/>
  <c r="J60" i="45"/>
  <c r="G43" i="5" s="1"/>
  <c r="J59" i="45"/>
  <c r="G42" i="5" s="1"/>
  <c r="J49" i="45"/>
  <c r="G37" i="5" s="1"/>
  <c r="J48" i="45"/>
  <c r="G36" i="5" s="1"/>
  <c r="J47" i="45"/>
  <c r="G35" i="5" s="1"/>
  <c r="J46" i="45"/>
  <c r="G34" i="5" s="1"/>
  <c r="J38" i="45"/>
  <c r="G99" i="5" s="1"/>
  <c r="J37" i="45"/>
  <c r="J28" i="45"/>
  <c r="J13" i="45"/>
  <c r="G76" i="5" s="1"/>
  <c r="P25" i="45"/>
  <c r="J27" i="45"/>
  <c r="G87" i="5" s="1"/>
  <c r="J32" i="45"/>
  <c r="G94" i="5" s="1"/>
  <c r="J35" i="45"/>
  <c r="G97" i="5" s="1"/>
  <c r="J45" i="45"/>
  <c r="G33" i="5" s="1"/>
  <c r="P60" i="45"/>
  <c r="P64" i="45"/>
  <c r="P65" i="45"/>
  <c r="P72" i="45"/>
  <c r="P85" i="45"/>
  <c r="P88" i="45"/>
  <c r="P92" i="45"/>
  <c r="J95" i="45"/>
  <c r="H17" i="19"/>
  <c r="J12" i="45"/>
  <c r="G75" i="5" s="1"/>
  <c r="J16" i="45"/>
  <c r="G79" i="5" s="1"/>
  <c r="P20" i="45"/>
  <c r="P21" i="45"/>
  <c r="P22" i="45"/>
  <c r="J24" i="45"/>
  <c r="G86" i="5" s="1"/>
  <c r="J26" i="45"/>
  <c r="P27" i="45"/>
  <c r="P32" i="45"/>
  <c r="V32" i="45" s="1"/>
  <c r="J34" i="45"/>
  <c r="G96" i="5" s="1"/>
  <c r="P35" i="45"/>
  <c r="V35" i="45" s="1"/>
  <c r="P38" i="45"/>
  <c r="V38" i="45" s="1"/>
  <c r="J44" i="45"/>
  <c r="G32" i="5" s="1"/>
  <c r="P49" i="45"/>
  <c r="J58" i="45"/>
  <c r="G41" i="5" s="1"/>
  <c r="P59" i="45"/>
  <c r="P63" i="45"/>
  <c r="J71" i="45"/>
  <c r="J74" i="45"/>
  <c r="J79" i="45"/>
  <c r="J80" i="45"/>
  <c r="G25" i="5" s="1"/>
  <c r="J81" i="45"/>
  <c r="G26" i="5" s="1"/>
  <c r="P87" i="45"/>
  <c r="P91" i="45"/>
  <c r="R12" i="48"/>
  <c r="X12" i="48" s="1"/>
  <c r="E77" i="19" s="1"/>
  <c r="G77" i="19" s="1"/>
  <c r="R13" i="48"/>
  <c r="R14" i="48"/>
  <c r="R15" i="48"/>
  <c r="R16" i="48"/>
  <c r="J19" i="48"/>
  <c r="J22" i="48"/>
  <c r="J25" i="48"/>
  <c r="R27" i="48"/>
  <c r="J33" i="48"/>
  <c r="R34" i="48"/>
  <c r="X34" i="48" s="1"/>
  <c r="E109" i="19" s="1"/>
  <c r="G109" i="19" s="1"/>
  <c r="I109" i="19" s="1"/>
  <c r="E99" i="58" s="1"/>
  <c r="J36" i="48"/>
  <c r="R38" i="48"/>
  <c r="X38" i="48" s="1"/>
  <c r="E112" i="19" s="1"/>
  <c r="G112" i="19" s="1"/>
  <c r="J46" i="48"/>
  <c r="Y47" i="48"/>
  <c r="R58" i="48"/>
  <c r="R62" i="48"/>
  <c r="R81" i="48"/>
  <c r="J91" i="48"/>
  <c r="R92" i="48"/>
  <c r="F93" i="48"/>
  <c r="K42" i="11"/>
  <c r="D44" i="11"/>
  <c r="F44" i="11" s="1"/>
  <c r="G37" i="14" s="1"/>
  <c r="I113" i="19"/>
  <c r="E103" i="58" s="1"/>
  <c r="D37" i="18"/>
  <c r="F37" i="18" s="1"/>
  <c r="D38" i="18"/>
  <c r="F38" i="18" s="1"/>
  <c r="H22" i="19" s="1"/>
  <c r="D40" i="18"/>
  <c r="F40" i="18" s="1"/>
  <c r="H26" i="19" s="1"/>
  <c r="D43" i="18"/>
  <c r="F43" i="18" s="1"/>
  <c r="H61" i="19" s="1"/>
  <c r="H62" i="19" s="1"/>
  <c r="H14" i="45"/>
  <c r="F77" i="5" s="1"/>
  <c r="J15" i="45"/>
  <c r="G78" i="5" s="1"/>
  <c r="H18" i="45"/>
  <c r="F81" i="5" s="1"/>
  <c r="J19" i="45"/>
  <c r="G82" i="5" s="1"/>
  <c r="H25" i="45"/>
  <c r="P26" i="45"/>
  <c r="H28" i="45"/>
  <c r="J33" i="45"/>
  <c r="P34" i="45"/>
  <c r="V34" i="45" s="1"/>
  <c r="P37" i="45"/>
  <c r="V37" i="45" s="1"/>
  <c r="H42" i="45"/>
  <c r="F30" i="5" s="1"/>
  <c r="J43" i="45"/>
  <c r="G31" i="5" s="1"/>
  <c r="D46" i="45"/>
  <c r="D34" i="5" s="1"/>
  <c r="H47" i="45"/>
  <c r="F35" i="5" s="1"/>
  <c r="P48" i="45"/>
  <c r="H53" i="45"/>
  <c r="J54" i="45"/>
  <c r="G14" i="5" s="1"/>
  <c r="G16" i="5" s="1"/>
  <c r="H61" i="45"/>
  <c r="F44" i="5" s="1"/>
  <c r="P62" i="45"/>
  <c r="P66" i="45"/>
  <c r="H70" i="45"/>
  <c r="P71" i="45"/>
  <c r="H73" i="45"/>
  <c r="F20" i="5" s="1"/>
  <c r="J76" i="45"/>
  <c r="J77" i="45"/>
  <c r="G23" i="5" s="1"/>
  <c r="J78" i="45"/>
  <c r="G24" i="5" s="1"/>
  <c r="P79" i="45"/>
  <c r="P80" i="45"/>
  <c r="P81" i="45"/>
  <c r="P86" i="45"/>
  <c r="H89" i="45"/>
  <c r="P90" i="45"/>
  <c r="H93" i="45"/>
  <c r="F69" i="5" s="1"/>
  <c r="P94" i="45"/>
  <c r="H96" i="45"/>
  <c r="F71" i="5" s="1"/>
  <c r="F110" i="45"/>
  <c r="E118" i="5" s="1"/>
  <c r="F111" i="45"/>
  <c r="H114" i="45"/>
  <c r="F115" i="45"/>
  <c r="H118" i="45"/>
  <c r="F119" i="45"/>
  <c r="F120" i="45"/>
  <c r="H124" i="45"/>
  <c r="L124" i="45" s="1"/>
  <c r="N124" i="45" s="1"/>
  <c r="R124" i="45" s="1"/>
  <c r="F127" i="45"/>
  <c r="E123" i="5" s="1"/>
  <c r="H129" i="45"/>
  <c r="F125" i="5" s="1"/>
  <c r="F130" i="45"/>
  <c r="H134" i="45"/>
  <c r="F128" i="5" s="1"/>
  <c r="R18" i="48"/>
  <c r="R19" i="48"/>
  <c r="J21" i="48"/>
  <c r="J26" i="48"/>
  <c r="H28" i="48"/>
  <c r="R33" i="48"/>
  <c r="X33" i="48" s="1"/>
  <c r="H37" i="48"/>
  <c r="H42" i="48"/>
  <c r="J43" i="48"/>
  <c r="H45" i="48"/>
  <c r="R49" i="48"/>
  <c r="H54" i="48"/>
  <c r="H55" i="48" s="1"/>
  <c r="H60" i="48"/>
  <c r="R61" i="48"/>
  <c r="H64" i="48"/>
  <c r="R65" i="48"/>
  <c r="J71" i="48"/>
  <c r="J73" i="48"/>
  <c r="R75" i="48"/>
  <c r="H77" i="48"/>
  <c r="H80" i="48"/>
  <c r="J85" i="48"/>
  <c r="H87" i="48"/>
  <c r="J88" i="48"/>
  <c r="R90" i="48"/>
  <c r="R91" i="48"/>
  <c r="R94" i="48"/>
  <c r="F111" i="48"/>
  <c r="F112" i="48"/>
  <c r="L112" i="48" s="1"/>
  <c r="H117" i="48"/>
  <c r="F118" i="48"/>
  <c r="H126" i="48"/>
  <c r="F132" i="48"/>
  <c r="F133" i="48"/>
  <c r="F134" i="48"/>
  <c r="L134" i="48" s="1"/>
  <c r="N134" i="48" s="1"/>
  <c r="Z134" i="48" s="1"/>
  <c r="Y138" i="48"/>
  <c r="D137" i="48"/>
  <c r="P136" i="48"/>
  <c r="T136" i="48" s="1"/>
  <c r="D136" i="48"/>
  <c r="Y131" i="48"/>
  <c r="Y126" i="48"/>
  <c r="P124" i="48"/>
  <c r="T124" i="48" s="1"/>
  <c r="D124" i="48"/>
  <c r="Y122" i="48"/>
  <c r="P120" i="48"/>
  <c r="T120" i="48" s="1"/>
  <c r="D120" i="48"/>
  <c r="Y118" i="48"/>
  <c r="D117" i="48"/>
  <c r="P116" i="48"/>
  <c r="T116" i="48" s="1"/>
  <c r="D116" i="48"/>
  <c r="Y114" i="48"/>
  <c r="Y110" i="48"/>
  <c r="Y136" i="48"/>
  <c r="Y125" i="48"/>
  <c r="D125" i="48"/>
  <c r="D122" i="48"/>
  <c r="Y116" i="48"/>
  <c r="D114" i="48"/>
  <c r="W138" i="45"/>
  <c r="W135" i="45"/>
  <c r="D134" i="45"/>
  <c r="D128" i="5" s="1"/>
  <c r="D131" i="45"/>
  <c r="D126" i="5" s="1"/>
  <c r="W129" i="45"/>
  <c r="D128" i="45"/>
  <c r="D124" i="5" s="1"/>
  <c r="W125" i="45"/>
  <c r="W123" i="45"/>
  <c r="D122" i="45"/>
  <c r="D120" i="45"/>
  <c r="D118" i="45"/>
  <c r="W116" i="45"/>
  <c r="W114" i="45"/>
  <c r="W112" i="45"/>
  <c r="D111" i="45"/>
  <c r="F131" i="48"/>
  <c r="L131" i="48" s="1"/>
  <c r="N131" i="48" s="1"/>
  <c r="F130" i="48"/>
  <c r="F126" i="48"/>
  <c r="F125" i="48"/>
  <c r="F121" i="48"/>
  <c r="F113" i="48"/>
  <c r="F110" i="48"/>
  <c r="F139" i="48"/>
  <c r="F136" i="48"/>
  <c r="L136" i="48" s="1"/>
  <c r="F127" i="48"/>
  <c r="F119" i="48"/>
  <c r="L119" i="48" s="1"/>
  <c r="N119" i="48" s="1"/>
  <c r="Z119" i="48" s="1"/>
  <c r="F116" i="48"/>
  <c r="L116" i="48" s="1"/>
  <c r="F138" i="45"/>
  <c r="F135" i="45"/>
  <c r="E115" i="5" s="1"/>
  <c r="F129" i="45"/>
  <c r="E125" i="5" s="1"/>
  <c r="F125" i="45"/>
  <c r="F123" i="45"/>
  <c r="E121" i="5" s="1"/>
  <c r="F116" i="45"/>
  <c r="F114" i="45"/>
  <c r="F112" i="45"/>
  <c r="E119" i="5" s="1"/>
  <c r="J17" i="45"/>
  <c r="G80" i="5" s="1"/>
  <c r="J20" i="45"/>
  <c r="J21" i="45"/>
  <c r="G83" i="5" s="1"/>
  <c r="J22" i="45"/>
  <c r="G84" i="5" s="1"/>
  <c r="P36" i="45"/>
  <c r="V36" i="45" s="1"/>
  <c r="P46" i="45"/>
  <c r="P70" i="45"/>
  <c r="V70" i="45" s="1"/>
  <c r="J75" i="45"/>
  <c r="G21" i="5" s="1"/>
  <c r="J12" i="48"/>
  <c r="J13" i="48"/>
  <c r="J14" i="48"/>
  <c r="J15" i="48"/>
  <c r="J16" i="48"/>
  <c r="R17" i="48"/>
  <c r="R32" i="48"/>
  <c r="X32" i="48" s="1"/>
  <c r="E107" i="19" s="1"/>
  <c r="G107" i="19" s="1"/>
  <c r="I107" i="19" s="1"/>
  <c r="E97" i="58" s="1"/>
  <c r="J34" i="48"/>
  <c r="J44" i="48"/>
  <c r="J47" i="48"/>
  <c r="R48" i="48"/>
  <c r="J53" i="48"/>
  <c r="R59" i="48"/>
  <c r="R63" i="48"/>
  <c r="R66" i="48"/>
  <c r="R72" i="48"/>
  <c r="R74" i="48"/>
  <c r="J76" i="48"/>
  <c r="R79" i="48"/>
  <c r="J86" i="48"/>
  <c r="R89" i="48"/>
  <c r="J92" i="48"/>
  <c r="R93" i="48"/>
  <c r="J95" i="48"/>
  <c r="Y48" i="48"/>
  <c r="Y92" i="48"/>
  <c r="P19" i="48"/>
  <c r="D19" i="48"/>
  <c r="D78" i="48"/>
  <c r="D79" i="45"/>
  <c r="H90" i="48"/>
  <c r="H89" i="48"/>
  <c r="H73" i="48"/>
  <c r="H72" i="48"/>
  <c r="H66" i="48"/>
  <c r="H36" i="48"/>
  <c r="H35" i="48"/>
  <c r="H34" i="48"/>
  <c r="H33" i="48"/>
  <c r="H27" i="48"/>
  <c r="H26" i="48"/>
  <c r="H18" i="48"/>
  <c r="H17" i="48"/>
  <c r="H94" i="48"/>
  <c r="H92" i="48"/>
  <c r="H91" i="48"/>
  <c r="H85" i="48"/>
  <c r="H79" i="48"/>
  <c r="H75" i="48"/>
  <c r="H49" i="48"/>
  <c r="H44" i="48"/>
  <c r="H38" i="48"/>
  <c r="H24" i="48"/>
  <c r="H19" i="48"/>
  <c r="H85" i="45"/>
  <c r="F63" i="5" s="1"/>
  <c r="H71" i="45"/>
  <c r="H65" i="45"/>
  <c r="F48" i="5" s="1"/>
  <c r="H36" i="45"/>
  <c r="F98" i="5" s="1"/>
  <c r="H35" i="45"/>
  <c r="F97" i="5" s="1"/>
  <c r="H34" i="45"/>
  <c r="F96" i="5" s="1"/>
  <c r="H33" i="45"/>
  <c r="H27" i="45"/>
  <c r="F87" i="5" s="1"/>
  <c r="H26" i="45"/>
  <c r="K47" i="18"/>
  <c r="D42" i="18"/>
  <c r="F42" i="18" s="1"/>
  <c r="H38" i="19" s="1"/>
  <c r="H39" i="19" s="1"/>
  <c r="D41" i="18"/>
  <c r="R22" i="48"/>
  <c r="T365" i="46"/>
  <c r="H138" i="48"/>
  <c r="L138" i="48" s="1"/>
  <c r="N138" i="48" s="1"/>
  <c r="H127" i="48"/>
  <c r="H123" i="48"/>
  <c r="L123" i="48" s="1"/>
  <c r="N123" i="48" s="1"/>
  <c r="Z123" i="48" s="1"/>
  <c r="H122" i="48"/>
  <c r="L122" i="48" s="1"/>
  <c r="H118" i="48"/>
  <c r="H114" i="48"/>
  <c r="L114" i="48" s="1"/>
  <c r="R96" i="48"/>
  <c r="R95" i="48"/>
  <c r="R85" i="48"/>
  <c r="R77" i="48"/>
  <c r="R76" i="48"/>
  <c r="R70" i="48"/>
  <c r="X70" i="48" s="1"/>
  <c r="E20" i="19" s="1"/>
  <c r="G20" i="19" s="1"/>
  <c r="I20" i="19" s="1"/>
  <c r="E21" i="58" s="1"/>
  <c r="R54" i="48"/>
  <c r="X54" i="48" s="1"/>
  <c r="E15" i="19" s="1"/>
  <c r="G15" i="19" s="1"/>
  <c r="I15" i="19" s="1"/>
  <c r="E16" i="58" s="1"/>
  <c r="R53" i="48"/>
  <c r="X53" i="48" s="1"/>
  <c r="E14" i="19" s="1"/>
  <c r="R47" i="48"/>
  <c r="R46" i="48"/>
  <c r="R45" i="48"/>
  <c r="R44" i="48"/>
  <c r="R43" i="48"/>
  <c r="R42" i="48"/>
  <c r="R24" i="48"/>
  <c r="R21" i="48"/>
  <c r="R20" i="48"/>
  <c r="R137" i="48"/>
  <c r="T137" i="48" s="1"/>
  <c r="R130" i="48"/>
  <c r="R125" i="48"/>
  <c r="R121" i="48"/>
  <c r="T121" i="48" s="1"/>
  <c r="R117" i="48"/>
  <c r="T117" i="48" s="1"/>
  <c r="R113" i="48"/>
  <c r="T113" i="48" s="1"/>
  <c r="I16" i="19"/>
  <c r="E17" i="58" s="1"/>
  <c r="P12" i="45"/>
  <c r="V12" i="45" s="1"/>
  <c r="P13" i="45"/>
  <c r="P14" i="45"/>
  <c r="P15" i="45"/>
  <c r="P16" i="45"/>
  <c r="P17" i="45"/>
  <c r="P18" i="45"/>
  <c r="P19" i="45"/>
  <c r="P24" i="45"/>
  <c r="P42" i="45"/>
  <c r="P43" i="45"/>
  <c r="P44" i="45"/>
  <c r="P45" i="45"/>
  <c r="P53" i="45"/>
  <c r="P54" i="45"/>
  <c r="V54" i="45" s="1"/>
  <c r="P58" i="45"/>
  <c r="V58" i="45" s="1"/>
  <c r="P74" i="45"/>
  <c r="P75" i="45"/>
  <c r="P95" i="45"/>
  <c r="P96" i="45"/>
  <c r="H110" i="45"/>
  <c r="P111" i="45"/>
  <c r="H117" i="45"/>
  <c r="F120" i="5" s="1"/>
  <c r="P118" i="45"/>
  <c r="H119" i="45"/>
  <c r="L119" i="45" s="1"/>
  <c r="N119" i="45" s="1"/>
  <c r="P120" i="45"/>
  <c r="H121" i="45"/>
  <c r="P122" i="45"/>
  <c r="H126" i="45"/>
  <c r="F122" i="5" s="1"/>
  <c r="H122" i="5" s="1"/>
  <c r="P128" i="45"/>
  <c r="P131" i="45"/>
  <c r="H132" i="45"/>
  <c r="L132" i="45" s="1"/>
  <c r="N132" i="45" s="1"/>
  <c r="P134" i="45"/>
  <c r="H136" i="45"/>
  <c r="F116" i="5" s="1"/>
  <c r="R25" i="48"/>
  <c r="R36" i="48"/>
  <c r="X36" i="48" s="1"/>
  <c r="E111" i="19" s="1"/>
  <c r="G111" i="19" s="1"/>
  <c r="I111" i="19" s="1"/>
  <c r="E101" i="58" s="1"/>
  <c r="R73" i="48"/>
  <c r="R80" i="48"/>
  <c r="R86" i="48"/>
  <c r="R87" i="48"/>
  <c r="R88" i="48"/>
  <c r="R110" i="48"/>
  <c r="H113" i="48"/>
  <c r="R114" i="48"/>
  <c r="T114" i="48" s="1"/>
  <c r="R119" i="48"/>
  <c r="T119" i="48" s="1"/>
  <c r="H121" i="48"/>
  <c r="R122" i="48"/>
  <c r="H124" i="48"/>
  <c r="H130" i="48"/>
  <c r="R131" i="48"/>
  <c r="T131" i="48" s="1"/>
  <c r="R139" i="48"/>
  <c r="T139" i="48" s="1"/>
  <c r="J168" i="45"/>
  <c r="J175" i="45" s="1"/>
  <c r="L167" i="48"/>
  <c r="F19" i="5"/>
  <c r="I105" i="19"/>
  <c r="E95" i="58" s="1"/>
  <c r="T111" i="48"/>
  <c r="T115" i="48"/>
  <c r="L163" i="48"/>
  <c r="F14" i="37"/>
  <c r="F18" i="37"/>
  <c r="E81" i="4" s="1"/>
  <c r="F19" i="37"/>
  <c r="E82" i="4" s="1"/>
  <c r="F21" i="37"/>
  <c r="F25" i="37"/>
  <c r="L25" i="37" s="1"/>
  <c r="F35" i="37"/>
  <c r="E107" i="4" s="1"/>
  <c r="F36" i="37"/>
  <c r="F44" i="37"/>
  <c r="E32" i="4" s="1"/>
  <c r="F45" i="37"/>
  <c r="E33" i="4" s="1"/>
  <c r="F49" i="37"/>
  <c r="F58" i="37"/>
  <c r="E41" i="4" s="1"/>
  <c r="F62" i="37"/>
  <c r="E56" i="4" s="1"/>
  <c r="F70" i="37"/>
  <c r="E19" i="4" s="1"/>
  <c r="F79" i="37"/>
  <c r="F88" i="37"/>
  <c r="E65" i="4" s="1"/>
  <c r="F92" i="37"/>
  <c r="E68" i="4" s="1"/>
  <c r="F90" i="37"/>
  <c r="E66" i="4" s="1"/>
  <c r="F12" i="37"/>
  <c r="F16" i="37"/>
  <c r="E79" i="4" s="1"/>
  <c r="F24" i="37"/>
  <c r="E86" i="4" s="1"/>
  <c r="F37" i="37"/>
  <c r="F39" i="37" s="1"/>
  <c r="F42" i="37"/>
  <c r="E30" i="4" s="1"/>
  <c r="F47" i="37"/>
  <c r="F48" i="37"/>
  <c r="E36" i="4" s="1"/>
  <c r="F59" i="37"/>
  <c r="E42" i="4" s="1"/>
  <c r="F60" i="37"/>
  <c r="E43" i="4" s="1"/>
  <c r="F66" i="37"/>
  <c r="F74" i="37"/>
  <c r="F76" i="37"/>
  <c r="F85" i="37"/>
  <c r="E63" i="4" s="1"/>
  <c r="F87" i="37"/>
  <c r="E64" i="4" s="1"/>
  <c r="F89" i="37"/>
  <c r="F94" i="37"/>
  <c r="L94" i="37" s="1"/>
  <c r="F61" i="48"/>
  <c r="L61" i="48" s="1"/>
  <c r="H95" i="5"/>
  <c r="F43" i="45"/>
  <c r="E31" i="5" s="1"/>
  <c r="F58" i="48"/>
  <c r="F91" i="45"/>
  <c r="E67" i="5" s="1"/>
  <c r="G129" i="5"/>
  <c r="H85" i="5"/>
  <c r="H92" i="5"/>
  <c r="I108" i="19"/>
  <c r="E98" i="58" s="1"/>
  <c r="L164" i="48"/>
  <c r="J159" i="48"/>
  <c r="L162" i="48"/>
  <c r="T123" i="48"/>
  <c r="H90" i="19"/>
  <c r="I106" i="19"/>
  <c r="E96" i="58" s="1"/>
  <c r="L158" i="45"/>
  <c r="L165" i="45"/>
  <c r="L167" i="45"/>
  <c r="J55" i="48"/>
  <c r="T128" i="48"/>
  <c r="T132" i="48"/>
  <c r="H159" i="48"/>
  <c r="L166" i="48"/>
  <c r="F61" i="45"/>
  <c r="E44" i="5" s="1"/>
  <c r="F95" i="48"/>
  <c r="H22" i="5"/>
  <c r="H93" i="5"/>
  <c r="F35" i="45"/>
  <c r="F58" i="45"/>
  <c r="F85" i="45"/>
  <c r="E63" i="5" s="1"/>
  <c r="F86" i="45"/>
  <c r="F27" i="48"/>
  <c r="F28" i="48"/>
  <c r="F53" i="48"/>
  <c r="F79" i="48"/>
  <c r="F13" i="45"/>
  <c r="E76" i="5" s="1"/>
  <c r="F33" i="48"/>
  <c r="F43" i="48"/>
  <c r="H15" i="5"/>
  <c r="F17" i="45"/>
  <c r="E80" i="5" s="1"/>
  <c r="F48" i="45"/>
  <c r="E36" i="5" s="1"/>
  <c r="L163" i="45"/>
  <c r="F16" i="48"/>
  <c r="L16" i="48" s="1"/>
  <c r="F89" i="48"/>
  <c r="F14" i="45"/>
  <c r="E77" i="5" s="1"/>
  <c r="F25" i="45"/>
  <c r="F28" i="45"/>
  <c r="F33" i="45"/>
  <c r="F37" i="45"/>
  <c r="L37" i="45" s="1"/>
  <c r="F59" i="45"/>
  <c r="E42" i="5" s="1"/>
  <c r="F63" i="45"/>
  <c r="E46" i="5" s="1"/>
  <c r="F73" i="45"/>
  <c r="E20" i="5" s="1"/>
  <c r="F74" i="45"/>
  <c r="F79" i="45"/>
  <c r="F88" i="45"/>
  <c r="E65" i="5" s="1"/>
  <c r="F94" i="45"/>
  <c r="E70" i="5" s="1"/>
  <c r="F95" i="45"/>
  <c r="F13" i="48"/>
  <c r="F18" i="48"/>
  <c r="F21" i="48"/>
  <c r="L21" i="48" s="1"/>
  <c r="F47" i="48"/>
  <c r="F49" i="48"/>
  <c r="F54" i="48"/>
  <c r="F62" i="48"/>
  <c r="F65" i="48"/>
  <c r="F71" i="48"/>
  <c r="F72" i="48"/>
  <c r="F77" i="48"/>
  <c r="F81" i="48"/>
  <c r="F87" i="48"/>
  <c r="F92" i="48"/>
  <c r="F96" i="48"/>
  <c r="L96" i="48" s="1"/>
  <c r="F20" i="45"/>
  <c r="F24" i="45"/>
  <c r="E86" i="5" s="1"/>
  <c r="F26" i="45"/>
  <c r="F32" i="45"/>
  <c r="F45" i="45"/>
  <c r="F49" i="45"/>
  <c r="F65" i="45"/>
  <c r="E48" i="5" s="1"/>
  <c r="F66" i="45"/>
  <c r="L66" i="45" s="1"/>
  <c r="F78" i="45"/>
  <c r="E24" i="5" s="1"/>
  <c r="F87" i="45"/>
  <c r="E64" i="5" s="1"/>
  <c r="F92" i="45"/>
  <c r="E68" i="5" s="1"/>
  <c r="F12" i="45"/>
  <c r="E75" i="5" s="1"/>
  <c r="F16" i="45"/>
  <c r="E79" i="5" s="1"/>
  <c r="F22" i="45"/>
  <c r="E84" i="5" s="1"/>
  <c r="F38" i="45"/>
  <c r="E99" i="5" s="1"/>
  <c r="F42" i="45"/>
  <c r="F47" i="45"/>
  <c r="E35" i="5" s="1"/>
  <c r="F54" i="45"/>
  <c r="F60" i="45"/>
  <c r="E43" i="5" s="1"/>
  <c r="F64" i="45"/>
  <c r="E47" i="5" s="1"/>
  <c r="F75" i="45"/>
  <c r="E21" i="5" s="1"/>
  <c r="F76" i="45"/>
  <c r="F80" i="45"/>
  <c r="E25" i="5" s="1"/>
  <c r="F90" i="45"/>
  <c r="E66" i="5" s="1"/>
  <c r="F96" i="45"/>
  <c r="E71" i="5" s="1"/>
  <c r="F14" i="48"/>
  <c r="F24" i="48"/>
  <c r="F25" i="48"/>
  <c r="L25" i="48" s="1"/>
  <c r="F26" i="48"/>
  <c r="F32" i="48"/>
  <c r="F36" i="48"/>
  <c r="F37" i="48"/>
  <c r="F45" i="48"/>
  <c r="F60" i="48"/>
  <c r="F63" i="48"/>
  <c r="F73" i="48"/>
  <c r="F74" i="48"/>
  <c r="F88" i="48"/>
  <c r="F19" i="45"/>
  <c r="F12" i="48"/>
  <c r="L12" i="48" s="1"/>
  <c r="F17" i="48"/>
  <c r="F20" i="48"/>
  <c r="F35" i="48"/>
  <c r="F48" i="48"/>
  <c r="F59" i="48"/>
  <c r="L59" i="48" s="1"/>
  <c r="F64" i="48"/>
  <c r="F76" i="48"/>
  <c r="F80" i="48"/>
  <c r="F91" i="48"/>
  <c r="F94" i="48"/>
  <c r="L165" i="48"/>
  <c r="F90" i="48"/>
  <c r="F86" i="48"/>
  <c r="F85" i="48"/>
  <c r="F78" i="48"/>
  <c r="L78" i="48" s="1"/>
  <c r="F75" i="48"/>
  <c r="F70" i="48"/>
  <c r="F66" i="48"/>
  <c r="F46" i="48"/>
  <c r="F44" i="48"/>
  <c r="F42" i="48"/>
  <c r="F38" i="48"/>
  <c r="F34" i="48"/>
  <c r="F22" i="48"/>
  <c r="F15" i="48"/>
  <c r="F93" i="45"/>
  <c r="E69" i="5" s="1"/>
  <c r="F89" i="45"/>
  <c r="F81" i="45"/>
  <c r="F77" i="45"/>
  <c r="F72" i="45"/>
  <c r="F71" i="45"/>
  <c r="F70" i="45"/>
  <c r="L70" i="45" s="1"/>
  <c r="F62" i="45"/>
  <c r="F53" i="45"/>
  <c r="F46" i="45"/>
  <c r="E34" i="5" s="1"/>
  <c r="F44" i="45"/>
  <c r="E32" i="5" s="1"/>
  <c r="F36" i="45"/>
  <c r="F34" i="45"/>
  <c r="F27" i="45"/>
  <c r="F21" i="45"/>
  <c r="E83" i="5" s="1"/>
  <c r="F18" i="45"/>
  <c r="E81" i="5" s="1"/>
  <c r="F15" i="45"/>
  <c r="H111" i="5"/>
  <c r="L162" i="45"/>
  <c r="I124" i="5"/>
  <c r="D123" i="14" s="1"/>
  <c r="F123" i="14" s="1"/>
  <c r="H123" i="14" s="1"/>
  <c r="D116" i="58" s="1"/>
  <c r="T135" i="48"/>
  <c r="I115" i="5"/>
  <c r="D114" i="14" s="1"/>
  <c r="F114" i="14" s="1"/>
  <c r="H114" i="14" s="1"/>
  <c r="D120" i="19"/>
  <c r="I120" i="5"/>
  <c r="D119" i="14" s="1"/>
  <c r="D122" i="19" s="1"/>
  <c r="I121" i="5"/>
  <c r="D120" i="14" s="1"/>
  <c r="D123" i="19" s="1"/>
  <c r="D115" i="5"/>
  <c r="I117" i="5"/>
  <c r="D116" i="14" s="1"/>
  <c r="F116" i="14" s="1"/>
  <c r="H116" i="14" s="1"/>
  <c r="D109" i="58" s="1"/>
  <c r="G109" i="58" s="1"/>
  <c r="F101" i="14"/>
  <c r="H101" i="14" s="1"/>
  <c r="F105" i="14"/>
  <c r="H105" i="14" s="1"/>
  <c r="D98" i="58" s="1"/>
  <c r="G98" i="58" s="1"/>
  <c r="I24" i="5"/>
  <c r="D24" i="14" s="1"/>
  <c r="F24" i="14" s="1"/>
  <c r="D118" i="5"/>
  <c r="F118" i="14"/>
  <c r="H118" i="14" s="1"/>
  <c r="D111" i="58" s="1"/>
  <c r="G111" i="58" s="1"/>
  <c r="G72" i="14"/>
  <c r="F51" i="15" s="1"/>
  <c r="W14" i="45"/>
  <c r="D43" i="45"/>
  <c r="D31" i="5" s="1"/>
  <c r="W61" i="45"/>
  <c r="D95" i="45"/>
  <c r="D163" i="45"/>
  <c r="D26" i="48"/>
  <c r="P26" i="48"/>
  <c r="Y66" i="48"/>
  <c r="Y74" i="48"/>
  <c r="Y79" i="48"/>
  <c r="D16" i="19"/>
  <c r="F15" i="14"/>
  <c r="H15" i="14" s="1"/>
  <c r="D17" i="58" s="1"/>
  <c r="G17" i="58" s="1"/>
  <c r="D48" i="45"/>
  <c r="D36" i="5" s="1"/>
  <c r="W59" i="45"/>
  <c r="D74" i="45"/>
  <c r="D81" i="45"/>
  <c r="D21" i="48"/>
  <c r="P21" i="48"/>
  <c r="I83" i="5" s="1"/>
  <c r="D83" i="14" s="1"/>
  <c r="D24" i="48"/>
  <c r="P24" i="48"/>
  <c r="D42" i="48"/>
  <c r="I82" i="5"/>
  <c r="D82" i="14" s="1"/>
  <c r="I126" i="5"/>
  <c r="D125" i="14" s="1"/>
  <c r="P96" i="48"/>
  <c r="D96" i="48"/>
  <c r="P95" i="48"/>
  <c r="D95" i="48"/>
  <c r="P94" i="48"/>
  <c r="D94" i="48"/>
  <c r="Y91" i="48"/>
  <c r="P90" i="48"/>
  <c r="D90" i="48"/>
  <c r="Y88" i="48"/>
  <c r="Y87" i="48"/>
  <c r="Y85" i="48"/>
  <c r="Y81" i="48"/>
  <c r="Y80" i="48"/>
  <c r="Y78" i="48"/>
  <c r="P77" i="48"/>
  <c r="P75" i="48"/>
  <c r="I21" i="5" s="1"/>
  <c r="D21" i="14" s="1"/>
  <c r="Y73" i="48"/>
  <c r="Y72" i="48"/>
  <c r="Y64" i="48"/>
  <c r="D64" i="48"/>
  <c r="Y62" i="48"/>
  <c r="D62" i="48"/>
  <c r="Y60" i="48"/>
  <c r="D60" i="48"/>
  <c r="Y58" i="48"/>
  <c r="D58" i="48"/>
  <c r="P54" i="48"/>
  <c r="I14" i="5" s="1"/>
  <c r="D14" i="14" s="1"/>
  <c r="D15" i="19" s="1"/>
  <c r="Y49" i="48"/>
  <c r="D48" i="48"/>
  <c r="P47" i="48"/>
  <c r="Y45" i="48"/>
  <c r="D44" i="48"/>
  <c r="P43" i="48"/>
  <c r="Y34" i="48"/>
  <c r="P33" i="48"/>
  <c r="D33" i="48"/>
  <c r="P32" i="48"/>
  <c r="Y27" i="48"/>
  <c r="Y26" i="48"/>
  <c r="Y24" i="48"/>
  <c r="Y22" i="48"/>
  <c r="Y21" i="48"/>
  <c r="Y20" i="48"/>
  <c r="Y18" i="48"/>
  <c r="Y17" i="48"/>
  <c r="P15" i="48"/>
  <c r="D15" i="48"/>
  <c r="P14" i="48"/>
  <c r="D14" i="48"/>
  <c r="W95" i="45"/>
  <c r="Y95" i="48"/>
  <c r="Y93" i="48"/>
  <c r="D89" i="48"/>
  <c r="Y86" i="48"/>
  <c r="P85" i="48"/>
  <c r="I63" i="5" s="1"/>
  <c r="D85" i="48"/>
  <c r="Y76" i="48"/>
  <c r="P73" i="48"/>
  <c r="I20" i="5" s="1"/>
  <c r="D20" i="14" s="1"/>
  <c r="F20" i="14" s="1"/>
  <c r="D73" i="48"/>
  <c r="Y71" i="48"/>
  <c r="Y63" i="48"/>
  <c r="D63" i="48"/>
  <c r="P62" i="48"/>
  <c r="Y59" i="48"/>
  <c r="D59" i="48"/>
  <c r="P58" i="48"/>
  <c r="D54" i="48"/>
  <c r="P49" i="48"/>
  <c r="Y44" i="48"/>
  <c r="Y43" i="48"/>
  <c r="Y42" i="48"/>
  <c r="Y38" i="48"/>
  <c r="Y37" i="48"/>
  <c r="Y36" i="48"/>
  <c r="Y35" i="48"/>
  <c r="P28" i="48"/>
  <c r="D28" i="48"/>
  <c r="P25" i="48"/>
  <c r="P20" i="48"/>
  <c r="D20" i="48"/>
  <c r="Y16" i="48"/>
  <c r="Y15" i="48"/>
  <c r="P13" i="48"/>
  <c r="D13" i="48"/>
  <c r="P12" i="48"/>
  <c r="I75" i="5" s="1"/>
  <c r="D12" i="48"/>
  <c r="W96" i="45"/>
  <c r="W94" i="45"/>
  <c r="D93" i="45"/>
  <c r="D69" i="5" s="1"/>
  <c r="W90" i="45"/>
  <c r="D89" i="45"/>
  <c r="W87" i="45"/>
  <c r="D86" i="45"/>
  <c r="D80" i="45"/>
  <c r="D25" i="5" s="1"/>
  <c r="W78" i="45"/>
  <c r="D77" i="45"/>
  <c r="D23" i="5" s="1"/>
  <c r="D76" i="45"/>
  <c r="W74" i="45"/>
  <c r="D71" i="45"/>
  <c r="W65" i="45"/>
  <c r="D64" i="45"/>
  <c r="W60" i="45"/>
  <c r="D59" i="45"/>
  <c r="D42" i="5" s="1"/>
  <c r="D58" i="45"/>
  <c r="W49" i="45"/>
  <c r="W48" i="45"/>
  <c r="D47" i="45"/>
  <c r="W43" i="45"/>
  <c r="D42" i="45"/>
  <c r="D30" i="5" s="1"/>
  <c r="W37" i="45"/>
  <c r="D36" i="45"/>
  <c r="D98" i="5" s="1"/>
  <c r="D35" i="45"/>
  <c r="D97" i="5" s="1"/>
  <c r="D34" i="45"/>
  <c r="D96" i="5" s="1"/>
  <c r="W32" i="45"/>
  <c r="Y96" i="48"/>
  <c r="P88" i="48"/>
  <c r="D88" i="48"/>
  <c r="D87" i="48"/>
  <c r="P86" i="48"/>
  <c r="D86" i="48"/>
  <c r="D77" i="48"/>
  <c r="P76" i="48"/>
  <c r="D76" i="48"/>
  <c r="D74" i="48"/>
  <c r="P71" i="48"/>
  <c r="D71" i="48"/>
  <c r="P70" i="48"/>
  <c r="I19" i="5" s="1"/>
  <c r="D70" i="48"/>
  <c r="Y65" i="48"/>
  <c r="D65" i="48"/>
  <c r="P64" i="48"/>
  <c r="Y61" i="48"/>
  <c r="D61" i="48"/>
  <c r="P60" i="48"/>
  <c r="Y54" i="48"/>
  <c r="Y53" i="48"/>
  <c r="D46" i="48"/>
  <c r="D45" i="48"/>
  <c r="P44" i="48"/>
  <c r="D43" i="48"/>
  <c r="P42" i="48"/>
  <c r="I30" i="5" s="1"/>
  <c r="P38" i="48"/>
  <c r="D38" i="48"/>
  <c r="P37" i="48"/>
  <c r="P36" i="48"/>
  <c r="I98" i="5" s="1"/>
  <c r="D108" i="14" s="1"/>
  <c r="D36" i="48"/>
  <c r="P34" i="48"/>
  <c r="D32" i="48"/>
  <c r="Y28" i="48"/>
  <c r="P27" i="48"/>
  <c r="I87" i="5" s="1"/>
  <c r="D87" i="14" s="1"/>
  <c r="D27" i="48"/>
  <c r="Y25" i="48"/>
  <c r="P22" i="48"/>
  <c r="I84" i="5" s="1"/>
  <c r="D84" i="14" s="1"/>
  <c r="D86" i="19" s="1"/>
  <c r="D22" i="48"/>
  <c r="P18" i="48"/>
  <c r="D18" i="48"/>
  <c r="P17" i="48"/>
  <c r="D17" i="48"/>
  <c r="P16" i="48"/>
  <c r="D16" i="48"/>
  <c r="Y12" i="48"/>
  <c r="W92" i="45"/>
  <c r="D91" i="45"/>
  <c r="D67" i="5" s="1"/>
  <c r="D88" i="45"/>
  <c r="D65" i="5" s="1"/>
  <c r="D85" i="45"/>
  <c r="D63" i="5" s="1"/>
  <c r="W79" i="45"/>
  <c r="W76" i="45"/>
  <c r="D75" i="45"/>
  <c r="D21" i="5" s="1"/>
  <c r="W73" i="45"/>
  <c r="D72" i="45"/>
  <c r="D70" i="45"/>
  <c r="D19" i="5" s="1"/>
  <c r="W66" i="45"/>
  <c r="W63" i="45"/>
  <c r="D61" i="45"/>
  <c r="D44" i="5" s="1"/>
  <c r="W58" i="45"/>
  <c r="D49" i="45"/>
  <c r="W46" i="45"/>
  <c r="D44" i="45"/>
  <c r="D32" i="5" s="1"/>
  <c r="D38" i="45"/>
  <c r="D99" i="5" s="1"/>
  <c r="W36" i="45"/>
  <c r="W35" i="45"/>
  <c r="W34" i="45"/>
  <c r="W33" i="45"/>
  <c r="W27" i="45"/>
  <c r="W26" i="45"/>
  <c r="W24" i="45"/>
  <c r="D22" i="45"/>
  <c r="W19" i="45"/>
  <c r="W18" i="45"/>
  <c r="D17" i="45"/>
  <c r="W13" i="45"/>
  <c r="D12" i="45"/>
  <c r="P63" i="48"/>
  <c r="P59" i="48"/>
  <c r="P53" i="48"/>
  <c r="I13" i="5" s="1"/>
  <c r="D53" i="48"/>
  <c r="D37" i="48"/>
  <c r="P35" i="48"/>
  <c r="D35" i="48"/>
  <c r="Y14" i="48"/>
  <c r="W93" i="45"/>
  <c r="W91" i="45"/>
  <c r="W89" i="45"/>
  <c r="W77" i="45"/>
  <c r="W72" i="45"/>
  <c r="W54" i="45"/>
  <c r="W53" i="45"/>
  <c r="W38" i="45"/>
  <c r="D32" i="45"/>
  <c r="W28" i="45"/>
  <c r="D27" i="45"/>
  <c r="D25" i="45"/>
  <c r="W20" i="45"/>
  <c r="D19" i="45"/>
  <c r="W17" i="45"/>
  <c r="D13" i="45"/>
  <c r="P72" i="48"/>
  <c r="D72" i="48"/>
  <c r="P65" i="48"/>
  <c r="P61" i="48"/>
  <c r="P45" i="48"/>
  <c r="Y32" i="48"/>
  <c r="Y13" i="48"/>
  <c r="D94" i="45"/>
  <c r="D92" i="45"/>
  <c r="D68" i="5" s="1"/>
  <c r="D90" i="45"/>
  <c r="D66" i="5" s="1"/>
  <c r="W85" i="45"/>
  <c r="D78" i="45"/>
  <c r="D24" i="5" s="1"/>
  <c r="D73" i="45"/>
  <c r="D20" i="5" s="1"/>
  <c r="W70" i="45"/>
  <c r="D66" i="45"/>
  <c r="D54" i="45"/>
  <c r="D53" i="45"/>
  <c r="D13" i="5" s="1"/>
  <c r="D37" i="45"/>
  <c r="D28" i="45"/>
  <c r="D26" i="45"/>
  <c r="D21" i="45"/>
  <c r="D83" i="5" s="1"/>
  <c r="D20" i="45"/>
  <c r="D18" i="45"/>
  <c r="D81" i="5" s="1"/>
  <c r="W16" i="45"/>
  <c r="D14" i="45"/>
  <c r="D77" i="5" s="1"/>
  <c r="W12" i="45"/>
  <c r="Y94" i="48"/>
  <c r="P93" i="48"/>
  <c r="D93" i="48"/>
  <c r="P92" i="48"/>
  <c r="D92" i="48"/>
  <c r="P91" i="48"/>
  <c r="D91" i="48"/>
  <c r="Y89" i="48"/>
  <c r="P87" i="48"/>
  <c r="I64" i="5" s="1"/>
  <c r="D64" i="14" s="1"/>
  <c r="D66" i="19" s="1"/>
  <c r="P81" i="48"/>
  <c r="D81" i="48"/>
  <c r="P80" i="48"/>
  <c r="D80" i="48"/>
  <c r="P79" i="48"/>
  <c r="D79" i="48"/>
  <c r="Y77" i="48"/>
  <c r="D75" i="48"/>
  <c r="P74" i="48"/>
  <c r="Y70" i="48"/>
  <c r="P66" i="48"/>
  <c r="D66" i="48"/>
  <c r="D49" i="48"/>
  <c r="P48" i="48"/>
  <c r="D47" i="48"/>
  <c r="P46" i="48"/>
  <c r="D34" i="48"/>
  <c r="D25" i="48"/>
  <c r="Y19" i="48"/>
  <c r="D96" i="45"/>
  <c r="D71" i="5" s="1"/>
  <c r="D87" i="45"/>
  <c r="D64" i="5" s="1"/>
  <c r="W81" i="45"/>
  <c r="W80" i="45"/>
  <c r="W75" i="45"/>
  <c r="D65" i="45"/>
  <c r="D48" i="5" s="1"/>
  <c r="D63" i="45"/>
  <c r="D62" i="45"/>
  <c r="D60" i="45"/>
  <c r="D43" i="5" s="1"/>
  <c r="W47" i="45"/>
  <c r="W45" i="45"/>
  <c r="W44" i="45"/>
  <c r="W42" i="45"/>
  <c r="W25" i="45"/>
  <c r="W22" i="45"/>
  <c r="D16" i="45"/>
  <c r="D79" i="5" s="1"/>
  <c r="D15" i="45"/>
  <c r="D41" i="11"/>
  <c r="F41" i="11" s="1"/>
  <c r="G24" i="14" s="1"/>
  <c r="D39" i="11"/>
  <c r="F39" i="11" s="1"/>
  <c r="G20" i="14" s="1"/>
  <c r="D42" i="11"/>
  <c r="F42" i="11" s="1"/>
  <c r="G25" i="14" s="1"/>
  <c r="D40" i="11"/>
  <c r="F40" i="11" s="1"/>
  <c r="G21" i="14" s="1"/>
  <c r="Y167" i="48"/>
  <c r="P164" i="48"/>
  <c r="Y162" i="48"/>
  <c r="P162" i="48"/>
  <c r="Y158" i="48"/>
  <c r="D158" i="48"/>
  <c r="D172" i="45"/>
  <c r="D173" i="45" s="1"/>
  <c r="D167" i="45"/>
  <c r="D166" i="45"/>
  <c r="D165" i="45"/>
  <c r="D164" i="45"/>
  <c r="W162" i="45"/>
  <c r="W157" i="45"/>
  <c r="P167" i="48"/>
  <c r="D167" i="48"/>
  <c r="P166" i="48"/>
  <c r="T166" i="48" s="1"/>
  <c r="D166" i="48"/>
  <c r="P165" i="48"/>
  <c r="D165" i="48"/>
  <c r="P158" i="48"/>
  <c r="W172" i="45"/>
  <c r="W164" i="45"/>
  <c r="Y166" i="48"/>
  <c r="Y165" i="48"/>
  <c r="Y164" i="48"/>
  <c r="Y163" i="48"/>
  <c r="D163" i="48"/>
  <c r="Y157" i="48"/>
  <c r="W166" i="45"/>
  <c r="W163" i="45"/>
  <c r="D158" i="45"/>
  <c r="D164" i="48"/>
  <c r="D162" i="48"/>
  <c r="W167" i="45"/>
  <c r="W158" i="45"/>
  <c r="D157" i="45"/>
  <c r="Y172" i="48"/>
  <c r="P163" i="48"/>
  <c r="P157" i="48"/>
  <c r="T157" i="48" s="1"/>
  <c r="D157" i="48"/>
  <c r="D162" i="45"/>
  <c r="K48" i="11"/>
  <c r="D49" i="11"/>
  <c r="G16" i="14"/>
  <c r="F43" i="15" s="1"/>
  <c r="W15" i="45"/>
  <c r="W21" i="45"/>
  <c r="D33" i="45"/>
  <c r="D45" i="45"/>
  <c r="W62" i="45"/>
  <c r="W71" i="45"/>
  <c r="W86" i="45"/>
  <c r="Y33" i="48"/>
  <c r="Y46" i="48"/>
  <c r="Y75" i="48"/>
  <c r="P89" i="48"/>
  <c r="D172" i="48"/>
  <c r="P172" i="48"/>
  <c r="P173" i="48" s="1"/>
  <c r="T133" i="48"/>
  <c r="I127" i="5"/>
  <c r="D126" i="14" s="1"/>
  <c r="G38" i="14"/>
  <c r="F47" i="15" s="1"/>
  <c r="G60" i="14"/>
  <c r="F49" i="15" s="1"/>
  <c r="D127" i="5"/>
  <c r="T129" i="48"/>
  <c r="I125" i="5"/>
  <c r="D124" i="14" s="1"/>
  <c r="H91" i="5"/>
  <c r="F22" i="14"/>
  <c r="H22" i="14" s="1"/>
  <c r="D24" i="58" s="1"/>
  <c r="F102" i="14"/>
  <c r="H102" i="14" s="1"/>
  <c r="D95" i="58" s="1"/>
  <c r="G95" i="58" s="1"/>
  <c r="F110" i="14"/>
  <c r="H110" i="14" s="1"/>
  <c r="D103" i="58" s="1"/>
  <c r="G103" i="58" s="1"/>
  <c r="F43" i="11"/>
  <c r="I104" i="19"/>
  <c r="F85" i="14"/>
  <c r="H85" i="14" s="1"/>
  <c r="D88" i="58" s="1"/>
  <c r="F103" i="14"/>
  <c r="H103" i="14" s="1"/>
  <c r="D96" i="58" s="1"/>
  <c r="G96" i="58" s="1"/>
  <c r="V11" i="45"/>
  <c r="L11" i="45"/>
  <c r="N11" i="45" s="1"/>
  <c r="V33" i="45"/>
  <c r="J140" i="45"/>
  <c r="J143" i="45" s="1"/>
  <c r="H168" i="45"/>
  <c r="L11" i="48"/>
  <c r="N11" i="48" s="1"/>
  <c r="Z11" i="48" s="1"/>
  <c r="F159" i="45"/>
  <c r="J140" i="48"/>
  <c r="J143" i="48" s="1"/>
  <c r="F168" i="45"/>
  <c r="L164" i="45"/>
  <c r="L166" i="45"/>
  <c r="F173" i="45"/>
  <c r="L172" i="45"/>
  <c r="F168" i="48"/>
  <c r="L157" i="48"/>
  <c r="F159" i="48"/>
  <c r="H168" i="48"/>
  <c r="J168" i="48"/>
  <c r="L172" i="48"/>
  <c r="L173" i="48" s="1"/>
  <c r="L133" i="48"/>
  <c r="L137" i="48"/>
  <c r="J92" i="37"/>
  <c r="G68" i="4" s="1"/>
  <c r="J140" i="37"/>
  <c r="J143" i="37" s="1"/>
  <c r="P20" i="37"/>
  <c r="P21" i="37"/>
  <c r="P22" i="37"/>
  <c r="J24" i="37"/>
  <c r="G86" i="4" s="1"/>
  <c r="J28" i="37"/>
  <c r="J33" i="37"/>
  <c r="P35" i="37"/>
  <c r="V35" i="37" s="1"/>
  <c r="E110" i="17" s="1"/>
  <c r="G110" i="17" s="1"/>
  <c r="I110" i="17" s="1"/>
  <c r="E100" i="23" s="1"/>
  <c r="P36" i="37"/>
  <c r="V36" i="37" s="1"/>
  <c r="E111" i="17" s="1"/>
  <c r="G111" i="17" s="1"/>
  <c r="I111" i="17" s="1"/>
  <c r="E101" i="23" s="1"/>
  <c r="J49" i="37"/>
  <c r="G37" i="4" s="1"/>
  <c r="J65" i="37"/>
  <c r="G59" i="4" s="1"/>
  <c r="J70" i="37"/>
  <c r="G19" i="4" s="1"/>
  <c r="J72" i="37"/>
  <c r="J73" i="37"/>
  <c r="G20" i="4" s="1"/>
  <c r="J77" i="37"/>
  <c r="G23" i="4" s="1"/>
  <c r="J80" i="37"/>
  <c r="G25" i="4" s="1"/>
  <c r="P86" i="37"/>
  <c r="P87" i="37"/>
  <c r="P88" i="37"/>
  <c r="J91" i="37"/>
  <c r="G67" i="4" s="1"/>
  <c r="J95" i="37"/>
  <c r="L95" i="37" s="1"/>
  <c r="P96" i="37"/>
  <c r="J12" i="37"/>
  <c r="G75" i="4" s="1"/>
  <c r="J13" i="37"/>
  <c r="G76" i="4" s="1"/>
  <c r="J14" i="37"/>
  <c r="G77" i="4" s="1"/>
  <c r="J15" i="37"/>
  <c r="G78" i="4" s="1"/>
  <c r="J16" i="37"/>
  <c r="G79" i="4" s="1"/>
  <c r="J17" i="37"/>
  <c r="G80" i="4" s="1"/>
  <c r="J19" i="37"/>
  <c r="G82" i="4" s="1"/>
  <c r="L26" i="37"/>
  <c r="J27" i="37"/>
  <c r="G87" i="4" s="1"/>
  <c r="J32" i="37"/>
  <c r="G104" i="4" s="1"/>
  <c r="J38" i="37"/>
  <c r="G109" i="4" s="1"/>
  <c r="J45" i="37"/>
  <c r="G33" i="4" s="1"/>
  <c r="J46" i="37"/>
  <c r="J48" i="37"/>
  <c r="G36" i="4" s="1"/>
  <c r="J58" i="37"/>
  <c r="G41" i="4" s="1"/>
  <c r="J59" i="37"/>
  <c r="G42" i="4" s="1"/>
  <c r="J60" i="37"/>
  <c r="G43" i="4" s="1"/>
  <c r="J61" i="37"/>
  <c r="G44" i="4" s="1"/>
  <c r="J62" i="37"/>
  <c r="G56" i="4" s="1"/>
  <c r="J64" i="37"/>
  <c r="G58" i="4" s="1"/>
  <c r="P72" i="37"/>
  <c r="P73" i="37"/>
  <c r="J76" i="37"/>
  <c r="J79" i="37"/>
  <c r="J85" i="37"/>
  <c r="G63" i="4" s="1"/>
  <c r="J90" i="37"/>
  <c r="G66" i="4" s="1"/>
  <c r="I104" i="17"/>
  <c r="E94" i="23" s="1"/>
  <c r="D12" i="18"/>
  <c r="D13" i="18"/>
  <c r="D15" i="18"/>
  <c r="F15" i="18" s="1"/>
  <c r="H26" i="17" s="1"/>
  <c r="D16" i="18"/>
  <c r="F16" i="18" s="1"/>
  <c r="K21" i="18"/>
  <c r="P18" i="37"/>
  <c r="P19" i="37"/>
  <c r="P24" i="37"/>
  <c r="P25" i="37"/>
  <c r="P26" i="37"/>
  <c r="P27" i="37"/>
  <c r="P28" i="37"/>
  <c r="P47" i="37"/>
  <c r="P48" i="37"/>
  <c r="P49" i="37"/>
  <c r="P63" i="37"/>
  <c r="P64" i="37"/>
  <c r="P65" i="37"/>
  <c r="P71" i="37"/>
  <c r="P85" i="37"/>
  <c r="K12" i="18"/>
  <c r="M12" i="18" s="1"/>
  <c r="K16" i="18"/>
  <c r="D17" i="18"/>
  <c r="F17" i="18" s="1"/>
  <c r="H38" i="17" s="1"/>
  <c r="D18" i="18"/>
  <c r="F18" i="18" s="1"/>
  <c r="H61" i="17" s="1"/>
  <c r="H62" i="17" s="1"/>
  <c r="D19" i="18"/>
  <c r="F19" i="18" s="1"/>
  <c r="H73" i="17" s="1"/>
  <c r="D20" i="18"/>
  <c r="F20" i="18" s="1"/>
  <c r="H89" i="17" s="1"/>
  <c r="P42" i="37"/>
  <c r="V42" i="37" s="1"/>
  <c r="E31" i="17" s="1"/>
  <c r="P43" i="37"/>
  <c r="P70" i="37"/>
  <c r="P79" i="37"/>
  <c r="P80" i="37"/>
  <c r="P81" i="37"/>
  <c r="I23" i="17"/>
  <c r="E24" i="23" s="1"/>
  <c r="D14" i="18"/>
  <c r="F14" i="18" s="1"/>
  <c r="H25" i="17" s="1"/>
  <c r="P32" i="37"/>
  <c r="V32" i="37" s="1"/>
  <c r="E107" i="17" s="1"/>
  <c r="G107" i="17" s="1"/>
  <c r="I107" i="17" s="1"/>
  <c r="E97" i="23" s="1"/>
  <c r="P33" i="37"/>
  <c r="V33" i="37" s="1"/>
  <c r="P34" i="37"/>
  <c r="V34" i="37" s="1"/>
  <c r="E109" i="17" s="1"/>
  <c r="G109" i="17" s="1"/>
  <c r="I109" i="17" s="1"/>
  <c r="E99" i="23" s="1"/>
  <c r="P37" i="37"/>
  <c r="V37" i="37" s="1"/>
  <c r="P38" i="37"/>
  <c r="V38" i="37" s="1"/>
  <c r="E112" i="17" s="1"/>
  <c r="G112" i="17" s="1"/>
  <c r="P44" i="37"/>
  <c r="P45" i="37"/>
  <c r="P58" i="37"/>
  <c r="V58" i="37" s="1"/>
  <c r="E42" i="17" s="1"/>
  <c r="P74" i="37"/>
  <c r="P75" i="37"/>
  <c r="P76" i="37"/>
  <c r="P77" i="37"/>
  <c r="P78" i="37"/>
  <c r="P89" i="37"/>
  <c r="P90" i="37"/>
  <c r="P91" i="37"/>
  <c r="P92" i="37"/>
  <c r="P93" i="37"/>
  <c r="P94" i="37"/>
  <c r="P95" i="37"/>
  <c r="H17" i="17"/>
  <c r="G117" i="4"/>
  <c r="G128" i="4" s="1"/>
  <c r="G13" i="4"/>
  <c r="I16" i="17"/>
  <c r="E17" i="23" s="1"/>
  <c r="I108" i="17"/>
  <c r="E98" i="23" s="1"/>
  <c r="G34" i="4"/>
  <c r="J174" i="37"/>
  <c r="H92" i="37"/>
  <c r="F68" i="4" s="1"/>
  <c r="L121" i="37"/>
  <c r="H13" i="37"/>
  <c r="F76" i="4" s="1"/>
  <c r="H17" i="37"/>
  <c r="F80" i="4" s="1"/>
  <c r="H22" i="37"/>
  <c r="F84" i="4" s="1"/>
  <c r="H34" i="37"/>
  <c r="F106" i="4" s="1"/>
  <c r="H43" i="37"/>
  <c r="F31" i="4" s="1"/>
  <c r="L44" i="37"/>
  <c r="H46" i="37"/>
  <c r="F34" i="4" s="1"/>
  <c r="L47" i="37"/>
  <c r="N47" i="37" s="1"/>
  <c r="H54" i="37"/>
  <c r="F14" i="4" s="1"/>
  <c r="H58" i="37"/>
  <c r="F41" i="4" s="1"/>
  <c r="H62" i="37"/>
  <c r="F56" i="4" s="1"/>
  <c r="H79" i="37"/>
  <c r="H88" i="37"/>
  <c r="F65" i="4" s="1"/>
  <c r="H89" i="37"/>
  <c r="L89" i="37" s="1"/>
  <c r="H93" i="37"/>
  <c r="F69" i="4" s="1"/>
  <c r="H157" i="37"/>
  <c r="L157" i="37" s="1"/>
  <c r="H162" i="37"/>
  <c r="H167" i="37"/>
  <c r="L167" i="37" s="1"/>
  <c r="H19" i="37"/>
  <c r="F82" i="4" s="1"/>
  <c r="H20" i="37"/>
  <c r="L20" i="37" s="1"/>
  <c r="H27" i="37"/>
  <c r="F87" i="4" s="1"/>
  <c r="H32" i="37"/>
  <c r="F104" i="4" s="1"/>
  <c r="H36" i="37"/>
  <c r="F108" i="4" s="1"/>
  <c r="H37" i="37"/>
  <c r="H45" i="37"/>
  <c r="F33" i="4" s="1"/>
  <c r="H48" i="37"/>
  <c r="F36" i="4" s="1"/>
  <c r="H60" i="37"/>
  <c r="F43" i="4" s="1"/>
  <c r="H64" i="37"/>
  <c r="F58" i="4" s="1"/>
  <c r="H70" i="37"/>
  <c r="F19" i="4" s="1"/>
  <c r="H71" i="37"/>
  <c r="H72" i="37"/>
  <c r="H77" i="37"/>
  <c r="F23" i="4" s="1"/>
  <c r="H81" i="37"/>
  <c r="F26" i="4" s="1"/>
  <c r="H85" i="37"/>
  <c r="F63" i="4" s="1"/>
  <c r="H86" i="37"/>
  <c r="L86" i="37" s="1"/>
  <c r="H91" i="37"/>
  <c r="F67" i="4" s="1"/>
  <c r="H96" i="37"/>
  <c r="F71" i="4" s="1"/>
  <c r="H158" i="37"/>
  <c r="H165" i="37"/>
  <c r="L165" i="37" s="1"/>
  <c r="H15" i="37"/>
  <c r="F78" i="4" s="1"/>
  <c r="H12" i="37"/>
  <c r="F75" i="4" s="1"/>
  <c r="H16" i="37"/>
  <c r="F79" i="4" s="1"/>
  <c r="H21" i="37"/>
  <c r="F83" i="4" s="1"/>
  <c r="H28" i="37"/>
  <c r="H33" i="37"/>
  <c r="L33" i="37" s="1"/>
  <c r="N33" i="37" s="1"/>
  <c r="H38" i="37"/>
  <c r="F109" i="4" s="1"/>
  <c r="H42" i="37"/>
  <c r="F30" i="4" s="1"/>
  <c r="H49" i="37"/>
  <c r="F37" i="4" s="1"/>
  <c r="H53" i="37"/>
  <c r="F13" i="4" s="1"/>
  <c r="H61" i="37"/>
  <c r="F44" i="4" s="1"/>
  <c r="H65" i="37"/>
  <c r="F59" i="4" s="1"/>
  <c r="H66" i="37"/>
  <c r="H73" i="37"/>
  <c r="F20" i="4" s="1"/>
  <c r="H74" i="37"/>
  <c r="H78" i="37"/>
  <c r="H87" i="37"/>
  <c r="F64" i="4" s="1"/>
  <c r="F128" i="4"/>
  <c r="L130" i="37"/>
  <c r="L131" i="37"/>
  <c r="L138" i="37"/>
  <c r="N138" i="37" s="1"/>
  <c r="L163" i="37"/>
  <c r="L164" i="37"/>
  <c r="E77" i="4"/>
  <c r="E83" i="4"/>
  <c r="F111" i="37"/>
  <c r="F112" i="37"/>
  <c r="E118" i="4" s="1"/>
  <c r="F116" i="37"/>
  <c r="L116" i="37" s="1"/>
  <c r="F117" i="37"/>
  <c r="F124" i="37"/>
  <c r="L124" i="37" s="1"/>
  <c r="E125" i="4"/>
  <c r="E37" i="4"/>
  <c r="E25" i="4"/>
  <c r="E26" i="4"/>
  <c r="E108" i="4"/>
  <c r="F110" i="37"/>
  <c r="E117" i="4" s="1"/>
  <c r="F115" i="37"/>
  <c r="L115" i="37" s="1"/>
  <c r="F122" i="37"/>
  <c r="L122" i="37" s="1"/>
  <c r="F123" i="37"/>
  <c r="E120" i="4" s="1"/>
  <c r="L35" i="37"/>
  <c r="L166" i="37"/>
  <c r="N166" i="37" s="1"/>
  <c r="L119" i="37"/>
  <c r="E106" i="4"/>
  <c r="F55" i="37"/>
  <c r="L111" i="37"/>
  <c r="E35" i="4"/>
  <c r="E20" i="4"/>
  <c r="E69" i="4"/>
  <c r="L114" i="37"/>
  <c r="W138" i="37"/>
  <c r="D114" i="37"/>
  <c r="D117" i="37"/>
  <c r="D119" i="4" s="1"/>
  <c r="D111" i="37"/>
  <c r="W111" i="37"/>
  <c r="W114" i="37"/>
  <c r="W139" i="37"/>
  <c r="D130" i="37"/>
  <c r="D112" i="37"/>
  <c r="D118" i="4" s="1"/>
  <c r="W112" i="37"/>
  <c r="D116" i="37"/>
  <c r="W116" i="37"/>
  <c r="D118" i="37"/>
  <c r="W118" i="37"/>
  <c r="W121" i="37"/>
  <c r="D124" i="37"/>
  <c r="W124" i="37"/>
  <c r="D139" i="37"/>
  <c r="D110" i="37"/>
  <c r="D117" i="4" s="1"/>
  <c r="W110" i="37"/>
  <c r="D113" i="37"/>
  <c r="W113" i="37"/>
  <c r="D119" i="37"/>
  <c r="W119" i="37"/>
  <c r="D122" i="37"/>
  <c r="W122" i="37"/>
  <c r="D125" i="37"/>
  <c r="W125" i="37"/>
  <c r="D127" i="37"/>
  <c r="D122" i="4" s="1"/>
  <c r="H122" i="4" s="1"/>
  <c r="D122" i="12" s="1"/>
  <c r="W127" i="37"/>
  <c r="D129" i="37"/>
  <c r="D124" i="4" s="1"/>
  <c r="H124" i="4" s="1"/>
  <c r="D124" i="12" s="1"/>
  <c r="W129" i="37"/>
  <c r="D131" i="37"/>
  <c r="D133" i="37"/>
  <c r="D126" i="4" s="1"/>
  <c r="H126" i="4" s="1"/>
  <c r="D126" i="12" s="1"/>
  <c r="W133" i="37"/>
  <c r="D135" i="37"/>
  <c r="D114" i="4" s="1"/>
  <c r="W135" i="37"/>
  <c r="D137" i="37"/>
  <c r="D116" i="4" s="1"/>
  <c r="H116" i="4" s="1"/>
  <c r="D116" i="12" s="1"/>
  <c r="W137" i="37"/>
  <c r="D115" i="37"/>
  <c r="W115" i="37"/>
  <c r="W117" i="37"/>
  <c r="D121" i="37"/>
  <c r="D123" i="37"/>
  <c r="D120" i="4" s="1"/>
  <c r="W123" i="37"/>
  <c r="D126" i="37"/>
  <c r="D121" i="4" s="1"/>
  <c r="H121" i="4" s="1"/>
  <c r="D121" i="12" s="1"/>
  <c r="F121" i="12" s="1"/>
  <c r="H121" i="12" s="1"/>
  <c r="D114" i="23" s="1"/>
  <c r="G114" i="23" s="1"/>
  <c r="W126" i="37"/>
  <c r="D128" i="37"/>
  <c r="D123" i="4" s="1"/>
  <c r="H123" i="4" s="1"/>
  <c r="D123" i="12" s="1"/>
  <c r="D126" i="17" s="1"/>
  <c r="W128" i="37"/>
  <c r="W130" i="37"/>
  <c r="D132" i="37"/>
  <c r="W132" i="37"/>
  <c r="D134" i="37"/>
  <c r="D127" i="4" s="1"/>
  <c r="H127" i="4" s="1"/>
  <c r="D127" i="12" s="1"/>
  <c r="D130" i="17" s="1"/>
  <c r="W134" i="37"/>
  <c r="D136" i="37"/>
  <c r="D115" i="4" s="1"/>
  <c r="H115" i="4" s="1"/>
  <c r="D115" i="12" s="1"/>
  <c r="F115" i="12" s="1"/>
  <c r="H115" i="12" s="1"/>
  <c r="D108" i="23" s="1"/>
  <c r="G108" i="23" s="1"/>
  <c r="W136" i="37"/>
  <c r="D13" i="11"/>
  <c r="F13" i="11" s="1"/>
  <c r="G20" i="12" s="1"/>
  <c r="W37" i="37"/>
  <c r="W24" i="37"/>
  <c r="D162" i="37"/>
  <c r="W167" i="37"/>
  <c r="W21" i="37"/>
  <c r="D48" i="37"/>
  <c r="D36" i="4" s="1"/>
  <c r="W53" i="37"/>
  <c r="D63" i="37"/>
  <c r="D57" i="4" s="1"/>
  <c r="D66" i="37"/>
  <c r="D16" i="11"/>
  <c r="F16" i="11" s="1"/>
  <c r="G25" i="12" s="1"/>
  <c r="W20" i="37"/>
  <c r="D35" i="37"/>
  <c r="D107" i="4" s="1"/>
  <c r="W163" i="37"/>
  <c r="W171" i="37"/>
  <c r="D14" i="11"/>
  <c r="F14" i="11" s="1"/>
  <c r="G21" i="12" s="1"/>
  <c r="D18" i="11"/>
  <c r="F18" i="11" s="1"/>
  <c r="G37" i="12" s="1"/>
  <c r="G38" i="12" s="1"/>
  <c r="F17" i="15" s="1"/>
  <c r="D38" i="37"/>
  <c r="D109" i="4" s="1"/>
  <c r="D80" i="37"/>
  <c r="D25" i="4" s="1"/>
  <c r="D35" i="4"/>
  <c r="D21" i="37"/>
  <c r="D22" i="37"/>
  <c r="D84" i="4" s="1"/>
  <c r="D26" i="37"/>
  <c r="W34" i="37"/>
  <c r="W45" i="37"/>
  <c r="W46" i="37"/>
  <c r="W47" i="37"/>
  <c r="D87" i="37"/>
  <c r="D64" i="4" s="1"/>
  <c r="D23" i="11"/>
  <c r="F23" i="11" s="1"/>
  <c r="G109" i="12" s="1"/>
  <c r="G111" i="12" s="1"/>
  <c r="F25" i="15" s="1"/>
  <c r="W166" i="37"/>
  <c r="G16" i="12"/>
  <c r="F13" i="15" s="1"/>
  <c r="D54" i="37"/>
  <c r="D14" i="4" s="1"/>
  <c r="W62" i="37"/>
  <c r="D72" i="37"/>
  <c r="W78" i="37"/>
  <c r="D92" i="37"/>
  <c r="D68" i="4" s="1"/>
  <c r="K21" i="11"/>
  <c r="D12" i="37"/>
  <c r="D75" i="4" s="1"/>
  <c r="D14" i="37"/>
  <c r="D15" i="37"/>
  <c r="D78" i="4" s="1"/>
  <c r="D17" i="37"/>
  <c r="D80" i="4" s="1"/>
  <c r="W19" i="37"/>
  <c r="W58" i="37"/>
  <c r="W74" i="37"/>
  <c r="W77" i="37"/>
  <c r="D81" i="37"/>
  <c r="D96" i="37"/>
  <c r="D71" i="4" s="1"/>
  <c r="W94" i="37"/>
  <c r="W93" i="37"/>
  <c r="W92" i="37"/>
  <c r="D91" i="37"/>
  <c r="D67" i="4" s="1"/>
  <c r="D90" i="37"/>
  <c r="D89" i="37"/>
  <c r="W87" i="37"/>
  <c r="D86" i="37"/>
  <c r="D79" i="37"/>
  <c r="W76" i="37"/>
  <c r="W73" i="37"/>
  <c r="W72" i="37"/>
  <c r="W70" i="37"/>
  <c r="W65" i="37"/>
  <c r="W64" i="37"/>
  <c r="W63" i="37"/>
  <c r="D62" i="37"/>
  <c r="D56" i="4" s="1"/>
  <c r="D61" i="37"/>
  <c r="D60" i="37"/>
  <c r="W54" i="37"/>
  <c r="D53" i="37"/>
  <c r="D49" i="37"/>
  <c r="W44" i="37"/>
  <c r="W43" i="37"/>
  <c r="W42" i="37"/>
  <c r="W36" i="37"/>
  <c r="W35" i="37"/>
  <c r="D34" i="37"/>
  <c r="D106" i="4" s="1"/>
  <c r="W32" i="37"/>
  <c r="D27" i="37"/>
  <c r="D87" i="4" s="1"/>
  <c r="W25" i="37"/>
  <c r="D24" i="37"/>
  <c r="D86" i="4" s="1"/>
  <c r="D19" i="37"/>
  <c r="D82" i="4" s="1"/>
  <c r="D18" i="37"/>
  <c r="W15" i="37"/>
  <c r="D13" i="37"/>
  <c r="D76" i="4" s="1"/>
  <c r="W95" i="37"/>
  <c r="D94" i="37"/>
  <c r="D93" i="37"/>
  <c r="W90" i="37"/>
  <c r="W89" i="37"/>
  <c r="D88" i="37"/>
  <c r="D65" i="4" s="1"/>
  <c r="D85" i="37"/>
  <c r="D63" i="4" s="1"/>
  <c r="D77" i="37"/>
  <c r="D23" i="4" s="1"/>
  <c r="W75" i="37"/>
  <c r="D73" i="37"/>
  <c r="W71" i="37"/>
  <c r="D70" i="37"/>
  <c r="D19" i="4" s="1"/>
  <c r="W66" i="37"/>
  <c r="D65" i="37"/>
  <c r="D64" i="37"/>
  <c r="W61" i="37"/>
  <c r="W60" i="37"/>
  <c r="W59" i="37"/>
  <c r="D58" i="37"/>
  <c r="D41" i="4" s="1"/>
  <c r="W49" i="37"/>
  <c r="W48" i="37"/>
  <c r="D45" i="37"/>
  <c r="D33" i="4" s="1"/>
  <c r="D44" i="37"/>
  <c r="D43" i="37"/>
  <c r="W38" i="37"/>
  <c r="D37" i="37"/>
  <c r="D36" i="37"/>
  <c r="W33" i="37"/>
  <c r="D28" i="37"/>
  <c r="W26" i="37"/>
  <c r="D25" i="37"/>
  <c r="W22" i="37"/>
  <c r="D20" i="37"/>
  <c r="W18" i="37"/>
  <c r="W17" i="37"/>
  <c r="D16" i="37"/>
  <c r="D79" i="4" s="1"/>
  <c r="W12" i="37"/>
  <c r="W96" i="37"/>
  <c r="D95" i="37"/>
  <c r="W91" i="37"/>
  <c r="W86" i="37"/>
  <c r="W81" i="37"/>
  <c r="W80" i="37"/>
  <c r="W79" i="37"/>
  <c r="D78" i="37"/>
  <c r="D75" i="37"/>
  <c r="D21" i="4" s="1"/>
  <c r="D12" i="11"/>
  <c r="F12" i="11" s="1"/>
  <c r="D17" i="11"/>
  <c r="F17" i="11" s="1"/>
  <c r="W13" i="37"/>
  <c r="W14" i="37"/>
  <c r="W16" i="37"/>
  <c r="W28" i="37"/>
  <c r="D32" i="37"/>
  <c r="D104" i="4" s="1"/>
  <c r="D42" i="37"/>
  <c r="D30" i="4" s="1"/>
  <c r="D59" i="37"/>
  <c r="D42" i="4" s="1"/>
  <c r="D71" i="37"/>
  <c r="D74" i="37"/>
  <c r="D76" i="37"/>
  <c r="W85" i="37"/>
  <c r="W88" i="37"/>
  <c r="D158" i="37"/>
  <c r="W165" i="37"/>
  <c r="D171" i="37"/>
  <c r="D172" i="37" s="1"/>
  <c r="D19" i="11"/>
  <c r="F19" i="11" s="1"/>
  <c r="G59" i="12" s="1"/>
  <c r="G60" i="12" s="1"/>
  <c r="F19" i="15" s="1"/>
  <c r="D20" i="11"/>
  <c r="F20" i="11" s="1"/>
  <c r="G71" i="12" s="1"/>
  <c r="G72" i="12" s="1"/>
  <c r="F21" i="15" s="1"/>
  <c r="D21" i="11"/>
  <c r="F21" i="11" s="1"/>
  <c r="G87" i="12" s="1"/>
  <c r="D22" i="11"/>
  <c r="D157" i="37"/>
  <c r="D163" i="37"/>
  <c r="W164" i="37"/>
  <c r="D167" i="37"/>
  <c r="K12" i="11"/>
  <c r="M12" i="11" s="1"/>
  <c r="D15" i="11"/>
  <c r="F15" i="11" s="1"/>
  <c r="G24" i="12" s="1"/>
  <c r="K16" i="11"/>
  <c r="W162" i="37"/>
  <c r="D164" i="37"/>
  <c r="D165" i="37"/>
  <c r="L12" i="37"/>
  <c r="E75" i="4"/>
  <c r="F86" i="4"/>
  <c r="K22" i="18"/>
  <c r="K23" i="18" s="1"/>
  <c r="F21" i="18"/>
  <c r="L11" i="37"/>
  <c r="F12" i="18"/>
  <c r="L118" i="37"/>
  <c r="L120" i="37"/>
  <c r="N120" i="37" s="1"/>
  <c r="X120" i="37" s="1"/>
  <c r="L136" i="37"/>
  <c r="N136" i="37" s="1"/>
  <c r="I106" i="17"/>
  <c r="E96" i="23" s="1"/>
  <c r="I14" i="17"/>
  <c r="E15" i="23" s="1"/>
  <c r="L63" i="37"/>
  <c r="L75" i="37"/>
  <c r="L126" i="37"/>
  <c r="L132" i="37"/>
  <c r="L128" i="37"/>
  <c r="L134" i="37"/>
  <c r="L162" i="37"/>
  <c r="F168" i="37"/>
  <c r="L113" i="37"/>
  <c r="L127" i="37"/>
  <c r="N127" i="37" s="1"/>
  <c r="L133" i="37"/>
  <c r="L137" i="37"/>
  <c r="H140" i="37"/>
  <c r="H143" i="37" s="1"/>
  <c r="F159" i="37"/>
  <c r="F172" i="37"/>
  <c r="L171" i="37"/>
  <c r="L125" i="37"/>
  <c r="N125" i="37" s="1"/>
  <c r="L129" i="37"/>
  <c r="L135" i="37"/>
  <c r="L139" i="37"/>
  <c r="G27" i="98"/>
  <c r="A32" i="103"/>
  <c r="A33" i="103" s="1"/>
  <c r="A35" i="103" s="1"/>
  <c r="A37" i="103" s="1"/>
  <c r="E24" i="31"/>
  <c r="E38" i="31"/>
  <c r="E42" i="31"/>
  <c r="E54" i="31"/>
  <c r="E78" i="31"/>
  <c r="E111" i="31"/>
  <c r="E91" i="31"/>
  <c r="E95" i="31"/>
  <c r="E101" i="31"/>
  <c r="E20" i="31"/>
  <c r="G20" i="31"/>
  <c r="E26" i="31"/>
  <c r="E43" i="31"/>
  <c r="E53" i="31"/>
  <c r="E76" i="31"/>
  <c r="E80" i="31"/>
  <c r="E96" i="31"/>
  <c r="E99" i="31"/>
  <c r="G99" i="31"/>
  <c r="F47" i="31"/>
  <c r="G47" i="31" s="1"/>
  <c r="G37" i="31"/>
  <c r="E41" i="31"/>
  <c r="G41" i="31"/>
  <c r="E77" i="31"/>
  <c r="G77" i="31"/>
  <c r="F92" i="31"/>
  <c r="G92" i="31" s="1"/>
  <c r="G91" i="31"/>
  <c r="E36" i="31"/>
  <c r="E39" i="31"/>
  <c r="E45" i="31"/>
  <c r="G45" i="31"/>
  <c r="E52" i="31"/>
  <c r="G52" i="31"/>
  <c r="E102" i="31"/>
  <c r="E24" i="44"/>
  <c r="F87" i="44"/>
  <c r="G87" i="44" s="1"/>
  <c r="G85" i="44"/>
  <c r="F92" i="44"/>
  <c r="G92" i="44" s="1"/>
  <c r="G91" i="44"/>
  <c r="D19" i="31"/>
  <c r="D21" i="31" s="1"/>
  <c r="E18" i="31"/>
  <c r="F82" i="31"/>
  <c r="G82" i="31" s="1"/>
  <c r="D82" i="31"/>
  <c r="D103" i="31"/>
  <c r="E103" i="31" s="1"/>
  <c r="D114" i="31"/>
  <c r="F28" i="31"/>
  <c r="G28" i="31" s="1"/>
  <c r="E33" i="31"/>
  <c r="D47" i="31"/>
  <c r="F55" i="31"/>
  <c r="G55" i="31" s="1"/>
  <c r="E110" i="31"/>
  <c r="E37" i="31"/>
  <c r="E85" i="31"/>
  <c r="E109" i="31"/>
  <c r="E113" i="31"/>
  <c r="L118" i="31"/>
  <c r="D28" i="31"/>
  <c r="F87" i="31"/>
  <c r="G87" i="31" s="1"/>
  <c r="D92" i="31"/>
  <c r="F104" i="31"/>
  <c r="G104" i="31" s="1"/>
  <c r="F114" i="31"/>
  <c r="G114" i="31" s="1"/>
  <c r="E107" i="31"/>
  <c r="D87" i="31"/>
  <c r="D55" i="44"/>
  <c r="E108" i="44"/>
  <c r="E112" i="44"/>
  <c r="K92" i="44"/>
  <c r="K19" i="44"/>
  <c r="K24" i="44"/>
  <c r="E33" i="44"/>
  <c r="K34" i="44"/>
  <c r="K36" i="44"/>
  <c r="K38" i="44"/>
  <c r="K40" i="44"/>
  <c r="E51" i="44"/>
  <c r="E52" i="44"/>
  <c r="E53" i="44"/>
  <c r="E54" i="44"/>
  <c r="K109" i="44"/>
  <c r="E113" i="44"/>
  <c r="K35" i="44"/>
  <c r="K37" i="44"/>
  <c r="K39" i="44"/>
  <c r="K41" i="44"/>
  <c r="K95" i="44"/>
  <c r="E109" i="44"/>
  <c r="K113" i="44"/>
  <c r="F28" i="44"/>
  <c r="G28" i="44" s="1"/>
  <c r="E26" i="44"/>
  <c r="E110" i="44"/>
  <c r="E35" i="44"/>
  <c r="E36" i="44"/>
  <c r="E37" i="44"/>
  <c r="E38" i="44"/>
  <c r="E39" i="44"/>
  <c r="E40" i="44"/>
  <c r="E41" i="44"/>
  <c r="E80" i="44"/>
  <c r="E98" i="44"/>
  <c r="E99" i="44"/>
  <c r="E100" i="44"/>
  <c r="E101" i="44"/>
  <c r="E103" i="44"/>
  <c r="F47" i="44"/>
  <c r="G47" i="44" s="1"/>
  <c r="E20" i="44"/>
  <c r="D47" i="44"/>
  <c r="E43" i="44"/>
  <c r="E44" i="44"/>
  <c r="E45" i="44"/>
  <c r="E76" i="44"/>
  <c r="E77" i="44"/>
  <c r="D82" i="44"/>
  <c r="E95" i="44"/>
  <c r="E96" i="44"/>
  <c r="F114" i="44"/>
  <c r="G114" i="44" s="1"/>
  <c r="D28" i="44"/>
  <c r="F82" i="44"/>
  <c r="G82" i="44" s="1"/>
  <c r="E85" i="44"/>
  <c r="F104" i="44"/>
  <c r="G104" i="44" s="1"/>
  <c r="F55" i="44"/>
  <c r="G55" i="44" s="1"/>
  <c r="E27" i="44"/>
  <c r="E31" i="44"/>
  <c r="E50" i="44"/>
  <c r="E78" i="44"/>
  <c r="D87" i="44"/>
  <c r="E87" i="44" s="1"/>
  <c r="D104" i="44"/>
  <c r="D114" i="44"/>
  <c r="E91" i="44"/>
  <c r="E102" i="44"/>
  <c r="V11" i="37"/>
  <c r="V158" i="37"/>
  <c r="P168" i="37"/>
  <c r="V165" i="37"/>
  <c r="V167" i="37"/>
  <c r="V157" i="37"/>
  <c r="P159" i="37"/>
  <c r="V164" i="37"/>
  <c r="P55" i="37"/>
  <c r="V55" i="37" s="1"/>
  <c r="V162" i="37"/>
  <c r="V166" i="37"/>
  <c r="V171" i="37"/>
  <c r="G17" i="17"/>
  <c r="P135" i="37"/>
  <c r="P130" i="37"/>
  <c r="P129" i="37"/>
  <c r="P125" i="37"/>
  <c r="P124" i="37"/>
  <c r="P123" i="37"/>
  <c r="P136" i="37"/>
  <c r="P132" i="37"/>
  <c r="P131" i="37"/>
  <c r="P126" i="37"/>
  <c r="P111" i="37"/>
  <c r="P110" i="37"/>
  <c r="P119" i="37"/>
  <c r="P114" i="37"/>
  <c r="P139" i="37"/>
  <c r="P134" i="37"/>
  <c r="P133" i="37"/>
  <c r="P122" i="37"/>
  <c r="P118" i="37"/>
  <c r="P113" i="37"/>
  <c r="P116" i="37"/>
  <c r="P121" i="37"/>
  <c r="P138" i="37"/>
  <c r="P115" i="37"/>
  <c r="P120" i="37"/>
  <c r="P137" i="37"/>
  <c r="P112" i="37"/>
  <c r="P117" i="37"/>
  <c r="P128" i="37"/>
  <c r="P127" i="37"/>
  <c r="V12" i="37"/>
  <c r="E77" i="17" s="1"/>
  <c r="A21" i="99"/>
  <c r="A28" i="99" s="1"/>
  <c r="A29" i="99" s="1"/>
  <c r="A30" i="99" s="1"/>
  <c r="A31" i="99" s="1"/>
  <c r="A32" i="99" s="1"/>
  <c r="A33" i="99" s="1"/>
  <c r="A35" i="99" s="1"/>
  <c r="A37" i="99" s="1"/>
  <c r="Q22" i="70"/>
  <c r="M27" i="70"/>
  <c r="M38" i="70" s="1"/>
  <c r="M42" i="70" s="1"/>
  <c r="AE22" i="70"/>
  <c r="AE30" i="69"/>
  <c r="Q30" i="69"/>
  <c r="Q22" i="69"/>
  <c r="AE22" i="69"/>
  <c r="AE30" i="70"/>
  <c r="Q30" i="70"/>
  <c r="Q32" i="70"/>
  <c r="M41" i="103"/>
  <c r="I41" i="103"/>
  <c r="E41" i="103"/>
  <c r="P41" i="103"/>
  <c r="L41" i="103"/>
  <c r="H41" i="103"/>
  <c r="D41" i="103"/>
  <c r="O41" i="103"/>
  <c r="K41" i="103"/>
  <c r="G41" i="103"/>
  <c r="N41" i="103"/>
  <c r="J41" i="103"/>
  <c r="F41" i="103"/>
  <c r="P45" i="103"/>
  <c r="L45" i="103"/>
  <c r="H45" i="103"/>
  <c r="D45" i="103"/>
  <c r="O45" i="103"/>
  <c r="K45" i="103"/>
  <c r="G45" i="103"/>
  <c r="N45" i="103"/>
  <c r="J45" i="103"/>
  <c r="F45" i="103"/>
  <c r="M45" i="103"/>
  <c r="I45" i="103"/>
  <c r="E45" i="103"/>
  <c r="Q59" i="99"/>
  <c r="W59" i="99" s="1"/>
  <c r="W63" i="99" s="1"/>
  <c r="W65" i="99" s="1"/>
  <c r="Q80" i="98" s="1"/>
  <c r="G33" i="69" s="1"/>
  <c r="M41" i="99"/>
  <c r="I41" i="99"/>
  <c r="E41" i="99"/>
  <c r="N41" i="99"/>
  <c r="P41" i="99"/>
  <c r="L41" i="99"/>
  <c r="H41" i="99"/>
  <c r="D41" i="99"/>
  <c r="O41" i="99"/>
  <c r="K41" i="99"/>
  <c r="G41" i="99"/>
  <c r="J41" i="99"/>
  <c r="F41" i="99"/>
  <c r="Q63" i="99"/>
  <c r="Q65" i="99" s="1"/>
  <c r="M45" i="99"/>
  <c r="I45" i="99"/>
  <c r="E45" i="99"/>
  <c r="P45" i="99"/>
  <c r="L45" i="99"/>
  <c r="H45" i="99"/>
  <c r="D45" i="99"/>
  <c r="J45" i="99"/>
  <c r="O45" i="99"/>
  <c r="K45" i="99"/>
  <c r="G45" i="99"/>
  <c r="N45" i="99"/>
  <c r="F45" i="99"/>
  <c r="W32" i="99"/>
  <c r="Q31" i="103"/>
  <c r="W31" i="103" s="1"/>
  <c r="Q19" i="99"/>
  <c r="W19" i="99" s="1"/>
  <c r="Q30" i="103"/>
  <c r="W30" i="103" s="1"/>
  <c r="Q18" i="99"/>
  <c r="W18" i="99" s="1"/>
  <c r="Q28" i="99"/>
  <c r="W28" i="99" s="1"/>
  <c r="Q14" i="103"/>
  <c r="W14" i="103" s="1"/>
  <c r="Q16" i="103"/>
  <c r="W16" i="103" s="1"/>
  <c r="Q29" i="103"/>
  <c r="W29" i="103" s="1"/>
  <c r="Q15" i="99"/>
  <c r="W15" i="99" s="1"/>
  <c r="Q19" i="103"/>
  <c r="W19" i="103" s="1"/>
  <c r="Q28" i="103"/>
  <c r="W28" i="103" s="1"/>
  <c r="Q31" i="99"/>
  <c r="W31" i="99" s="1"/>
  <c r="Q15" i="103"/>
  <c r="W15" i="103" s="1"/>
  <c r="Q18" i="103"/>
  <c r="W18" i="103" s="1"/>
  <c r="Q14" i="99"/>
  <c r="W14" i="99" s="1"/>
  <c r="Q16" i="99"/>
  <c r="W16" i="99" s="1"/>
  <c r="Q29" i="99"/>
  <c r="W29" i="99" s="1"/>
  <c r="Q30" i="99"/>
  <c r="W30" i="99" s="1"/>
  <c r="G64" i="102"/>
  <c r="I64" i="102" s="1"/>
  <c r="I62" i="102"/>
  <c r="Q62" i="102" s="1"/>
  <c r="G58" i="98"/>
  <c r="I58" i="98" s="1"/>
  <c r="G46" i="102"/>
  <c r="I43" i="102"/>
  <c r="Q43" i="102" s="1"/>
  <c r="F75" i="53"/>
  <c r="G27" i="102"/>
  <c r="C75" i="53"/>
  <c r="G75" i="53"/>
  <c r="C6" i="53"/>
  <c r="C17" i="53" s="1"/>
  <c r="G6" i="53"/>
  <c r="G17" i="53" s="1"/>
  <c r="E75" i="53"/>
  <c r="F6" i="53"/>
  <c r="F17" i="53" s="1"/>
  <c r="O14" i="53"/>
  <c r="D75" i="53"/>
  <c r="O16" i="53"/>
  <c r="G25" i="53"/>
  <c r="O10" i="53"/>
  <c r="O7" i="53"/>
  <c r="D76" i="53"/>
  <c r="H76" i="53"/>
  <c r="O8" i="53"/>
  <c r="O9" i="53"/>
  <c r="E76" i="53"/>
  <c r="O11" i="53"/>
  <c r="F76" i="53"/>
  <c r="E17" i="53"/>
  <c r="O13" i="53"/>
  <c r="C76" i="53"/>
  <c r="G76" i="53"/>
  <c r="F25" i="53"/>
  <c r="O22" i="53"/>
  <c r="C25" i="53"/>
  <c r="H17" i="53"/>
  <c r="H25" i="53"/>
  <c r="E21" i="53"/>
  <c r="O21" i="53" s="1"/>
  <c r="O12" i="53"/>
  <c r="D23" i="53"/>
  <c r="O23" i="53" s="1"/>
  <c r="D6" i="53"/>
  <c r="D20" i="53"/>
  <c r="H75" i="53"/>
  <c r="H52" i="4" l="1"/>
  <c r="H96" i="4"/>
  <c r="I53" i="19"/>
  <c r="I98" i="19"/>
  <c r="H96" i="12"/>
  <c r="H52" i="12"/>
  <c r="J232" i="77"/>
  <c r="J64" i="77"/>
  <c r="J176" i="77"/>
  <c r="J120" i="77"/>
  <c r="I107" i="5"/>
  <c r="I58" i="5"/>
  <c r="G34" i="102"/>
  <c r="Q34" i="102"/>
  <c r="Q40" i="102"/>
  <c r="M60" i="102"/>
  <c r="O60" i="102" s="1"/>
  <c r="Q60" i="102" s="1"/>
  <c r="M48" i="102"/>
  <c r="O48" i="102" s="1"/>
  <c r="Q48" i="102" s="1"/>
  <c r="Q46" i="102"/>
  <c r="Q27" i="102"/>
  <c r="K45" i="98"/>
  <c r="O45" i="98" s="1"/>
  <c r="Q45" i="98" s="1"/>
  <c r="K32" i="98"/>
  <c r="O32" i="98" s="1"/>
  <c r="Q32" i="98" s="1"/>
  <c r="K24" i="98"/>
  <c r="O24" i="98" s="1"/>
  <c r="Q24" i="98" s="1"/>
  <c r="K20" i="98"/>
  <c r="O20" i="98" s="1"/>
  <c r="Q20" i="98" s="1"/>
  <c r="K15" i="98"/>
  <c r="O15" i="98" s="1"/>
  <c r="Q15" i="98" s="1"/>
  <c r="K14" i="98"/>
  <c r="O14" i="98" s="1"/>
  <c r="Q14" i="98" s="1"/>
  <c r="K13" i="98"/>
  <c r="O13" i="98" s="1"/>
  <c r="Q13" i="98" s="1"/>
  <c r="K17" i="98"/>
  <c r="O17" i="98" s="1"/>
  <c r="Q17" i="98" s="1"/>
  <c r="K54" i="98"/>
  <c r="K50" i="98"/>
  <c r="K48" i="98"/>
  <c r="K44" i="98"/>
  <c r="O44" i="98" s="1"/>
  <c r="Q44" i="98" s="1"/>
  <c r="K31" i="98"/>
  <c r="O31" i="98" s="1"/>
  <c r="Q31" i="98" s="1"/>
  <c r="K25" i="98"/>
  <c r="O25" i="98" s="1"/>
  <c r="Q25" i="98" s="1"/>
  <c r="K21" i="98"/>
  <c r="O21" i="98" s="1"/>
  <c r="Q21" i="98" s="1"/>
  <c r="K18" i="98"/>
  <c r="O18" i="98" s="1"/>
  <c r="Q18" i="98" s="1"/>
  <c r="K16" i="98"/>
  <c r="O16" i="98" s="1"/>
  <c r="Q16" i="98" s="1"/>
  <c r="K72" i="98"/>
  <c r="O72" i="98" s="1"/>
  <c r="Q72" i="98" s="1"/>
  <c r="K70" i="98"/>
  <c r="O70" i="98" s="1"/>
  <c r="Q70" i="98" s="1"/>
  <c r="K68" i="98"/>
  <c r="O68" i="98" s="1"/>
  <c r="Q68" i="98" s="1"/>
  <c r="K64" i="98"/>
  <c r="K58" i="98"/>
  <c r="K43" i="98"/>
  <c r="O43" i="98" s="1"/>
  <c r="K39" i="98"/>
  <c r="O39" i="98" s="1"/>
  <c r="Q39" i="98" s="1"/>
  <c r="K38" i="98"/>
  <c r="O38" i="98" s="1"/>
  <c r="Q38" i="98" s="1"/>
  <c r="K37" i="98"/>
  <c r="O37" i="98" s="1"/>
  <c r="Q37" i="98" s="1"/>
  <c r="K33" i="98"/>
  <c r="O33" i="98" s="1"/>
  <c r="Q33" i="98" s="1"/>
  <c r="K26" i="98"/>
  <c r="O26" i="98" s="1"/>
  <c r="Q26" i="98" s="1"/>
  <c r="K23" i="98"/>
  <c r="O23" i="98" s="1"/>
  <c r="Q23" i="98" s="1"/>
  <c r="K62" i="98"/>
  <c r="O62" i="98" s="1"/>
  <c r="Q62" i="98" s="1"/>
  <c r="K60" i="98"/>
  <c r="K52" i="98"/>
  <c r="K30" i="98"/>
  <c r="O30" i="98" s="1"/>
  <c r="K22" i="98"/>
  <c r="O22" i="98" s="1"/>
  <c r="Q22" i="98" s="1"/>
  <c r="K19" i="98"/>
  <c r="O19" i="98" s="1"/>
  <c r="Q19" i="98" s="1"/>
  <c r="O12" i="98"/>
  <c r="Q12" i="98" s="1"/>
  <c r="M50" i="102"/>
  <c r="O50" i="102" s="1"/>
  <c r="Q50" i="102" s="1"/>
  <c r="M54" i="102"/>
  <c r="O54" i="102" s="1"/>
  <c r="Q54" i="102" s="1"/>
  <c r="M58" i="102"/>
  <c r="O58" i="102" s="1"/>
  <c r="Q58" i="102" s="1"/>
  <c r="Q43" i="98"/>
  <c r="Q46" i="98" s="1"/>
  <c r="M52" i="102"/>
  <c r="O52" i="102" s="1"/>
  <c r="M64" i="102"/>
  <c r="O64" i="102" s="1"/>
  <c r="Q64" i="102" s="1"/>
  <c r="D55" i="31"/>
  <c r="G17" i="31"/>
  <c r="I112" i="17"/>
  <c r="E102" i="23" s="1"/>
  <c r="H74" i="17"/>
  <c r="F48" i="11"/>
  <c r="G87" i="14" s="1"/>
  <c r="G88" i="14" s="1"/>
  <c r="F53" i="15" s="1"/>
  <c r="N115" i="48"/>
  <c r="Z115" i="48" s="1"/>
  <c r="L93" i="48"/>
  <c r="L125" i="48"/>
  <c r="N125" i="48" s="1"/>
  <c r="L130" i="45"/>
  <c r="N130" i="45" s="1"/>
  <c r="R130" i="45" s="1"/>
  <c r="L122" i="45"/>
  <c r="H126" i="5"/>
  <c r="N113" i="45"/>
  <c r="R113" i="45" s="1"/>
  <c r="H175" i="45"/>
  <c r="L131" i="45"/>
  <c r="L112" i="45"/>
  <c r="N112" i="45" s="1"/>
  <c r="H119" i="5"/>
  <c r="L125" i="45"/>
  <c r="H55" i="45"/>
  <c r="H22" i="4"/>
  <c r="D22" i="12" s="1"/>
  <c r="D23" i="17" s="1"/>
  <c r="H103" i="4"/>
  <c r="D103" i="12" s="1"/>
  <c r="H15" i="4"/>
  <c r="D15" i="12" s="1"/>
  <c r="E17" i="17"/>
  <c r="H84" i="4"/>
  <c r="D84" i="12" s="1"/>
  <c r="D86" i="17" s="1"/>
  <c r="H21" i="4"/>
  <c r="D21" i="12" s="1"/>
  <c r="H107" i="4"/>
  <c r="D107" i="12" s="1"/>
  <c r="H57" i="4"/>
  <c r="D57" i="12" s="1"/>
  <c r="F57" i="12" s="1"/>
  <c r="H57" i="12" s="1"/>
  <c r="D48" i="23" s="1"/>
  <c r="G48" i="23" s="1"/>
  <c r="L18" i="37"/>
  <c r="N18" i="37" s="1"/>
  <c r="L22" i="37"/>
  <c r="G16" i="4"/>
  <c r="E60" i="4"/>
  <c r="F29" i="37"/>
  <c r="T13" i="37" s="1"/>
  <c r="V13" i="37" s="1"/>
  <c r="E78" i="17" s="1"/>
  <c r="G78" i="17" s="1"/>
  <c r="I78" i="17" s="1"/>
  <c r="E79" i="23" s="1"/>
  <c r="E70" i="4"/>
  <c r="F67" i="37"/>
  <c r="T62" i="37" s="1"/>
  <c r="V62" i="37" s="1"/>
  <c r="E58" i="17" s="1"/>
  <c r="G58" i="17" s="1"/>
  <c r="I58" i="17" s="1"/>
  <c r="E47" i="23" s="1"/>
  <c r="H68" i="4"/>
  <c r="D68" i="12" s="1"/>
  <c r="F68" i="12" s="1"/>
  <c r="H68" i="12" s="1"/>
  <c r="D59" i="23" s="1"/>
  <c r="G59" i="23" s="1"/>
  <c r="L92" i="37"/>
  <c r="L34" i="37"/>
  <c r="L66" i="37"/>
  <c r="N66" i="37" s="1"/>
  <c r="R66" i="37" s="1"/>
  <c r="L36" i="37"/>
  <c r="G19" i="31"/>
  <c r="F21" i="31"/>
  <c r="G21" i="31" s="1"/>
  <c r="E28" i="31"/>
  <c r="E17" i="31"/>
  <c r="E47" i="31"/>
  <c r="AE23" i="69"/>
  <c r="AE25" i="69" s="1"/>
  <c r="Q23" i="69"/>
  <c r="Q25" i="69" s="1"/>
  <c r="Q23" i="70"/>
  <c r="Q25" i="70" s="1"/>
  <c r="AE25" i="70"/>
  <c r="E25" i="70"/>
  <c r="G34" i="98"/>
  <c r="G66" i="98" s="1"/>
  <c r="I30" i="98"/>
  <c r="Q30" i="98" s="1"/>
  <c r="E82" i="31"/>
  <c r="E19" i="31"/>
  <c r="G36" i="69"/>
  <c r="Q34" i="70"/>
  <c r="H40" i="28"/>
  <c r="F26" i="16" s="1"/>
  <c r="Q34" i="69"/>
  <c r="H18" i="28"/>
  <c r="D26" i="16" s="1"/>
  <c r="R159" i="48"/>
  <c r="T95" i="48"/>
  <c r="R173" i="48"/>
  <c r="T158" i="48"/>
  <c r="T159" i="48" s="1"/>
  <c r="T33" i="48"/>
  <c r="X168" i="48"/>
  <c r="X175" i="48" s="1"/>
  <c r="E37" i="43"/>
  <c r="I44" i="20"/>
  <c r="H54" i="20"/>
  <c r="D18" i="44" s="1"/>
  <c r="D17" i="44" s="1"/>
  <c r="D19" i="44" s="1"/>
  <c r="D21" i="44" s="1"/>
  <c r="C54" i="20"/>
  <c r="F54" i="20"/>
  <c r="T102" i="37"/>
  <c r="H16" i="20"/>
  <c r="F26" i="20"/>
  <c r="T163" i="48"/>
  <c r="T71" i="48"/>
  <c r="J55" i="45"/>
  <c r="T19" i="48"/>
  <c r="T167" i="48"/>
  <c r="R168" i="48"/>
  <c r="T165" i="48"/>
  <c r="T164" i="48"/>
  <c r="T74" i="48"/>
  <c r="T37" i="48"/>
  <c r="T79" i="48"/>
  <c r="T28" i="48"/>
  <c r="T20" i="48"/>
  <c r="T66" i="48"/>
  <c r="T76" i="48"/>
  <c r="V159" i="45"/>
  <c r="F127" i="14"/>
  <c r="H127" i="14" s="1"/>
  <c r="D120" i="58" s="1"/>
  <c r="I123" i="5"/>
  <c r="D122" i="14" s="1"/>
  <c r="D125" i="19" s="1"/>
  <c r="L54" i="48"/>
  <c r="P67" i="45"/>
  <c r="V67" i="45" s="1"/>
  <c r="L58" i="48"/>
  <c r="T122" i="48"/>
  <c r="R97" i="48"/>
  <c r="Z138" i="48"/>
  <c r="L138" i="45"/>
  <c r="N138" i="45" s="1"/>
  <c r="R138" i="45" s="1"/>
  <c r="Z131" i="48"/>
  <c r="L120" i="45"/>
  <c r="N120" i="45" s="1"/>
  <c r="N120" i="48"/>
  <c r="Z120" i="48" s="1"/>
  <c r="T130" i="48"/>
  <c r="T78" i="48"/>
  <c r="K49" i="18"/>
  <c r="N133" i="48"/>
  <c r="Z133" i="48" s="1"/>
  <c r="T112" i="48"/>
  <c r="P140" i="48"/>
  <c r="P143" i="48" s="1"/>
  <c r="L77" i="45"/>
  <c r="L32" i="48"/>
  <c r="H86" i="5"/>
  <c r="T134" i="48"/>
  <c r="N122" i="48"/>
  <c r="Z122" i="48" s="1"/>
  <c r="I112" i="19"/>
  <c r="E102" i="58" s="1"/>
  <c r="H99" i="5"/>
  <c r="L65" i="48"/>
  <c r="L110" i="48"/>
  <c r="L132" i="48"/>
  <c r="N132" i="48" s="1"/>
  <c r="Z132" i="48" s="1"/>
  <c r="N112" i="48"/>
  <c r="Z112" i="48" s="1"/>
  <c r="N129" i="48"/>
  <c r="Z129" i="48" s="1"/>
  <c r="F38" i="5"/>
  <c r="L72" i="48"/>
  <c r="N72" i="48" s="1"/>
  <c r="Z72" i="48" s="1"/>
  <c r="L18" i="48"/>
  <c r="F27" i="5"/>
  <c r="F88" i="5"/>
  <c r="L117" i="48"/>
  <c r="N117" i="48" s="1"/>
  <c r="Z117" i="48" s="1"/>
  <c r="L66" i="48"/>
  <c r="L116" i="45"/>
  <c r="N116" i="45" s="1"/>
  <c r="R116" i="45" s="1"/>
  <c r="L88" i="48"/>
  <c r="N88" i="48" s="1"/>
  <c r="Z88" i="48" s="1"/>
  <c r="L60" i="48"/>
  <c r="N60" i="48" s="1"/>
  <c r="Z60" i="48" s="1"/>
  <c r="L33" i="48"/>
  <c r="H29" i="45"/>
  <c r="H39" i="48"/>
  <c r="H43" i="5"/>
  <c r="L22" i="48"/>
  <c r="L90" i="48"/>
  <c r="N90" i="48" s="1"/>
  <c r="Z90" i="48" s="1"/>
  <c r="L17" i="48"/>
  <c r="N17" i="48" s="1"/>
  <c r="Z17" i="48" s="1"/>
  <c r="L20" i="45"/>
  <c r="N20" i="45" s="1"/>
  <c r="R20" i="45" s="1"/>
  <c r="L47" i="48"/>
  <c r="L111" i="45"/>
  <c r="N111" i="45" s="1"/>
  <c r="R111" i="45" s="1"/>
  <c r="L139" i="45"/>
  <c r="N139" i="45" s="1"/>
  <c r="R139" i="45" s="1"/>
  <c r="H120" i="5"/>
  <c r="L134" i="45"/>
  <c r="N134" i="45" s="1"/>
  <c r="N163" i="48"/>
  <c r="Z163" i="48" s="1"/>
  <c r="L73" i="48"/>
  <c r="N73" i="48" s="1"/>
  <c r="Z73" i="48" s="1"/>
  <c r="L37" i="48"/>
  <c r="N37" i="48" s="1"/>
  <c r="Z37" i="48" s="1"/>
  <c r="L77" i="48"/>
  <c r="N77" i="48" s="1"/>
  <c r="Z77" i="48" s="1"/>
  <c r="L62" i="48"/>
  <c r="N62" i="48" s="1"/>
  <c r="Z62" i="48" s="1"/>
  <c r="L114" i="45"/>
  <c r="N114" i="45" s="1"/>
  <c r="X114" i="45" s="1"/>
  <c r="H125" i="5"/>
  <c r="H124" i="5"/>
  <c r="L76" i="48"/>
  <c r="N76" i="48" s="1"/>
  <c r="Z76" i="48" s="1"/>
  <c r="L111" i="48"/>
  <c r="N111" i="48" s="1"/>
  <c r="Z111" i="48" s="1"/>
  <c r="H82" i="48"/>
  <c r="F49" i="5"/>
  <c r="L121" i="45"/>
  <c r="N121" i="45" s="1"/>
  <c r="R121" i="45" s="1"/>
  <c r="H175" i="48"/>
  <c r="L91" i="48"/>
  <c r="N91" i="48" s="1"/>
  <c r="Z91" i="48" s="1"/>
  <c r="L123" i="45"/>
  <c r="N123" i="45" s="1"/>
  <c r="X123" i="45" s="1"/>
  <c r="N37" i="45"/>
  <c r="X37" i="45" s="1"/>
  <c r="L135" i="45"/>
  <c r="N135" i="45" s="1"/>
  <c r="R135" i="45" s="1"/>
  <c r="L130" i="48"/>
  <c r="N130" i="48" s="1"/>
  <c r="Z130" i="48" s="1"/>
  <c r="L118" i="45"/>
  <c r="N118" i="45" s="1"/>
  <c r="X118" i="45" s="1"/>
  <c r="L137" i="45"/>
  <c r="N137" i="45" s="1"/>
  <c r="R137" i="45" s="1"/>
  <c r="H128" i="5"/>
  <c r="L124" i="48"/>
  <c r="N124" i="48" s="1"/>
  <c r="Z124" i="48" s="1"/>
  <c r="L129" i="45"/>
  <c r="N129" i="45" s="1"/>
  <c r="R129" i="45" s="1"/>
  <c r="L24" i="48"/>
  <c r="N24" i="48" s="1"/>
  <c r="Z24" i="48" s="1"/>
  <c r="N116" i="48"/>
  <c r="Z116" i="48" s="1"/>
  <c r="L115" i="45"/>
  <c r="N115" i="45" s="1"/>
  <c r="X115" i="45" s="1"/>
  <c r="H117" i="5"/>
  <c r="N125" i="45"/>
  <c r="R125" i="45" s="1"/>
  <c r="L25" i="45"/>
  <c r="N25" i="45" s="1"/>
  <c r="R25" i="45" s="1"/>
  <c r="N114" i="48"/>
  <c r="Z114" i="48" s="1"/>
  <c r="L136" i="45"/>
  <c r="N136" i="45" s="1"/>
  <c r="X136" i="45" s="1"/>
  <c r="V168" i="45"/>
  <c r="V175" i="45" s="1"/>
  <c r="H97" i="45"/>
  <c r="T26" i="48"/>
  <c r="L44" i="48"/>
  <c r="N44" i="48" s="1"/>
  <c r="Z44" i="48" s="1"/>
  <c r="L42" i="45"/>
  <c r="N42" i="45" s="1"/>
  <c r="L95" i="45"/>
  <c r="N95" i="45" s="1"/>
  <c r="F72" i="5"/>
  <c r="H29" i="48"/>
  <c r="L128" i="45"/>
  <c r="N128" i="45" s="1"/>
  <c r="X128" i="45" s="1"/>
  <c r="N131" i="45"/>
  <c r="R131" i="45" s="1"/>
  <c r="T89" i="48"/>
  <c r="H79" i="5"/>
  <c r="R37" i="45"/>
  <c r="T25" i="48"/>
  <c r="I116" i="5"/>
  <c r="D115" i="14" s="1"/>
  <c r="D118" i="19" s="1"/>
  <c r="L17" i="45"/>
  <c r="N17" i="45" s="1"/>
  <c r="R17" i="45" s="1"/>
  <c r="L75" i="48"/>
  <c r="N75" i="48" s="1"/>
  <c r="Z75" i="48" s="1"/>
  <c r="L14" i="48"/>
  <c r="N14" i="48" s="1"/>
  <c r="Z14" i="48" s="1"/>
  <c r="L13" i="45"/>
  <c r="N13" i="45" s="1"/>
  <c r="R13" i="45" s="1"/>
  <c r="J29" i="45"/>
  <c r="E17" i="19"/>
  <c r="H140" i="45"/>
  <c r="H143" i="45" s="1"/>
  <c r="H50" i="48"/>
  <c r="L126" i="45"/>
  <c r="N126" i="45" s="1"/>
  <c r="X126" i="45" s="1"/>
  <c r="D25" i="19"/>
  <c r="I122" i="5"/>
  <c r="D121" i="14" s="1"/>
  <c r="D124" i="19" s="1"/>
  <c r="N158" i="48"/>
  <c r="Z158" i="48" s="1"/>
  <c r="H34" i="5"/>
  <c r="L89" i="45"/>
  <c r="N89" i="45" s="1"/>
  <c r="X89" i="45" s="1"/>
  <c r="L46" i="48"/>
  <c r="N46" i="48" s="1"/>
  <c r="Z46" i="48" s="1"/>
  <c r="N78" i="48"/>
  <c r="Z78" i="48" s="1"/>
  <c r="L48" i="48"/>
  <c r="N48" i="48" s="1"/>
  <c r="Z48" i="48" s="1"/>
  <c r="L74" i="48"/>
  <c r="N74" i="48" s="1"/>
  <c r="Z74" i="48" s="1"/>
  <c r="L26" i="48"/>
  <c r="N26" i="48" s="1"/>
  <c r="Z26" i="48" s="1"/>
  <c r="L26" i="45"/>
  <c r="N26" i="45" s="1"/>
  <c r="X26" i="45" s="1"/>
  <c r="L43" i="48"/>
  <c r="N43" i="48" s="1"/>
  <c r="Z43" i="48" s="1"/>
  <c r="L53" i="48"/>
  <c r="N53" i="48" s="1"/>
  <c r="M38" i="18"/>
  <c r="T125" i="48"/>
  <c r="R55" i="48"/>
  <c r="X55" i="48" s="1"/>
  <c r="L19" i="48"/>
  <c r="N19" i="48" s="1"/>
  <c r="Z19" i="48" s="1"/>
  <c r="P159" i="45"/>
  <c r="T86" i="48"/>
  <c r="H121" i="5"/>
  <c r="L63" i="45"/>
  <c r="N63" i="45" s="1"/>
  <c r="R63" i="45" s="1"/>
  <c r="L70" i="48"/>
  <c r="L92" i="48"/>
  <c r="N92" i="48" s="1"/>
  <c r="Z92" i="48" s="1"/>
  <c r="L133" i="45"/>
  <c r="N133" i="45" s="1"/>
  <c r="R133" i="45" s="1"/>
  <c r="L79" i="45"/>
  <c r="N79" i="45" s="1"/>
  <c r="R79" i="45" s="1"/>
  <c r="P168" i="45"/>
  <c r="H50" i="45"/>
  <c r="Z125" i="48"/>
  <c r="L117" i="45"/>
  <c r="N117" i="45" s="1"/>
  <c r="R117" i="45" s="1"/>
  <c r="F118" i="5"/>
  <c r="F129" i="5" s="1"/>
  <c r="L121" i="48"/>
  <c r="N121" i="48" s="1"/>
  <c r="Z121" i="48" s="1"/>
  <c r="T110" i="48"/>
  <c r="H116" i="5"/>
  <c r="G27" i="5"/>
  <c r="L139" i="48"/>
  <c r="N139" i="48" s="1"/>
  <c r="Z139" i="48" s="1"/>
  <c r="L110" i="45"/>
  <c r="N110" i="45" s="1"/>
  <c r="X110" i="45" s="1"/>
  <c r="P140" i="45"/>
  <c r="V140" i="45" s="1"/>
  <c r="V143" i="45" s="1"/>
  <c r="P55" i="45"/>
  <c r="V55" i="45" s="1"/>
  <c r="P50" i="45"/>
  <c r="V50" i="45" s="1"/>
  <c r="P29" i="45"/>
  <c r="V29" i="45" s="1"/>
  <c r="R50" i="48"/>
  <c r="X50" i="48" s="1"/>
  <c r="F112" i="5"/>
  <c r="J97" i="48"/>
  <c r="J29" i="48"/>
  <c r="L118" i="48"/>
  <c r="N118" i="48" s="1"/>
  <c r="Z118" i="48" s="1"/>
  <c r="H97" i="48"/>
  <c r="P97" i="45"/>
  <c r="V97" i="45" s="1"/>
  <c r="P82" i="45"/>
  <c r="V82" i="45" s="1"/>
  <c r="L13" i="48"/>
  <c r="N13" i="48" s="1"/>
  <c r="Z13" i="48" s="1"/>
  <c r="J82" i="48"/>
  <c r="H67" i="48"/>
  <c r="J50" i="48"/>
  <c r="L28" i="48"/>
  <c r="N28" i="48" s="1"/>
  <c r="Z28" i="48" s="1"/>
  <c r="G88" i="5"/>
  <c r="G112" i="5"/>
  <c r="G49" i="5"/>
  <c r="J97" i="45"/>
  <c r="J39" i="48"/>
  <c r="D126" i="19"/>
  <c r="H115" i="5"/>
  <c r="L127" i="48"/>
  <c r="N127" i="48" s="1"/>
  <c r="Z127" i="48" s="1"/>
  <c r="L113" i="48"/>
  <c r="N113" i="48" s="1"/>
  <c r="Z113" i="48" s="1"/>
  <c r="D140" i="45"/>
  <c r="D143" i="45" s="1"/>
  <c r="L126" i="48"/>
  <c r="N126" i="48" s="1"/>
  <c r="Z126" i="48" s="1"/>
  <c r="F140" i="48"/>
  <c r="V117" i="48" s="1"/>
  <c r="X117" i="48" s="1"/>
  <c r="E122" i="19" s="1"/>
  <c r="G122" i="19" s="1"/>
  <c r="I122" i="19" s="1"/>
  <c r="E112" i="58" s="1"/>
  <c r="R39" i="48"/>
  <c r="X39" i="48" s="1"/>
  <c r="L48" i="45"/>
  <c r="N48" i="45" s="1"/>
  <c r="R48" i="45" s="1"/>
  <c r="T72" i="48"/>
  <c r="L38" i="48"/>
  <c r="L94" i="48"/>
  <c r="N94" i="48" s="1"/>
  <c r="Z94" i="48" s="1"/>
  <c r="L76" i="45"/>
  <c r="N76" i="45" s="1"/>
  <c r="R76" i="45" s="1"/>
  <c r="L81" i="48"/>
  <c r="N81" i="48" s="1"/>
  <c r="Z81" i="48" s="1"/>
  <c r="L33" i="45"/>
  <c r="N33" i="45" s="1"/>
  <c r="L27" i="48"/>
  <c r="N27" i="48" s="1"/>
  <c r="Z27" i="48" s="1"/>
  <c r="F13" i="5"/>
  <c r="F16" i="5" s="1"/>
  <c r="J67" i="45"/>
  <c r="J82" i="45"/>
  <c r="R82" i="48"/>
  <c r="X82" i="48" s="1"/>
  <c r="K43" i="18"/>
  <c r="N137" i="48"/>
  <c r="Z137" i="48" s="1"/>
  <c r="D140" i="48"/>
  <c r="D143" i="48" s="1"/>
  <c r="R140" i="48"/>
  <c r="X140" i="48" s="1"/>
  <c r="X143" i="48" s="1"/>
  <c r="R29" i="48"/>
  <c r="X29" i="48" s="1"/>
  <c r="F140" i="45"/>
  <c r="T124" i="45" s="1"/>
  <c r="V124" i="45" s="1"/>
  <c r="F41" i="18"/>
  <c r="H27" i="19" s="1"/>
  <c r="F120" i="14"/>
  <c r="H120" i="14" s="1"/>
  <c r="D113" i="58" s="1"/>
  <c r="G113" i="58" s="1"/>
  <c r="H31" i="5"/>
  <c r="K44" i="11"/>
  <c r="L43" i="45"/>
  <c r="N43" i="45" s="1"/>
  <c r="L15" i="48"/>
  <c r="N15" i="48" s="1"/>
  <c r="Z15" i="48" s="1"/>
  <c r="L86" i="48"/>
  <c r="N86" i="48" s="1"/>
  <c r="Z86" i="48" s="1"/>
  <c r="L64" i="48"/>
  <c r="N64" i="48" s="1"/>
  <c r="Z64" i="48" s="1"/>
  <c r="L20" i="48"/>
  <c r="N20" i="48" s="1"/>
  <c r="Z20" i="48" s="1"/>
  <c r="L63" i="48"/>
  <c r="N63" i="48" s="1"/>
  <c r="Z63" i="48" s="1"/>
  <c r="L36" i="48"/>
  <c r="N36" i="48" s="1"/>
  <c r="Z36" i="48" s="1"/>
  <c r="L127" i="45"/>
  <c r="N127" i="45" s="1"/>
  <c r="X127" i="45" s="1"/>
  <c r="E129" i="5"/>
  <c r="L28" i="45"/>
  <c r="N28" i="45" s="1"/>
  <c r="R28" i="45" s="1"/>
  <c r="L89" i="48"/>
  <c r="N89" i="48" s="1"/>
  <c r="Z89" i="48" s="1"/>
  <c r="L79" i="48"/>
  <c r="N79" i="48" s="1"/>
  <c r="Z79" i="48" s="1"/>
  <c r="L58" i="45"/>
  <c r="N58" i="45" s="1"/>
  <c r="L95" i="48"/>
  <c r="N95" i="48" s="1"/>
  <c r="Z95" i="48" s="1"/>
  <c r="J39" i="45"/>
  <c r="G72" i="5"/>
  <c r="P39" i="45"/>
  <c r="V39" i="45" s="1"/>
  <c r="H39" i="45"/>
  <c r="H67" i="45"/>
  <c r="H82" i="45"/>
  <c r="K38" i="18"/>
  <c r="K39" i="18" s="1"/>
  <c r="J67" i="48"/>
  <c r="H140" i="48"/>
  <c r="H143" i="48" s="1"/>
  <c r="N122" i="45"/>
  <c r="X122" i="45" s="1"/>
  <c r="V42" i="45"/>
  <c r="N167" i="48"/>
  <c r="Z167" i="48" s="1"/>
  <c r="H123" i="5"/>
  <c r="L71" i="45"/>
  <c r="N71" i="45" s="1"/>
  <c r="R71" i="45" s="1"/>
  <c r="L34" i="48"/>
  <c r="N34" i="48" s="1"/>
  <c r="Z34" i="48" s="1"/>
  <c r="L80" i="48"/>
  <c r="N80" i="48" s="1"/>
  <c r="Z80" i="48" s="1"/>
  <c r="L45" i="48"/>
  <c r="N45" i="48" s="1"/>
  <c r="Z45" i="48" s="1"/>
  <c r="L87" i="48"/>
  <c r="N87" i="48" s="1"/>
  <c r="Z87" i="48" s="1"/>
  <c r="L71" i="48"/>
  <c r="N71" i="48" s="1"/>
  <c r="Z71" i="48" s="1"/>
  <c r="L49" i="48"/>
  <c r="N49" i="48" s="1"/>
  <c r="Z49" i="48" s="1"/>
  <c r="L74" i="45"/>
  <c r="N74" i="45" s="1"/>
  <c r="X74" i="45" s="1"/>
  <c r="L86" i="45"/>
  <c r="N86" i="45" s="1"/>
  <c r="N136" i="48"/>
  <c r="Z136" i="48" s="1"/>
  <c r="V53" i="45"/>
  <c r="D49" i="18"/>
  <c r="G38" i="5"/>
  <c r="N58" i="48"/>
  <c r="Z58" i="48" s="1"/>
  <c r="J50" i="45"/>
  <c r="R67" i="48"/>
  <c r="X67" i="48" s="1"/>
  <c r="H71" i="5"/>
  <c r="L96" i="45"/>
  <c r="N96" i="45" s="1"/>
  <c r="X96" i="45" s="1"/>
  <c r="L85" i="45"/>
  <c r="N85" i="45" s="1"/>
  <c r="N65" i="48"/>
  <c r="Z65" i="48" s="1"/>
  <c r="N47" i="48"/>
  <c r="Z47" i="48" s="1"/>
  <c r="J175" i="48"/>
  <c r="D21" i="19"/>
  <c r="F122" i="14"/>
  <c r="H122" i="14" s="1"/>
  <c r="D115" i="58" s="1"/>
  <c r="G115" i="58" s="1"/>
  <c r="N93" i="48"/>
  <c r="Z93" i="48" s="1"/>
  <c r="H66" i="5"/>
  <c r="N165" i="45"/>
  <c r="R165" i="45" s="1"/>
  <c r="F82" i="37"/>
  <c r="T71" i="37" s="1"/>
  <c r="V71" i="37" s="1"/>
  <c r="L37" i="37"/>
  <c r="L76" i="37"/>
  <c r="N76" i="37" s="1"/>
  <c r="X76" i="37" s="1"/>
  <c r="F97" i="37"/>
  <c r="T85" i="37" s="1"/>
  <c r="V85" i="37" s="1"/>
  <c r="E65" i="17" s="1"/>
  <c r="G65" i="17" s="1"/>
  <c r="I65" i="17" s="1"/>
  <c r="E54" i="23" s="1"/>
  <c r="F50" i="37"/>
  <c r="T45" i="37" s="1"/>
  <c r="L74" i="37"/>
  <c r="H44" i="5"/>
  <c r="L61" i="45"/>
  <c r="N61" i="45" s="1"/>
  <c r="R61" i="45" s="1"/>
  <c r="N54" i="48"/>
  <c r="Z54" i="48" s="1"/>
  <c r="H36" i="5"/>
  <c r="N59" i="48"/>
  <c r="Z59" i="48" s="1"/>
  <c r="L14" i="45"/>
  <c r="N14" i="45" s="1"/>
  <c r="R14" i="45" s="1"/>
  <c r="X130" i="45"/>
  <c r="L91" i="45"/>
  <c r="N91" i="45" s="1"/>
  <c r="X91" i="45" s="1"/>
  <c r="N25" i="48"/>
  <c r="Z25" i="48" s="1"/>
  <c r="H77" i="5"/>
  <c r="H20" i="5"/>
  <c r="H68" i="5"/>
  <c r="F55" i="48"/>
  <c r="E41" i="5"/>
  <c r="L73" i="45"/>
  <c r="N73" i="45" s="1"/>
  <c r="X73" i="45" s="1"/>
  <c r="G14" i="19"/>
  <c r="I14" i="19" s="1"/>
  <c r="H21" i="5"/>
  <c r="L92" i="45"/>
  <c r="N92" i="45" s="1"/>
  <c r="R92" i="45" s="1"/>
  <c r="L16" i="45"/>
  <c r="N16" i="45" s="1"/>
  <c r="R16" i="45" s="1"/>
  <c r="N164" i="48"/>
  <c r="Z164" i="48" s="1"/>
  <c r="N167" i="45"/>
  <c r="X167" i="45" s="1"/>
  <c r="H67" i="5"/>
  <c r="N163" i="45"/>
  <c r="R163" i="45" s="1"/>
  <c r="L168" i="48"/>
  <c r="L94" i="45"/>
  <c r="N94" i="45" s="1"/>
  <c r="L80" i="45"/>
  <c r="N80" i="45" s="1"/>
  <c r="X80" i="45" s="1"/>
  <c r="L24" i="45"/>
  <c r="N24" i="45" s="1"/>
  <c r="R24" i="45" s="1"/>
  <c r="N158" i="45"/>
  <c r="R158" i="45" s="1"/>
  <c r="N165" i="48"/>
  <c r="Z165" i="48" s="1"/>
  <c r="H25" i="5"/>
  <c r="F29" i="48"/>
  <c r="H63" i="5"/>
  <c r="N61" i="48"/>
  <c r="Z61" i="48" s="1"/>
  <c r="N166" i="48"/>
  <c r="Z166" i="48" s="1"/>
  <c r="H24" i="5"/>
  <c r="N16" i="48"/>
  <c r="Z16" i="48" s="1"/>
  <c r="N32" i="48"/>
  <c r="Z32" i="48" s="1"/>
  <c r="L64" i="45"/>
  <c r="N64" i="45" s="1"/>
  <c r="H21" i="19"/>
  <c r="G17" i="69"/>
  <c r="F119" i="14"/>
  <c r="H119" i="14" s="1"/>
  <c r="D112" i="58" s="1"/>
  <c r="G112" i="58" s="1"/>
  <c r="L47" i="45"/>
  <c r="N47" i="45" s="1"/>
  <c r="R47" i="45" s="1"/>
  <c r="R118" i="45"/>
  <c r="F29" i="45"/>
  <c r="H32" i="5"/>
  <c r="V137" i="48"/>
  <c r="X137" i="48" s="1"/>
  <c r="E119" i="19" s="1"/>
  <c r="G119" i="19" s="1"/>
  <c r="I119" i="19" s="1"/>
  <c r="E109" i="58" s="1"/>
  <c r="L46" i="45"/>
  <c r="N46" i="45" s="1"/>
  <c r="R46" i="45" s="1"/>
  <c r="L60" i="45"/>
  <c r="N60" i="45" s="1"/>
  <c r="R60" i="45" s="1"/>
  <c r="E72" i="5"/>
  <c r="L22" i="45"/>
  <c r="N22" i="45" s="1"/>
  <c r="R22" i="45" s="1"/>
  <c r="L35" i="45"/>
  <c r="N35" i="45" s="1"/>
  <c r="R35" i="45" s="1"/>
  <c r="E97" i="5"/>
  <c r="H97" i="5" s="1"/>
  <c r="T122" i="45"/>
  <c r="V122" i="45" s="1"/>
  <c r="L44" i="45"/>
  <c r="N44" i="45" s="1"/>
  <c r="H83" i="5"/>
  <c r="F97" i="48"/>
  <c r="V90" i="48" s="1"/>
  <c r="X90" i="48" s="1"/>
  <c r="E68" i="19" s="1"/>
  <c r="G68" i="19" s="1"/>
  <c r="I68" i="19" s="1"/>
  <c r="E57" i="58" s="1"/>
  <c r="F39" i="48"/>
  <c r="F55" i="45"/>
  <c r="E13" i="5"/>
  <c r="L88" i="45"/>
  <c r="N88" i="45" s="1"/>
  <c r="N172" i="48"/>
  <c r="N173" i="48" s="1"/>
  <c r="H69" i="5"/>
  <c r="L54" i="45"/>
  <c r="N54" i="45" s="1"/>
  <c r="E14" i="5"/>
  <c r="L45" i="45"/>
  <c r="N45" i="45" s="1"/>
  <c r="R45" i="45" s="1"/>
  <c r="E33" i="5"/>
  <c r="L90" i="45"/>
  <c r="N90" i="45" s="1"/>
  <c r="R90" i="45" s="1"/>
  <c r="L38" i="45"/>
  <c r="N38" i="45" s="1"/>
  <c r="R38" i="45" s="1"/>
  <c r="L12" i="45"/>
  <c r="N12" i="45" s="1"/>
  <c r="L35" i="48"/>
  <c r="N35" i="48" s="1"/>
  <c r="Z35" i="48" s="1"/>
  <c r="L72" i="45"/>
  <c r="N72" i="45" s="1"/>
  <c r="L15" i="45"/>
  <c r="N15" i="45" s="1"/>
  <c r="R15" i="45" s="1"/>
  <c r="E78" i="5"/>
  <c r="L34" i="45"/>
  <c r="N34" i="45" s="1"/>
  <c r="R34" i="45" s="1"/>
  <c r="E96" i="5"/>
  <c r="H96" i="5" s="1"/>
  <c r="F50" i="45"/>
  <c r="T44" i="45" s="1"/>
  <c r="V44" i="45" s="1"/>
  <c r="E30" i="5"/>
  <c r="L85" i="48"/>
  <c r="N85" i="48" s="1"/>
  <c r="F82" i="48"/>
  <c r="V76" i="48" s="1"/>
  <c r="X76" i="48" s="1"/>
  <c r="T136" i="45"/>
  <c r="V136" i="45" s="1"/>
  <c r="T120" i="45"/>
  <c r="V120" i="45" s="1"/>
  <c r="L65" i="45"/>
  <c r="N65" i="45" s="1"/>
  <c r="R65" i="45" s="1"/>
  <c r="L18" i="45"/>
  <c r="N18" i="45" s="1"/>
  <c r="R18" i="45" s="1"/>
  <c r="F97" i="45"/>
  <c r="T90" i="45" s="1"/>
  <c r="V90" i="45" s="1"/>
  <c r="L53" i="45"/>
  <c r="N162" i="45"/>
  <c r="R162" i="45" s="1"/>
  <c r="H48" i="5"/>
  <c r="H64" i="5"/>
  <c r="H65" i="5"/>
  <c r="N18" i="48"/>
  <c r="Z18" i="48" s="1"/>
  <c r="N33" i="48"/>
  <c r="Z33" i="48" s="1"/>
  <c r="F82" i="45"/>
  <c r="T77" i="45" s="1"/>
  <c r="V77" i="45" s="1"/>
  <c r="E19" i="5"/>
  <c r="H19" i="5" s="1"/>
  <c r="E26" i="5"/>
  <c r="L81" i="45"/>
  <c r="N81" i="45" s="1"/>
  <c r="R81" i="45" s="1"/>
  <c r="L19" i="45"/>
  <c r="N19" i="45" s="1"/>
  <c r="R19" i="45" s="1"/>
  <c r="E82" i="5"/>
  <c r="F67" i="48"/>
  <c r="V65" i="48" s="1"/>
  <c r="X65" i="48" s="1"/>
  <c r="E61" i="19" s="1"/>
  <c r="G61" i="19" s="1"/>
  <c r="I61" i="19" s="1"/>
  <c r="E50" i="58" s="1"/>
  <c r="F175" i="45"/>
  <c r="L93" i="45"/>
  <c r="N93" i="45" s="1"/>
  <c r="X93" i="45" s="1"/>
  <c r="H127" i="5"/>
  <c r="H81" i="5"/>
  <c r="H42" i="5"/>
  <c r="E87" i="5"/>
  <c r="L27" i="45"/>
  <c r="N27" i="45" s="1"/>
  <c r="R27" i="45" s="1"/>
  <c r="F39" i="45"/>
  <c r="L32" i="45"/>
  <c r="N32" i="45" s="1"/>
  <c r="X32" i="45" s="1"/>
  <c r="E94" i="5"/>
  <c r="L75" i="45"/>
  <c r="N75" i="45" s="1"/>
  <c r="L78" i="45"/>
  <c r="N78" i="45" s="1"/>
  <c r="R78" i="45" s="1"/>
  <c r="L59" i="45"/>
  <c r="N59" i="45" s="1"/>
  <c r="R59" i="45" s="1"/>
  <c r="L36" i="45"/>
  <c r="N36" i="45" s="1"/>
  <c r="E98" i="5"/>
  <c r="H98" i="5" s="1"/>
  <c r="L62" i="45"/>
  <c r="N62" i="45" s="1"/>
  <c r="E45" i="5"/>
  <c r="E23" i="5"/>
  <c r="H23" i="5" s="1"/>
  <c r="F50" i="48"/>
  <c r="L42" i="48"/>
  <c r="E37" i="5"/>
  <c r="L49" i="45"/>
  <c r="N49" i="45" s="1"/>
  <c r="R49" i="45" s="1"/>
  <c r="F67" i="45"/>
  <c r="T62" i="45" s="1"/>
  <c r="V62" i="45" s="1"/>
  <c r="L21" i="45"/>
  <c r="N21" i="45" s="1"/>
  <c r="X21" i="45" s="1"/>
  <c r="L87" i="45"/>
  <c r="N87" i="45" s="1"/>
  <c r="R87" i="45" s="1"/>
  <c r="T75" i="48"/>
  <c r="H24" i="14"/>
  <c r="D26" i="58" s="1"/>
  <c r="G26" i="58" s="1"/>
  <c r="D159" i="48"/>
  <c r="T42" i="48"/>
  <c r="N96" i="48"/>
  <c r="Z96" i="48" s="1"/>
  <c r="D117" i="19"/>
  <c r="P55" i="48"/>
  <c r="T73" i="48"/>
  <c r="D119" i="19"/>
  <c r="N22" i="48"/>
  <c r="Z22" i="48" s="1"/>
  <c r="N164" i="45"/>
  <c r="R164" i="45" s="1"/>
  <c r="N12" i="48"/>
  <c r="Z12" i="48" s="1"/>
  <c r="D159" i="45"/>
  <c r="D39" i="48"/>
  <c r="P29" i="48"/>
  <c r="D129" i="5"/>
  <c r="T172" i="48"/>
  <c r="T173" i="48" s="1"/>
  <c r="N166" i="45"/>
  <c r="R166" i="45" s="1"/>
  <c r="N77" i="45"/>
  <c r="X77" i="45" s="1"/>
  <c r="T85" i="48"/>
  <c r="F64" i="14"/>
  <c r="H64" i="14" s="1"/>
  <c r="D55" i="58" s="1"/>
  <c r="G55" i="58" s="1"/>
  <c r="D97" i="48"/>
  <c r="T21" i="48"/>
  <c r="P159" i="48"/>
  <c r="D50" i="48"/>
  <c r="D29" i="48"/>
  <c r="X124" i="45"/>
  <c r="F14" i="14"/>
  <c r="H14" i="14" s="1"/>
  <c r="D16" i="58" s="1"/>
  <c r="G16" i="58" s="1"/>
  <c r="T87" i="48"/>
  <c r="T27" i="48"/>
  <c r="T22" i="48"/>
  <c r="D67" i="48"/>
  <c r="D82" i="45"/>
  <c r="N66" i="48"/>
  <c r="Z66" i="48" s="1"/>
  <c r="D127" i="19"/>
  <c r="F124" i="14"/>
  <c r="H124" i="14" s="1"/>
  <c r="D117" i="58" s="1"/>
  <c r="G117" i="58" s="1"/>
  <c r="D33" i="5"/>
  <c r="H33" i="5" s="1"/>
  <c r="D46" i="5"/>
  <c r="H46" i="5" s="1"/>
  <c r="T48" i="48"/>
  <c r="I36" i="5"/>
  <c r="D36" i="14" s="1"/>
  <c r="T45" i="48"/>
  <c r="I33" i="5"/>
  <c r="D33" i="14" s="1"/>
  <c r="D39" i="45"/>
  <c r="D94" i="5"/>
  <c r="T63" i="48"/>
  <c r="I46" i="5"/>
  <c r="D57" i="14" s="1"/>
  <c r="T17" i="48"/>
  <c r="I80" i="5"/>
  <c r="D80" i="14" s="1"/>
  <c r="D111" i="19"/>
  <c r="F108" i="14"/>
  <c r="H108" i="14" s="1"/>
  <c r="D101" i="58" s="1"/>
  <c r="G101" i="58" s="1"/>
  <c r="D30" i="14"/>
  <c r="D47" i="5"/>
  <c r="H47" i="5" s="1"/>
  <c r="D75" i="14"/>
  <c r="T32" i="48"/>
  <c r="I94" i="5"/>
  <c r="T43" i="48"/>
  <c r="I31" i="5"/>
  <c r="D31" i="14" s="1"/>
  <c r="D173" i="48"/>
  <c r="T70" i="48"/>
  <c r="P97" i="48"/>
  <c r="P39" i="48"/>
  <c r="T12" i="48"/>
  <c r="N66" i="45"/>
  <c r="X66" i="45" s="1"/>
  <c r="D97" i="45"/>
  <c r="D55" i="45"/>
  <c r="F84" i="14"/>
  <c r="H84" i="14" s="1"/>
  <c r="D87" i="58" s="1"/>
  <c r="G87" i="58" s="1"/>
  <c r="M39" i="11"/>
  <c r="D29" i="45"/>
  <c r="D168" i="45"/>
  <c r="D168" i="48"/>
  <c r="N162" i="48"/>
  <c r="Z162" i="48" s="1"/>
  <c r="T81" i="48"/>
  <c r="I26" i="5"/>
  <c r="D26" i="14" s="1"/>
  <c r="I67" i="5"/>
  <c r="D67" i="14" s="1"/>
  <c r="T91" i="48"/>
  <c r="I69" i="5"/>
  <c r="D69" i="14" s="1"/>
  <c r="T93" i="48"/>
  <c r="D14" i="5"/>
  <c r="D70" i="5"/>
  <c r="H70" i="5" s="1"/>
  <c r="T61" i="48"/>
  <c r="I44" i="5"/>
  <c r="D44" i="14" s="1"/>
  <c r="D76" i="5"/>
  <c r="H76" i="5" s="1"/>
  <c r="D55" i="48"/>
  <c r="D75" i="5"/>
  <c r="D37" i="5"/>
  <c r="D82" i="48"/>
  <c r="T88" i="48"/>
  <c r="I65" i="5"/>
  <c r="D65" i="14" s="1"/>
  <c r="D67" i="45"/>
  <c r="D41" i="5"/>
  <c r="T49" i="48"/>
  <c r="I37" i="5"/>
  <c r="D37" i="14" s="1"/>
  <c r="T14" i="48"/>
  <c r="I77" i="5"/>
  <c r="D77" i="14" s="1"/>
  <c r="D22" i="19"/>
  <c r="F21" i="14"/>
  <c r="H21" i="14" s="1"/>
  <c r="D23" i="58" s="1"/>
  <c r="G23" i="58" s="1"/>
  <c r="T94" i="48"/>
  <c r="I70" i="5"/>
  <c r="D70" i="14" s="1"/>
  <c r="T96" i="48"/>
  <c r="I71" i="5"/>
  <c r="D71" i="14" s="1"/>
  <c r="D84" i="19"/>
  <c r="F82" i="14"/>
  <c r="H82" i="14" s="1"/>
  <c r="D85" i="58" s="1"/>
  <c r="G85" i="58" s="1"/>
  <c r="T24" i="48"/>
  <c r="I86" i="5"/>
  <c r="D86" i="14" s="1"/>
  <c r="D26" i="5"/>
  <c r="D129" i="19"/>
  <c r="F126" i="14"/>
  <c r="H126" i="14" s="1"/>
  <c r="D119" i="58" s="1"/>
  <c r="G119" i="58" s="1"/>
  <c r="P168" i="48"/>
  <c r="T162" i="48"/>
  <c r="D78" i="5"/>
  <c r="T46" i="48"/>
  <c r="I34" i="5"/>
  <c r="D34" i="14" s="1"/>
  <c r="T65" i="48"/>
  <c r="I48" i="5"/>
  <c r="D59" i="14" s="1"/>
  <c r="D87" i="5"/>
  <c r="I16" i="5"/>
  <c r="D13" i="14"/>
  <c r="D84" i="5"/>
  <c r="H84" i="5" s="1"/>
  <c r="T16" i="48"/>
  <c r="I79" i="5"/>
  <c r="D79" i="14" s="1"/>
  <c r="T18" i="48"/>
  <c r="I81" i="5"/>
  <c r="D81" i="14" s="1"/>
  <c r="T34" i="48"/>
  <c r="I96" i="5"/>
  <c r="D106" i="14" s="1"/>
  <c r="T44" i="48"/>
  <c r="I32" i="5"/>
  <c r="D32" i="14" s="1"/>
  <c r="T64" i="48"/>
  <c r="I47" i="5"/>
  <c r="D58" i="14" s="1"/>
  <c r="D19" i="14"/>
  <c r="D35" i="5"/>
  <c r="H35" i="5" s="1"/>
  <c r="T13" i="48"/>
  <c r="I76" i="5"/>
  <c r="D76" i="14" s="1"/>
  <c r="T62" i="48"/>
  <c r="I45" i="5"/>
  <c r="D56" i="14" s="1"/>
  <c r="D63" i="14"/>
  <c r="T77" i="48"/>
  <c r="I23" i="5"/>
  <c r="D23" i="14" s="1"/>
  <c r="T90" i="48"/>
  <c r="I66" i="5"/>
  <c r="D66" i="14" s="1"/>
  <c r="D128" i="19"/>
  <c r="F125" i="14"/>
  <c r="H125" i="14" s="1"/>
  <c r="D118" i="58" s="1"/>
  <c r="G118" i="58" s="1"/>
  <c r="P82" i="48"/>
  <c r="T54" i="48"/>
  <c r="N21" i="48"/>
  <c r="Z21" i="48" s="1"/>
  <c r="P50" i="48"/>
  <c r="D50" i="45"/>
  <c r="D51" i="11"/>
  <c r="G14" i="69"/>
  <c r="T36" i="48"/>
  <c r="T53" i="48"/>
  <c r="K50" i="11"/>
  <c r="F49" i="11"/>
  <c r="D45" i="5"/>
  <c r="I25" i="5"/>
  <c r="D25" i="14" s="1"/>
  <c r="T80" i="48"/>
  <c r="T92" i="48"/>
  <c r="I68" i="5"/>
  <c r="D68" i="14" s="1"/>
  <c r="D82" i="5"/>
  <c r="T35" i="48"/>
  <c r="I97" i="5"/>
  <c r="D107" i="14" s="1"/>
  <c r="T59" i="48"/>
  <c r="I42" i="5"/>
  <c r="D42" i="14" s="1"/>
  <c r="D80" i="5"/>
  <c r="H80" i="5" s="1"/>
  <c r="D89" i="19"/>
  <c r="F87" i="14"/>
  <c r="T38" i="48"/>
  <c r="I99" i="5"/>
  <c r="D109" i="14" s="1"/>
  <c r="T60" i="48"/>
  <c r="I43" i="5"/>
  <c r="D43" i="14" s="1"/>
  <c r="P67" i="48"/>
  <c r="T58" i="48"/>
  <c r="I41" i="5"/>
  <c r="T15" i="48"/>
  <c r="I78" i="5"/>
  <c r="D78" i="14" s="1"/>
  <c r="T47" i="48"/>
  <c r="I35" i="5"/>
  <c r="D35" i="14" s="1"/>
  <c r="D85" i="19"/>
  <c r="F83" i="14"/>
  <c r="H83" i="14" s="1"/>
  <c r="D86" i="58" s="1"/>
  <c r="G86" i="58" s="1"/>
  <c r="K39" i="11"/>
  <c r="K40" i="11" s="1"/>
  <c r="V131" i="48"/>
  <c r="X131" i="48" s="1"/>
  <c r="E128" i="19" s="1"/>
  <c r="G128" i="19" s="1"/>
  <c r="I128" i="19" s="1"/>
  <c r="E118" i="58" s="1"/>
  <c r="V133" i="48"/>
  <c r="X133" i="48" s="1"/>
  <c r="E129" i="19" s="1"/>
  <c r="G129" i="19" s="1"/>
  <c r="I129" i="19" s="1"/>
  <c r="E119" i="58" s="1"/>
  <c r="V138" i="48"/>
  <c r="X138" i="48" s="1"/>
  <c r="V128" i="48"/>
  <c r="X128" i="48" s="1"/>
  <c r="E126" i="19" s="1"/>
  <c r="G126" i="19" s="1"/>
  <c r="I126" i="19" s="1"/>
  <c r="E116" i="58" s="1"/>
  <c r="V87" i="48"/>
  <c r="X87" i="48" s="1"/>
  <c r="E66" i="19" s="1"/>
  <c r="G66" i="19" s="1"/>
  <c r="I66" i="19" s="1"/>
  <c r="E55" i="58" s="1"/>
  <c r="L159" i="45"/>
  <c r="N157" i="45"/>
  <c r="R114" i="45"/>
  <c r="V125" i="48"/>
  <c r="X125" i="48" s="1"/>
  <c r="T119" i="45"/>
  <c r="V119" i="45" s="1"/>
  <c r="L168" i="45"/>
  <c r="T114" i="45"/>
  <c r="V114" i="45" s="1"/>
  <c r="T129" i="45"/>
  <c r="V129" i="45" s="1"/>
  <c r="R119" i="45"/>
  <c r="X119" i="45"/>
  <c r="T113" i="45"/>
  <c r="V113" i="45" s="1"/>
  <c r="E114" i="19"/>
  <c r="N110" i="48"/>
  <c r="N172" i="45"/>
  <c r="L173" i="45"/>
  <c r="X97" i="48"/>
  <c r="V110" i="48"/>
  <c r="X110" i="48" s="1"/>
  <c r="E120" i="19" s="1"/>
  <c r="G120" i="19" s="1"/>
  <c r="I120" i="19" s="1"/>
  <c r="E110" i="58" s="1"/>
  <c r="X113" i="45"/>
  <c r="T134" i="45"/>
  <c r="V134" i="45" s="1"/>
  <c r="T121" i="45"/>
  <c r="V121" i="45" s="1"/>
  <c r="T131" i="45"/>
  <c r="V131" i="45" s="1"/>
  <c r="T112" i="45"/>
  <c r="V112" i="45" s="1"/>
  <c r="E94" i="58"/>
  <c r="G26" i="14"/>
  <c r="H20" i="14"/>
  <c r="D22" i="58" s="1"/>
  <c r="G22" i="58" s="1"/>
  <c r="L159" i="48"/>
  <c r="N157" i="48"/>
  <c r="V118" i="48"/>
  <c r="X118" i="48" s="1"/>
  <c r="N70" i="48"/>
  <c r="V63" i="48"/>
  <c r="X63" i="48" s="1"/>
  <c r="E59" i="19" s="1"/>
  <c r="G59" i="19" s="1"/>
  <c r="I59" i="19" s="1"/>
  <c r="E48" i="58" s="1"/>
  <c r="X120" i="45"/>
  <c r="R120" i="45"/>
  <c r="X112" i="45"/>
  <c r="R112" i="45"/>
  <c r="V129" i="48"/>
  <c r="X129" i="48" s="1"/>
  <c r="E127" i="19" s="1"/>
  <c r="G127" i="19" s="1"/>
  <c r="I127" i="19" s="1"/>
  <c r="E117" i="58" s="1"/>
  <c r="T126" i="45"/>
  <c r="V126" i="45" s="1"/>
  <c r="N70" i="45"/>
  <c r="R11" i="45"/>
  <c r="X11" i="45"/>
  <c r="I77" i="19"/>
  <c r="G114" i="19"/>
  <c r="D107" i="58"/>
  <c r="F175" i="48"/>
  <c r="V112" i="48"/>
  <c r="X112" i="48" s="1"/>
  <c r="E121" i="19" s="1"/>
  <c r="G121" i="19" s="1"/>
  <c r="I121" i="19" s="1"/>
  <c r="E111" i="58" s="1"/>
  <c r="F143" i="45"/>
  <c r="T139" i="45"/>
  <c r="V139" i="45" s="1"/>
  <c r="T138" i="45"/>
  <c r="V138" i="45" s="1"/>
  <c r="T137" i="45"/>
  <c r="V137" i="45" s="1"/>
  <c r="T118" i="45"/>
  <c r="V118" i="45" s="1"/>
  <c r="T117" i="45"/>
  <c r="V117" i="45" s="1"/>
  <c r="T111" i="45"/>
  <c r="V111" i="45" s="1"/>
  <c r="T110" i="45"/>
  <c r="V110" i="45" s="1"/>
  <c r="T133" i="45"/>
  <c r="V133" i="45" s="1"/>
  <c r="T130" i="45"/>
  <c r="V130" i="45" s="1"/>
  <c r="T127" i="45"/>
  <c r="V127" i="45" s="1"/>
  <c r="T125" i="45"/>
  <c r="V125" i="45" s="1"/>
  <c r="T123" i="45"/>
  <c r="V123" i="45" s="1"/>
  <c r="T128" i="45"/>
  <c r="V128" i="45" s="1"/>
  <c r="X132" i="45"/>
  <c r="R132" i="45"/>
  <c r="T135" i="45"/>
  <c r="V135" i="45" s="1"/>
  <c r="T116" i="45"/>
  <c r="V116" i="45" s="1"/>
  <c r="T132" i="45"/>
  <c r="V132" i="45" s="1"/>
  <c r="T115" i="45"/>
  <c r="V115" i="45" s="1"/>
  <c r="T13" i="45"/>
  <c r="V13" i="45" s="1"/>
  <c r="D94" i="58"/>
  <c r="H118" i="4"/>
  <c r="D118" i="12" s="1"/>
  <c r="D121" i="17" s="1"/>
  <c r="E111" i="4"/>
  <c r="L123" i="37"/>
  <c r="N123" i="37" s="1"/>
  <c r="X123" i="37" s="1"/>
  <c r="E38" i="4"/>
  <c r="H120" i="4"/>
  <c r="D120" i="12" s="1"/>
  <c r="D123" i="17" s="1"/>
  <c r="L110" i="37"/>
  <c r="N110" i="37" s="1"/>
  <c r="R110" i="37" s="1"/>
  <c r="E88" i="4"/>
  <c r="N26" i="37"/>
  <c r="R26" i="37" s="1"/>
  <c r="L46" i="37"/>
  <c r="N46" i="37" s="1"/>
  <c r="X46" i="37" s="1"/>
  <c r="H117" i="4"/>
  <c r="D117" i="12" s="1"/>
  <c r="D120" i="17" s="1"/>
  <c r="N122" i="37"/>
  <c r="R122" i="37" s="1"/>
  <c r="N116" i="37"/>
  <c r="R116" i="37" s="1"/>
  <c r="H159" i="37"/>
  <c r="G72" i="4"/>
  <c r="H56" i="4"/>
  <c r="D56" i="12" s="1"/>
  <c r="D58" i="17" s="1"/>
  <c r="G111" i="4"/>
  <c r="H19" i="4"/>
  <c r="D19" i="12" s="1"/>
  <c r="J82" i="37"/>
  <c r="L70" i="37"/>
  <c r="N70" i="37" s="1"/>
  <c r="R70" i="37" s="1"/>
  <c r="L72" i="37"/>
  <c r="N72" i="37" s="1"/>
  <c r="R72" i="37" s="1"/>
  <c r="L80" i="37"/>
  <c r="N80" i="37" s="1"/>
  <c r="R80" i="37" s="1"/>
  <c r="J67" i="37"/>
  <c r="L58" i="37"/>
  <c r="N58" i="37" s="1"/>
  <c r="L24" i="37"/>
  <c r="N24" i="37" s="1"/>
  <c r="L90" i="37"/>
  <c r="N90" i="37" s="1"/>
  <c r="J97" i="37"/>
  <c r="J39" i="37"/>
  <c r="L17" i="37"/>
  <c r="H41" i="4"/>
  <c r="D41" i="12" s="1"/>
  <c r="L13" i="37"/>
  <c r="N13" i="37" s="1"/>
  <c r="L62" i="37"/>
  <c r="N62" i="37" s="1"/>
  <c r="X62" i="37" s="1"/>
  <c r="L14" i="37"/>
  <c r="N14" i="37" s="1"/>
  <c r="N25" i="37"/>
  <c r="X25" i="37" s="1"/>
  <c r="G60" i="4"/>
  <c r="G88" i="4"/>
  <c r="G27" i="4"/>
  <c r="H42" i="4"/>
  <c r="D42" i="12" s="1"/>
  <c r="D43" i="17" s="1"/>
  <c r="L79" i="37"/>
  <c r="N79" i="37" s="1"/>
  <c r="R79" i="37" s="1"/>
  <c r="L59" i="37"/>
  <c r="N59" i="37" s="1"/>
  <c r="X59" i="37" s="1"/>
  <c r="L28" i="37"/>
  <c r="N28" i="37" s="1"/>
  <c r="X28" i="37" s="1"/>
  <c r="G38" i="4"/>
  <c r="J50" i="37"/>
  <c r="J29" i="37"/>
  <c r="V45" i="37"/>
  <c r="E34" i="17" s="1"/>
  <c r="G34" i="17" s="1"/>
  <c r="I34" i="17" s="1"/>
  <c r="E35" i="23" s="1"/>
  <c r="P50" i="37"/>
  <c r="V50" i="37" s="1"/>
  <c r="D24" i="18"/>
  <c r="F13" i="18"/>
  <c r="H22" i="17" s="1"/>
  <c r="R25" i="37"/>
  <c r="R47" i="37"/>
  <c r="P29" i="37"/>
  <c r="V29" i="37" s="1"/>
  <c r="K13" i="18"/>
  <c r="K14" i="18" s="1"/>
  <c r="M13" i="18"/>
  <c r="P82" i="37"/>
  <c r="V82" i="37" s="1"/>
  <c r="P97" i="37"/>
  <c r="V97" i="37" s="1"/>
  <c r="P67" i="37"/>
  <c r="V67" i="37" s="1"/>
  <c r="K17" i="18"/>
  <c r="K18" i="18" s="1"/>
  <c r="P39" i="37"/>
  <c r="V39" i="37" s="1"/>
  <c r="R33" i="37"/>
  <c r="X138" i="37"/>
  <c r="N113" i="37"/>
  <c r="R113" i="37" s="1"/>
  <c r="E27" i="4"/>
  <c r="N119" i="37"/>
  <c r="X119" i="37" s="1"/>
  <c r="V159" i="37"/>
  <c r="P174" i="37"/>
  <c r="N129" i="37"/>
  <c r="X129" i="37" s="1"/>
  <c r="N134" i="37"/>
  <c r="X134" i="37" s="1"/>
  <c r="N132" i="37"/>
  <c r="X132" i="37" s="1"/>
  <c r="N118" i="37"/>
  <c r="X118" i="37" s="1"/>
  <c r="H87" i="4"/>
  <c r="D87" i="12" s="1"/>
  <c r="F87" i="12" s="1"/>
  <c r="H87" i="12" s="1"/>
  <c r="D90" i="23" s="1"/>
  <c r="G90" i="23" s="1"/>
  <c r="H80" i="4"/>
  <c r="D80" i="12" s="1"/>
  <c r="F80" i="12" s="1"/>
  <c r="H80" i="12" s="1"/>
  <c r="D83" i="23" s="1"/>
  <c r="G83" i="23" s="1"/>
  <c r="X166" i="37"/>
  <c r="L96" i="37"/>
  <c r="N96" i="37" s="1"/>
  <c r="R96" i="37" s="1"/>
  <c r="H34" i="4"/>
  <c r="D34" i="12" s="1"/>
  <c r="F34" i="12" s="1"/>
  <c r="H34" i="12" s="1"/>
  <c r="D36" i="23" s="1"/>
  <c r="G36" i="23" s="1"/>
  <c r="D159" i="37"/>
  <c r="N130" i="37"/>
  <c r="R130" i="37" s="1"/>
  <c r="N74" i="37"/>
  <c r="R74" i="37" s="1"/>
  <c r="L48" i="37"/>
  <c r="N48" i="37" s="1"/>
  <c r="L158" i="37"/>
  <c r="N158" i="37" s="1"/>
  <c r="L60" i="37"/>
  <c r="N60" i="37" s="1"/>
  <c r="H65" i="4"/>
  <c r="D65" i="12" s="1"/>
  <c r="D67" i="17" s="1"/>
  <c r="L88" i="37"/>
  <c r="N88" i="37" s="1"/>
  <c r="R88" i="37" s="1"/>
  <c r="L19" i="37"/>
  <c r="N19" i="37" s="1"/>
  <c r="H82" i="4"/>
  <c r="D82" i="12" s="1"/>
  <c r="D84" i="17" s="1"/>
  <c r="F16" i="4"/>
  <c r="L38" i="37"/>
  <c r="N38" i="37" s="1"/>
  <c r="X38" i="37" s="1"/>
  <c r="H79" i="4"/>
  <c r="D79" i="12" s="1"/>
  <c r="D81" i="17" s="1"/>
  <c r="L16" i="37"/>
  <c r="N16" i="37" s="1"/>
  <c r="R16" i="37" s="1"/>
  <c r="H109" i="4"/>
  <c r="D109" i="12" s="1"/>
  <c r="D112" i="17" s="1"/>
  <c r="H36" i="4"/>
  <c r="D36" i="12" s="1"/>
  <c r="F36" i="12" s="1"/>
  <c r="H36" i="12" s="1"/>
  <c r="D38" i="23" s="1"/>
  <c r="G38" i="23" s="1"/>
  <c r="N121" i="37"/>
  <c r="X121" i="37" s="1"/>
  <c r="F38" i="4"/>
  <c r="F60" i="4"/>
  <c r="D118" i="17"/>
  <c r="N114" i="37"/>
  <c r="R114" i="37" s="1"/>
  <c r="H29" i="37"/>
  <c r="L85" i="37"/>
  <c r="N85" i="37" s="1"/>
  <c r="L53" i="37"/>
  <c r="N53" i="37" s="1"/>
  <c r="R53" i="37" s="1"/>
  <c r="L27" i="37"/>
  <c r="N27" i="37" s="1"/>
  <c r="X27" i="37" s="1"/>
  <c r="L45" i="37"/>
  <c r="N45" i="37" s="1"/>
  <c r="X45" i="37" s="1"/>
  <c r="L64" i="37"/>
  <c r="N64" i="37" s="1"/>
  <c r="L61" i="37"/>
  <c r="N61" i="37" s="1"/>
  <c r="H23" i="4"/>
  <c r="D23" i="12" s="1"/>
  <c r="D24" i="17" s="1"/>
  <c r="N86" i="37"/>
  <c r="R86" i="37" s="1"/>
  <c r="F72" i="4"/>
  <c r="H82" i="37"/>
  <c r="L77" i="37"/>
  <c r="N77" i="37" s="1"/>
  <c r="H67" i="4"/>
  <c r="D67" i="12" s="1"/>
  <c r="D69" i="17" s="1"/>
  <c r="X47" i="37"/>
  <c r="L42" i="37"/>
  <c r="N42" i="37" s="1"/>
  <c r="R42" i="37" s="1"/>
  <c r="H67" i="37"/>
  <c r="L21" i="37"/>
  <c r="N21" i="37" s="1"/>
  <c r="F111" i="4"/>
  <c r="N163" i="37"/>
  <c r="R163" i="37" s="1"/>
  <c r="H30" i="4"/>
  <c r="D30" i="12" s="1"/>
  <c r="H33" i="4"/>
  <c r="D33" i="12" s="1"/>
  <c r="D34" i="17" s="1"/>
  <c r="N89" i="37"/>
  <c r="R89" i="37" s="1"/>
  <c r="L71" i="37"/>
  <c r="N71" i="37" s="1"/>
  <c r="L54" i="37"/>
  <c r="N54" i="37" s="1"/>
  <c r="R54" i="37" s="1"/>
  <c r="L81" i="37"/>
  <c r="N81" i="37" s="1"/>
  <c r="H55" i="37"/>
  <c r="F24" i="4"/>
  <c r="F27" i="4" s="1"/>
  <c r="L78" i="37"/>
  <c r="N78" i="37" s="1"/>
  <c r="R78" i="37" s="1"/>
  <c r="H50" i="37"/>
  <c r="L32" i="37"/>
  <c r="L87" i="37"/>
  <c r="N87" i="37" s="1"/>
  <c r="H39" i="37"/>
  <c r="L15" i="37"/>
  <c r="N15" i="37" s="1"/>
  <c r="R15" i="37" s="1"/>
  <c r="H104" i="4"/>
  <c r="D104" i="12" s="1"/>
  <c r="D107" i="17" s="1"/>
  <c r="H78" i="4"/>
  <c r="D78" i="12" s="1"/>
  <c r="F78" i="12" s="1"/>
  <c r="H78" i="12" s="1"/>
  <c r="D81" i="23" s="1"/>
  <c r="G81" i="23" s="1"/>
  <c r="H14" i="4"/>
  <c r="D14" i="12" s="1"/>
  <c r="D15" i="17" s="1"/>
  <c r="H64" i="4"/>
  <c r="D64" i="12" s="1"/>
  <c r="D66" i="17" s="1"/>
  <c r="L91" i="37"/>
  <c r="N91" i="37" s="1"/>
  <c r="R91" i="37" s="1"/>
  <c r="L43" i="37"/>
  <c r="N43" i="37" s="1"/>
  <c r="R43" i="37" s="1"/>
  <c r="L73" i="37"/>
  <c r="N73" i="37" s="1"/>
  <c r="L65" i="37"/>
  <c r="N65" i="37" s="1"/>
  <c r="L49" i="37"/>
  <c r="N49" i="37" s="1"/>
  <c r="R49" i="37" s="1"/>
  <c r="H168" i="37"/>
  <c r="H174" i="37" s="1"/>
  <c r="N167" i="37"/>
  <c r="X167" i="37" s="1"/>
  <c r="H71" i="4"/>
  <c r="D71" i="12" s="1"/>
  <c r="D73" i="17" s="1"/>
  <c r="L93" i="37"/>
  <c r="N93" i="37" s="1"/>
  <c r="H97" i="37"/>
  <c r="N164" i="37"/>
  <c r="R164" i="37" s="1"/>
  <c r="F85" i="12"/>
  <c r="H85" i="12" s="1"/>
  <c r="D88" i="23" s="1"/>
  <c r="H63" i="4"/>
  <c r="D63" i="12" s="1"/>
  <c r="F127" i="12"/>
  <c r="H127" i="12" s="1"/>
  <c r="D120" i="23" s="1"/>
  <c r="H106" i="4"/>
  <c r="D106" i="12" s="1"/>
  <c r="F106" i="12" s="1"/>
  <c r="H106" i="12" s="1"/>
  <c r="D99" i="23" s="1"/>
  <c r="G99" i="23" s="1"/>
  <c r="E114" i="17"/>
  <c r="G114" i="17"/>
  <c r="E18" i="23"/>
  <c r="N165" i="37"/>
  <c r="X165" i="37" s="1"/>
  <c r="F102" i="12"/>
  <c r="H102" i="12" s="1"/>
  <c r="D95" i="23" s="1"/>
  <c r="G95" i="23" s="1"/>
  <c r="H25" i="4"/>
  <c r="D25" i="12" s="1"/>
  <c r="F25" i="12" s="1"/>
  <c r="H25" i="12" s="1"/>
  <c r="D27" i="23" s="1"/>
  <c r="G27" i="23" s="1"/>
  <c r="L112" i="37"/>
  <c r="N112" i="37" s="1"/>
  <c r="X112" i="37" s="1"/>
  <c r="L117" i="37"/>
  <c r="E119" i="4"/>
  <c r="E128" i="4" s="1"/>
  <c r="F140" i="37"/>
  <c r="T136" i="37" s="1"/>
  <c r="V136" i="37" s="1"/>
  <c r="E118" i="17" s="1"/>
  <c r="G118" i="17" s="1"/>
  <c r="I118" i="17" s="1"/>
  <c r="E108" i="23" s="1"/>
  <c r="N117" i="37"/>
  <c r="X117" i="37" s="1"/>
  <c r="E72" i="4"/>
  <c r="T28" i="37"/>
  <c r="V28" i="37" s="1"/>
  <c r="H35" i="4"/>
  <c r="D35" i="12" s="1"/>
  <c r="D36" i="17" s="1"/>
  <c r="N37" i="37"/>
  <c r="X37" i="37" s="1"/>
  <c r="F110" i="12"/>
  <c r="H110" i="12" s="1"/>
  <c r="D103" i="23" s="1"/>
  <c r="G103" i="23" s="1"/>
  <c r="I114" i="17"/>
  <c r="T47" i="37"/>
  <c r="V47" i="37" s="1"/>
  <c r="E36" i="17" s="1"/>
  <c r="G36" i="17" s="1"/>
  <c r="I36" i="17" s="1"/>
  <c r="E37" i="23" s="1"/>
  <c r="N124" i="37"/>
  <c r="R124" i="37" s="1"/>
  <c r="N111" i="37"/>
  <c r="R111" i="37" s="1"/>
  <c r="N20" i="37"/>
  <c r="X20" i="37" s="1"/>
  <c r="N115" i="37"/>
  <c r="X115" i="37" s="1"/>
  <c r="N92" i="37"/>
  <c r="R92" i="37" s="1"/>
  <c r="D70" i="17"/>
  <c r="N135" i="37"/>
  <c r="X135" i="37" s="1"/>
  <c r="X136" i="37"/>
  <c r="F123" i="12"/>
  <c r="H123" i="12" s="1"/>
  <c r="D116" i="23" s="1"/>
  <c r="X127" i="37"/>
  <c r="N75" i="37"/>
  <c r="R75" i="37" s="1"/>
  <c r="N12" i="37"/>
  <c r="X12" i="37" s="1"/>
  <c r="N35" i="37"/>
  <c r="X35" i="37" s="1"/>
  <c r="D140" i="37"/>
  <c r="D143" i="37" s="1"/>
  <c r="N126" i="37"/>
  <c r="X126" i="37" s="1"/>
  <c r="D124" i="17"/>
  <c r="X125" i="37"/>
  <c r="N137" i="37"/>
  <c r="X137" i="37" s="1"/>
  <c r="N128" i="37"/>
  <c r="X128" i="37" s="1"/>
  <c r="N63" i="37"/>
  <c r="R63" i="37" s="1"/>
  <c r="H114" i="4"/>
  <c r="D114" i="12" s="1"/>
  <c r="N139" i="37"/>
  <c r="X139" i="37" s="1"/>
  <c r="N133" i="37"/>
  <c r="X133" i="37" s="1"/>
  <c r="N17" i="37"/>
  <c r="R17" i="37" s="1"/>
  <c r="N131" i="37"/>
  <c r="X131" i="37" s="1"/>
  <c r="D125" i="4"/>
  <c r="H125" i="4" s="1"/>
  <c r="D125" i="12" s="1"/>
  <c r="N95" i="37"/>
  <c r="D97" i="37"/>
  <c r="N22" i="37"/>
  <c r="R22" i="37" s="1"/>
  <c r="K13" i="11"/>
  <c r="K14" i="11" s="1"/>
  <c r="D82" i="37"/>
  <c r="D50" i="37"/>
  <c r="X33" i="37"/>
  <c r="D83" i="4"/>
  <c r="H83" i="4" s="1"/>
  <c r="D83" i="12" s="1"/>
  <c r="M13" i="11"/>
  <c r="D77" i="4"/>
  <c r="H77" i="4" s="1"/>
  <c r="D77" i="12" s="1"/>
  <c r="D67" i="37"/>
  <c r="H76" i="4"/>
  <c r="D76" i="12" s="1"/>
  <c r="D78" i="17" s="1"/>
  <c r="D59" i="4"/>
  <c r="H59" i="4" s="1"/>
  <c r="D59" i="12" s="1"/>
  <c r="F59" i="12" s="1"/>
  <c r="H59" i="12" s="1"/>
  <c r="D50" i="23" s="1"/>
  <c r="D20" i="4"/>
  <c r="H20" i="4" s="1"/>
  <c r="D20" i="12" s="1"/>
  <c r="D70" i="4"/>
  <c r="H70" i="4" s="1"/>
  <c r="D70" i="12" s="1"/>
  <c r="D72" i="17" s="1"/>
  <c r="N94" i="37"/>
  <c r="D81" i="4"/>
  <c r="H81" i="4" s="1"/>
  <c r="D81" i="12" s="1"/>
  <c r="F81" i="12" s="1"/>
  <c r="H81" i="12" s="1"/>
  <c r="D84" i="23" s="1"/>
  <c r="G84" i="23" s="1"/>
  <c r="D37" i="4"/>
  <c r="H37" i="4" s="1"/>
  <c r="D37" i="12" s="1"/>
  <c r="D44" i="4"/>
  <c r="H44" i="4" s="1"/>
  <c r="D44" i="12" s="1"/>
  <c r="F44" i="12" s="1"/>
  <c r="H44" i="12" s="1"/>
  <c r="D46" i="23" s="1"/>
  <c r="G46" i="23" s="1"/>
  <c r="K22" i="11"/>
  <c r="K23" i="11" s="1"/>
  <c r="F22" i="11"/>
  <c r="F25" i="11" s="1"/>
  <c r="K17" i="11"/>
  <c r="K18" i="11" s="1"/>
  <c r="D24" i="4"/>
  <c r="D13" i="4"/>
  <c r="D55" i="37"/>
  <c r="D66" i="4"/>
  <c r="N34" i="37"/>
  <c r="G26" i="12"/>
  <c r="K14" i="70"/>
  <c r="D31" i="4"/>
  <c r="H31" i="4" s="1"/>
  <c r="D31" i="12" s="1"/>
  <c r="D32" i="17" s="1"/>
  <c r="D168" i="37"/>
  <c r="D174" i="37" s="1"/>
  <c r="R166" i="37"/>
  <c r="D39" i="37"/>
  <c r="D29" i="37"/>
  <c r="H86" i="4"/>
  <c r="D86" i="12" s="1"/>
  <c r="F86" i="12" s="1"/>
  <c r="H86" i="12" s="1"/>
  <c r="D89" i="23" s="1"/>
  <c r="G89" i="23" s="1"/>
  <c r="D25" i="11"/>
  <c r="N36" i="37"/>
  <c r="R36" i="37" s="1"/>
  <c r="D108" i="4"/>
  <c r="H108" i="4" s="1"/>
  <c r="D108" i="12" s="1"/>
  <c r="N44" i="37"/>
  <c r="D32" i="4"/>
  <c r="H32" i="4" s="1"/>
  <c r="D32" i="12" s="1"/>
  <c r="D58" i="4"/>
  <c r="H58" i="4" s="1"/>
  <c r="D58" i="12" s="1"/>
  <c r="F58" i="12" s="1"/>
  <c r="H58" i="12" s="1"/>
  <c r="D49" i="23" s="1"/>
  <c r="G49" i="23" s="1"/>
  <c r="D69" i="4"/>
  <c r="H69" i="4" s="1"/>
  <c r="D69" i="12" s="1"/>
  <c r="D71" i="17" s="1"/>
  <c r="D43" i="4"/>
  <c r="H43" i="4" s="1"/>
  <c r="D43" i="12" s="1"/>
  <c r="D26" i="4"/>
  <c r="H26" i="4" s="1"/>
  <c r="D26" i="12" s="1"/>
  <c r="L168" i="37"/>
  <c r="N162" i="37"/>
  <c r="T87" i="37"/>
  <c r="V87" i="37" s="1"/>
  <c r="E66" i="17" s="1"/>
  <c r="G66" i="17" s="1"/>
  <c r="I66" i="17" s="1"/>
  <c r="E55" i="23" s="1"/>
  <c r="T86" i="37"/>
  <c r="V86" i="37" s="1"/>
  <c r="N11" i="37"/>
  <c r="H27" i="17"/>
  <c r="K17" i="70"/>
  <c r="F124" i="12"/>
  <c r="H124" i="12" s="1"/>
  <c r="D117" i="23" s="1"/>
  <c r="G117" i="23" s="1"/>
  <c r="D127" i="17"/>
  <c r="D129" i="17"/>
  <c r="F126" i="12"/>
  <c r="H126" i="12" s="1"/>
  <c r="D119" i="23" s="1"/>
  <c r="G119" i="23" s="1"/>
  <c r="H75" i="4"/>
  <c r="F88" i="4"/>
  <c r="V168" i="37"/>
  <c r="N157" i="37"/>
  <c r="T64" i="37"/>
  <c r="V64" i="37" s="1"/>
  <c r="E60" i="17" s="1"/>
  <c r="G60" i="17" s="1"/>
  <c r="I60" i="17" s="1"/>
  <c r="E49" i="23" s="1"/>
  <c r="T59" i="37"/>
  <c r="V59" i="37" s="1"/>
  <c r="E43" i="17" s="1"/>
  <c r="G43" i="17" s="1"/>
  <c r="I43" i="17" s="1"/>
  <c r="E44" i="23" s="1"/>
  <c r="T65" i="37"/>
  <c r="V65" i="37" s="1"/>
  <c r="E61" i="17" s="1"/>
  <c r="G61" i="17" s="1"/>
  <c r="I61" i="17" s="1"/>
  <c r="E50" i="23" s="1"/>
  <c r="H21" i="17"/>
  <c r="H86" i="17"/>
  <c r="H90" i="17" s="1"/>
  <c r="I17" i="70"/>
  <c r="D125" i="17"/>
  <c r="F122" i="12"/>
  <c r="H122" i="12" s="1"/>
  <c r="D115" i="23" s="1"/>
  <c r="G115" i="23" s="1"/>
  <c r="G19" i="12"/>
  <c r="G14" i="70"/>
  <c r="D108" i="17"/>
  <c r="F105" i="12"/>
  <c r="H105" i="12" s="1"/>
  <c r="D98" i="23" s="1"/>
  <c r="G98" i="23" s="1"/>
  <c r="T89" i="37"/>
  <c r="V89" i="37" s="1"/>
  <c r="L172" i="37"/>
  <c r="N171" i="37"/>
  <c r="R46" i="37"/>
  <c r="T66" i="37"/>
  <c r="V66" i="37" s="1"/>
  <c r="D110" i="17"/>
  <c r="F107" i="12"/>
  <c r="H107" i="12" s="1"/>
  <c r="D100" i="23" s="1"/>
  <c r="T88" i="37"/>
  <c r="V88" i="37" s="1"/>
  <c r="E67" i="17" s="1"/>
  <c r="G67" i="17" s="1"/>
  <c r="I67" i="17" s="1"/>
  <c r="E56" i="23" s="1"/>
  <c r="T92" i="37"/>
  <c r="V92" i="37" s="1"/>
  <c r="E70" i="17" s="1"/>
  <c r="G70" i="17" s="1"/>
  <c r="I70" i="17" s="1"/>
  <c r="E59" i="23" s="1"/>
  <c r="F174" i="37"/>
  <c r="T73" i="37"/>
  <c r="V73" i="37" s="1"/>
  <c r="E21" i="17" s="1"/>
  <c r="G21" i="17" s="1"/>
  <c r="T75" i="37"/>
  <c r="V75" i="37" s="1"/>
  <c r="E22" i="17" s="1"/>
  <c r="G22" i="17" s="1"/>
  <c r="T96" i="37"/>
  <c r="V96" i="37" s="1"/>
  <c r="E73" i="17" s="1"/>
  <c r="G73" i="17" s="1"/>
  <c r="I73" i="17" s="1"/>
  <c r="E62" i="23" s="1"/>
  <c r="D101" i="12"/>
  <c r="D106" i="17"/>
  <c r="F103" i="12"/>
  <c r="H103" i="12" s="1"/>
  <c r="D96" i="23" s="1"/>
  <c r="G96" i="23" s="1"/>
  <c r="D119" i="17"/>
  <c r="F116" i="12"/>
  <c r="H116" i="12" s="1"/>
  <c r="D109" i="23" s="1"/>
  <c r="G109" i="23" s="1"/>
  <c r="D16" i="17"/>
  <c r="F15" i="12"/>
  <c r="H15" i="12" s="1"/>
  <c r="D17" i="23" s="1"/>
  <c r="G17" i="23" s="1"/>
  <c r="D22" i="17"/>
  <c r="F21" i="12"/>
  <c r="H21" i="12" s="1"/>
  <c r="D23" i="23" s="1"/>
  <c r="G23" i="23" s="1"/>
  <c r="E114" i="44"/>
  <c r="E92" i="44"/>
  <c r="E28" i="44"/>
  <c r="E92" i="31"/>
  <c r="D104" i="31"/>
  <c r="E104" i="31" s="1"/>
  <c r="E82" i="44"/>
  <c r="E87" i="31"/>
  <c r="E55" i="31"/>
  <c r="D57" i="31"/>
  <c r="F57" i="31"/>
  <c r="G57" i="31" s="1"/>
  <c r="F116" i="31"/>
  <c r="G116" i="31" s="1"/>
  <c r="E114" i="31"/>
  <c r="K55" i="44"/>
  <c r="F116" i="44"/>
  <c r="G116" i="44" s="1"/>
  <c r="K104" i="44"/>
  <c r="K82" i="44"/>
  <c r="J116" i="44"/>
  <c r="I116" i="44" s="1"/>
  <c r="K87" i="44"/>
  <c r="K114" i="44"/>
  <c r="K47" i="44"/>
  <c r="K28" i="44"/>
  <c r="K21" i="44"/>
  <c r="J57" i="44"/>
  <c r="I57" i="44" s="1"/>
  <c r="E47" i="44"/>
  <c r="E104" i="44"/>
  <c r="E55" i="44"/>
  <c r="D116" i="44"/>
  <c r="E104" i="23"/>
  <c r="I17" i="17"/>
  <c r="G42" i="17"/>
  <c r="R138" i="37"/>
  <c r="R136" i="37"/>
  <c r="R127" i="37"/>
  <c r="G77" i="17"/>
  <c r="R120" i="37"/>
  <c r="G31" i="17"/>
  <c r="P140" i="37"/>
  <c r="R125" i="37"/>
  <c r="W35" i="103"/>
  <c r="Q41" i="103"/>
  <c r="Q45" i="103"/>
  <c r="Q41" i="99"/>
  <c r="Q45" i="99"/>
  <c r="Q35" i="99"/>
  <c r="Q35" i="103"/>
  <c r="W21" i="99"/>
  <c r="Q21" i="103"/>
  <c r="W21" i="103"/>
  <c r="W35" i="99"/>
  <c r="Q21" i="99"/>
  <c r="I66" i="98"/>
  <c r="F19" i="53"/>
  <c r="G19" i="53"/>
  <c r="I59" i="103"/>
  <c r="C19" i="53"/>
  <c r="E19" i="53"/>
  <c r="D25" i="53"/>
  <c r="H19" i="53"/>
  <c r="E59" i="103"/>
  <c r="O6" i="53"/>
  <c r="O17" i="53" s="1"/>
  <c r="D17" i="53"/>
  <c r="D19" i="53" s="1"/>
  <c r="J59" i="103"/>
  <c r="E25" i="53"/>
  <c r="O20" i="53"/>
  <c r="H59" i="103"/>
  <c r="Q40" i="98" l="1"/>
  <c r="Q34" i="98"/>
  <c r="M58" i="98"/>
  <c r="O58" i="98" s="1"/>
  <c r="Q58" i="98" s="1"/>
  <c r="M50" i="98"/>
  <c r="O50" i="98"/>
  <c r="Q50" i="98" s="1"/>
  <c r="M64" i="98"/>
  <c r="O64" i="98" s="1"/>
  <c r="Q64" i="98" s="1"/>
  <c r="M54" i="98"/>
  <c r="O54" i="98"/>
  <c r="Q54" i="98" s="1"/>
  <c r="Q27" i="98"/>
  <c r="M52" i="98"/>
  <c r="O52" i="98" s="1"/>
  <c r="Q52" i="98" s="1"/>
  <c r="M60" i="98"/>
  <c r="O60" i="98" s="1"/>
  <c r="Q60" i="98" s="1"/>
  <c r="M48" i="98"/>
  <c r="O48" i="98" s="1"/>
  <c r="Q48" i="98" s="1"/>
  <c r="G17" i="70"/>
  <c r="G19" i="69"/>
  <c r="G27" i="69" s="1"/>
  <c r="G38" i="69" s="1"/>
  <c r="G42" i="69" s="1"/>
  <c r="H87" i="14"/>
  <c r="D90" i="58" s="1"/>
  <c r="G90" i="58" s="1"/>
  <c r="D128" i="14"/>
  <c r="C57" i="15" s="1"/>
  <c r="F121" i="14"/>
  <c r="H121" i="14" s="1"/>
  <c r="D114" i="58" s="1"/>
  <c r="G114" i="58" s="1"/>
  <c r="R175" i="48"/>
  <c r="V14" i="48"/>
  <c r="X14" i="48" s="1"/>
  <c r="E79" i="19" s="1"/>
  <c r="G79" i="19" s="1"/>
  <c r="I79" i="19" s="1"/>
  <c r="E80" i="58" s="1"/>
  <c r="V23" i="48"/>
  <c r="X23" i="48" s="1"/>
  <c r="E87" i="19" s="1"/>
  <c r="G87" i="19" s="1"/>
  <c r="I87" i="19" s="1"/>
  <c r="E88" i="58" s="1"/>
  <c r="T24" i="45"/>
  <c r="V24" i="45" s="1"/>
  <c r="T23" i="45"/>
  <c r="V23" i="45" s="1"/>
  <c r="X138" i="45"/>
  <c r="F22" i="12"/>
  <c r="H22" i="12" s="1"/>
  <c r="D24" i="23" s="1"/>
  <c r="D59" i="17"/>
  <c r="T14" i="37"/>
  <c r="V14" i="37" s="1"/>
  <c r="E79" i="17" s="1"/>
  <c r="G79" i="17" s="1"/>
  <c r="I79" i="17" s="1"/>
  <c r="E80" i="23" s="1"/>
  <c r="T20" i="37"/>
  <c r="V20" i="37" s="1"/>
  <c r="T27" i="37"/>
  <c r="V27" i="37" s="1"/>
  <c r="E89" i="17" s="1"/>
  <c r="G89" i="17" s="1"/>
  <c r="I89" i="17" s="1"/>
  <c r="E90" i="23" s="1"/>
  <c r="T26" i="37"/>
  <c r="V26" i="37" s="1"/>
  <c r="F118" i="12"/>
  <c r="H118" i="12" s="1"/>
  <c r="D111" i="23" s="1"/>
  <c r="G111" i="23" s="1"/>
  <c r="T15" i="37"/>
  <c r="V15" i="37" s="1"/>
  <c r="E80" i="17" s="1"/>
  <c r="G80" i="17" s="1"/>
  <c r="I80" i="17" s="1"/>
  <c r="E81" i="23" s="1"/>
  <c r="T25" i="37"/>
  <c r="V25" i="37" s="1"/>
  <c r="T17" i="37"/>
  <c r="V17" i="37" s="1"/>
  <c r="E82" i="17" s="1"/>
  <c r="G82" i="17" s="1"/>
  <c r="I82" i="17" s="1"/>
  <c r="E83" i="23" s="1"/>
  <c r="T18" i="37"/>
  <c r="V18" i="37" s="1"/>
  <c r="E83" i="17" s="1"/>
  <c r="G83" i="17" s="1"/>
  <c r="I83" i="17" s="1"/>
  <c r="E84" i="23" s="1"/>
  <c r="T19" i="37"/>
  <c r="V19" i="37" s="1"/>
  <c r="E84" i="17" s="1"/>
  <c r="G84" i="17" s="1"/>
  <c r="I84" i="17" s="1"/>
  <c r="E85" i="23" s="1"/>
  <c r="T23" i="37"/>
  <c r="V23" i="37" s="1"/>
  <c r="E87" i="17" s="1"/>
  <c r="G87" i="17" s="1"/>
  <c r="I87" i="17" s="1"/>
  <c r="E88" i="23" s="1"/>
  <c r="F84" i="12"/>
  <c r="T16" i="37"/>
  <c r="V16" i="37" s="1"/>
  <c r="E81" i="17" s="1"/>
  <c r="G81" i="17" s="1"/>
  <c r="I81" i="17" s="1"/>
  <c r="E82" i="23" s="1"/>
  <c r="T24" i="37"/>
  <c r="V24" i="37" s="1"/>
  <c r="E88" i="17" s="1"/>
  <c r="G88" i="17" s="1"/>
  <c r="I88" i="17" s="1"/>
  <c r="E89" i="23" s="1"/>
  <c r="D82" i="17"/>
  <c r="T21" i="37"/>
  <c r="V21" i="37" s="1"/>
  <c r="E85" i="17" s="1"/>
  <c r="G85" i="17" s="1"/>
  <c r="I85" i="17" s="1"/>
  <c r="E86" i="23" s="1"/>
  <c r="T22" i="37"/>
  <c r="V22" i="37" s="1"/>
  <c r="E86" i="17" s="1"/>
  <c r="G86" i="17" s="1"/>
  <c r="T95" i="37"/>
  <c r="V95" i="37" s="1"/>
  <c r="T90" i="37"/>
  <c r="V90" i="37" s="1"/>
  <c r="E68" i="17" s="1"/>
  <c r="G68" i="17" s="1"/>
  <c r="I68" i="17" s="1"/>
  <c r="E57" i="23" s="1"/>
  <c r="T91" i="37"/>
  <c r="V91" i="37" s="1"/>
  <c r="E69" i="17" s="1"/>
  <c r="G69" i="17" s="1"/>
  <c r="I69" i="17" s="1"/>
  <c r="E58" i="23" s="1"/>
  <c r="T63" i="37"/>
  <c r="V63" i="37" s="1"/>
  <c r="E59" i="17" s="1"/>
  <c r="G59" i="17" s="1"/>
  <c r="I59" i="17" s="1"/>
  <c r="E48" i="23" s="1"/>
  <c r="T94" i="37"/>
  <c r="V94" i="37" s="1"/>
  <c r="E72" i="17" s="1"/>
  <c r="G72" i="17" s="1"/>
  <c r="I72" i="17" s="1"/>
  <c r="E61" i="23" s="1"/>
  <c r="T61" i="37"/>
  <c r="V61" i="37" s="1"/>
  <c r="E45" i="17" s="1"/>
  <c r="G45" i="17" s="1"/>
  <c r="I45" i="17" s="1"/>
  <c r="E46" i="23" s="1"/>
  <c r="T60" i="37"/>
  <c r="V60" i="37" s="1"/>
  <c r="E44" i="17" s="1"/>
  <c r="G44" i="17" s="1"/>
  <c r="I44" i="17" s="1"/>
  <c r="E45" i="23" s="1"/>
  <c r="T93" i="37"/>
  <c r="V93" i="37" s="1"/>
  <c r="E71" i="17" s="1"/>
  <c r="G71" i="17" s="1"/>
  <c r="I71" i="17" s="1"/>
  <c r="E60" i="23" s="1"/>
  <c r="L39" i="37"/>
  <c r="E21" i="31"/>
  <c r="D116" i="31"/>
  <c r="R143" i="48"/>
  <c r="P175" i="45"/>
  <c r="I54" i="20"/>
  <c r="J44" i="20"/>
  <c r="J54" i="20" s="1"/>
  <c r="F18" i="16" s="1"/>
  <c r="H26" i="20"/>
  <c r="F18" i="44" s="1"/>
  <c r="J16" i="20"/>
  <c r="J26" i="20" s="1"/>
  <c r="D18" i="16" s="1"/>
  <c r="R115" i="45"/>
  <c r="P143" i="45"/>
  <c r="T168" i="48"/>
  <c r="G17" i="19"/>
  <c r="V100" i="45"/>
  <c r="V145" i="45" s="1"/>
  <c r="V177" i="45" s="1"/>
  <c r="E104" i="58"/>
  <c r="R100" i="48"/>
  <c r="R145" i="48" s="1"/>
  <c r="R177" i="48" s="1"/>
  <c r="F49" i="18"/>
  <c r="I114" i="19"/>
  <c r="T140" i="48"/>
  <c r="T143" i="48" s="1"/>
  <c r="X121" i="45"/>
  <c r="R122" i="45"/>
  <c r="X163" i="45"/>
  <c r="X139" i="45"/>
  <c r="X131" i="45"/>
  <c r="H100" i="48"/>
  <c r="H145" i="48" s="1"/>
  <c r="H177" i="48" s="1"/>
  <c r="X135" i="45"/>
  <c r="X134" i="45"/>
  <c r="R134" i="45"/>
  <c r="R126" i="45"/>
  <c r="R136" i="45"/>
  <c r="R123" i="45"/>
  <c r="F131" i="5"/>
  <c r="X129" i="45"/>
  <c r="H100" i="45"/>
  <c r="H145" i="45" s="1"/>
  <c r="H177" i="45" s="1"/>
  <c r="L140" i="45"/>
  <c r="L143" i="45" s="1"/>
  <c r="X20" i="45"/>
  <c r="L50" i="48"/>
  <c r="L55" i="48"/>
  <c r="X125" i="45"/>
  <c r="X137" i="45"/>
  <c r="R128" i="45"/>
  <c r="X116" i="45"/>
  <c r="R95" i="45"/>
  <c r="X95" i="45"/>
  <c r="L82" i="48"/>
  <c r="X117" i="45"/>
  <c r="X79" i="45"/>
  <c r="R110" i="45"/>
  <c r="X133" i="45"/>
  <c r="V126" i="48"/>
  <c r="X126" i="48" s="1"/>
  <c r="E124" i="19" s="1"/>
  <c r="G124" i="19" s="1"/>
  <c r="I124" i="19" s="1"/>
  <c r="E114" i="58" s="1"/>
  <c r="V122" i="48"/>
  <c r="X122" i="48" s="1"/>
  <c r="G131" i="5"/>
  <c r="H28" i="19"/>
  <c r="H133" i="19" s="1"/>
  <c r="V115" i="48"/>
  <c r="X115" i="48" s="1"/>
  <c r="V86" i="48"/>
  <c r="X86" i="48" s="1"/>
  <c r="L175" i="48"/>
  <c r="L140" i="48"/>
  <c r="L143" i="48" s="1"/>
  <c r="V139" i="48"/>
  <c r="X139" i="48" s="1"/>
  <c r="V111" i="48"/>
  <c r="X111" i="48" s="1"/>
  <c r="F115" i="14"/>
  <c r="H115" i="14" s="1"/>
  <c r="D108" i="58" s="1"/>
  <c r="G108" i="58" s="1"/>
  <c r="V135" i="48"/>
  <c r="X135" i="48" s="1"/>
  <c r="E117" i="19" s="1"/>
  <c r="G117" i="19" s="1"/>
  <c r="I117" i="19" s="1"/>
  <c r="P100" i="45"/>
  <c r="J100" i="48"/>
  <c r="J145" i="48" s="1"/>
  <c r="H118" i="5"/>
  <c r="H129" i="5" s="1"/>
  <c r="X100" i="48"/>
  <c r="X145" i="48" s="1"/>
  <c r="E137" i="19" s="1"/>
  <c r="V113" i="48"/>
  <c r="X113" i="48" s="1"/>
  <c r="F143" i="48"/>
  <c r="I129" i="5"/>
  <c r="V116" i="48"/>
  <c r="X116" i="48" s="1"/>
  <c r="X158" i="45"/>
  <c r="X111" i="45"/>
  <c r="L67" i="48"/>
  <c r="L39" i="48"/>
  <c r="J177" i="48"/>
  <c r="X86" i="45"/>
  <c r="R86" i="45"/>
  <c r="R33" i="45"/>
  <c r="X33" i="45"/>
  <c r="N38" i="48"/>
  <c r="Z38" i="48" s="1"/>
  <c r="R127" i="45"/>
  <c r="J100" i="45"/>
  <c r="J145" i="45" s="1"/>
  <c r="J177" i="45" s="1"/>
  <c r="R74" i="45"/>
  <c r="V127" i="48"/>
  <c r="X127" i="48" s="1"/>
  <c r="E125" i="19" s="1"/>
  <c r="G125" i="19" s="1"/>
  <c r="I125" i="19" s="1"/>
  <c r="E115" i="58" s="1"/>
  <c r="V134" i="48"/>
  <c r="X134" i="48" s="1"/>
  <c r="E130" i="19" s="1"/>
  <c r="G130" i="19" s="1"/>
  <c r="I130" i="19" s="1"/>
  <c r="E120" i="58" s="1"/>
  <c r="V136" i="48"/>
  <c r="X136" i="48" s="1"/>
  <c r="E118" i="19" s="1"/>
  <c r="G118" i="19" s="1"/>
  <c r="I118" i="19" s="1"/>
  <c r="E108" i="58" s="1"/>
  <c r="L29" i="48"/>
  <c r="V132" i="48"/>
  <c r="X132" i="48" s="1"/>
  <c r="V124" i="48"/>
  <c r="X124" i="48" s="1"/>
  <c r="V121" i="48"/>
  <c r="X121" i="48" s="1"/>
  <c r="X46" i="45"/>
  <c r="N140" i="45"/>
  <c r="N143" i="45" s="1"/>
  <c r="V119" i="48"/>
  <c r="X119" i="48" s="1"/>
  <c r="V120" i="48"/>
  <c r="X120" i="48" s="1"/>
  <c r="X166" i="45"/>
  <c r="L97" i="48"/>
  <c r="V130" i="48"/>
  <c r="X130" i="48" s="1"/>
  <c r="H13" i="5"/>
  <c r="V114" i="48"/>
  <c r="X114" i="48" s="1"/>
  <c r="V123" i="48"/>
  <c r="X123" i="48" s="1"/>
  <c r="E123" i="19" s="1"/>
  <c r="G123" i="19" s="1"/>
  <c r="I123" i="19" s="1"/>
  <c r="E113" i="58" s="1"/>
  <c r="V20" i="48"/>
  <c r="X20" i="48" s="1"/>
  <c r="X165" i="45"/>
  <c r="V17" i="48"/>
  <c r="X17" i="48" s="1"/>
  <c r="E82" i="19" s="1"/>
  <c r="G82" i="19" s="1"/>
  <c r="I82" i="19" s="1"/>
  <c r="E83" i="58" s="1"/>
  <c r="V19" i="48"/>
  <c r="X19" i="48" s="1"/>
  <c r="E84" i="19" s="1"/>
  <c r="G84" i="19" s="1"/>
  <c r="I84" i="19" s="1"/>
  <c r="E85" i="58" s="1"/>
  <c r="T19" i="45"/>
  <c r="V19" i="45" s="1"/>
  <c r="T77" i="37"/>
  <c r="V77" i="37" s="1"/>
  <c r="E24" i="17" s="1"/>
  <c r="G24" i="17" s="1"/>
  <c r="I24" i="17" s="1"/>
  <c r="E25" i="23" s="1"/>
  <c r="T80" i="37"/>
  <c r="V80" i="37" s="1"/>
  <c r="E26" i="17" s="1"/>
  <c r="G26" i="17" s="1"/>
  <c r="I26" i="17" s="1"/>
  <c r="E27" i="23" s="1"/>
  <c r="T76" i="37"/>
  <c r="V76" i="37" s="1"/>
  <c r="T78" i="37"/>
  <c r="V78" i="37" s="1"/>
  <c r="E25" i="17" s="1"/>
  <c r="G25" i="17" s="1"/>
  <c r="I25" i="17" s="1"/>
  <c r="E26" i="23" s="1"/>
  <c r="T70" i="37"/>
  <c r="V70" i="37" s="1"/>
  <c r="E20" i="17" s="1"/>
  <c r="G20" i="17" s="1"/>
  <c r="I20" i="17" s="1"/>
  <c r="E21" i="23" s="1"/>
  <c r="T79" i="37"/>
  <c r="V79" i="37" s="1"/>
  <c r="T81" i="37"/>
  <c r="V81" i="37" s="1"/>
  <c r="E27" i="17" s="1"/>
  <c r="G27" i="17" s="1"/>
  <c r="I27" i="17" s="1"/>
  <c r="E28" i="23" s="1"/>
  <c r="T46" i="37"/>
  <c r="V46" i="37" s="1"/>
  <c r="E35" i="17" s="1"/>
  <c r="G35" i="17" s="1"/>
  <c r="I35" i="17" s="1"/>
  <c r="E36" i="23" s="1"/>
  <c r="T48" i="37"/>
  <c r="V48" i="37" s="1"/>
  <c r="E37" i="17" s="1"/>
  <c r="G37" i="17" s="1"/>
  <c r="I37" i="17" s="1"/>
  <c r="E38" i="23" s="1"/>
  <c r="T49" i="37"/>
  <c r="V49" i="37" s="1"/>
  <c r="E38" i="17" s="1"/>
  <c r="G38" i="17" s="1"/>
  <c r="I38" i="17" s="1"/>
  <c r="E39" i="23" s="1"/>
  <c r="R112" i="37"/>
  <c r="T72" i="37"/>
  <c r="V72" i="37" s="1"/>
  <c r="F100" i="37"/>
  <c r="T74" i="37"/>
  <c r="V74" i="37" s="1"/>
  <c r="T43" i="37"/>
  <c r="V43" i="37" s="1"/>
  <c r="E32" i="17" s="1"/>
  <c r="G32" i="17" s="1"/>
  <c r="I32" i="17" s="1"/>
  <c r="E33" i="23" s="1"/>
  <c r="T44" i="37"/>
  <c r="V44" i="37" s="1"/>
  <c r="E33" i="17" s="1"/>
  <c r="G33" i="17" s="1"/>
  <c r="I33" i="17" s="1"/>
  <c r="E34" i="23" s="1"/>
  <c r="L55" i="45"/>
  <c r="R21" i="45"/>
  <c r="R167" i="45"/>
  <c r="R168" i="45" s="1"/>
  <c r="X34" i="45"/>
  <c r="E49" i="5"/>
  <c r="T26" i="45"/>
  <c r="V26" i="45" s="1"/>
  <c r="H72" i="5"/>
  <c r="V18" i="48"/>
  <c r="X18" i="48" s="1"/>
  <c r="E83" i="19" s="1"/>
  <c r="G83" i="19" s="1"/>
  <c r="I83" i="19" s="1"/>
  <c r="E84" i="58" s="1"/>
  <c r="T16" i="45"/>
  <c r="V16" i="45" s="1"/>
  <c r="T22" i="45"/>
  <c r="V22" i="45" s="1"/>
  <c r="T27" i="45"/>
  <c r="V27" i="45" s="1"/>
  <c r="V62" i="48"/>
  <c r="X62" i="48" s="1"/>
  <c r="E58" i="19" s="1"/>
  <c r="G58" i="19" s="1"/>
  <c r="I58" i="19" s="1"/>
  <c r="E47" i="58" s="1"/>
  <c r="R26" i="45"/>
  <c r="V22" i="48"/>
  <c r="X22" i="48" s="1"/>
  <c r="E86" i="19" s="1"/>
  <c r="G86" i="19" s="1"/>
  <c r="I86" i="19" s="1"/>
  <c r="E87" i="58" s="1"/>
  <c r="N53" i="45"/>
  <c r="R53" i="45" s="1"/>
  <c r="R91" i="45"/>
  <c r="T25" i="45"/>
  <c r="V25" i="45" s="1"/>
  <c r="V61" i="48"/>
  <c r="X61" i="48" s="1"/>
  <c r="E45" i="19" s="1"/>
  <c r="G45" i="19" s="1"/>
  <c r="I45" i="19" s="1"/>
  <c r="E46" i="58" s="1"/>
  <c r="X13" i="48"/>
  <c r="E78" i="19" s="1"/>
  <c r="G78" i="19" s="1"/>
  <c r="I78" i="19" s="1"/>
  <c r="E79" i="58" s="1"/>
  <c r="V15" i="48"/>
  <c r="X15" i="48" s="1"/>
  <c r="E80" i="19" s="1"/>
  <c r="G80" i="19" s="1"/>
  <c r="I80" i="19" s="1"/>
  <c r="E81" i="58" s="1"/>
  <c r="V26" i="48"/>
  <c r="X26" i="48" s="1"/>
  <c r="V25" i="48"/>
  <c r="X25" i="48" s="1"/>
  <c r="V24" i="48"/>
  <c r="X24" i="48" s="1"/>
  <c r="E88" i="19" s="1"/>
  <c r="G88" i="19" s="1"/>
  <c r="I88" i="19" s="1"/>
  <c r="E89" i="58" s="1"/>
  <c r="T17" i="45"/>
  <c r="V17" i="45" s="1"/>
  <c r="T20" i="45"/>
  <c r="V20" i="45" s="1"/>
  <c r="T18" i="45"/>
  <c r="V18" i="45" s="1"/>
  <c r="H87" i="5"/>
  <c r="X76" i="45"/>
  <c r="V16" i="48"/>
  <c r="X16" i="48" s="1"/>
  <c r="E81" i="19" s="1"/>
  <c r="G81" i="19" s="1"/>
  <c r="I81" i="19" s="1"/>
  <c r="E82" i="58" s="1"/>
  <c r="V21" i="48"/>
  <c r="X21" i="48" s="1"/>
  <c r="E85" i="19" s="1"/>
  <c r="G85" i="19" s="1"/>
  <c r="I85" i="19" s="1"/>
  <c r="E86" i="58" s="1"/>
  <c r="T21" i="45"/>
  <c r="V21" i="45" s="1"/>
  <c r="T15" i="45"/>
  <c r="V15" i="45" s="1"/>
  <c r="T28" i="45"/>
  <c r="V28" i="45" s="1"/>
  <c r="V27" i="48"/>
  <c r="X27" i="48" s="1"/>
  <c r="E89" i="19" s="1"/>
  <c r="G89" i="19" s="1"/>
  <c r="I89" i="19" s="1"/>
  <c r="E90" i="58" s="1"/>
  <c r="T14" i="45"/>
  <c r="V14" i="45" s="1"/>
  <c r="X65" i="45"/>
  <c r="V28" i="48"/>
  <c r="X28" i="48" s="1"/>
  <c r="V66" i="48"/>
  <c r="X66" i="48" s="1"/>
  <c r="V64" i="48"/>
  <c r="X64" i="48" s="1"/>
  <c r="E60" i="19" s="1"/>
  <c r="G60" i="19" s="1"/>
  <c r="I60" i="19" s="1"/>
  <c r="E49" i="58" s="1"/>
  <c r="V95" i="48"/>
  <c r="X95" i="48" s="1"/>
  <c r="H26" i="5"/>
  <c r="H27" i="5" s="1"/>
  <c r="L50" i="45"/>
  <c r="V93" i="48"/>
  <c r="X93" i="48" s="1"/>
  <c r="E71" i="19" s="1"/>
  <c r="G71" i="19" s="1"/>
  <c r="I71" i="19" s="1"/>
  <c r="E60" i="58" s="1"/>
  <c r="V94" i="48"/>
  <c r="X94" i="48" s="1"/>
  <c r="E72" i="19" s="1"/>
  <c r="G72" i="19" s="1"/>
  <c r="I72" i="19" s="1"/>
  <c r="E61" i="58" s="1"/>
  <c r="V85" i="48"/>
  <c r="X85" i="48" s="1"/>
  <c r="E65" i="19" s="1"/>
  <c r="G65" i="19" s="1"/>
  <c r="I65" i="19" s="1"/>
  <c r="F100" i="45"/>
  <c r="F145" i="45" s="1"/>
  <c r="F177" i="45" s="1"/>
  <c r="R77" i="45"/>
  <c r="V96" i="48"/>
  <c r="X96" i="48" s="1"/>
  <c r="E73" i="19" s="1"/>
  <c r="G73" i="19" s="1"/>
  <c r="I73" i="19" s="1"/>
  <c r="E62" i="58" s="1"/>
  <c r="V88" i="48"/>
  <c r="X88" i="48" s="1"/>
  <c r="E67" i="19" s="1"/>
  <c r="G67" i="19" s="1"/>
  <c r="I67" i="19" s="1"/>
  <c r="E56" i="58" s="1"/>
  <c r="Z172" i="48"/>
  <c r="H78" i="5"/>
  <c r="X48" i="45"/>
  <c r="N168" i="48"/>
  <c r="X24" i="45"/>
  <c r="V89" i="48"/>
  <c r="X89" i="48" s="1"/>
  <c r="V92" i="48"/>
  <c r="X92" i="48" s="1"/>
  <c r="E70" i="19" s="1"/>
  <c r="G70" i="19" s="1"/>
  <c r="I70" i="19" s="1"/>
  <c r="E59" i="58" s="1"/>
  <c r="X44" i="45"/>
  <c r="R44" i="45"/>
  <c r="R89" i="45"/>
  <c r="V59" i="48"/>
  <c r="X59" i="48" s="1"/>
  <c r="E43" i="19" s="1"/>
  <c r="G43" i="19" s="1"/>
  <c r="I43" i="19" s="1"/>
  <c r="E44" i="58" s="1"/>
  <c r="H82" i="5"/>
  <c r="V91" i="48"/>
  <c r="X91" i="48" s="1"/>
  <c r="E69" i="19" s="1"/>
  <c r="G69" i="19" s="1"/>
  <c r="I69" i="19" s="1"/>
  <c r="E58" i="58" s="1"/>
  <c r="V77" i="48"/>
  <c r="X77" i="48" s="1"/>
  <c r="E24" i="19" s="1"/>
  <c r="G24" i="19" s="1"/>
  <c r="I24" i="19" s="1"/>
  <c r="E25" i="58" s="1"/>
  <c r="L82" i="45"/>
  <c r="X71" i="45"/>
  <c r="E88" i="5"/>
  <c r="N168" i="45"/>
  <c r="R96" i="45"/>
  <c r="F100" i="48"/>
  <c r="F145" i="48" s="1"/>
  <c r="F177" i="48" s="1"/>
  <c r="H37" i="5"/>
  <c r="L29" i="45"/>
  <c r="E16" i="5"/>
  <c r="R72" i="45"/>
  <c r="X72" i="45"/>
  <c r="R88" i="45"/>
  <c r="X88" i="45"/>
  <c r="T73" i="45"/>
  <c r="V73" i="45" s="1"/>
  <c r="T81" i="45"/>
  <c r="V81" i="45" s="1"/>
  <c r="T80" i="45"/>
  <c r="V80" i="45" s="1"/>
  <c r="T76" i="45"/>
  <c r="V76" i="45" s="1"/>
  <c r="T78" i="45"/>
  <c r="V78" i="45" s="1"/>
  <c r="T75" i="45"/>
  <c r="V75" i="45" s="1"/>
  <c r="T71" i="45"/>
  <c r="V71" i="45" s="1"/>
  <c r="T79" i="45"/>
  <c r="V79" i="45" s="1"/>
  <c r="T89" i="45"/>
  <c r="V89" i="45" s="1"/>
  <c r="T91" i="45"/>
  <c r="V91" i="45" s="1"/>
  <c r="T86" i="45"/>
  <c r="V86" i="45" s="1"/>
  <c r="T85" i="45"/>
  <c r="V85" i="45" s="1"/>
  <c r="L97" i="45"/>
  <c r="V73" i="48"/>
  <c r="X73" i="48" s="1"/>
  <c r="E21" i="19" s="1"/>
  <c r="G21" i="19" s="1"/>
  <c r="T61" i="45"/>
  <c r="V61" i="45" s="1"/>
  <c r="T63" i="45"/>
  <c r="V63" i="45" s="1"/>
  <c r="T66" i="45"/>
  <c r="V66" i="45" s="1"/>
  <c r="T60" i="45"/>
  <c r="V60" i="45" s="1"/>
  <c r="X164" i="45"/>
  <c r="X162" i="45"/>
  <c r="L175" i="45"/>
  <c r="H14" i="5"/>
  <c r="V45" i="48"/>
  <c r="X45" i="48" s="1"/>
  <c r="E34" i="19" s="1"/>
  <c r="G34" i="19" s="1"/>
  <c r="I34" i="19" s="1"/>
  <c r="E35" i="58" s="1"/>
  <c r="V44" i="48"/>
  <c r="X44" i="48" s="1"/>
  <c r="E33" i="19" s="1"/>
  <c r="G33" i="19" s="1"/>
  <c r="I33" i="19" s="1"/>
  <c r="E34" i="58" s="1"/>
  <c r="V43" i="48"/>
  <c r="X43" i="48" s="1"/>
  <c r="E32" i="19" s="1"/>
  <c r="G32" i="19" s="1"/>
  <c r="I32" i="19" s="1"/>
  <c r="E33" i="58" s="1"/>
  <c r="V48" i="48"/>
  <c r="X48" i="48" s="1"/>
  <c r="E37" i="19" s="1"/>
  <c r="G37" i="19" s="1"/>
  <c r="I37" i="19" s="1"/>
  <c r="E38" i="58" s="1"/>
  <c r="V47" i="48"/>
  <c r="X47" i="48" s="1"/>
  <c r="E36" i="19" s="1"/>
  <c r="G36" i="19" s="1"/>
  <c r="I36" i="19" s="1"/>
  <c r="E37" i="58" s="1"/>
  <c r="V46" i="48"/>
  <c r="X46" i="48" s="1"/>
  <c r="E35" i="19" s="1"/>
  <c r="G35" i="19" s="1"/>
  <c r="I35" i="19" s="1"/>
  <c r="E36" i="58" s="1"/>
  <c r="L39" i="45"/>
  <c r="E38" i="5"/>
  <c r="H30" i="5"/>
  <c r="T64" i="45"/>
  <c r="V64" i="45" s="1"/>
  <c r="N42" i="48"/>
  <c r="V71" i="48"/>
  <c r="X71" i="48" s="1"/>
  <c r="V79" i="48"/>
  <c r="X79" i="48" s="1"/>
  <c r="V74" i="48"/>
  <c r="X74" i="48" s="1"/>
  <c r="V78" i="48"/>
  <c r="X78" i="48" s="1"/>
  <c r="E25" i="19" s="1"/>
  <c r="G25" i="19" s="1"/>
  <c r="I25" i="19" s="1"/>
  <c r="E26" i="58" s="1"/>
  <c r="V75" i="48"/>
  <c r="X75" i="48" s="1"/>
  <c r="E22" i="19" s="1"/>
  <c r="G22" i="19" s="1"/>
  <c r="I22" i="19" s="1"/>
  <c r="E23" i="58" s="1"/>
  <c r="V81" i="48"/>
  <c r="X81" i="48" s="1"/>
  <c r="E27" i="19" s="1"/>
  <c r="G27" i="19" s="1"/>
  <c r="I27" i="19" s="1"/>
  <c r="E28" i="58" s="1"/>
  <c r="T87" i="45"/>
  <c r="V87" i="45" s="1"/>
  <c r="T92" i="45"/>
  <c r="V92" i="45" s="1"/>
  <c r="T94" i="45"/>
  <c r="V94" i="45" s="1"/>
  <c r="R93" i="45"/>
  <c r="X25" i="45"/>
  <c r="V80" i="48"/>
  <c r="X80" i="48" s="1"/>
  <c r="E26" i="19" s="1"/>
  <c r="G26" i="19" s="1"/>
  <c r="I26" i="19" s="1"/>
  <c r="E27" i="58" s="1"/>
  <c r="V72" i="48"/>
  <c r="X72" i="48" s="1"/>
  <c r="T96" i="45"/>
  <c r="V96" i="45" s="1"/>
  <c r="T95" i="45"/>
  <c r="V95" i="45" s="1"/>
  <c r="L67" i="45"/>
  <c r="H45" i="5"/>
  <c r="X35" i="45"/>
  <c r="X28" i="45"/>
  <c r="T65" i="45"/>
  <c r="V65" i="45" s="1"/>
  <c r="V49" i="48"/>
  <c r="X49" i="48" s="1"/>
  <c r="E38" i="19" s="1"/>
  <c r="G38" i="19" s="1"/>
  <c r="I38" i="19" s="1"/>
  <c r="E39" i="58" s="1"/>
  <c r="V58" i="48"/>
  <c r="X58" i="48" s="1"/>
  <c r="E42" i="19" s="1"/>
  <c r="G42" i="19" s="1"/>
  <c r="I42" i="19" s="1"/>
  <c r="V60" i="48"/>
  <c r="X60" i="48" s="1"/>
  <c r="E44" i="19" s="1"/>
  <c r="G44" i="19" s="1"/>
  <c r="I44" i="19" s="1"/>
  <c r="E45" i="58" s="1"/>
  <c r="E27" i="5"/>
  <c r="T93" i="45"/>
  <c r="V93" i="45" s="1"/>
  <c r="T88" i="45"/>
  <c r="V88" i="45" s="1"/>
  <c r="T47" i="45"/>
  <c r="V47" i="45" s="1"/>
  <c r="T43" i="45"/>
  <c r="V43" i="45" s="1"/>
  <c r="T49" i="45"/>
  <c r="V49" i="45" s="1"/>
  <c r="T48" i="45"/>
  <c r="V48" i="45" s="1"/>
  <c r="T45" i="45"/>
  <c r="V45" i="45" s="1"/>
  <c r="T46" i="45"/>
  <c r="V46" i="45" s="1"/>
  <c r="T74" i="45"/>
  <c r="V74" i="45" s="1"/>
  <c r="V42" i="48"/>
  <c r="X42" i="48" s="1"/>
  <c r="E31" i="19" s="1"/>
  <c r="E112" i="5"/>
  <c r="T59" i="45"/>
  <c r="V59" i="45" s="1"/>
  <c r="T72" i="45"/>
  <c r="V72" i="45" s="1"/>
  <c r="X16" i="45"/>
  <c r="X45" i="45"/>
  <c r="R32" i="45"/>
  <c r="R66" i="45"/>
  <c r="D27" i="5"/>
  <c r="D175" i="45"/>
  <c r="X92" i="45"/>
  <c r="R80" i="45"/>
  <c r="X61" i="45"/>
  <c r="T67" i="48"/>
  <c r="X60" i="45"/>
  <c r="X87" i="45"/>
  <c r="D100" i="45"/>
  <c r="D145" i="45" s="1"/>
  <c r="D135" i="5" s="1"/>
  <c r="X78" i="45"/>
  <c r="N29" i="48"/>
  <c r="D131" i="19"/>
  <c r="T175" i="48"/>
  <c r="D100" i="48"/>
  <c r="D145" i="48" s="1"/>
  <c r="R75" i="45"/>
  <c r="X75" i="45"/>
  <c r="X18" i="45"/>
  <c r="H128" i="14"/>
  <c r="X59" i="45"/>
  <c r="X38" i="45"/>
  <c r="P175" i="48"/>
  <c r="X47" i="45"/>
  <c r="R43" i="45"/>
  <c r="X43" i="45"/>
  <c r="T50" i="48"/>
  <c r="X90" i="45"/>
  <c r="R73" i="45"/>
  <c r="N67" i="48"/>
  <c r="X14" i="45"/>
  <c r="T55" i="48"/>
  <c r="T97" i="48"/>
  <c r="X49" i="45"/>
  <c r="D16" i="5"/>
  <c r="D36" i="19"/>
  <c r="F35" i="14"/>
  <c r="H35" i="14" s="1"/>
  <c r="D37" i="58" s="1"/>
  <c r="G37" i="58" s="1"/>
  <c r="D110" i="19"/>
  <c r="F107" i="14"/>
  <c r="H107" i="14" s="1"/>
  <c r="D100" i="58" s="1"/>
  <c r="D80" i="19"/>
  <c r="F78" i="14"/>
  <c r="H78" i="14" s="1"/>
  <c r="D81" i="58" s="1"/>
  <c r="G81" i="58" s="1"/>
  <c r="D43" i="19"/>
  <c r="F42" i="14"/>
  <c r="H42" i="14" s="1"/>
  <c r="D44" i="58" s="1"/>
  <c r="G44" i="58" s="1"/>
  <c r="G109" i="14"/>
  <c r="G111" i="14" s="1"/>
  <c r="F55" i="15" s="1"/>
  <c r="I19" i="69"/>
  <c r="I27" i="69" s="1"/>
  <c r="I38" i="69" s="1"/>
  <c r="I42" i="69" s="1"/>
  <c r="D24" i="19"/>
  <c r="F23" i="14"/>
  <c r="H23" i="14" s="1"/>
  <c r="D25" i="58" s="1"/>
  <c r="G25" i="58" s="1"/>
  <c r="D58" i="19"/>
  <c r="F56" i="14"/>
  <c r="H56" i="14" s="1"/>
  <c r="D47" i="58" s="1"/>
  <c r="G47" i="58" s="1"/>
  <c r="D60" i="19"/>
  <c r="F58" i="14"/>
  <c r="H58" i="14" s="1"/>
  <c r="D49" i="58" s="1"/>
  <c r="G49" i="58" s="1"/>
  <c r="D109" i="19"/>
  <c r="F106" i="14"/>
  <c r="H106" i="14" s="1"/>
  <c r="D99" i="58" s="1"/>
  <c r="G99" i="58" s="1"/>
  <c r="D81" i="19"/>
  <c r="F79" i="14"/>
  <c r="H79" i="14" s="1"/>
  <c r="D82" i="58" s="1"/>
  <c r="G82" i="58" s="1"/>
  <c r="D79" i="19"/>
  <c r="F77" i="14"/>
  <c r="H77" i="14" s="1"/>
  <c r="D80" i="58" s="1"/>
  <c r="G80" i="58" s="1"/>
  <c r="D49" i="5"/>
  <c r="H41" i="5"/>
  <c r="X27" i="45"/>
  <c r="R54" i="45"/>
  <c r="X54" i="45"/>
  <c r="D69" i="19"/>
  <c r="F67" i="14"/>
  <c r="H67" i="14" s="1"/>
  <c r="D58" i="58" s="1"/>
  <c r="G58" i="58" s="1"/>
  <c r="T29" i="48"/>
  <c r="T82" i="48"/>
  <c r="D32" i="19"/>
  <c r="F31" i="14"/>
  <c r="H31" i="14" s="1"/>
  <c r="D33" i="58" s="1"/>
  <c r="G33" i="58" s="1"/>
  <c r="D77" i="19"/>
  <c r="F75" i="14"/>
  <c r="D88" i="14"/>
  <c r="C53" i="15" s="1"/>
  <c r="D59" i="19"/>
  <c r="F57" i="14"/>
  <c r="H57" i="14" s="1"/>
  <c r="D48" i="58" s="1"/>
  <c r="G48" i="58" s="1"/>
  <c r="D34" i="19"/>
  <c r="F33" i="14"/>
  <c r="H33" i="14" s="1"/>
  <c r="D35" i="58" s="1"/>
  <c r="G35" i="58" s="1"/>
  <c r="D37" i="19"/>
  <c r="F36" i="14"/>
  <c r="H36" i="14" s="1"/>
  <c r="D38" i="58" s="1"/>
  <c r="G38" i="58" s="1"/>
  <c r="N39" i="45"/>
  <c r="N29" i="45"/>
  <c r="F51" i="11"/>
  <c r="R62" i="45"/>
  <c r="X62" i="45"/>
  <c r="D14" i="19"/>
  <c r="D17" i="19" s="1"/>
  <c r="D16" i="14"/>
  <c r="F13" i="14"/>
  <c r="D61" i="19"/>
  <c r="F59" i="14"/>
  <c r="H59" i="14" s="1"/>
  <c r="D50" i="58" s="1"/>
  <c r="D72" i="19"/>
  <c r="F70" i="14"/>
  <c r="H70" i="14" s="1"/>
  <c r="D61" i="58" s="1"/>
  <c r="G61" i="58" s="1"/>
  <c r="X19" i="45"/>
  <c r="D27" i="19"/>
  <c r="F26" i="14"/>
  <c r="H26" i="14" s="1"/>
  <c r="D28" i="58" s="1"/>
  <c r="R36" i="45"/>
  <c r="X36" i="45"/>
  <c r="I88" i="5"/>
  <c r="D38" i="5"/>
  <c r="X63" i="45"/>
  <c r="D112" i="19"/>
  <c r="F109" i="14"/>
  <c r="D70" i="19"/>
  <c r="F68" i="14"/>
  <c r="H68" i="14" s="1"/>
  <c r="D59" i="58" s="1"/>
  <c r="G59" i="58" s="1"/>
  <c r="D26" i="19"/>
  <c r="F25" i="14"/>
  <c r="H25" i="14" s="1"/>
  <c r="D27" i="58" s="1"/>
  <c r="G27" i="58" s="1"/>
  <c r="D68" i="19"/>
  <c r="F66" i="14"/>
  <c r="H66" i="14" s="1"/>
  <c r="D57" i="58" s="1"/>
  <c r="G57" i="58" s="1"/>
  <c r="D65" i="19"/>
  <c r="F63" i="14"/>
  <c r="D72" i="14"/>
  <c r="C51" i="15" s="1"/>
  <c r="D78" i="19"/>
  <c r="F76" i="14"/>
  <c r="H76" i="14" s="1"/>
  <c r="D79" i="58" s="1"/>
  <c r="G79" i="58" s="1"/>
  <c r="D20" i="19"/>
  <c r="F19" i="14"/>
  <c r="D27" i="14"/>
  <c r="C45" i="15" s="1"/>
  <c r="D33" i="19"/>
  <c r="F32" i="14"/>
  <c r="H32" i="14" s="1"/>
  <c r="D34" i="58" s="1"/>
  <c r="G34" i="58" s="1"/>
  <c r="D83" i="19"/>
  <c r="F81" i="14"/>
  <c r="H81" i="14" s="1"/>
  <c r="D84" i="58" s="1"/>
  <c r="G84" i="58" s="1"/>
  <c r="D38" i="19"/>
  <c r="F37" i="14"/>
  <c r="H37" i="14" s="1"/>
  <c r="D39" i="58" s="1"/>
  <c r="D67" i="19"/>
  <c r="F65" i="14"/>
  <c r="H65" i="14" s="1"/>
  <c r="D56" i="58" s="1"/>
  <c r="G56" i="58" s="1"/>
  <c r="H75" i="5"/>
  <c r="D88" i="5"/>
  <c r="R94" i="45"/>
  <c r="X94" i="45"/>
  <c r="D71" i="19"/>
  <c r="F69" i="14"/>
  <c r="H69" i="14" s="1"/>
  <c r="D60" i="58" s="1"/>
  <c r="G60" i="58" s="1"/>
  <c r="D175" i="48"/>
  <c r="D104" i="14"/>
  <c r="I112" i="5"/>
  <c r="D31" i="19"/>
  <c r="F30" i="14"/>
  <c r="D38" i="14"/>
  <c r="C47" i="15" s="1"/>
  <c r="D82" i="19"/>
  <c r="F80" i="14"/>
  <c r="H80" i="14" s="1"/>
  <c r="D83" i="58" s="1"/>
  <c r="G83" i="58" s="1"/>
  <c r="H94" i="5"/>
  <c r="H112" i="5" s="1"/>
  <c r="D112" i="5"/>
  <c r="X81" i="45"/>
  <c r="X15" i="45"/>
  <c r="X13" i="45"/>
  <c r="I49" i="5"/>
  <c r="D41" i="14"/>
  <c r="D44" i="19"/>
  <c r="F43" i="14"/>
  <c r="H43" i="14" s="1"/>
  <c r="D45" i="58" s="1"/>
  <c r="G45" i="58" s="1"/>
  <c r="I72" i="5"/>
  <c r="I27" i="5"/>
  <c r="D35" i="19"/>
  <c r="F34" i="14"/>
  <c r="H34" i="14" s="1"/>
  <c r="D36" i="58" s="1"/>
  <c r="G36" i="58" s="1"/>
  <c r="D88" i="19"/>
  <c r="F86" i="14"/>
  <c r="H86" i="14" s="1"/>
  <c r="D89" i="58" s="1"/>
  <c r="G89" i="58" s="1"/>
  <c r="D73" i="19"/>
  <c r="F71" i="14"/>
  <c r="H71" i="14" s="1"/>
  <c r="D62" i="58" s="1"/>
  <c r="G62" i="58" s="1"/>
  <c r="R12" i="45"/>
  <c r="X12" i="45"/>
  <c r="D45" i="19"/>
  <c r="F44" i="14"/>
  <c r="H44" i="14" s="1"/>
  <c r="D46" i="58" s="1"/>
  <c r="G46" i="58" s="1"/>
  <c r="D72" i="5"/>
  <c r="P100" i="48"/>
  <c r="P145" i="48" s="1"/>
  <c r="I135" i="5" s="1"/>
  <c r="T39" i="48"/>
  <c r="R64" i="45"/>
  <c r="X64" i="45"/>
  <c r="I38" i="5"/>
  <c r="X22" i="45"/>
  <c r="X17" i="45"/>
  <c r="G107" i="58"/>
  <c r="N82" i="48"/>
  <c r="Z70" i="48"/>
  <c r="N173" i="45"/>
  <c r="R172" i="45"/>
  <c r="R173" i="45" s="1"/>
  <c r="X172" i="45"/>
  <c r="G27" i="14"/>
  <c r="G94" i="58"/>
  <c r="E15" i="58"/>
  <c r="E18" i="58" s="1"/>
  <c r="I17" i="19"/>
  <c r="N67" i="45"/>
  <c r="R58" i="45"/>
  <c r="X58" i="45"/>
  <c r="N82" i="45"/>
  <c r="R70" i="45"/>
  <c r="X70" i="45"/>
  <c r="Z53" i="48"/>
  <c r="N55" i="48"/>
  <c r="N97" i="45"/>
  <c r="R85" i="45"/>
  <c r="X85" i="45"/>
  <c r="X42" i="45"/>
  <c r="N50" i="45"/>
  <c r="R42" i="45"/>
  <c r="N140" i="48"/>
  <c r="N143" i="48" s="1"/>
  <c r="Z110" i="48"/>
  <c r="E78" i="58"/>
  <c r="N97" i="48"/>
  <c r="Z85" i="48"/>
  <c r="N159" i="48"/>
  <c r="Z157" i="48"/>
  <c r="N159" i="45"/>
  <c r="R157" i="45"/>
  <c r="R159" i="45" s="1"/>
  <c r="X157" i="45"/>
  <c r="F120" i="12"/>
  <c r="H120" i="12" s="1"/>
  <c r="D113" i="23" s="1"/>
  <c r="G113" i="23" s="1"/>
  <c r="T111" i="37"/>
  <c r="V111" i="37" s="1"/>
  <c r="X116" i="37"/>
  <c r="F42" i="12"/>
  <c r="H42" i="12" s="1"/>
  <c r="D44" i="23" s="1"/>
  <c r="G44" i="23" s="1"/>
  <c r="X26" i="37"/>
  <c r="T130" i="37"/>
  <c r="V130" i="37" s="1"/>
  <c r="X122" i="37"/>
  <c r="T131" i="37"/>
  <c r="V131" i="37" s="1"/>
  <c r="E128" i="17" s="1"/>
  <c r="G128" i="17" s="1"/>
  <c r="I128" i="17" s="1"/>
  <c r="E118" i="23" s="1"/>
  <c r="F65" i="12"/>
  <c r="H65" i="12" s="1"/>
  <c r="D56" i="23" s="1"/>
  <c r="G56" i="23" s="1"/>
  <c r="E130" i="4"/>
  <c r="T127" i="37"/>
  <c r="V127" i="37" s="1"/>
  <c r="E125" i="17" s="1"/>
  <c r="G125" i="17" s="1"/>
  <c r="I125" i="17" s="1"/>
  <c r="E115" i="23" s="1"/>
  <c r="F117" i="12"/>
  <c r="H117" i="12" s="1"/>
  <c r="D110" i="23" s="1"/>
  <c r="G110" i="23" s="1"/>
  <c r="D80" i="17"/>
  <c r="R134" i="37"/>
  <c r="R119" i="37"/>
  <c r="L159" i="37"/>
  <c r="L174" i="37" s="1"/>
  <c r="X114" i="37"/>
  <c r="X111" i="37"/>
  <c r="R129" i="37"/>
  <c r="D35" i="17"/>
  <c r="F56" i="12"/>
  <c r="H56" i="12" s="1"/>
  <c r="D47" i="23" s="1"/>
  <c r="G47" i="23" s="1"/>
  <c r="X124" i="37"/>
  <c r="F109" i="12"/>
  <c r="H109" i="12" s="1"/>
  <c r="D102" i="23" s="1"/>
  <c r="G102" i="23" s="1"/>
  <c r="R132" i="37"/>
  <c r="F82" i="12"/>
  <c r="H82" i="12" s="1"/>
  <c r="D85" i="23" s="1"/>
  <c r="G85" i="23" s="1"/>
  <c r="V174" i="37"/>
  <c r="X74" i="37"/>
  <c r="J100" i="37"/>
  <c r="J145" i="37" s="1"/>
  <c r="J176" i="37" s="1"/>
  <c r="G130" i="4"/>
  <c r="F67" i="12"/>
  <c r="H67" i="12" s="1"/>
  <c r="D58" i="23" s="1"/>
  <c r="G58" i="23" s="1"/>
  <c r="R167" i="37"/>
  <c r="X86" i="37"/>
  <c r="F14" i="12"/>
  <c r="H14" i="12" s="1"/>
  <c r="D16" i="23" s="1"/>
  <c r="G16" i="23" s="1"/>
  <c r="V100" i="37"/>
  <c r="F24" i="18"/>
  <c r="I22" i="17"/>
  <c r="E23" i="23" s="1"/>
  <c r="I21" i="17"/>
  <c r="E22" i="23" s="1"/>
  <c r="P100" i="37"/>
  <c r="G19" i="70"/>
  <c r="G27" i="70" s="1"/>
  <c r="I86" i="17"/>
  <c r="E87" i="23" s="1"/>
  <c r="X158" i="37"/>
  <c r="R158" i="37"/>
  <c r="X164" i="37"/>
  <c r="X113" i="37"/>
  <c r="X130" i="37"/>
  <c r="R118" i="37"/>
  <c r="D89" i="17"/>
  <c r="R121" i="37"/>
  <c r="R117" i="37"/>
  <c r="F35" i="12"/>
  <c r="H35" i="12" s="1"/>
  <c r="D37" i="23" s="1"/>
  <c r="G37" i="23" s="1"/>
  <c r="L67" i="37"/>
  <c r="R165" i="37"/>
  <c r="R37" i="37"/>
  <c r="F79" i="12"/>
  <c r="H79" i="12" s="1"/>
  <c r="D82" i="23" s="1"/>
  <c r="G82" i="23" s="1"/>
  <c r="F64" i="12"/>
  <c r="H64" i="12" s="1"/>
  <c r="D55" i="23" s="1"/>
  <c r="G55" i="23" s="1"/>
  <c r="X66" i="37"/>
  <c r="X163" i="37"/>
  <c r="X89" i="37"/>
  <c r="L55" i="37"/>
  <c r="H100" i="37"/>
  <c r="H145" i="37" s="1"/>
  <c r="F130" i="4"/>
  <c r="D109" i="17"/>
  <c r="F104" i="12"/>
  <c r="H104" i="12" s="1"/>
  <c r="D97" i="23" s="1"/>
  <c r="G97" i="23" s="1"/>
  <c r="D37" i="17"/>
  <c r="L97" i="37"/>
  <c r="D26" i="17"/>
  <c r="R71" i="37"/>
  <c r="X71" i="37"/>
  <c r="N32" i="37"/>
  <c r="N39" i="37" s="1"/>
  <c r="F23" i="12"/>
  <c r="H23" i="12" s="1"/>
  <c r="D25" i="23" s="1"/>
  <c r="G25" i="23" s="1"/>
  <c r="L140" i="37"/>
  <c r="L143" i="37" s="1"/>
  <c r="L50" i="37"/>
  <c r="F71" i="12"/>
  <c r="H71" i="12" s="1"/>
  <c r="D62" i="23" s="1"/>
  <c r="G62" i="23" s="1"/>
  <c r="H24" i="4"/>
  <c r="D24" i="12" s="1"/>
  <c r="D25" i="17" s="1"/>
  <c r="R76" i="37"/>
  <c r="L29" i="37"/>
  <c r="L82" i="37"/>
  <c r="F33" i="12"/>
  <c r="H33" i="12" s="1"/>
  <c r="D35" i="23" s="1"/>
  <c r="G35" i="23" s="1"/>
  <c r="R28" i="37"/>
  <c r="H176" i="37"/>
  <c r="D61" i="17"/>
  <c r="X17" i="37"/>
  <c r="X53" i="37"/>
  <c r="R55" i="37"/>
  <c r="X75" i="37"/>
  <c r="X92" i="37"/>
  <c r="H119" i="4"/>
  <c r="D119" i="12" s="1"/>
  <c r="D128" i="12" s="1"/>
  <c r="C27" i="15" s="1"/>
  <c r="T122" i="37"/>
  <c r="V122" i="37" s="1"/>
  <c r="T126" i="37"/>
  <c r="V126" i="37" s="1"/>
  <c r="E124" i="17" s="1"/>
  <c r="G124" i="17" s="1"/>
  <c r="I124" i="17" s="1"/>
  <c r="E114" i="23" s="1"/>
  <c r="T134" i="37"/>
  <c r="V134" i="37" s="1"/>
  <c r="E130" i="17" s="1"/>
  <c r="G130" i="17" s="1"/>
  <c r="I130" i="17" s="1"/>
  <c r="E120" i="23" s="1"/>
  <c r="T113" i="37"/>
  <c r="V113" i="37" s="1"/>
  <c r="T120" i="37"/>
  <c r="V120" i="37" s="1"/>
  <c r="T129" i="37"/>
  <c r="V129" i="37" s="1"/>
  <c r="E127" i="17" s="1"/>
  <c r="G127" i="17" s="1"/>
  <c r="I127" i="17" s="1"/>
  <c r="E117" i="23" s="1"/>
  <c r="T125" i="37"/>
  <c r="V125" i="37" s="1"/>
  <c r="T110" i="37"/>
  <c r="V110" i="37" s="1"/>
  <c r="E120" i="17" s="1"/>
  <c r="G120" i="17" s="1"/>
  <c r="I120" i="17" s="1"/>
  <c r="E110" i="23" s="1"/>
  <c r="T123" i="37"/>
  <c r="V123" i="37" s="1"/>
  <c r="E123" i="17" s="1"/>
  <c r="G123" i="17" s="1"/>
  <c r="I123" i="17" s="1"/>
  <c r="E113" i="23" s="1"/>
  <c r="T137" i="37"/>
  <c r="V137" i="37" s="1"/>
  <c r="E119" i="17" s="1"/>
  <c r="G119" i="17" s="1"/>
  <c r="I119" i="17" s="1"/>
  <c r="E109" i="23" s="1"/>
  <c r="T121" i="37"/>
  <c r="V121" i="37" s="1"/>
  <c r="T116" i="37"/>
  <c r="V116" i="37" s="1"/>
  <c r="T138" i="37"/>
  <c r="V138" i="37" s="1"/>
  <c r="T128" i="37"/>
  <c r="V128" i="37" s="1"/>
  <c r="E126" i="17" s="1"/>
  <c r="G126" i="17" s="1"/>
  <c r="I126" i="17" s="1"/>
  <c r="E116" i="23" s="1"/>
  <c r="T118" i="37"/>
  <c r="V118" i="37" s="1"/>
  <c r="T135" i="37"/>
  <c r="V135" i="37" s="1"/>
  <c r="E117" i="17" s="1"/>
  <c r="G117" i="17" s="1"/>
  <c r="T139" i="37"/>
  <c r="V139" i="37" s="1"/>
  <c r="T117" i="37"/>
  <c r="V117" i="37" s="1"/>
  <c r="E122" i="17" s="1"/>
  <c r="G122" i="17" s="1"/>
  <c r="I122" i="17" s="1"/>
  <c r="E112" i="23" s="1"/>
  <c r="F143" i="37"/>
  <c r="T114" i="37"/>
  <c r="V114" i="37" s="1"/>
  <c r="R12" i="37"/>
  <c r="X79" i="37"/>
  <c r="T132" i="37"/>
  <c r="V132" i="37" s="1"/>
  <c r="T119" i="37"/>
  <c r="V119" i="37" s="1"/>
  <c r="T112" i="37"/>
  <c r="V112" i="37" s="1"/>
  <c r="E121" i="17" s="1"/>
  <c r="G121" i="17" s="1"/>
  <c r="I121" i="17" s="1"/>
  <c r="E111" i="23" s="1"/>
  <c r="T124" i="37"/>
  <c r="V124" i="37" s="1"/>
  <c r="X72" i="37"/>
  <c r="T115" i="37"/>
  <c r="V115" i="37" s="1"/>
  <c r="T133" i="37"/>
  <c r="V133" i="37" s="1"/>
  <c r="E129" i="17" s="1"/>
  <c r="G129" i="17" s="1"/>
  <c r="I129" i="17" s="1"/>
  <c r="E119" i="23" s="1"/>
  <c r="R123" i="37"/>
  <c r="R128" i="37"/>
  <c r="X88" i="37"/>
  <c r="R20" i="37"/>
  <c r="X80" i="37"/>
  <c r="R135" i="37"/>
  <c r="R126" i="37"/>
  <c r="R115" i="37"/>
  <c r="R137" i="37"/>
  <c r="R35" i="37"/>
  <c r="R59" i="37"/>
  <c r="R62" i="37"/>
  <c r="R133" i="37"/>
  <c r="X16" i="37"/>
  <c r="X54" i="37"/>
  <c r="X96" i="37"/>
  <c r="X42" i="37"/>
  <c r="N55" i="37"/>
  <c r="R38" i="37"/>
  <c r="R139" i="37"/>
  <c r="F76" i="12"/>
  <c r="H76" i="12" s="1"/>
  <c r="D79" i="23" s="1"/>
  <c r="G79" i="23" s="1"/>
  <c r="R27" i="37"/>
  <c r="X15" i="37"/>
  <c r="F69" i="12"/>
  <c r="H69" i="12" s="1"/>
  <c r="D60" i="23" s="1"/>
  <c r="G60" i="23" s="1"/>
  <c r="F70" i="12"/>
  <c r="H70" i="12" s="1"/>
  <c r="D61" i="23" s="1"/>
  <c r="G61" i="23" s="1"/>
  <c r="R45" i="37"/>
  <c r="G27" i="12"/>
  <c r="F15" i="15" s="1"/>
  <c r="K19" i="70"/>
  <c r="K27" i="70" s="1"/>
  <c r="K38" i="70" s="1"/>
  <c r="K40" i="70" s="1"/>
  <c r="Q40" i="70" s="1"/>
  <c r="D100" i="37"/>
  <c r="D145" i="37" s="1"/>
  <c r="X63" i="37"/>
  <c r="R131" i="37"/>
  <c r="F125" i="12"/>
  <c r="H125" i="12" s="1"/>
  <c r="D118" i="23" s="1"/>
  <c r="G118" i="23" s="1"/>
  <c r="D128" i="17"/>
  <c r="D83" i="17"/>
  <c r="X22" i="37"/>
  <c r="X19" i="37"/>
  <c r="R19" i="37"/>
  <c r="D128" i="4"/>
  <c r="X70" i="37"/>
  <c r="D60" i="17"/>
  <c r="N50" i="37"/>
  <c r="X95" i="37"/>
  <c r="R95" i="37"/>
  <c r="X87" i="37"/>
  <c r="R87" i="37"/>
  <c r="H111" i="4"/>
  <c r="X48" i="37"/>
  <c r="R48" i="37"/>
  <c r="N82" i="37"/>
  <c r="X21" i="37"/>
  <c r="R21" i="37"/>
  <c r="D88" i="17"/>
  <c r="X78" i="37"/>
  <c r="D45" i="17"/>
  <c r="X49" i="37"/>
  <c r="F83" i="12"/>
  <c r="H83" i="12" s="1"/>
  <c r="D86" i="23" s="1"/>
  <c r="G86" i="23" s="1"/>
  <c r="D85" i="17"/>
  <c r="F31" i="12"/>
  <c r="H31" i="12" s="1"/>
  <c r="D33" i="23" s="1"/>
  <c r="G33" i="23" s="1"/>
  <c r="H66" i="4"/>
  <c r="D72" i="4"/>
  <c r="X24" i="37"/>
  <c r="R24" i="37"/>
  <c r="I14" i="70"/>
  <c r="I19" i="70" s="1"/>
  <c r="I27" i="70" s="1"/>
  <c r="I38" i="70" s="1"/>
  <c r="I42" i="70" s="1"/>
  <c r="G84" i="12"/>
  <c r="G88" i="12" s="1"/>
  <c r="F23" i="15" s="1"/>
  <c r="D38" i="17"/>
  <c r="F37" i="12"/>
  <c r="H37" i="12" s="1"/>
  <c r="D39" i="23" s="1"/>
  <c r="X18" i="37"/>
  <c r="R18" i="37"/>
  <c r="R73" i="37"/>
  <c r="X73" i="37"/>
  <c r="R14" i="37"/>
  <c r="X14" i="37"/>
  <c r="D88" i="4"/>
  <c r="X13" i="37"/>
  <c r="R13" i="37"/>
  <c r="D27" i="17"/>
  <c r="F26" i="12"/>
  <c r="H26" i="12" s="1"/>
  <c r="D28" i="23" s="1"/>
  <c r="H60" i="4"/>
  <c r="H38" i="4"/>
  <c r="X81" i="37"/>
  <c r="R81" i="37"/>
  <c r="X93" i="37"/>
  <c r="R93" i="37"/>
  <c r="X44" i="37"/>
  <c r="R44" i="37"/>
  <c r="D38" i="4"/>
  <c r="D44" i="17"/>
  <c r="F43" i="12"/>
  <c r="H43" i="12" s="1"/>
  <c r="D45" i="23" s="1"/>
  <c r="G45" i="23" s="1"/>
  <c r="D111" i="17"/>
  <c r="F108" i="12"/>
  <c r="H108" i="12" s="1"/>
  <c r="D101" i="23" s="1"/>
  <c r="G101" i="23" s="1"/>
  <c r="D111" i="4"/>
  <c r="X90" i="37"/>
  <c r="R90" i="37"/>
  <c r="X94" i="37"/>
  <c r="R94" i="37"/>
  <c r="D60" i="4"/>
  <c r="D27" i="4"/>
  <c r="X60" i="37"/>
  <c r="R60" i="37"/>
  <c r="R64" i="37"/>
  <c r="X64" i="37"/>
  <c r="X77" i="37"/>
  <c r="R77" i="37"/>
  <c r="X36" i="37"/>
  <c r="X65" i="37"/>
  <c r="R65" i="37"/>
  <c r="F32" i="12"/>
  <c r="H32" i="12" s="1"/>
  <c r="D34" i="23" s="1"/>
  <c r="G34" i="23" s="1"/>
  <c r="D33" i="17"/>
  <c r="X34" i="37"/>
  <c r="R34" i="37"/>
  <c r="D16" i="4"/>
  <c r="H13" i="4"/>
  <c r="X61" i="37"/>
  <c r="R61" i="37"/>
  <c r="D21" i="17"/>
  <c r="F20" i="12"/>
  <c r="H20" i="12" s="1"/>
  <c r="D22" i="23" s="1"/>
  <c r="G22" i="23" s="1"/>
  <c r="F77" i="12"/>
  <c r="H77" i="12" s="1"/>
  <c r="D80" i="23" s="1"/>
  <c r="G80" i="23" s="1"/>
  <c r="D79" i="17"/>
  <c r="X43" i="37"/>
  <c r="X91" i="37"/>
  <c r="D65" i="17"/>
  <c r="F63" i="12"/>
  <c r="D20" i="17"/>
  <c r="F19" i="12"/>
  <c r="D31" i="17"/>
  <c r="F30" i="12"/>
  <c r="D38" i="12"/>
  <c r="C17" i="15" s="1"/>
  <c r="H28" i="17"/>
  <c r="H133" i="17" s="1"/>
  <c r="N29" i="37"/>
  <c r="R11" i="37"/>
  <c r="X11" i="37"/>
  <c r="N168" i="37"/>
  <c r="X162" i="37"/>
  <c r="R162" i="37"/>
  <c r="D117" i="17"/>
  <c r="F114" i="12"/>
  <c r="N67" i="37"/>
  <c r="X58" i="37"/>
  <c r="R58" i="37"/>
  <c r="D42" i="17"/>
  <c r="D60" i="12"/>
  <c r="C19" i="15" s="1"/>
  <c r="F41" i="12"/>
  <c r="D104" i="17"/>
  <c r="F101" i="12"/>
  <c r="D111" i="12"/>
  <c r="C25" i="15" s="1"/>
  <c r="N172" i="37"/>
  <c r="X171" i="37"/>
  <c r="R171" i="37"/>
  <c r="R172" i="37" s="1"/>
  <c r="H88" i="4"/>
  <c r="D75" i="12"/>
  <c r="N97" i="37"/>
  <c r="X85" i="37"/>
  <c r="R85" i="37"/>
  <c r="N140" i="37"/>
  <c r="N143" i="37" s="1"/>
  <c r="X110" i="37"/>
  <c r="N159" i="37"/>
  <c r="X157" i="37"/>
  <c r="R157" i="37"/>
  <c r="E116" i="44"/>
  <c r="D118" i="31"/>
  <c r="E57" i="31"/>
  <c r="F118" i="31"/>
  <c r="E116" i="31"/>
  <c r="K116" i="44"/>
  <c r="K57" i="44"/>
  <c r="J118" i="44"/>
  <c r="D57" i="44"/>
  <c r="I31" i="17"/>
  <c r="P143" i="37"/>
  <c r="V140" i="37"/>
  <c r="V143" i="37" s="1"/>
  <c r="I77" i="17"/>
  <c r="I42" i="17"/>
  <c r="W37" i="103"/>
  <c r="Q76" i="102" s="1"/>
  <c r="Q37" i="103"/>
  <c r="Q37" i="99"/>
  <c r="W37" i="99"/>
  <c r="Q76" i="98" s="1"/>
  <c r="O25" i="53"/>
  <c r="O26" i="53" s="1"/>
  <c r="F59" i="103"/>
  <c r="G59" i="103"/>
  <c r="Q66" i="98" l="1"/>
  <c r="Q74" i="98" s="1"/>
  <c r="Q78" i="98" s="1"/>
  <c r="K19" i="69"/>
  <c r="K27" i="69" s="1"/>
  <c r="K38" i="69" s="1"/>
  <c r="K40" i="69" s="1"/>
  <c r="Q40" i="69" s="1"/>
  <c r="G121" i="58"/>
  <c r="F128" i="14"/>
  <c r="E57" i="15" s="1"/>
  <c r="D121" i="58"/>
  <c r="G90" i="17"/>
  <c r="E63" i="23"/>
  <c r="E90" i="17"/>
  <c r="G62" i="17"/>
  <c r="I74" i="17"/>
  <c r="E62" i="17"/>
  <c r="G74" i="17"/>
  <c r="E74" i="17"/>
  <c r="V145" i="37"/>
  <c r="E137" i="17" s="1"/>
  <c r="G39" i="17"/>
  <c r="E28" i="17"/>
  <c r="F17" i="44"/>
  <c r="G18" i="44"/>
  <c r="E18" i="44"/>
  <c r="P145" i="45"/>
  <c r="P177" i="45" s="1"/>
  <c r="N39" i="48"/>
  <c r="N55" i="45"/>
  <c r="R140" i="45"/>
  <c r="R143" i="45" s="1"/>
  <c r="X177" i="48"/>
  <c r="E131" i="19"/>
  <c r="H38" i="5"/>
  <c r="L100" i="48"/>
  <c r="L145" i="48" s="1"/>
  <c r="L177" i="48" s="1"/>
  <c r="D177" i="45"/>
  <c r="X53" i="45"/>
  <c r="H16" i="5"/>
  <c r="G131" i="19"/>
  <c r="G28" i="17"/>
  <c r="E39" i="17"/>
  <c r="F145" i="37"/>
  <c r="F176" i="37" s="1"/>
  <c r="G90" i="19"/>
  <c r="E90" i="19"/>
  <c r="N175" i="48"/>
  <c r="I90" i="19"/>
  <c r="E74" i="19"/>
  <c r="R29" i="45"/>
  <c r="E91" i="58"/>
  <c r="E62" i="19"/>
  <c r="G74" i="19"/>
  <c r="H88" i="5"/>
  <c r="H49" i="5"/>
  <c r="E131" i="5"/>
  <c r="L100" i="45"/>
  <c r="L145" i="45" s="1"/>
  <c r="L177" i="45" s="1"/>
  <c r="G62" i="19"/>
  <c r="E39" i="19"/>
  <c r="G31" i="19"/>
  <c r="N50" i="48"/>
  <c r="Z42" i="48"/>
  <c r="E28" i="19"/>
  <c r="H109" i="14"/>
  <c r="D102" i="58" s="1"/>
  <c r="G102" i="58" s="1"/>
  <c r="R39" i="45"/>
  <c r="R50" i="45"/>
  <c r="R82" i="45"/>
  <c r="I131" i="5"/>
  <c r="I136" i="5" s="1"/>
  <c r="D177" i="48"/>
  <c r="T100" i="48"/>
  <c r="T145" i="48" s="1"/>
  <c r="T177" i="48" s="1"/>
  <c r="N175" i="45"/>
  <c r="D58" i="9" s="1"/>
  <c r="F58" i="9" s="1"/>
  <c r="P177" i="48"/>
  <c r="N100" i="45"/>
  <c r="N145" i="45" s="1"/>
  <c r="D28" i="19"/>
  <c r="D42" i="19"/>
  <c r="D62" i="19" s="1"/>
  <c r="D60" i="14"/>
  <c r="C49" i="15" s="1"/>
  <c r="F41" i="14"/>
  <c r="H63" i="14"/>
  <c r="F72" i="14"/>
  <c r="E51" i="15" s="1"/>
  <c r="D90" i="19"/>
  <c r="R175" i="45"/>
  <c r="D107" i="19"/>
  <c r="D114" i="19" s="1"/>
  <c r="F104" i="14"/>
  <c r="D111" i="14"/>
  <c r="C55" i="15" s="1"/>
  <c r="D74" i="19"/>
  <c r="H30" i="14"/>
  <c r="F38" i="14"/>
  <c r="E47" i="15" s="1"/>
  <c r="H13" i="14"/>
  <c r="F16" i="14"/>
  <c r="R55" i="45"/>
  <c r="R97" i="45"/>
  <c r="R67" i="45"/>
  <c r="G57" i="15"/>
  <c r="D57" i="15"/>
  <c r="D39" i="19"/>
  <c r="D131" i="5"/>
  <c r="D136" i="5" s="1"/>
  <c r="H19" i="14"/>
  <c r="F27" i="14"/>
  <c r="E45" i="15" s="1"/>
  <c r="D45" i="15" s="1"/>
  <c r="C43" i="15"/>
  <c r="H75" i="14"/>
  <c r="F88" i="14"/>
  <c r="E53" i="15" s="1"/>
  <c r="F45" i="15"/>
  <c r="G130" i="14"/>
  <c r="E107" i="58"/>
  <c r="E121" i="58" s="1"/>
  <c r="I131" i="19"/>
  <c r="E54" i="58"/>
  <c r="E63" i="58" s="1"/>
  <c r="I74" i="19"/>
  <c r="E43" i="58"/>
  <c r="E51" i="58" s="1"/>
  <c r="I62" i="19"/>
  <c r="I21" i="19"/>
  <c r="G28" i="19"/>
  <c r="R168" i="37"/>
  <c r="G104" i="23"/>
  <c r="H128" i="4"/>
  <c r="E29" i="23"/>
  <c r="P145" i="37"/>
  <c r="P176" i="37" s="1"/>
  <c r="R159" i="37"/>
  <c r="R32" i="37"/>
  <c r="R39" i="37" s="1"/>
  <c r="L100" i="37"/>
  <c r="L145" i="37" s="1"/>
  <c r="L176" i="37" s="1"/>
  <c r="X32" i="37"/>
  <c r="F24" i="12"/>
  <c r="H24" i="12" s="1"/>
  <c r="D26" i="23" s="1"/>
  <c r="G26" i="23" s="1"/>
  <c r="D27" i="12"/>
  <c r="C15" i="15" s="1"/>
  <c r="H27" i="4"/>
  <c r="D122" i="17"/>
  <c r="D131" i="17" s="1"/>
  <c r="F119" i="12"/>
  <c r="H119" i="12" s="1"/>
  <c r="D112" i="23" s="1"/>
  <c r="G112" i="23" s="1"/>
  <c r="E131" i="17"/>
  <c r="R140" i="37"/>
  <c r="R143" i="37" s="1"/>
  <c r="D102" i="37"/>
  <c r="K42" i="70"/>
  <c r="D114" i="17"/>
  <c r="R29" i="37"/>
  <c r="R50" i="37"/>
  <c r="D62" i="17"/>
  <c r="G130" i="12"/>
  <c r="F29" i="15"/>
  <c r="R97" i="37"/>
  <c r="R67" i="37"/>
  <c r="R82" i="37"/>
  <c r="D39" i="17"/>
  <c r="N100" i="37"/>
  <c r="N145" i="37" s="1"/>
  <c r="D28" i="17"/>
  <c r="H84" i="12"/>
  <c r="D87" i="23" s="1"/>
  <c r="G87" i="23" s="1"/>
  <c r="H16" i="4"/>
  <c r="D13" i="12"/>
  <c r="D66" i="12"/>
  <c r="H72" i="4"/>
  <c r="D130" i="4"/>
  <c r="I28" i="17"/>
  <c r="H63" i="12"/>
  <c r="D77" i="17"/>
  <c r="D90" i="17" s="1"/>
  <c r="D88" i="12"/>
  <c r="C23" i="15" s="1"/>
  <c r="F75" i="12"/>
  <c r="F111" i="12"/>
  <c r="E25" i="15" s="1"/>
  <c r="H101" i="12"/>
  <c r="H114" i="12"/>
  <c r="N174" i="37"/>
  <c r="D176" i="37"/>
  <c r="D134" i="4"/>
  <c r="H41" i="12"/>
  <c r="F60" i="12"/>
  <c r="E19" i="15" s="1"/>
  <c r="H19" i="12"/>
  <c r="F38" i="12"/>
  <c r="E17" i="15" s="1"/>
  <c r="H30" i="12"/>
  <c r="D118" i="44"/>
  <c r="E43" i="23"/>
  <c r="E51" i="23" s="1"/>
  <c r="I62" i="17"/>
  <c r="I117" i="17"/>
  <c r="G131" i="17"/>
  <c r="E78" i="23"/>
  <c r="E91" i="23" s="1"/>
  <c r="I90" i="17"/>
  <c r="E32" i="23"/>
  <c r="E40" i="23" s="1"/>
  <c r="I39" i="17"/>
  <c r="Q59" i="103"/>
  <c r="W59" i="103" s="1"/>
  <c r="W63" i="103" s="1"/>
  <c r="W65" i="103" s="1"/>
  <c r="Q80" i="102" s="1"/>
  <c r="Q82" i="98" l="1"/>
  <c r="E33" i="69"/>
  <c r="Q33" i="69" s="1"/>
  <c r="Q36" i="69" s="1"/>
  <c r="V176" i="37"/>
  <c r="G133" i="17"/>
  <c r="E17" i="70" s="1"/>
  <c r="AE17" i="70" s="1"/>
  <c r="G17" i="44"/>
  <c r="E17" i="44"/>
  <c r="F19" i="44"/>
  <c r="N100" i="48"/>
  <c r="N145" i="48" s="1"/>
  <c r="N177" i="48" s="1"/>
  <c r="C59" i="15"/>
  <c r="H131" i="5"/>
  <c r="E133" i="17"/>
  <c r="E138" i="17" s="1"/>
  <c r="E133" i="19"/>
  <c r="G39" i="19"/>
  <c r="G133" i="19" s="1"/>
  <c r="E17" i="69" s="1"/>
  <c r="I31" i="19"/>
  <c r="N177" i="45"/>
  <c r="H135" i="5"/>
  <c r="D133" i="19"/>
  <c r="R100" i="45"/>
  <c r="R145" i="45" s="1"/>
  <c r="R177" i="45" s="1"/>
  <c r="D47" i="15"/>
  <c r="G47" i="15"/>
  <c r="D53" i="15"/>
  <c r="G53" i="15"/>
  <c r="D32" i="58"/>
  <c r="H38" i="14"/>
  <c r="H104" i="14"/>
  <c r="F111" i="14"/>
  <c r="E55" i="15" s="1"/>
  <c r="F60" i="14"/>
  <c r="E49" i="15" s="1"/>
  <c r="H41" i="14"/>
  <c r="D78" i="58"/>
  <c r="H88" i="14"/>
  <c r="H27" i="14"/>
  <c r="D21" i="58"/>
  <c r="E43" i="15"/>
  <c r="D51" i="15"/>
  <c r="G51" i="15"/>
  <c r="D130" i="14"/>
  <c r="D137" i="19" s="1"/>
  <c r="D15" i="58"/>
  <c r="H16" i="14"/>
  <c r="D54" i="58"/>
  <c r="H72" i="14"/>
  <c r="K42" i="69"/>
  <c r="E22" i="58"/>
  <c r="E29" i="58" s="1"/>
  <c r="I28" i="19"/>
  <c r="F59" i="15"/>
  <c r="G45" i="15"/>
  <c r="R174" i="37"/>
  <c r="F128" i="12"/>
  <c r="E27" i="15" s="1"/>
  <c r="D27" i="15" s="1"/>
  <c r="F27" i="12"/>
  <c r="E15" i="15" s="1"/>
  <c r="G15" i="15" s="1"/>
  <c r="H130" i="4"/>
  <c r="N176" i="37"/>
  <c r="H134" i="4"/>
  <c r="R100" i="37"/>
  <c r="R145" i="37" s="1"/>
  <c r="D135" i="4"/>
  <c r="D68" i="17"/>
  <c r="D74" i="17" s="1"/>
  <c r="F66" i="12"/>
  <c r="D72" i="12"/>
  <c r="C21" i="15" s="1"/>
  <c r="F13" i="12"/>
  <c r="D16" i="12"/>
  <c r="C13" i="15" s="1"/>
  <c r="D14" i="17"/>
  <c r="D17" i="17" s="1"/>
  <c r="D32" i="23"/>
  <c r="H38" i="12"/>
  <c r="D21" i="23"/>
  <c r="H27" i="12"/>
  <c r="D25" i="15"/>
  <c r="G25" i="15"/>
  <c r="D17" i="15"/>
  <c r="G17" i="15"/>
  <c r="G19" i="15"/>
  <c r="D19" i="15"/>
  <c r="D107" i="23"/>
  <c r="H128" i="12"/>
  <c r="H75" i="12"/>
  <c r="F88" i="12"/>
  <c r="E23" i="15" s="1"/>
  <c r="D43" i="23"/>
  <c r="H60" i="12"/>
  <c r="D54" i="23"/>
  <c r="D94" i="23"/>
  <c r="H111" i="12"/>
  <c r="E107" i="23"/>
  <c r="E121" i="23" s="1"/>
  <c r="E123" i="23" s="1"/>
  <c r="I131" i="17"/>
  <c r="I133" i="17" s="1"/>
  <c r="D16" i="16" s="1"/>
  <c r="G33" i="70"/>
  <c r="G36" i="70" s="1"/>
  <c r="G38" i="70" s="1"/>
  <c r="G42" i="70" s="1"/>
  <c r="E49" i="25"/>
  <c r="E51" i="25" s="1"/>
  <c r="G49" i="25"/>
  <c r="F21" i="16" s="1"/>
  <c r="Q63" i="103"/>
  <c r="Q65" i="103" s="1"/>
  <c r="E36" i="69" l="1"/>
  <c r="AE33" i="69"/>
  <c r="AE36" i="69" s="1"/>
  <c r="G27" i="15"/>
  <c r="Q17" i="70"/>
  <c r="G19" i="44"/>
  <c r="F21" i="44"/>
  <c r="E19" i="44"/>
  <c r="H136" i="5"/>
  <c r="Q17" i="69"/>
  <c r="AE17" i="69"/>
  <c r="I39" i="19"/>
  <c r="I133" i="19" s="1"/>
  <c r="F16" i="16" s="1"/>
  <c r="E32" i="58"/>
  <c r="E40" i="58" s="1"/>
  <c r="E123" i="58" s="1"/>
  <c r="D18" i="58"/>
  <c r="G15" i="58"/>
  <c r="G18" i="58" s="1"/>
  <c r="D55" i="15"/>
  <c r="G55" i="15"/>
  <c r="F130" i="14"/>
  <c r="G78" i="58"/>
  <c r="G91" i="58" s="1"/>
  <c r="D91" i="58"/>
  <c r="D97" i="58"/>
  <c r="H111" i="14"/>
  <c r="E59" i="15"/>
  <c r="E14" i="69" s="1"/>
  <c r="D43" i="15"/>
  <c r="G43" i="15"/>
  <c r="D63" i="58"/>
  <c r="G54" i="58"/>
  <c r="G63" i="58" s="1"/>
  <c r="D29" i="58"/>
  <c r="G21" i="58"/>
  <c r="G29" i="58" s="1"/>
  <c r="H60" i="14"/>
  <c r="H130" i="14" s="1"/>
  <c r="D43" i="58"/>
  <c r="G49" i="15"/>
  <c r="D49" i="15"/>
  <c r="D40" i="58"/>
  <c r="G32" i="58"/>
  <c r="G40" i="58" s="1"/>
  <c r="R176" i="37"/>
  <c r="D15" i="15"/>
  <c r="D130" i="12"/>
  <c r="D137" i="17" s="1"/>
  <c r="D133" i="17"/>
  <c r="C29" i="15"/>
  <c r="H13" i="12"/>
  <c r="F16" i="12"/>
  <c r="E13" i="15" s="1"/>
  <c r="G13" i="15" s="1"/>
  <c r="H66" i="12"/>
  <c r="F72" i="12"/>
  <c r="E21" i="15" s="1"/>
  <c r="G54" i="23"/>
  <c r="D51" i="23"/>
  <c r="G43" i="23"/>
  <c r="G51" i="23" s="1"/>
  <c r="G23" i="15"/>
  <c r="D23" i="15"/>
  <c r="D78" i="23"/>
  <c r="H88" i="12"/>
  <c r="D29" i="23"/>
  <c r="G21" i="23"/>
  <c r="G29" i="23" s="1"/>
  <c r="D13" i="15"/>
  <c r="D104" i="23"/>
  <c r="G94" i="23"/>
  <c r="G107" i="23"/>
  <c r="G121" i="23" s="1"/>
  <c r="D121" i="23"/>
  <c r="D40" i="23"/>
  <c r="G32" i="23"/>
  <c r="G40" i="23" s="1"/>
  <c r="F49" i="25"/>
  <c r="G51" i="25"/>
  <c r="G21" i="44" l="1"/>
  <c r="E21" i="44"/>
  <c r="F57" i="44"/>
  <c r="G59" i="15"/>
  <c r="F14" i="16" s="1"/>
  <c r="F17" i="16" s="1"/>
  <c r="F19" i="16" s="1"/>
  <c r="F28" i="16" s="1"/>
  <c r="G43" i="58"/>
  <c r="G51" i="58" s="1"/>
  <c r="D51" i="58"/>
  <c r="G97" i="58"/>
  <c r="G104" i="58" s="1"/>
  <c r="D104" i="58"/>
  <c r="AE14" i="69"/>
  <c r="AE19" i="69" s="1"/>
  <c r="AE27" i="69" s="1"/>
  <c r="AE38" i="69" s="1"/>
  <c r="AE42" i="69" s="1"/>
  <c r="E19" i="69"/>
  <c r="E27" i="69" s="1"/>
  <c r="Q14" i="69"/>
  <c r="Q19" i="69" s="1"/>
  <c r="E29" i="15"/>
  <c r="E14" i="70" s="1"/>
  <c r="AE14" i="70" s="1"/>
  <c r="AE19" i="70" s="1"/>
  <c r="AE27" i="70" s="1"/>
  <c r="D57" i="23"/>
  <c r="H72" i="12"/>
  <c r="G21" i="15"/>
  <c r="G29" i="15" s="1"/>
  <c r="D14" i="16" s="1"/>
  <c r="D17" i="16" s="1"/>
  <c r="D19" i="16" s="1"/>
  <c r="D21" i="15"/>
  <c r="F130" i="12"/>
  <c r="D15" i="23"/>
  <c r="H16" i="12"/>
  <c r="D91" i="23"/>
  <c r="G78" i="23"/>
  <c r="G91" i="23" s="1"/>
  <c r="E52" i="102"/>
  <c r="I52" i="102"/>
  <c r="Q52" i="102" s="1"/>
  <c r="Q66" i="102" s="1"/>
  <c r="Q74" i="102" s="1"/>
  <c r="Q78" i="102" s="1"/>
  <c r="G66" i="102"/>
  <c r="I66" i="102" l="1"/>
  <c r="G57" i="44"/>
  <c r="E57" i="44"/>
  <c r="F118" i="44"/>
  <c r="H130" i="12"/>
  <c r="D123" i="58"/>
  <c r="G123" i="58"/>
  <c r="Q27" i="69"/>
  <c r="Q38" i="69" s="1"/>
  <c r="Q42" i="69" s="1"/>
  <c r="Q44" i="69" s="1"/>
  <c r="E38" i="69"/>
  <c r="E42" i="69" s="1"/>
  <c r="E44" i="69" s="1"/>
  <c r="S44" i="69"/>
  <c r="Y44" i="69"/>
  <c r="K44" i="69"/>
  <c r="AE44" i="69"/>
  <c r="AA44" i="69"/>
  <c r="AC44" i="69"/>
  <c r="G44" i="69"/>
  <c r="W44" i="69"/>
  <c r="I44" i="69"/>
  <c r="U44" i="69"/>
  <c r="M44" i="69"/>
  <c r="O44" i="69"/>
  <c r="E19" i="70"/>
  <c r="E27" i="70" s="1"/>
  <c r="Q27" i="70" s="1"/>
  <c r="Q14" i="70"/>
  <c r="Q19" i="70" s="1"/>
  <c r="G57" i="23"/>
  <c r="G63" i="23" s="1"/>
  <c r="D63" i="23"/>
  <c r="D18" i="23"/>
  <c r="G15" i="23"/>
  <c r="G18" i="23" s="1"/>
  <c r="Q82" i="102"/>
  <c r="G21" i="25" s="1"/>
  <c r="E33" i="70"/>
  <c r="G123" i="23" l="1"/>
  <c r="D123" i="23"/>
  <c r="E21" i="25"/>
  <c r="E23" i="25" s="1"/>
  <c r="AE33" i="70"/>
  <c r="AE36" i="70" s="1"/>
  <c r="AE38" i="70" s="1"/>
  <c r="AE42" i="70" s="1"/>
  <c r="E36" i="70"/>
  <c r="E38" i="70" s="1"/>
  <c r="E42" i="70" s="1"/>
  <c r="Q33" i="70"/>
  <c r="Q36" i="70" s="1"/>
  <c r="Q38" i="70" s="1"/>
  <c r="Q42" i="70" s="1"/>
  <c r="D21" i="16"/>
  <c r="D28" i="16" s="1"/>
  <c r="G23" i="25"/>
  <c r="E44" i="70" l="1"/>
  <c r="F21" i="25"/>
  <c r="Q44" i="70"/>
  <c r="K44" i="70"/>
  <c r="W44" i="70"/>
  <c r="M44" i="70"/>
  <c r="Y44" i="70"/>
  <c r="AE44" i="70"/>
  <c r="AA44" i="70"/>
  <c r="S44" i="70"/>
  <c r="I44" i="70"/>
  <c r="O44" i="70"/>
  <c r="AC44" i="70"/>
  <c r="U44" i="70"/>
  <c r="G44" i="70"/>
</calcChain>
</file>

<file path=xl/sharedStrings.xml><?xml version="1.0" encoding="utf-8"?>
<sst xmlns="http://schemas.openxmlformats.org/spreadsheetml/2006/main" count="10364" uniqueCount="3076">
  <si>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</si>
  <si>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</si>
  <si>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</si>
  <si>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</si>
  <si>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</si>
  <si>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</si>
  <si>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</si>
  <si>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</si>
  <si>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</si>
  <si>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</si>
  <si>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</si>
  <si>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</si>
  <si>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</si>
  <si>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</si>
  <si>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</si>
  <si>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</si>
  <si>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</si>
  <si>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</si>
  <si>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</si>
  <si>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</si>
  <si>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</si>
  <si>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</si>
  <si>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</si>
  <si>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</si>
  <si>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</si>
  <si>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</si>
  <si>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</si>
  <si>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</si>
  <si>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</si>
  <si>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</si>
  <si>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</si>
  <si>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</si>
  <si>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</si>
  <si>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</si>
  <si>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</si>
  <si>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</si>
  <si>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</si>
  <si>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</si>
  <si>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</si>
  <si>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</si>
  <si>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</si>
  <si>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</si>
  <si>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</si>
  <si>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</si>
  <si>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</si>
  <si>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</si>
  <si>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</si>
  <si>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</si>
  <si>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</si>
  <si>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</si>
  <si>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</si>
  <si>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</si>
  <si>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</si>
  <si>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</si>
  <si>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</si>
  <si>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</si>
  <si>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</si>
  <si>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</si>
  <si>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</si>
  <si>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</si>
  <si>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</si>
  <si>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</si>
  <si>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</si>
  <si>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</si>
  <si>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</si>
  <si>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</si>
  <si>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</si>
  <si>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</si>
  <si>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</si>
  <si>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</si>
  <si>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</si>
  <si>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</si>
  <si>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</si>
  <si>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</si>
  <si>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</si>
  <si>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</si>
  <si>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</si>
  <si>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</si>
  <si>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</si>
  <si>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</si>
  <si>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</si>
  <si>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</si>
  <si>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</si>
  <si>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</si>
  <si>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</si>
  <si>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</si>
  <si>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</si>
  <si>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</si>
  <si>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</si>
  <si>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</si>
  <si>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</si>
  <si>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</si>
  <si>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</si>
  <si>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</si>
  <si>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</si>
  <si>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</si>
  <si>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</si>
  <si>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</si>
  <si>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</si>
  <si>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</si>
  <si>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</si>
  <si>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</si>
  <si>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</si>
  <si>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</si>
  <si>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</si>
  <si>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</si>
  <si>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</si>
  <si>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</si>
  <si>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</si>
  <si>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</si>
  <si>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</si>
  <si>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</si>
  <si>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</si>
  <si>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</si>
  <si>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</si>
  <si>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</si>
  <si>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</si>
  <si>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</si>
  <si>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</si>
  <si>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</si>
  <si>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</si>
  <si>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</si>
  <si>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</si>
  <si>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</si>
  <si>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</si>
  <si>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</si>
  <si>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</si>
  <si>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</si>
  <si>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</si>
  <si>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</si>
  <si>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</si>
  <si>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</si>
  <si>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</si>
  <si>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</si>
  <si>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</si>
  <si>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</si>
  <si>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</si>
  <si>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</si>
  <si>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</si>
  <si>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</si>
  <si>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</si>
  <si>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</si>
  <si>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</si>
  <si>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</si>
  <si>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</si>
  <si>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</si>
  <si>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</si>
  <si>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</si>
  <si>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</si>
  <si>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</si>
  <si>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</si>
  <si>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</si>
  <si>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</si>
  <si>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</si>
  <si>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</si>
  <si>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</si>
  <si>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</si>
  <si>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</si>
  <si>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</si>
  <si>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</si>
  <si>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</si>
  <si>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</si>
  <si>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</si>
  <si>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</si>
  <si>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</si>
  <si>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</si>
  <si>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</si>
  <si>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</si>
  <si>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</si>
  <si>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</si>
  <si>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</si>
  <si>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</si>
  <si>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</si>
  <si>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</si>
  <si>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</si>
  <si>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</si>
  <si>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</si>
  <si>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</si>
  <si>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</si>
  <si>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</si>
  <si>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</si>
  <si>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</si>
  <si>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</si>
  <si>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</si>
  <si>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</si>
  <si>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</si>
  <si>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</si>
  <si>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</si>
  <si>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</si>
  <si>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</si>
  <si>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</si>
  <si>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</si>
  <si>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</si>
  <si>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</si>
  <si>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</si>
  <si>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</si>
  <si>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</si>
  <si>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</si>
  <si>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</si>
  <si>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</si>
  <si>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</si>
  <si>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</si>
  <si>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</si>
  <si>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</si>
  <si>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</si>
  <si>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</si>
  <si>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</si>
  <si>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</si>
  <si>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</si>
  <si>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</si>
  <si>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</si>
  <si>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</si>
  <si>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</si>
  <si>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</si>
  <si>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</si>
  <si>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</si>
  <si>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</si>
  <si>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</si>
  <si>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</si>
  <si>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</si>
  <si>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</si>
  <si>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</si>
  <si>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</si>
  <si>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</si>
  <si>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</si>
  <si>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</si>
  <si>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</si>
  <si>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</si>
  <si>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</si>
  <si>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</si>
  <si>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</si>
  <si>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</si>
  <si>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</si>
  <si>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</si>
  <si>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</si>
  <si>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</si>
  <si>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</si>
  <si>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</si>
  <si>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</si>
  <si>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</si>
  <si>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</si>
  <si>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</si>
  <si>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</si>
  <si>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</si>
  <si>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</si>
  <si>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</si>
  <si>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</si>
  <si>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</si>
  <si>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</si>
  <si>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</si>
  <si>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</si>
  <si>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</si>
  <si>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</si>
  <si>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</si>
  <si>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</si>
  <si>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</si>
  <si>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</si>
  <si>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</si>
  <si>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</si>
  <si>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</si>
  <si>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</si>
  <si>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</si>
  <si>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</si>
  <si>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</si>
  <si>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</si>
  <si>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</si>
  <si>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</si>
  <si>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</si>
  <si>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</si>
  <si>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</si>
  <si>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</si>
  <si>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</si>
  <si>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</si>
  <si>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</si>
  <si>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</si>
  <si>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</si>
  <si>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</si>
  <si>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</si>
  <si>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</si>
  <si>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</si>
  <si>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</si>
  <si>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</si>
  <si>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</si>
  <si>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</si>
  <si>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</si>
  <si>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</si>
  <si>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</si>
  <si>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</si>
  <si>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</si>
  <si>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</si>
  <si>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</si>
  <si>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</si>
  <si>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</si>
  <si>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</si>
  <si>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</si>
  <si>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</si>
  <si>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</si>
  <si>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</si>
  <si>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</si>
  <si>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</si>
  <si>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</si>
  <si>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</si>
  <si>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</si>
  <si>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</si>
  <si>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</si>
  <si>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</si>
  <si>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</si>
  <si>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</si>
  <si>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</si>
  <si>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</si>
  <si>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</si>
  <si>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</si>
  <si>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</si>
  <si>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</si>
  <si>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</si>
  <si>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</si>
  <si>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</si>
  <si>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</si>
  <si>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</si>
  <si>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</si>
  <si>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</si>
  <si>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</si>
  <si>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</si>
  <si>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</si>
  <si>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</si>
  <si>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</si>
  <si>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</si>
  <si>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</si>
  <si>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</si>
  <si>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</si>
  <si>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</si>
  <si>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</si>
  <si>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</si>
  <si>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</si>
  <si>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</si>
  <si>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</si>
  <si>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</si>
  <si>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</si>
  <si>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</si>
  <si>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</si>
  <si>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</si>
  <si>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</si>
  <si>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</si>
  <si>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</si>
  <si>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</si>
  <si>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</si>
  <si>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</si>
  <si>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TOTAL ACCOUNT 345 - ACCESSORY ELECTRIC EQUIPMENT</t>
  </si>
  <si>
    <t>35-R2</t>
  </si>
  <si>
    <t xml:space="preserve">    TOTAL OTHER PRODUCTION PLANT </t>
  </si>
  <si>
    <t xml:space="preserve">TRANSMISSION PLANT </t>
  </si>
  <si>
    <t>60-R3</t>
  </si>
  <si>
    <t>70-R4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</si>
  <si>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</si>
  <si>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</si>
  <si>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</si>
  <si>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</si>
  <si>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</si>
  <si>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</si>
  <si>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</si>
  <si>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</si>
  <si>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</si>
  <si>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</si>
  <si>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</si>
  <si>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</si>
  <si>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</si>
  <si>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</si>
  <si>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</si>
  <si>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</si>
  <si>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</si>
  <si>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</si>
  <si>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</si>
  <si>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</si>
  <si>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</si>
  <si>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</si>
  <si>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</si>
  <si>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</si>
  <si>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</si>
  <si>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</si>
  <si>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</si>
  <si>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</si>
  <si>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</si>
  <si>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</si>
  <si>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</si>
  <si>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</si>
  <si>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</si>
  <si>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</si>
  <si>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</si>
  <si>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</si>
  <si>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</si>
  <si>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</si>
  <si>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</si>
  <si>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</si>
  <si>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</si>
  <si>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</si>
  <si>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</si>
  <si>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</si>
  <si>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</si>
  <si>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</si>
  <si>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</si>
  <si>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</si>
  <si>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</si>
  <si>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</si>
  <si>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</si>
  <si>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</si>
  <si>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</si>
  <si>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</si>
  <si>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</si>
  <si>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</si>
  <si>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</si>
  <si>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</si>
  <si>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</si>
  <si>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</si>
  <si>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</si>
  <si>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</si>
  <si>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</si>
  <si>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</si>
  <si>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</si>
  <si>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</si>
  <si>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</si>
  <si>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</si>
  <si>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</si>
  <si>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</si>
  <si>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</si>
  <si>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</si>
  <si>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</si>
  <si>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</si>
  <si>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</si>
  <si>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</si>
  <si>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</si>
  <si>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</si>
  <si>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</si>
  <si>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</si>
  <si>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</si>
  <si>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</si>
  <si>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</si>
  <si>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</si>
  <si>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</si>
  <si>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</si>
  <si>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</si>
  <si>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</si>
  <si>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</si>
  <si>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</si>
  <si>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</si>
  <si>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</si>
  <si>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</si>
  <si>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</si>
  <si>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</si>
  <si>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</si>
  <si>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</si>
  <si>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</si>
  <si>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</si>
  <si>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</si>
  <si>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</si>
  <si>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</si>
  <si>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</si>
  <si>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</si>
  <si>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</si>
  <si>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</si>
  <si>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</si>
  <si>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</si>
  <si>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</si>
  <si>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</si>
  <si>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</si>
  <si>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</si>
  <si>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</si>
  <si>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</si>
  <si>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</si>
  <si>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</si>
  <si>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</si>
  <si>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</si>
  <si>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</si>
  <si>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</si>
  <si>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</si>
  <si>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</si>
  <si>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</si>
  <si>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</si>
  <si>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</si>
  <si>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</si>
  <si>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</si>
  <si>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</si>
  <si>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</si>
  <si>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</si>
  <si>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</si>
  <si>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</si>
  <si>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</si>
  <si>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</si>
  <si>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</si>
  <si>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</si>
  <si>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</si>
  <si>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</si>
  <si>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</si>
  <si>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</si>
  <si>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</si>
  <si>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</si>
  <si>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</si>
  <si>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</si>
  <si>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</si>
  <si>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</si>
  <si>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</si>
  <si>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</si>
  <si>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</si>
  <si>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</si>
  <si>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</si>
  <si>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</si>
  <si>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</si>
  <si>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</si>
  <si>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</si>
  <si>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</si>
  <si>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</si>
  <si>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</si>
  <si>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</si>
  <si>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</si>
  <si>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</si>
  <si>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</si>
  <si>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</si>
  <si>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</si>
  <si>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</si>
  <si>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</si>
  <si>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</si>
  <si>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</si>
  <si>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</si>
  <si>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</si>
  <si>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</si>
  <si>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</si>
  <si>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</si>
  <si>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</si>
  <si>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</si>
  <si>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</si>
  <si>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</si>
  <si>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</si>
  <si>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</si>
  <si>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</si>
  <si>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</si>
  <si>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</si>
  <si>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</si>
  <si>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</si>
  <si>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</si>
  <si>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</si>
  <si>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</si>
  <si>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</si>
  <si>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</si>
  <si>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</si>
  <si>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</si>
  <si>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</si>
  <si>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</si>
  <si>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</si>
  <si>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</si>
  <si>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</si>
  <si>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</si>
  <si>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</si>
  <si>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</si>
  <si>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</si>
  <si>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</si>
  <si>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</si>
  <si>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</si>
  <si>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</si>
  <si>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</si>
  <si>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</si>
  <si>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</si>
  <si>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</si>
  <si>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</si>
  <si>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</si>
  <si>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</si>
  <si>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</si>
  <si>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</si>
  <si>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</si>
  <si>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</si>
  <si>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</si>
  <si>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</si>
  <si>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</si>
  <si>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</si>
  <si>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</si>
  <si>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</si>
  <si>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</si>
  <si>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</si>
  <si>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</si>
  <si>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</si>
  <si>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</si>
  <si>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</si>
  <si>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</si>
  <si>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</si>
  <si>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</si>
  <si>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</si>
  <si>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</si>
  <si>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</si>
  <si>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</si>
  <si>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</si>
  <si>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</si>
  <si>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</si>
  <si>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</si>
  <si>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</si>
  <si>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</si>
  <si>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</si>
  <si>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</si>
  <si>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</si>
  <si>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</si>
  <si>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</si>
  <si>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</si>
  <si>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</si>
  <si>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</si>
  <si>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</si>
  <si>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</si>
  <si>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</si>
  <si>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</si>
  <si>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Intangible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</si>
  <si>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</si>
  <si>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</si>
  <si>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</si>
  <si>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</si>
  <si>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</si>
  <si>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</si>
  <si>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</si>
  <si>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</si>
  <si>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</si>
  <si>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</si>
  <si>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</si>
  <si>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</si>
  <si>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</si>
  <si>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</si>
  <si>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</si>
  <si>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</si>
  <si>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</si>
  <si>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</si>
  <si>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</si>
  <si>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</si>
  <si>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</si>
  <si>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</si>
  <si>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</si>
  <si>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</si>
  <si>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</si>
  <si>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</si>
  <si>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</si>
  <si>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</si>
  <si>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</si>
  <si>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</si>
  <si>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</si>
  <si>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</si>
  <si>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</si>
  <si>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</si>
  <si>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</si>
  <si>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</si>
  <si>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</si>
  <si>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</si>
  <si>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</si>
  <si>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</si>
  <si>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</si>
  <si>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</si>
  <si>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</si>
  <si>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</si>
  <si>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</si>
  <si>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</si>
  <si>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</si>
  <si>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</si>
  <si>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</si>
  <si>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</si>
  <si>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</si>
  <si>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</si>
  <si>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</si>
  <si>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</si>
  <si>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</si>
  <si>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</si>
  <si>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</si>
  <si>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</si>
  <si>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</si>
  <si>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</si>
  <si>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</si>
  <si>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</si>
  <si>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</si>
  <si>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</si>
  <si>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</si>
  <si>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</si>
  <si>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</si>
  <si>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</si>
  <si>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</si>
  <si>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</si>
  <si>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</si>
  <si>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</si>
  <si>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</si>
  <si>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</si>
  <si>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</si>
  <si>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</si>
  <si>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</si>
  <si>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</si>
  <si>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</si>
  <si>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</si>
  <si>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</si>
  <si>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</si>
  <si>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</si>
  <si>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</si>
  <si>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</si>
  <si>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</si>
  <si>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</si>
  <si>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</si>
  <si>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</si>
  <si>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</si>
  <si>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</si>
  <si>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</si>
  <si>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</si>
  <si>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</si>
  <si>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</si>
  <si>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</si>
  <si>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</si>
  <si>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</si>
  <si>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</si>
  <si>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</si>
  <si>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</si>
  <si>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</si>
  <si>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</si>
  <si>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</si>
  <si>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</si>
  <si>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</si>
  <si>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</si>
  <si>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</si>
  <si>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</si>
  <si>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</si>
  <si>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</si>
  <si>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</si>
  <si>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</si>
  <si>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</si>
  <si>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</si>
  <si>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</si>
  <si>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</si>
  <si>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</si>
  <si>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</si>
  <si>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</si>
  <si>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</si>
  <si>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</si>
  <si>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</si>
  <si>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</si>
  <si>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</si>
  <si>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</si>
  <si>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</si>
  <si>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</si>
  <si>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</si>
  <si>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</si>
  <si>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</si>
  <si>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</si>
  <si>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</si>
  <si>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</si>
  <si>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</si>
  <si>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</si>
  <si>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</si>
  <si>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</si>
  <si>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</si>
  <si>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</si>
  <si>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</si>
  <si>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</si>
  <si>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</si>
  <si>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</si>
  <si>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</si>
  <si>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</si>
  <si>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</si>
  <si>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</si>
  <si>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</si>
  <si>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</si>
  <si>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</si>
  <si>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</si>
  <si>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</si>
  <si>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</si>
  <si>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</si>
  <si>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</si>
  <si>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</si>
  <si>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</si>
  <si>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</si>
  <si>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</si>
  <si>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</si>
  <si>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</si>
  <si>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</si>
  <si>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</si>
  <si>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</si>
  <si>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</si>
  <si>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</si>
  <si>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</si>
  <si>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</si>
  <si>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</si>
  <si>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</si>
  <si>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</si>
  <si>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</si>
  <si>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</si>
  <si>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</si>
  <si>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</si>
  <si>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</si>
  <si>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</si>
  <si>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</si>
  <si>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</si>
  <si>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</si>
  <si>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</si>
  <si>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</si>
  <si>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</si>
  <si>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</si>
  <si>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</si>
  <si>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</si>
  <si>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</si>
  <si>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</si>
  <si>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</si>
  <si>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</si>
  <si>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</si>
  <si>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</si>
  <si>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</si>
  <si>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</si>
  <si>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</si>
  <si>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</si>
  <si>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</si>
  <si>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</si>
  <si>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</si>
  <si>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</si>
  <si>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</si>
  <si>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</si>
  <si>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</si>
  <si>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</si>
  <si>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</si>
  <si>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</si>
  <si>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</si>
  <si>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</si>
  <si>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</si>
  <si>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</si>
  <si>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</si>
  <si>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</si>
  <si>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</si>
  <si>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</si>
  <si>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</si>
  <si>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</si>
  <si>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</si>
  <si>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</si>
  <si>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</si>
  <si>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</si>
  <si>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</si>
  <si>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</si>
  <si>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</si>
  <si>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</si>
  <si>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</si>
  <si>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</si>
  <si>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</si>
  <si>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</si>
  <si>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</si>
  <si>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</si>
  <si>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</si>
  <si>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</si>
  <si>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</si>
  <si>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</si>
  <si>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</si>
  <si>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</si>
  <si>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</si>
  <si>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</si>
  <si>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</si>
  <si>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</si>
  <si>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</si>
  <si>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</si>
  <si>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</si>
  <si>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</si>
  <si>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</si>
  <si>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</si>
  <si>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</si>
  <si>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</si>
  <si>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</si>
  <si>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</si>
  <si>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</si>
  <si>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</si>
  <si>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</si>
  <si>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</si>
  <si>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</si>
  <si>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</si>
  <si>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</si>
  <si>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</si>
  <si>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</si>
  <si>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</si>
  <si>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</si>
  <si>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</si>
  <si>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</si>
  <si>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</si>
  <si>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</si>
  <si>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</si>
  <si>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</si>
  <si>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</si>
  <si>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</si>
  <si>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</si>
  <si>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</si>
  <si>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</si>
  <si>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</si>
  <si>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</si>
  <si>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</si>
  <si>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</si>
  <si>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</si>
  <si>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</si>
  <si>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</si>
  <si>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</si>
  <si>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</si>
  <si>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</si>
  <si>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</si>
  <si>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</si>
  <si>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</si>
  <si>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</si>
  <si>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</si>
  <si>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</si>
  <si>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</si>
  <si>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</si>
  <si>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</si>
  <si>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</si>
  <si>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</si>
  <si>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</si>
  <si>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</si>
  <si>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</si>
  <si>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</si>
  <si>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</si>
  <si>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</si>
  <si>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</si>
  <si>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</si>
  <si>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</si>
  <si>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</si>
  <si>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</si>
  <si>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</si>
  <si>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</si>
  <si>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</si>
  <si>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</si>
  <si>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</si>
  <si>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</si>
  <si>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</si>
  <si>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</si>
  <si>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</si>
  <si>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</si>
  <si>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</si>
  <si>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</si>
  <si>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</si>
  <si>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</si>
  <si>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</si>
  <si>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</si>
  <si>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</si>
  <si>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</si>
  <si>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</si>
  <si>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</si>
  <si>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</si>
  <si>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</si>
  <si>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</si>
  <si>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</si>
  <si>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</si>
  <si>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</si>
  <si>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</si>
  <si>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</si>
  <si>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</si>
  <si>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</si>
  <si>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</si>
  <si>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</si>
  <si>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</si>
  <si>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</si>
  <si>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</si>
  <si>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</si>
  <si>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</si>
  <si>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</si>
  <si>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</si>
  <si>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</si>
  <si>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</si>
  <si>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</si>
  <si>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</si>
  <si>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</si>
  <si>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</si>
  <si>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</si>
  <si>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</si>
  <si>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</si>
  <si>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</si>
  <si>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</si>
  <si>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</si>
  <si>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</si>
  <si>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</si>
  <si>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</si>
  <si>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</si>
  <si>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</si>
  <si>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</si>
  <si>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</si>
  <si>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</si>
  <si>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</si>
  <si>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</si>
  <si>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</si>
  <si>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</si>
  <si>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</si>
  <si>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</si>
  <si>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</si>
  <si>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</si>
  <si>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</si>
  <si>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</si>
  <si>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</si>
  <si>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</si>
  <si>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</si>
  <si>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</si>
  <si>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</si>
  <si>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</si>
  <si>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</si>
  <si>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</si>
  <si>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</si>
  <si>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</si>
  <si>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</si>
  <si>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</si>
  <si>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</si>
  <si>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</si>
  <si>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</si>
  <si>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</si>
  <si>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</si>
  <si>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</si>
  <si>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</si>
  <si>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</si>
  <si>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</si>
  <si>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</si>
  <si>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</si>
  <si>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</si>
  <si>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</si>
  <si>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</si>
  <si>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</si>
  <si>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</si>
  <si>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</si>
  <si>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</si>
  <si>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</si>
  <si>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</si>
  <si>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</si>
  <si>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</si>
  <si>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</si>
  <si>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</si>
  <si>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</si>
  <si>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</si>
  <si>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</si>
  <si>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</si>
  <si>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</si>
  <si>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</si>
  <si>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</si>
  <si>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</si>
  <si>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</si>
  <si>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</si>
  <si>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</si>
  <si>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</si>
  <si>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</si>
  <si>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</si>
  <si>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</si>
  <si>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</si>
  <si>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</si>
  <si>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</si>
  <si>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</si>
  <si>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</si>
  <si>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</si>
  <si>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</si>
  <si>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</si>
  <si>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</si>
  <si>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</si>
  <si>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</si>
  <si>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</si>
  <si>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</si>
  <si>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</si>
  <si>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</si>
  <si>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</si>
  <si>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</si>
  <si>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</si>
  <si>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</si>
  <si>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</si>
  <si>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</si>
  <si>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</si>
  <si>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</si>
  <si>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</si>
  <si>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</si>
  <si>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</si>
  <si>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</si>
  <si>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</si>
  <si>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</si>
  <si>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</si>
  <si>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</si>
  <si>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</si>
  <si>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</si>
  <si>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</si>
  <si>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</si>
  <si>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</si>
  <si>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</si>
  <si>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</si>
  <si>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</si>
  <si>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</si>
  <si>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</si>
  <si>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</si>
  <si>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</si>
  <si>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</si>
  <si>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</si>
  <si>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</si>
  <si>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</si>
  <si>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</si>
  <si>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</si>
  <si>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</si>
  <si>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</si>
  <si>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</si>
  <si>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</si>
  <si>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</si>
  <si>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</si>
  <si>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</si>
  <si>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</si>
  <si>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</si>
  <si>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</si>
  <si>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</si>
  <si>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</si>
  <si>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</si>
  <si>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</si>
  <si>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</si>
  <si>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</si>
  <si>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</si>
  <si>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</si>
  <si>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</si>
  <si>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</si>
  <si>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</si>
  <si>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</si>
  <si>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</si>
  <si>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</si>
  <si>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</si>
  <si>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</si>
  <si>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</si>
  <si>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</si>
  <si>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</si>
  <si>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</si>
  <si>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</si>
  <si>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</si>
  <si>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</si>
  <si>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</si>
  <si>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</si>
  <si>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</si>
  <si>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</si>
  <si>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</si>
  <si>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</si>
  <si>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</si>
  <si>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</si>
  <si>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</si>
  <si>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</si>
  <si>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</si>
  <si>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</si>
  <si>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</si>
  <si>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</si>
  <si>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</si>
  <si>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</si>
  <si>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</si>
  <si>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</si>
  <si>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</si>
  <si>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</si>
  <si>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</si>
  <si>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</si>
  <si>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</si>
  <si>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</si>
  <si>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</si>
  <si>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</si>
  <si>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</si>
  <si>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</si>
  <si>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</si>
  <si>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</si>
  <si>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</si>
  <si>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</si>
  <si>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</si>
  <si>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</si>
  <si>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</si>
  <si>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</si>
  <si>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</si>
  <si>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</si>
  <si>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</si>
  <si>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</si>
  <si>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</si>
  <si>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</si>
  <si>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</si>
  <si>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</si>
  <si>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</si>
  <si>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</si>
  <si>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</si>
  <si>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</si>
  <si>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</si>
  <si>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</si>
  <si>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</si>
  <si>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</si>
  <si>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</si>
  <si>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</si>
  <si>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</si>
  <si>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</si>
  <si>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</si>
  <si>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</si>
  <si>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</si>
  <si>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</si>
  <si>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</si>
  <si>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</si>
  <si>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</si>
  <si>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</si>
  <si>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</si>
  <si>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</si>
  <si>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</si>
  <si>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</si>
  <si>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</si>
  <si>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</si>
  <si>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</si>
  <si>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</si>
  <si>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</si>
  <si>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</si>
  <si>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</si>
  <si>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</si>
  <si>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</si>
  <si>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</si>
  <si>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</si>
  <si>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</si>
  <si>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</si>
  <si>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</si>
  <si>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</si>
  <si>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</si>
  <si>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</si>
  <si>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</si>
  <si>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</si>
  <si>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</si>
  <si>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</si>
  <si>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</si>
  <si>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</si>
  <si>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</si>
  <si>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</si>
  <si>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</si>
  <si>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</si>
  <si>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</si>
  <si>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</si>
  <si>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</si>
  <si>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</si>
  <si>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</si>
  <si>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</si>
  <si>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</si>
  <si>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</si>
  <si>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</si>
  <si>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</si>
  <si>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</si>
  <si>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</si>
  <si>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</si>
  <si>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</si>
  <si>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</si>
  <si>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</si>
  <si>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</si>
  <si>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</si>
  <si>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</si>
  <si>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</si>
  <si>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</si>
  <si>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</si>
  <si>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</si>
  <si>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</si>
  <si>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</si>
  <si>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</si>
  <si>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</si>
  <si>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</si>
  <si>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</si>
  <si>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</si>
  <si>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</si>
  <si>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</si>
  <si>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</si>
  <si>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</si>
  <si>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</si>
  <si>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</si>
  <si>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</si>
  <si>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</si>
  <si>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</si>
  <si>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</si>
  <si>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</si>
  <si>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</si>
  <si>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</si>
  <si>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</si>
  <si>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</si>
  <si>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</si>
  <si>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</si>
  <si>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</si>
  <si>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</si>
  <si>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</si>
  <si>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</si>
  <si>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</si>
  <si>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</si>
  <si>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</si>
  <si>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</si>
  <si>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</si>
  <si>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</si>
  <si>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</si>
  <si>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</si>
  <si>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</si>
  <si>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</si>
  <si>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</si>
  <si>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</si>
  <si>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</si>
  <si>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</si>
  <si>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</si>
  <si>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</si>
  <si>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</si>
  <si>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</si>
  <si>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</si>
  <si>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</si>
  <si>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</si>
  <si>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</si>
  <si>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</si>
  <si>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</si>
  <si>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</si>
  <si>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</si>
  <si>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</si>
  <si>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</si>
  <si>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</si>
  <si>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</si>
  <si>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</si>
  <si>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</si>
  <si>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</si>
  <si>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</si>
  <si>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</si>
  <si>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</si>
  <si>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</si>
  <si>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</si>
  <si>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</si>
  <si>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</si>
  <si>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</si>
  <si>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</si>
  <si>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</si>
  <si>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</si>
  <si>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</si>
  <si>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</si>
  <si>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</si>
  <si>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</si>
  <si>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</si>
  <si>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</si>
  <si>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25-R2.5</t>
  </si>
  <si>
    <t>BOILER PLANT EQUIPMENT - RAIL CARS</t>
  </si>
  <si>
    <t xml:space="preserve">  CANE RUN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</si>
  <si>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</si>
  <si>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</si>
  <si>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</si>
  <si>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</si>
  <si>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</si>
  <si>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</si>
  <si>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</si>
  <si>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</si>
  <si>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</si>
  <si>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</si>
  <si>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</si>
  <si>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</si>
  <si>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</si>
  <si>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</si>
  <si>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</si>
  <si>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</si>
  <si>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</si>
  <si>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</si>
  <si>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</si>
  <si>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</si>
  <si>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</si>
  <si>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</si>
  <si>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</si>
  <si>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</si>
  <si>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</si>
  <si>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</si>
  <si>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</si>
  <si>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</si>
  <si>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</si>
  <si>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 xml:space="preserve">GENERATORS                                 </t>
  </si>
  <si>
    <t>60-S3</t>
  </si>
  <si>
    <t xml:space="preserve">LAND RIGHTS              </t>
  </si>
  <si>
    <t xml:space="preserve">STRUCTURES AND IMPROVEMENTS       </t>
  </si>
  <si>
    <t xml:space="preserve">STATION EQUIPMENT                 </t>
  </si>
  <si>
    <t>55-R2.5</t>
  </si>
  <si>
    <t xml:space="preserve">TOWERS AND FIXTURES               </t>
  </si>
  <si>
    <t xml:space="preserve">POLES AND FIXTURES                </t>
  </si>
  <si>
    <t xml:space="preserve">OVERHEAD CONDUCTORS AND DEVICES   </t>
  </si>
  <si>
    <t xml:space="preserve">UNDERGROUND CONDUIT               </t>
  </si>
  <si>
    <t>UNDERGROUND CONDUCTORS AND DEVICES</t>
  </si>
  <si>
    <t xml:space="preserve">STRUCTURES AND IMPROVEMENTS                    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</si>
  <si>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</si>
  <si>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</si>
  <si>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</si>
  <si>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</si>
  <si>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</si>
  <si>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</si>
  <si>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</si>
  <si>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</si>
  <si>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</si>
  <si>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STREET LIGHTING AND SIGNAL SYSTEMS - OVERHEAD </t>
  </si>
  <si>
    <t>STREET LIGHTING AND SIGNAL SYSTEMS - UNDERGROUND</t>
  </si>
  <si>
    <t>TRANSPORTATION EQUIPMENT - TRAILERS</t>
  </si>
  <si>
    <t xml:space="preserve">TOOLS, SHOP AND GARAGE EQUIPMENT   </t>
  </si>
  <si>
    <t>POWER OPERATED EQUIPMENT - LARGE MACHINERY</t>
  </si>
  <si>
    <t>POWER OPERATED EQUIPMENT - OTHER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</si>
  <si>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</si>
  <si>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</si>
  <si>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</si>
  <si>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</si>
  <si>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</si>
  <si>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</si>
  <si>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</si>
  <si>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</si>
  <si>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</si>
  <si>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</si>
  <si>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</si>
  <si>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</si>
  <si>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</si>
  <si>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</si>
  <si>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</si>
  <si>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</si>
  <si>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</si>
  <si>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</si>
  <si>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</si>
  <si>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</si>
  <si>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</si>
  <si>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</si>
  <si>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</si>
  <si>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REMAINING SERVICE LIFE</t>
  </si>
  <si>
    <t>3.5-25.9</t>
  </si>
  <si>
    <t>3.7-10.6</t>
  </si>
  <si>
    <t>6.0-9.6</t>
  </si>
  <si>
    <t>TOTAL ADJUSTMENTS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</si>
  <si>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</si>
  <si>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</si>
  <si>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</si>
  <si>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</si>
  <si>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</si>
  <si>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</si>
  <si>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</si>
  <si>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</si>
  <si>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</si>
  <si>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</si>
  <si>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</si>
  <si>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</si>
  <si>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</si>
  <si>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</si>
  <si>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</si>
  <si>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</si>
  <si>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</si>
  <si>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</si>
  <si>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</si>
  <si>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</si>
  <si>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</si>
  <si>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</si>
  <si>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</si>
  <si>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</si>
  <si>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</si>
  <si>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</si>
  <si>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</si>
  <si>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</si>
  <si>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</si>
  <si>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</si>
  <si>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</si>
  <si>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</si>
  <si>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</si>
  <si>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</si>
  <si>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</si>
  <si>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</si>
  <si>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</si>
  <si>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</si>
  <si>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</si>
  <si>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</si>
  <si>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</si>
  <si>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</si>
  <si>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</si>
  <si>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</si>
  <si>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</si>
  <si>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</si>
  <si>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</si>
  <si>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</si>
  <si>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</si>
  <si>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</si>
  <si>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</si>
  <si>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</si>
  <si>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</si>
  <si>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</si>
  <si>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</si>
  <si>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</si>
  <si>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</si>
  <si>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</si>
  <si>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</si>
  <si>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</si>
  <si>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</si>
  <si>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</si>
  <si>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</si>
  <si>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</si>
  <si>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</si>
  <si>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</si>
  <si>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</si>
  <si>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</si>
  <si>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</si>
  <si>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</si>
  <si>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</si>
  <si>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</si>
  <si>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</si>
  <si>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</si>
  <si>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DSM</t>
  </si>
  <si>
    <t>ARO</t>
  </si>
  <si>
    <t>Pro Forma</t>
  </si>
  <si>
    <t>Trimble County</t>
  </si>
  <si>
    <t>Inventories</t>
  </si>
  <si>
    <t>(2 + 9)</t>
  </si>
  <si>
    <t>(9 - 10 - 11 - 12 - 13)</t>
  </si>
  <si>
    <t xml:space="preserve">  Material and Supplies (b)(c)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</si>
  <si>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</si>
  <si>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</si>
  <si>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</si>
  <si>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</si>
  <si>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</si>
  <si>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</si>
  <si>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</si>
  <si>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</si>
  <si>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</si>
  <si>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</si>
  <si>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</si>
  <si>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</si>
  <si>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</si>
  <si>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</si>
  <si>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</si>
  <si>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</si>
  <si>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</si>
  <si>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</si>
  <si>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Environmental Equipment LGE</t>
  </si>
  <si>
    <t>140342LGE</t>
  </si>
  <si>
    <t>133615LGE</t>
  </si>
  <si>
    <t>TC PLT ENG/MTR RWNDS</t>
  </si>
  <si>
    <t>HR Cap Equip Improvmnts LGE</t>
  </si>
  <si>
    <t>(b) Includes emission allowances (ECR amounts excluded)</t>
  </si>
  <si>
    <t>Electric/Gas Balancing Adjustment</t>
  </si>
  <si>
    <t>PAGE 3 OF 4</t>
  </si>
  <si>
    <t>PAGE 4 OF 4</t>
  </si>
  <si>
    <t>PAGE 1 OF 4</t>
  </si>
  <si>
    <t>PAGE 2 OF 4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</si>
  <si>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</si>
  <si>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</si>
  <si>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</si>
  <si>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</si>
  <si>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</si>
  <si>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</si>
  <si>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LGE-1315 - Steam Production - ECR 2009 </t>
  </si>
  <si>
    <t xml:space="preserve">   LGE-1315 - Steam Production - ECR 2011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</si>
  <si>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</si>
  <si>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</si>
  <si>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</si>
  <si>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</si>
  <si>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</si>
  <si>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</si>
  <si>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</si>
  <si>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</si>
  <si>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</si>
  <si>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</si>
  <si>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</si>
  <si>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</si>
  <si>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</si>
  <si>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</si>
  <si>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 xml:space="preserve">   LGE-3392 - Common General - Cars and Trailers </t>
  </si>
  <si>
    <t xml:space="preserve">   LGE-3396 - Common General - Transportation Equipment </t>
  </si>
  <si>
    <t>E340.20-Land Future Use</t>
  </si>
  <si>
    <t>Plant Report Check</t>
  </si>
  <si>
    <t>plus RWIP</t>
  </si>
  <si>
    <t xml:space="preserve">   LGE Steam Production ECR 2016 </t>
  </si>
  <si>
    <t>C. M. GARRETT</t>
  </si>
  <si>
    <t>139721</t>
  </si>
  <si>
    <t>MC 3C GSU Transformer</t>
  </si>
  <si>
    <t>IT0101L</t>
  </si>
  <si>
    <t>Smallworld GIS Upgr-LGE17-19</t>
  </si>
  <si>
    <t>150220</t>
  </si>
  <si>
    <t>LGE Ky Wired Non-Reimb</t>
  </si>
  <si>
    <t>136480</t>
  </si>
  <si>
    <t>148727</t>
  </si>
  <si>
    <t>LGE SMAC 2017 PROJECT</t>
  </si>
  <si>
    <t>149344</t>
  </si>
  <si>
    <t>SC CAPITAL - 2016 BP - LGE</t>
  </si>
  <si>
    <t>148175</t>
  </si>
  <si>
    <t>148396</t>
  </si>
  <si>
    <t>Prop. Tax Cap. - LGE Non-Mech</t>
  </si>
  <si>
    <t>145402</t>
  </si>
  <si>
    <t>IT0113CG</t>
  </si>
  <si>
    <t>TC Plant Alt Transport-LGE17</t>
  </si>
  <si>
    <t>PAGE 1 OF 8</t>
  </si>
  <si>
    <t>PAGE 2 OF 8</t>
  </si>
  <si>
    <t>PAGE 3 OF 8</t>
  </si>
  <si>
    <t>148490</t>
  </si>
  <si>
    <t>148484</t>
  </si>
  <si>
    <t>N-1 DIST XFMR PLAINVIEW CW</t>
  </si>
  <si>
    <t>151757</t>
  </si>
  <si>
    <t>LGE Fence Replacements</t>
  </si>
  <si>
    <t>148821</t>
  </si>
  <si>
    <t>SR Floyd-Seminole 69kV</t>
  </si>
  <si>
    <t>147819</t>
  </si>
  <si>
    <t>152632</t>
  </si>
  <si>
    <t>LGE Coupling Capacitor Rpl</t>
  </si>
  <si>
    <t>IT0246L</t>
  </si>
  <si>
    <t>144530</t>
  </si>
  <si>
    <t>OF Trash Racks (multi-year)</t>
  </si>
  <si>
    <t>152693LGE</t>
  </si>
  <si>
    <t>IT0219L</t>
  </si>
  <si>
    <t>EE DSM Filing-LGE18-19</t>
  </si>
  <si>
    <t>IT0242L</t>
  </si>
  <si>
    <t>Megastar &amp; DVM MW Repl-LGE18</t>
  </si>
  <si>
    <t>148911</t>
  </si>
  <si>
    <t>SCM2018 LGE LEGACY RELAY REPL</t>
  </si>
  <si>
    <t>152583</t>
  </si>
  <si>
    <t>STT Misc Project</t>
  </si>
  <si>
    <t>IT0212L</t>
  </si>
  <si>
    <t>Citrix XenDsktp Mjr Upg-LGE18</t>
  </si>
  <si>
    <t>141390</t>
  </si>
  <si>
    <t>IT0264L</t>
  </si>
  <si>
    <t>Rate Case 2018-LGE18-19</t>
  </si>
  <si>
    <t>151466</t>
  </si>
  <si>
    <t>MT 345 Bus Redundancy</t>
  </si>
  <si>
    <t>PAGE 5 OF 8</t>
  </si>
  <si>
    <t>PAGE 6 OF 8</t>
  </si>
  <si>
    <t>PAGE 4 OF 8</t>
  </si>
  <si>
    <t>PAGE 7 OF 8</t>
  </si>
  <si>
    <t>PAGE 8 OF 8</t>
  </si>
  <si>
    <t>CHECK TOTALS</t>
  </si>
  <si>
    <t>Russell Corner - Tract No. D143</t>
  </si>
  <si>
    <t>Land (GR5) located at Green River CC GT intended for Generation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</si>
  <si>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</si>
  <si>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</si>
  <si>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</si>
  <si>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</si>
  <si>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</si>
  <si>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</si>
  <si>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Amortization</t>
  </si>
  <si>
    <t>13-MONTH AVG</t>
  </si>
  <si>
    <t xml:space="preserve">  Unamortized Closure Costs</t>
  </si>
  <si>
    <t>101, 108, 182, 230</t>
  </si>
  <si>
    <t>LOUISVILLE GAS AND ELECTRIC</t>
  </si>
  <si>
    <t>TABLE 1.  SUMMARY OF ESTIMATED SURVIVOR CURVES, NET SALVAGE, ORIGINAL COST, BOOK DEPRECIATION RESERVE AND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</si>
  <si>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</si>
  <si>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</si>
  <si>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</si>
  <si>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</si>
  <si>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</si>
  <si>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95-R2.5</t>
  </si>
  <si>
    <t xml:space="preserve">  TRIMBLE COUNTY - UNIT 1    </t>
  </si>
  <si>
    <t xml:space="preserve">  TRIMBLE COUNTY -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</si>
  <si>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</si>
  <si>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</si>
  <si>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</si>
  <si>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</si>
  <si>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</si>
  <si>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</si>
  <si>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</si>
  <si>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>TOTAL ACCOUNT 311.2 - STRUCTURES AND IMPROVEMENTS - RETIRED PLANT</t>
  </si>
  <si>
    <t>54-R1.5</t>
  </si>
  <si>
    <t xml:space="preserve">BOILER PLANT EQUIPMENT - ASH PONDS </t>
  </si>
  <si>
    <t xml:space="preserve">  TRIMBLE COUNTY - UNIT 2 ASH POND      </t>
  </si>
  <si>
    <t>TOTAL ACCOUNT 312.1 - BOILER PLANT EQUIPMENT - ASH PONDS</t>
  </si>
  <si>
    <t>BOILER PLANT EQUIPMENT - RETIRED PLANT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</si>
  <si>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</si>
  <si>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</si>
  <si>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</si>
  <si>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</si>
  <si>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>ACCESSORY ELECTRIC EQUIPMENT - RETIRED PLANT</t>
  </si>
  <si>
    <t>TOTAL ACCOUNT 315.1 - ACCESSORY ELECTRIC EQUIPMENT - REITRED PLANT</t>
  </si>
  <si>
    <t xml:space="preserve">MISCELLANEOUS PLANT EQUIPMENT </t>
  </si>
  <si>
    <t>TOTAL ACCOUNT 316 - MISCELLANEOUS PLANT EQUIPMENT</t>
  </si>
  <si>
    <t>MISCELLANEOUS PLANT EQUIPMENT - RETIRED PLANT</t>
  </si>
  <si>
    <t>TOTAL ACCOUNT 316.1 - MISCELLANEOUS PLANT EQUIPMENT - RETIRED PLANT</t>
  </si>
  <si>
    <t>HYDROELECTRIC PRODUCTION PLANT</t>
  </si>
  <si>
    <t>100-R3</t>
  </si>
  <si>
    <t>80-R4</t>
  </si>
  <si>
    <t>80-R2.5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</si>
  <si>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</si>
  <si>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</si>
  <si>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</si>
  <si>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</si>
  <si>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CANE RUN GAS PIPELINE</t>
  </si>
  <si>
    <t>45-S2.5</t>
  </si>
  <si>
    <t xml:space="preserve">MISCELLANEOUS PLANT EQUIPMENT                 </t>
  </si>
  <si>
    <t>50-R4</t>
  </si>
  <si>
    <t>TOTAL ACCOUNT 346 - MISCELLANEOUS PLANT EQUIPMENT</t>
  </si>
  <si>
    <t>60-R1.5</t>
  </si>
  <si>
    <t>60-R2</t>
  </si>
  <si>
    <t>59-R2</t>
  </si>
  <si>
    <t>55-R2</t>
  </si>
  <si>
    <t>40-R2.5</t>
  </si>
  <si>
    <t>48-S0.5</t>
  </si>
  <si>
    <t>50-R1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</si>
  <si>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</si>
  <si>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</si>
  <si>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</si>
  <si>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</si>
  <si>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</si>
  <si>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</si>
  <si>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</si>
  <si>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</si>
  <si>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</si>
  <si>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</si>
  <si>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</si>
  <si>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</si>
  <si>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</si>
  <si>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</si>
  <si>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</si>
  <si>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</si>
  <si>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</si>
  <si>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METERS</t>
  </si>
  <si>
    <t>25-L1</t>
  </si>
  <si>
    <t>METERING EQUIPMENT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</si>
  <si>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</si>
  <si>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</si>
  <si>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</si>
  <si>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</si>
  <si>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</si>
  <si>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</si>
  <si>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</si>
  <si>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</si>
  <si>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</si>
  <si>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</si>
  <si>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-5,-6,-7,-9</t>
  </si>
  <si>
    <t>-4,-5,-6,-7,-9</t>
  </si>
  <si>
    <t>-6,-7,-9</t>
  </si>
  <si>
    <t>-10%,-16%,-25%</t>
  </si>
  <si>
    <t>-10%,-16%</t>
  </si>
  <si>
    <t>-5%,-10%,-16%</t>
  </si>
  <si>
    <t>-4%,-5%,-6%,-7%,-9%</t>
  </si>
  <si>
    <t>-6%,-7%,-9%</t>
  </si>
  <si>
    <t>-5%,-6%,-7%,-9%</t>
  </si>
  <si>
    <t>-50,-100</t>
  </si>
  <si>
    <t>-30,-40</t>
  </si>
  <si>
    <t>-50%,-100%</t>
  </si>
  <si>
    <t>-30%,-40%</t>
  </si>
  <si>
    <t>TABLE 3.  SUMMARY OF ESTIMATED SURVIVOR CURVES, NET SALVAGE, ORIGINAL COST, BOOK DEPRECIATION RESERVE AND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</si>
  <si>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</si>
  <si>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</si>
  <si>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</si>
  <si>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</si>
  <si>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</si>
  <si>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</si>
  <si>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</si>
  <si>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</si>
  <si>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</si>
  <si>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22-L2</t>
  </si>
  <si>
    <t>10-SQ, 22-L2</t>
  </si>
  <si>
    <t>22-L4, 24-L2.5</t>
  </si>
  <si>
    <t>THIRTEEN MONTH AVERAGE FOR PERIOD</t>
  </si>
  <si>
    <t>REPLACE ACCUM DEPRECIATION RESERVE BALANCES IN PLANT DATA TAB FROM FORECASTING WITH "ENDING ACCUM DEPRECIATION" ROWS BELOW FOR EACH ACCOUNT.</t>
  </si>
  <si>
    <t>INSERT "ACCUM DEPR COST OF REMOVAL" ROWS BELOW INTO PLANT DATA TAB FOR EACH ACCOUNT.</t>
  </si>
  <si>
    <t>Jul 2018</t>
  </si>
  <si>
    <t>Aug 2018</t>
  </si>
  <si>
    <t>Sep 2018</t>
  </si>
  <si>
    <t>Oct 2018</t>
  </si>
  <si>
    <t>Nov 2018</t>
  </si>
  <si>
    <t>Dec 2018</t>
  </si>
  <si>
    <t>Accum Depr Cost of Removal</t>
  </si>
  <si>
    <t>KU-1312 - Steam Production - ECR 2009 </t>
  </si>
  <si>
    <t>KU-1312 - Steam Production - ECR 2011 </t>
  </si>
  <si>
    <t>KU-1315 - Steam Production - ECR 2009 </t>
  </si>
  <si>
    <t>LGE-1312 - Steam Production - ECR 2009 </t>
  </si>
  <si>
    <t>LGE-1312 - Steam Production - ECR 2011 </t>
  </si>
  <si>
    <t>LGE-1312 - Steam Production - ECR 2016 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</si>
  <si>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</si>
  <si>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</si>
  <si>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</si>
  <si>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182.2 - Unrecovered plant and regulatory study costs</t>
  </si>
  <si>
    <t xml:space="preserve">          188.1 - Misc Def Debits Resrch/Dev/Demo Exp</t>
  </si>
  <si>
    <t xml:space="preserve">          233 - Notes Payable To Assoc Companies</t>
  </si>
  <si>
    <t>TOTAL LIABILITIES AND OTHER CREDITS</t>
  </si>
  <si>
    <t xml:space="preserve">13 MO AVG 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</si>
  <si>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</si>
  <si>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</si>
  <si>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</si>
  <si>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</si>
  <si>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</si>
  <si>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</si>
  <si>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</si>
  <si>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</si>
  <si>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</si>
  <si>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</si>
  <si>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</si>
  <si>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</si>
  <si>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</si>
  <si>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</si>
  <si>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</si>
  <si>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</si>
  <si>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</si>
  <si>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</si>
  <si>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</si>
  <si>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</si>
  <si>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</si>
  <si>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</si>
  <si>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</si>
  <si>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</si>
  <si>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</si>
  <si>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</si>
  <si>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</si>
  <si>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</si>
  <si>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</si>
  <si>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</si>
  <si>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</si>
  <si>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</si>
  <si>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</si>
  <si>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</si>
  <si>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</si>
  <si>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</si>
  <si>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</si>
  <si>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</si>
  <si>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</si>
  <si>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</si>
  <si>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</si>
  <si>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</si>
  <si>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</si>
  <si>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</si>
  <si>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</si>
  <si>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</si>
  <si>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</si>
  <si>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</si>
  <si>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</si>
  <si>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</si>
  <si>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</si>
  <si>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</si>
  <si>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</si>
  <si>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923 - ECR CONSULTANT FEE</t>
  </si>
  <si>
    <t>FROM ECR EXPENSE MONTH FILINGS:</t>
  </si>
  <si>
    <t>549 - ECR MISC OTH PWR GEN EXP</t>
  </si>
  <si>
    <t>SUMMARY BY ACCOUNT:</t>
  </si>
  <si>
    <t>(b) Includes Emission Allowances (ECR amounts excluded)</t>
  </si>
  <si>
    <t>13 MONTH AVG</t>
  </si>
  <si>
    <t>Pro rata</t>
  </si>
  <si>
    <t>(2 - 3 - 4 - 5 - 6- 7)</t>
  </si>
  <si>
    <t>TYPE OF FILING: __X__ ORIGINAL  _____ UPDATED  _____ REVISED</t>
  </si>
  <si>
    <t>181.2 - Unamortized debt expense rollovers/lcs</t>
  </si>
  <si>
    <t>188.1 - Misc Def Debits Resrch/Dev/Demo Exp</t>
  </si>
  <si>
    <t>SCH 1.1</t>
  </si>
  <si>
    <t>For the 2018 Rate Case Filing</t>
  </si>
  <si>
    <t>DECEMBER 31, 2018</t>
  </si>
  <si>
    <t>AS OF DECEMBER 31, 2018</t>
  </si>
  <si>
    <t>JANUARY 2018 TO DECEMBER 2018</t>
  </si>
  <si>
    <t>FROM JANUARY 1, 2018 TO DECEMBER 31, 2018</t>
  </si>
  <si>
    <t>BASE YEAR FOR THE 12 MONTHS ENDED DECEMBER 31, 2018</t>
  </si>
  <si>
    <t>FOR THE 12 MONTHS ENDED DECEMBER 31, 2018</t>
  </si>
  <si>
    <t>APRIL 30, 2020</t>
  </si>
  <si>
    <t>AS OF APRIL 30, 2020</t>
  </si>
  <si>
    <t>MAY 2019 TO APRIL 2020</t>
  </si>
  <si>
    <t>FROM MAY 1, 2019 TO APRIL 30, 2020</t>
  </si>
  <si>
    <t>FORECAST PERIOD FOR THE 12 MONTHS ENDED APRIL 30, 2020</t>
  </si>
  <si>
    <t>FOR THE 12 MONTHS ENDED APRIL 30, 2020</t>
  </si>
  <si>
    <t>a-Jan 1 2018</t>
  </si>
  <si>
    <t>Dec 31 2018</t>
  </si>
  <si>
    <t xml:space="preserve">   LGE-1310 - Steam Production - ECR 2016 </t>
  </si>
  <si>
    <t xml:space="preserve">   LGE-1317 - Steam Production - ARO CCR </t>
  </si>
  <si>
    <t xml:space="preserve">   LGE-1370 - Electric Distribution - Meters - DSM </t>
  </si>
  <si>
    <t>a-Dec 2017</t>
  </si>
  <si>
    <t>a-Jan 2018</t>
  </si>
  <si>
    <t>a-Feb 2018</t>
  </si>
  <si>
    <t>a-Mar 2018</t>
  </si>
  <si>
    <t>a-Apr 2018</t>
  </si>
  <si>
    <t>a-May 2018</t>
  </si>
  <si>
    <t>a-Jun 2018</t>
  </si>
  <si>
    <t>Jan 2018-Dec 2018</t>
  </si>
  <si>
    <t>May 1 2019</t>
  </si>
  <si>
    <t>Apr 30 2020</t>
  </si>
  <si>
    <t>Forecast Period            May 2019-Apr 2020</t>
  </si>
  <si>
    <t>13-MO Average Apr 2020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</si>
  <si>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</si>
  <si>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</si>
  <si>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</si>
  <si>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</si>
  <si>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</si>
  <si>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</si>
  <si>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</si>
  <si>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</si>
  <si>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</si>
  <si>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</si>
  <si>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</si>
  <si>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</si>
  <si>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</si>
  <si>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Jan 2019</t>
  </si>
  <si>
    <t>Feb 2019</t>
  </si>
  <si>
    <t>Mar 2019</t>
  </si>
  <si>
    <t xml:space="preserve">   LGE-1312 - Steam Production - COR 2009 </t>
  </si>
  <si>
    <t xml:space="preserve">   LGE-1312 - Steam Production - COR 2011 </t>
  </si>
  <si>
    <t xml:space="preserve">   LGE-1312 - Steam Production - COR 2016 </t>
  </si>
  <si>
    <t>Total LG&amp;E CCR ARO Ponds</t>
  </si>
  <si>
    <t>($000s)</t>
  </si>
  <si>
    <t>Per ECR Form 2.01 (Actual)</t>
  </si>
  <si>
    <t>Tax Rate</t>
  </si>
  <si>
    <t>Active Ponds</t>
  </si>
  <si>
    <t>Costs</t>
  </si>
  <si>
    <t>Accumulated Costs</t>
  </si>
  <si>
    <t>Accumulated Amortization</t>
  </si>
  <si>
    <t>Unamortized Balance</t>
  </si>
  <si>
    <t>Deferred Tax</t>
  </si>
  <si>
    <t>Excess Deferrederred</t>
  </si>
  <si>
    <t>Accumulated Deferred. Tax</t>
  </si>
  <si>
    <t>Net of Deferrederred Tax</t>
  </si>
  <si>
    <t>(1) 69% Common Plant allocated to Electric.</t>
  </si>
  <si>
    <t>YE-Dec 2018</t>
  </si>
  <si>
    <t>411 - AMORTIZATION OF EXCESS ADIT</t>
  </si>
  <si>
    <t>411 - ECR Amort Excess ADIT</t>
  </si>
  <si>
    <t>411 - ECR AMORT EXCESS ADIT</t>
  </si>
  <si>
    <t>411.8 - ECR GAIN-DISP OF ALLOW</t>
  </si>
  <si>
    <t>512108 - ECR CCR Ben Reuse System Maint</t>
  </si>
  <si>
    <t>YE-Apr 2020</t>
  </si>
  <si>
    <t>ECR Cost of Removal to be Excl from Total Reserve</t>
  </si>
  <si>
    <t>Ending Accum Depreciation (incl. COR)</t>
  </si>
  <si>
    <t>Net Original Cost Rate Base as of April 30, 2020</t>
  </si>
  <si>
    <t>Common utility plant and the reserve for depreciation are allocated 69% to the Electric Department and 31% to the Gas Department.</t>
  </si>
  <si>
    <t>Net Original Cost Rate Base as of December 31, 2018</t>
  </si>
  <si>
    <t>APPROVED RATES AS OF JULY 1, 2017</t>
  </si>
  <si>
    <t>-10%, -16%, -25%</t>
  </si>
  <si>
    <t>-10%, -16%</t>
  </si>
  <si>
    <t>-5%, -10%, -16%</t>
  </si>
  <si>
    <t xml:space="preserve">  BROWN SOLAR</t>
  </si>
  <si>
    <t>40-S3</t>
  </si>
  <si>
    <t xml:space="preserve">  PADDYS RUN GAS PIPELINE</t>
  </si>
  <si>
    <t>30-S1.5</t>
  </si>
  <si>
    <t>32-R2.5</t>
  </si>
  <si>
    <t>METERS - CT AND PT</t>
  </si>
  <si>
    <t xml:space="preserve">METERS </t>
  </si>
  <si>
    <t>9-S2.5, 12-S0.5, 23-L1.5</t>
  </si>
  <si>
    <t>CALCULATED ANNUAL DEPRECIATION RATES BY COMPONENT AS OF DECEMBER 31, 2017</t>
  </si>
  <si>
    <t>60-R1</t>
  </si>
  <si>
    <t xml:space="preserve">  MILL CREEK UNIT 1 ASH POND             </t>
  </si>
  <si>
    <t xml:space="preserve">  MILL CREEK UNIT 3 ASH POND             </t>
  </si>
  <si>
    <t xml:space="preserve">  TRIMBLE COUNTY UNIT 1 ASH POND       </t>
  </si>
  <si>
    <t xml:space="preserve">  TRIMBLE COUNTY UNIT 2 ASH POND      </t>
  </si>
  <si>
    <t xml:space="preserve">  MILL CREEK UNIT 4 SCRUBBER</t>
  </si>
  <si>
    <t xml:space="preserve">  TRIMBLE COUNTY UNIT 1 </t>
  </si>
  <si>
    <t>-10%,-14%,-25%</t>
  </si>
  <si>
    <t>-10%,-14%</t>
  </si>
  <si>
    <t>-2%,-10%,-14%</t>
  </si>
  <si>
    <t>5-SQ,SQUARE</t>
  </si>
  <si>
    <t>30-L0.5,40-S0.5</t>
  </si>
  <si>
    <t>2.8-18.00</t>
  </si>
  <si>
    <t>4-5-15-20-SQ</t>
  </si>
  <si>
    <t>18.10-37.10</t>
  </si>
  <si>
    <t>3.00-3.50</t>
  </si>
  <si>
    <t>-5%,-10%</t>
  </si>
  <si>
    <t>2.80-18.00</t>
  </si>
  <si>
    <t>0%,5%</t>
  </si>
  <si>
    <t>0%,10%</t>
  </si>
  <si>
    <t>484-INTERCOMPANY SALES</t>
  </si>
  <si>
    <t>859 - OTH GAS TRANS EXP</t>
  </si>
  <si>
    <t>Customer Advances, Inventory, Prepayments</t>
  </si>
  <si>
    <t xml:space="preserve">  Prepayments (b)(d)</t>
  </si>
  <si>
    <t>158.0 - ECR Allowance inventory ($)</t>
  </si>
  <si>
    <t>TOTAL ALLOWANCE INVENTORY PER ECR MONTHLY REPORT</t>
  </si>
  <si>
    <t>`</t>
  </si>
  <si>
    <t>KY FERC Balance Sheet</t>
  </si>
  <si>
    <t xml:space="preserve">          101.3 - Property Under Operating Lease</t>
  </si>
  <si>
    <t xml:space="preserve">          102.0 - Purchased Plant</t>
  </si>
  <si>
    <t xml:space="preserve">          111.3 - Accumulated Depr Property Under Operating Lease</t>
  </si>
  <si>
    <t xml:space="preserve">          128.1 - Other spec funds - investments</t>
  </si>
  <si>
    <t xml:space="preserve">          143.4 - Other AR Fed Tax Rec</t>
  </si>
  <si>
    <t xml:space="preserve">          184.7 - Clearing Accts (Lease)</t>
  </si>
  <si>
    <t xml:space="preserve">          224.1 - Domestic Other Noncurrent</t>
  </si>
  <si>
    <t xml:space="preserve">          242.3 - Obligations Under Operating Lease - Current</t>
  </si>
  <si>
    <t xml:space="preserve">          253.3 - Other deferred credits</t>
  </si>
  <si>
    <t xml:space="preserve">          228.7 - Obligations Under Operating Leases (Noncurrent)</t>
  </si>
  <si>
    <t>JURISDICTIONAL OPERATING REVENUES AND EXPENSES BY ACCOUNT</t>
  </si>
  <si>
    <t>SCHEDULE C-2.1</t>
  </si>
  <si>
    <t>PAGE 1 OF 12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</si>
  <si>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</si>
  <si>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</si>
  <si>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</si>
  <si>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</si>
  <si>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</si>
  <si>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</si>
  <si>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</si>
  <si>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</si>
  <si>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</si>
  <si>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ELECTRIC 100%</t>
  </si>
  <si>
    <t>SALES OF ELECTRICITY:</t>
  </si>
  <si>
    <t>RESIDENTIAL</t>
  </si>
  <si>
    <t>COMMERCIAL</t>
  </si>
  <si>
    <t>INDUSTRIAL</t>
  </si>
  <si>
    <t>PUBLIC STREET AND HIGHWAY LIGHTING</t>
  </si>
  <si>
    <t>OTHER SALES TO PUBLIC AUTHORITIES</t>
  </si>
  <si>
    <t>TOTAL SALES TO ULITIMATE CONSUMERS</t>
  </si>
  <si>
    <t>SALES FOR RESALE</t>
  </si>
  <si>
    <t>PROVISION FOR RATE REFUNDS</t>
  </si>
  <si>
    <t>TOTAL SALES OF ELECTRICITY</t>
  </si>
  <si>
    <t>LATE PAYMENT CHARGES</t>
  </si>
  <si>
    <t>ELECTRIC SERVICE REVENUES</t>
  </si>
  <si>
    <t>RENT FROM ELECTRIC PROPERTY</t>
  </si>
  <si>
    <t>OTHER MISCELLANEOUS REVENUE</t>
  </si>
  <si>
    <t>TOTAL OTHER OPERATING REVENUES</t>
  </si>
  <si>
    <t>OPERATING EXPENSES</t>
  </si>
  <si>
    <t>OPERATION AND MAINTENANCE EXPENSES:</t>
  </si>
  <si>
    <t>STEAM GENERATION:</t>
  </si>
  <si>
    <t>STEAM OPERATION SUPERVISION AND ENGINEERING</t>
  </si>
  <si>
    <t>FUEL</t>
  </si>
  <si>
    <t>STEAM EXPENSES</t>
  </si>
  <si>
    <t>STEAM TRANSFERRED-CREDIT</t>
  </si>
  <si>
    <t>PAGE 2 OF 12</t>
  </si>
  <si>
    <t>ELECTRIC EXPENSES</t>
  </si>
  <si>
    <t>MISC STEAM POWER EXPENSES</t>
  </si>
  <si>
    <t>RENTS</t>
  </si>
  <si>
    <t>ALLOWANCES</t>
  </si>
  <si>
    <t>MAINTENANCE SUPERVISION AND ENGINEERING</t>
  </si>
  <si>
    <t>MAINTENANCE OF STRUCTURES</t>
  </si>
  <si>
    <t>MAINTENANCE OF BOILER PLANT</t>
  </si>
  <si>
    <t>MAINTENANCE OF ELECTRIC PLANT</t>
  </si>
  <si>
    <t>MAINTENANCE OF MISC STEAM PLANT</t>
  </si>
  <si>
    <t>HYDRAULIC GENERATION:</t>
  </si>
  <si>
    <t>HYDRO OPERATION SUPERVISION AND ENGINEERING</t>
  </si>
  <si>
    <t>WATER FOR POWER</t>
  </si>
  <si>
    <t>HYDRAULIC EXPENSES</t>
  </si>
  <si>
    <t>MISC HYDRAULIC POWER GENERATION EXPENSES</t>
  </si>
  <si>
    <t>HYDRO MAINTENANCE SUPERVISION AND ENGINEERING</t>
  </si>
  <si>
    <t>MAINTENANCE OF RESERVOIRS, DAMS AND WATERWAYS</t>
  </si>
  <si>
    <t>MAINTENANCE OF MISC HYDRAULIC PLANT</t>
  </si>
  <si>
    <t>TOTAL HYDRAULIC GENERATION</t>
  </si>
  <si>
    <t>OTHER GENERATION:</t>
  </si>
  <si>
    <t>OTHER OPERATION SUPERVISION AND ENGINEERING</t>
  </si>
  <si>
    <t>OTHER FUEL</t>
  </si>
  <si>
    <t>GENERATION EXPENSES</t>
  </si>
  <si>
    <t>PAGE 3 OF 12</t>
  </si>
  <si>
    <t>MISC OTHER POWER GENERATION EXPENSES</t>
  </si>
  <si>
    <t>MAINTENANCE OF GENERATING AND ELECTRIC PLANT</t>
  </si>
  <si>
    <t>MAINTENANCE OF MISC OTHER POWER GENERATION PLANT</t>
  </si>
  <si>
    <t>OTHER POWER SUPPLY:</t>
  </si>
  <si>
    <t>PURCHASED POWER</t>
  </si>
  <si>
    <t>SYSTEM CONTROL AND LOAD DISPATCHING</t>
  </si>
  <si>
    <t>OTHER EXPENSES</t>
  </si>
  <si>
    <t>TOTAL OTHER POWER SUPPLY</t>
  </si>
  <si>
    <t>TRANS OPERATION SUPERVISION AND ENGINEERING</t>
  </si>
  <si>
    <t>LOAD DISPATCHING</t>
  </si>
  <si>
    <t>STATION EXPENSES</t>
  </si>
  <si>
    <t>OVERHEAD LINE EXPENSES</t>
  </si>
  <si>
    <t>UNDERGROUND LINE EXPENSES</t>
  </si>
  <si>
    <t>TRANSMISSION OF ELECTRICITY BY OTHERS</t>
  </si>
  <si>
    <t>MISC TRANSMISSION EXPENSES</t>
  </si>
  <si>
    <t>TRANS MAINTENANCE SUPERVISION AND ENGINEERING</t>
  </si>
  <si>
    <t>MAINTENANCE OF STATION EQUIPMENT</t>
  </si>
  <si>
    <t>MAINTENANCE OF OVERHEAD LINES</t>
  </si>
  <si>
    <t>MAINTENANCE OF UNDERGROUND LINES</t>
  </si>
  <si>
    <t>PAGE 4 OF 12</t>
  </si>
  <si>
    <t>MAINTENANCE OF MISC TRANSMISSION PLANT</t>
  </si>
  <si>
    <t>MISO DAY 1 AND 2 EXPENSE</t>
  </si>
  <si>
    <t>DISTR OPERATION SUPERVISION AND ENGINEERING</t>
  </si>
  <si>
    <t>STREET LIGHTING AND SIGNAL SYSTEM EXPENSES</t>
  </si>
  <si>
    <t>METER EXPENSES</t>
  </si>
  <si>
    <t>CUSTOMER INSTALLATIONS EXPENSES</t>
  </si>
  <si>
    <t>MISC DISTRIBUTION EXPENSES</t>
  </si>
  <si>
    <t>DISTR MAINTENANCE SUPERVISION AND ENGINEERING</t>
  </si>
  <si>
    <t>MAINTENANCE OF LINE TRANSFORMERS</t>
  </si>
  <si>
    <t>MAINTENANCE OF STREET LIGHTING AND SIGNAL SYSTEMS</t>
  </si>
  <si>
    <t>MAINTENANCE OF METERS</t>
  </si>
  <si>
    <t>MAINTENANCE OF MISC DISTRIBUTION PLANT</t>
  </si>
  <si>
    <t>CUSTOMER ACCOUNTS EXPENSES:</t>
  </si>
  <si>
    <t>CUSTOMER ACCTS SUPERVISION</t>
  </si>
  <si>
    <t>METER READING EXPENSES</t>
  </si>
  <si>
    <t>PAGE 5 OF 12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</si>
  <si>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</si>
  <si>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</si>
  <si>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</si>
  <si>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</si>
  <si>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</si>
  <si>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</si>
  <si>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</si>
  <si>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</si>
  <si>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</si>
  <si>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</si>
  <si>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</si>
  <si>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</si>
  <si>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</si>
  <si>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</si>
  <si>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</si>
  <si>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</si>
  <si>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</si>
  <si>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</si>
  <si>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</si>
  <si>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</si>
  <si>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</si>
  <si>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</si>
  <si>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</si>
  <si>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</si>
  <si>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</si>
  <si>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</si>
  <si>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PAGE 6 OF 12</t>
  </si>
  <si>
    <t>DUPLICATE CHARGES--CREDIT</t>
  </si>
  <si>
    <t>GENERAL ADVERTISING EXPENSES</t>
  </si>
  <si>
    <t>MISC GENERAL EXPENSES</t>
  </si>
  <si>
    <t>MAINTENANCE OF GENERAL PLANT</t>
  </si>
  <si>
    <t>TOTAL ADMINISTRATIVE AND GENERAL EXPENSES</t>
  </si>
  <si>
    <t>TOTAL OPERATION AND MAINTENANCE EXPENSES</t>
  </si>
  <si>
    <t>DEPRECIATION AND AMORTIZATION</t>
  </si>
  <si>
    <t>REGULATORY DEBITS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</si>
  <si>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</si>
  <si>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</si>
  <si>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</si>
  <si>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</si>
  <si>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</si>
  <si>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</si>
  <si>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</si>
  <si>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</si>
  <si>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7 OF 12</t>
  </si>
  <si>
    <t>FORECAST PERIOD JURISDICTIONAL</t>
  </si>
  <si>
    <t>PAGE 8 OF 12</t>
  </si>
  <si>
    <t>PAGE 9 OF 12</t>
  </si>
  <si>
    <t>PAGE 10 OF 12</t>
  </si>
  <si>
    <t>PAGE 11 OF 12</t>
  </si>
  <si>
    <t>PAGE 12 OF 12</t>
  </si>
  <si>
    <t>WITNESS:   C. M. GARRETT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</si>
  <si>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</si>
  <si>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</si>
  <si>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</si>
  <si>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</si>
  <si>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</si>
  <si>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</si>
  <si>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</si>
  <si>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</si>
  <si>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</si>
  <si>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</si>
  <si>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</si>
  <si>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</si>
  <si>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</si>
  <si>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</si>
  <si>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</si>
  <si>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</si>
  <si>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</si>
  <si>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</si>
  <si>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</si>
  <si>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</si>
  <si>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</si>
  <si>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</si>
  <si>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</si>
  <si>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</si>
  <si>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</si>
  <si>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</si>
  <si>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</si>
  <si>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</si>
  <si>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</si>
  <si>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</si>
  <si>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</si>
  <si>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</si>
  <si>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</si>
  <si>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</si>
  <si>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</si>
  <si>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</si>
  <si>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</si>
  <si>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</si>
  <si>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</si>
  <si>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</si>
  <si>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</si>
  <si>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</si>
  <si>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</si>
  <si>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</si>
  <si>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</si>
  <si>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</si>
  <si>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</si>
  <si>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</si>
  <si>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</si>
  <si>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</si>
  <si>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</si>
  <si>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</si>
  <si>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</si>
  <si>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</si>
  <si>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</si>
  <si>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</si>
  <si>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</si>
  <si>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</si>
  <si>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</si>
  <si>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</si>
  <si>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</si>
  <si>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</si>
  <si>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Louisville Gas and Electric Company</t>
  </si>
  <si>
    <t>Allocation Factor</t>
  </si>
  <si>
    <t>Forecast Period Jurisdictional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</si>
  <si>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</si>
  <si>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</si>
  <si>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</si>
  <si>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</si>
  <si>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</si>
  <si>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</si>
  <si>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</si>
  <si>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</si>
  <si>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</si>
  <si>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</si>
  <si>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</si>
  <si>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</si>
  <si>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</si>
  <si>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</si>
  <si>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</si>
  <si>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</si>
  <si>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</si>
  <si>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</si>
  <si>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</si>
  <si>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</si>
  <si>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</si>
  <si>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</si>
  <si>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</si>
  <si>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</si>
  <si>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</si>
  <si>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</si>
  <si>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</si>
  <si>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</si>
  <si>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</si>
  <si>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</si>
  <si>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</si>
  <si>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</si>
  <si>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</si>
  <si>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</si>
  <si>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</si>
  <si>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</si>
  <si>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</si>
  <si>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</si>
  <si>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</si>
  <si>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</si>
  <si>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</si>
  <si>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</si>
  <si>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</si>
  <si>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</si>
  <si>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</si>
  <si>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</si>
  <si>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</si>
  <si>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</si>
  <si>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</si>
  <si>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</si>
  <si>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</si>
  <si>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</si>
  <si>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</si>
  <si>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</si>
  <si>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</si>
  <si>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</si>
  <si>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</si>
  <si>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</si>
  <si>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</si>
  <si>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</si>
  <si>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</si>
  <si>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</si>
  <si>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</si>
  <si>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</si>
  <si>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</si>
  <si>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</si>
  <si>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</si>
  <si>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</si>
  <si>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</si>
  <si>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</si>
  <si>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</si>
  <si>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</si>
  <si>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</si>
  <si>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</si>
  <si>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</si>
  <si>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</si>
  <si>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</si>
  <si>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</si>
  <si>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</si>
  <si>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</si>
  <si>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</si>
  <si>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</si>
  <si>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</si>
  <si>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</si>
  <si>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</si>
  <si>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</si>
  <si>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</si>
  <si>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</si>
  <si>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</si>
  <si>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</si>
  <si>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</si>
  <si>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</si>
  <si>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</si>
  <si>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</si>
  <si>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</si>
  <si>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</si>
  <si>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</si>
  <si>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</si>
  <si>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</si>
  <si>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</si>
  <si>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</si>
  <si>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</si>
  <si>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</si>
  <si>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</si>
  <si>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</si>
  <si>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</si>
  <si>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</si>
  <si>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</si>
  <si>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</si>
  <si>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</si>
  <si>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</si>
  <si>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</si>
  <si>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</si>
  <si>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</si>
  <si>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</si>
  <si>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</si>
  <si>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</si>
  <si>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</si>
  <si>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</si>
  <si>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</si>
  <si>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</si>
  <si>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</si>
  <si>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</si>
  <si>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</si>
  <si>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</si>
  <si>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</si>
  <si>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</si>
  <si>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</si>
  <si>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</si>
  <si>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</si>
  <si>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</si>
  <si>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</si>
  <si>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</si>
  <si>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</si>
  <si>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</si>
  <si>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</si>
  <si>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</si>
  <si>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</si>
  <si>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</si>
  <si>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</si>
  <si>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</si>
  <si>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</si>
  <si>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</si>
  <si>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</si>
  <si>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</si>
  <si>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</si>
  <si>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</si>
  <si>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</si>
  <si>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</si>
  <si>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</si>
  <si>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</si>
  <si>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</si>
  <si>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</si>
  <si>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</si>
  <si>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</si>
  <si>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</si>
  <si>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</si>
  <si>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</si>
  <si>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</si>
  <si>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</si>
  <si>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</si>
  <si>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</si>
  <si>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</si>
  <si>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</si>
  <si>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</si>
  <si>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</si>
  <si>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</si>
  <si>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</si>
  <si>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</si>
  <si>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</si>
  <si>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</si>
  <si>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</si>
  <si>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</si>
  <si>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</si>
  <si>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</si>
  <si>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</si>
  <si>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</si>
  <si>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</si>
  <si>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</si>
  <si>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</si>
  <si>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</si>
  <si>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</si>
  <si>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</si>
  <si>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</si>
  <si>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</si>
  <si>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</si>
  <si>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</si>
  <si>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</si>
  <si>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</si>
  <si>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</si>
  <si>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</si>
  <si>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</si>
  <si>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</si>
  <si>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</si>
  <si>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</si>
  <si>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</si>
  <si>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</si>
  <si>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</si>
  <si>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</si>
  <si>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</si>
  <si>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</si>
  <si>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</si>
  <si>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</si>
  <si>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</si>
  <si>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</si>
  <si>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</si>
  <si>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</si>
  <si>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</si>
  <si>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</si>
  <si>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</si>
  <si>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</si>
  <si>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</si>
  <si>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</si>
  <si>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</si>
  <si>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</si>
  <si>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</si>
  <si>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</si>
  <si>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</si>
  <si>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</si>
  <si>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</si>
  <si>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</si>
  <si>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</si>
  <si>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</si>
  <si>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</si>
  <si>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</si>
  <si>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</si>
  <si>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</si>
  <si>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</si>
  <si>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</si>
  <si>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</si>
  <si>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</si>
  <si>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</si>
  <si>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</si>
  <si>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</si>
  <si>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</si>
  <si>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</si>
  <si>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</si>
  <si>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</si>
  <si>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</si>
  <si>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</si>
  <si>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</si>
  <si>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</si>
  <si>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</si>
  <si>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</si>
  <si>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</si>
  <si>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</si>
  <si>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</si>
  <si>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</si>
  <si>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</si>
  <si>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</si>
  <si>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</si>
  <si>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</si>
  <si>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</si>
  <si>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</si>
  <si>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</si>
  <si>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</si>
  <si>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</si>
  <si>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</si>
  <si>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</si>
  <si>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</si>
  <si>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</si>
  <si>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</si>
  <si>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</si>
  <si>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</si>
  <si>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</si>
  <si>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</si>
  <si>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</si>
  <si>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</si>
  <si>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</si>
  <si>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</si>
  <si>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</si>
  <si>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</si>
  <si>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</si>
  <si>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</si>
  <si>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</si>
  <si>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</si>
  <si>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</si>
  <si>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</si>
  <si>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</si>
  <si>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</si>
  <si>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</si>
  <si>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</si>
  <si>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</si>
  <si>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</si>
  <si>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</si>
  <si>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</si>
  <si>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</si>
  <si>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</si>
  <si>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</si>
  <si>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</si>
  <si>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</si>
  <si>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</si>
  <si>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</si>
  <si>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</si>
  <si>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</si>
  <si>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</si>
  <si>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</si>
  <si>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</si>
  <si>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</si>
  <si>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</si>
  <si>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</si>
  <si>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</si>
  <si>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</si>
  <si>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</si>
  <si>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</si>
  <si>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</si>
  <si>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</si>
  <si>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</si>
  <si>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</si>
  <si>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</si>
  <si>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</si>
  <si>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</si>
  <si>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</si>
  <si>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</si>
  <si>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</si>
  <si>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</si>
  <si>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</si>
  <si>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</si>
  <si>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</si>
  <si>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</si>
  <si>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</si>
  <si>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</si>
  <si>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</si>
  <si>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</si>
  <si>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</si>
  <si>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</si>
  <si>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</si>
  <si>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</si>
  <si>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</si>
  <si>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</si>
  <si>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</si>
  <si>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</si>
  <si>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</si>
  <si>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</si>
  <si>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</si>
  <si>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</si>
  <si>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</si>
  <si>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</si>
  <si>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</si>
  <si>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</si>
  <si>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</si>
  <si>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</si>
  <si>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</si>
  <si>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</si>
  <si>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</si>
  <si>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</si>
  <si>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</si>
  <si>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</si>
  <si>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</si>
  <si>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</si>
  <si>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</si>
  <si>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</si>
  <si>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</si>
  <si>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</si>
  <si>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</si>
  <si>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</si>
  <si>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</si>
  <si>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</si>
  <si>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</si>
  <si>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</si>
  <si>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</si>
  <si>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</si>
  <si>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</si>
  <si>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</si>
  <si>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</si>
  <si>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</si>
  <si>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</si>
  <si>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Purchased Gas</t>
  </si>
  <si>
    <t>Amortization of VA Regulatory Assets</t>
  </si>
  <si>
    <t>Amortization of VA Regulatory Liabilities</t>
  </si>
  <si>
    <t>Income Tax Expense</t>
  </si>
  <si>
    <t>Sales Tax</t>
  </si>
  <si>
    <t>Gross Receipts Tax</t>
  </si>
  <si>
    <t>Customer Utility Tax</t>
  </si>
  <si>
    <t>State &amp; Local Consumption Tax</t>
  </si>
  <si>
    <t>Cash Working Capital Analysis</t>
  </si>
  <si>
    <t>2018 Kentucky Rate Case</t>
  </si>
  <si>
    <t>For the Year Ended December 31, 2017</t>
  </si>
  <si>
    <t>Amortization of Regulatory Assets</t>
  </si>
  <si>
    <t>Amortization of Regulatory Liabilities</t>
  </si>
  <si>
    <t>Acct lookup</t>
  </si>
  <si>
    <t>2017</t>
  </si>
  <si>
    <t>Forecast Period</t>
  </si>
  <si>
    <t>13-Month Avg</t>
  </si>
  <si>
    <t>CWIP/RWIP</t>
  </si>
  <si>
    <t>Percent</t>
  </si>
  <si>
    <t>Factor</t>
  </si>
  <si>
    <t>Total Net Accrued Retention/RWIP</t>
  </si>
  <si>
    <t>13 MONTH AVERAGE</t>
  </si>
  <si>
    <t>TOTAL USES OF CASH WORKING CAPITAL</t>
  </si>
  <si>
    <t>TOTAL SOURCES OF CASH WORKING CAPITAL</t>
  </si>
  <si>
    <t>ADDITIONAL USES OF CASH WORKING CAPITAL:</t>
  </si>
  <si>
    <t>ADDITIONAL SOURCES OF CASH WORKING CAPITAL:</t>
  </si>
  <si>
    <t>NET ACCRUED RETENTION/CWIP</t>
  </si>
  <si>
    <t>NET ACCRUED RWIP</t>
  </si>
  <si>
    <t>CASE NO. 2018-00295 - ELECTRIC OPERATIONS</t>
  </si>
  <si>
    <t>ECR CASH WORKING CAPITAL (12.5% OF LINE 3)</t>
  </si>
  <si>
    <t>ECR Cash Working Capital (Page 3)</t>
  </si>
  <si>
    <t>Jurisdictional Cash Working Capital (Line 48 - 49)</t>
  </si>
  <si>
    <t>Additional Cash Working Capital Items (Page 2)</t>
  </si>
  <si>
    <t>Total Company - Electric</t>
  </si>
  <si>
    <t xml:space="preserve">  Cash Working Capital</t>
  </si>
  <si>
    <t>LEAD/LAG STUDY</t>
  </si>
  <si>
    <t>FERC Balance Sheet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</si>
  <si>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</si>
  <si>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</si>
  <si>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</si>
  <si>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</si>
  <si>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</si>
  <si>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</si>
  <si>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</si>
  <si>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</si>
  <si>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</si>
  <si>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</si>
  <si>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</si>
  <si>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</si>
  <si>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</si>
  <si>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</si>
  <si>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</si>
  <si>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</si>
  <si>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</si>
  <si>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</si>
  <si>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</si>
  <si>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</si>
  <si>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</si>
  <si>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</si>
  <si>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</si>
  <si>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</si>
  <si>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</si>
  <si>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ECR OPERATING AND MAINTENANCE EXPENSE</t>
  </si>
  <si>
    <t>Accrued Wholesale Revenues</t>
  </si>
  <si>
    <t>AS OF  DECEMBER 31, 2013 - 2017 AND BASE AND FORECASTED PERIODS</t>
  </si>
  <si>
    <t>CLEARING ACCTS - PENSION</t>
  </si>
  <si>
    <t>TOTAL USES / (SOURCES) OF CASH WORKING CAPITAL (LINE 7 + 14)</t>
  </si>
  <si>
    <t xml:space="preserve">   LGE-1371 - Electric Distribution - Install on Customers - EV Meters </t>
  </si>
  <si>
    <t>Base Period</t>
  </si>
  <si>
    <t>E371.00-Install on Customer Premise</t>
  </si>
  <si>
    <t xml:space="preserve">   LGE-1370 - Electric Distribution - Meters - DSM</t>
  </si>
  <si>
    <t>122457</t>
  </si>
  <si>
    <t>EDO ADJUSTMENTS</t>
  </si>
  <si>
    <t>N1DT PLAINVIEW SUB</t>
  </si>
  <si>
    <t>150222</t>
  </si>
  <si>
    <t>LGE Ky Wired Reimbursable</t>
  </si>
  <si>
    <t>151231</t>
  </si>
  <si>
    <t>EDO Contingency</t>
  </si>
  <si>
    <t>152569</t>
  </si>
  <si>
    <t>Repl Secondary Locators</t>
  </si>
  <si>
    <t>154095</t>
  </si>
  <si>
    <t>IT Distrbution Automation LGE</t>
  </si>
  <si>
    <t>155386</t>
  </si>
  <si>
    <t>N1DT Pleasure Ridge Sub</t>
  </si>
  <si>
    <t>156783</t>
  </si>
  <si>
    <t>LGE Spare Transformer</t>
  </si>
  <si>
    <t>157649</t>
  </si>
  <si>
    <t>Bluelick Rd PBWK</t>
  </si>
  <si>
    <t>124518</t>
  </si>
  <si>
    <t>TC1 RECYC PUMP PIPING EBW</t>
  </si>
  <si>
    <t>132960</t>
  </si>
  <si>
    <t>MC1 DCS 2019</t>
  </si>
  <si>
    <t>135122</t>
  </si>
  <si>
    <t>MC1 PJFF Bags 2021</t>
  </si>
  <si>
    <t>GS GE Test Equip Pool</t>
  </si>
  <si>
    <t>137633LGE</t>
  </si>
  <si>
    <t>TC2 SLMS UNIT</t>
  </si>
  <si>
    <t>139880</t>
  </si>
  <si>
    <t>MC1 FDWTR HTRS Phase 1</t>
  </si>
  <si>
    <t>139892</t>
  </si>
  <si>
    <t>MC3 FDWTR HTRS</t>
  </si>
  <si>
    <t>143637</t>
  </si>
  <si>
    <t>MC3 Turbine L-0 Buckets 2019</t>
  </si>
  <si>
    <t>GS CDM Tripwire</t>
  </si>
  <si>
    <t>150035</t>
  </si>
  <si>
    <t>TC1 UPPER ARCH REPLACEMENT</t>
  </si>
  <si>
    <t>151245</t>
  </si>
  <si>
    <t>MC Limestone Lining Screw C</t>
  </si>
  <si>
    <t>TC OFFICE UPGRADES %</t>
  </si>
  <si>
    <t>153077</t>
  </si>
  <si>
    <t>TC1 SCR CATALYST L2 NEW</t>
  </si>
  <si>
    <t>154402</t>
  </si>
  <si>
    <t>MC1 Primary Air Flow Xmtrs</t>
  </si>
  <si>
    <t>154542</t>
  </si>
  <si>
    <t>MC4 Secondary Air Meters</t>
  </si>
  <si>
    <t>154555</t>
  </si>
  <si>
    <t>MC1 SH Division Pnls - Partial</t>
  </si>
  <si>
    <t>154556</t>
  </si>
  <si>
    <t>MC1 WW Weld Overlay 2019</t>
  </si>
  <si>
    <t>154678</t>
  </si>
  <si>
    <t>MC1 Warm-up Gas Valves</t>
  </si>
  <si>
    <t>154729LGE</t>
  </si>
  <si>
    <t>TC COAL CONVEYOR VFD UPGD-</t>
  </si>
  <si>
    <t>154753</t>
  </si>
  <si>
    <t>TC VEHICLES</t>
  </si>
  <si>
    <t>154759LGE</t>
  </si>
  <si>
    <t>TC LED LIGHTING-</t>
  </si>
  <si>
    <t>155077LGE</t>
  </si>
  <si>
    <t>TC INSIGHT CM VIB MONITOR-</t>
  </si>
  <si>
    <t>155149LGE</t>
  </si>
  <si>
    <t>BRCT6 GT Thermal Insul - LGE</t>
  </si>
  <si>
    <t>155396</t>
  </si>
  <si>
    <t>MC1 Air Heater Baskets 2019</t>
  </si>
  <si>
    <t>156753</t>
  </si>
  <si>
    <t>MC4 SH Outlet 2020</t>
  </si>
  <si>
    <t>156909</t>
  </si>
  <si>
    <t>PR13 SFC Switch Cab</t>
  </si>
  <si>
    <t>156999</t>
  </si>
  <si>
    <t>TC1 HRH ELBOW</t>
  </si>
  <si>
    <t>157239</t>
  </si>
  <si>
    <t>MC Ammonia Fogging System</t>
  </si>
  <si>
    <t>157746</t>
  </si>
  <si>
    <t>MC1 Feeders &amp; Outlet Hoppers</t>
  </si>
  <si>
    <t>133671</t>
  </si>
  <si>
    <t>EFFLUENT WATER STUDY-MC</t>
  </si>
  <si>
    <t>133679</t>
  </si>
  <si>
    <t>EFFLUENT WATER STUDY-TC LGE</t>
  </si>
  <si>
    <t>134898</t>
  </si>
  <si>
    <t>PE Vehicle Purchases</t>
  </si>
  <si>
    <t>148469</t>
  </si>
  <si>
    <t>CR DEMO - PE ONLY</t>
  </si>
  <si>
    <t>151118</t>
  </si>
  <si>
    <t>TC CCRT - TRANSPORT LGE</t>
  </si>
  <si>
    <t>151119</t>
  </si>
  <si>
    <t>TC CCRT - LANDFILL LGE</t>
  </si>
  <si>
    <t>152381</t>
  </si>
  <si>
    <t>MC Process Water</t>
  </si>
  <si>
    <t>152384</t>
  </si>
  <si>
    <t>TC LGE Process Water</t>
  </si>
  <si>
    <t>155513</t>
  </si>
  <si>
    <t>TC CCR New Const Proces Pd LGE</t>
  </si>
  <si>
    <t>158032</t>
  </si>
  <si>
    <t>MC FLY ASH BARGE LOADING</t>
  </si>
  <si>
    <t>134198</t>
  </si>
  <si>
    <t>CR CNL-DLPRK 69KV</t>
  </si>
  <si>
    <t>140440</t>
  </si>
  <si>
    <t>TEP-CR-NORTH TAP-SO PARK</t>
  </si>
  <si>
    <t>151752</t>
  </si>
  <si>
    <t>DSP Plainview 138kV UPG</t>
  </si>
  <si>
    <t>152224</t>
  </si>
  <si>
    <t>Clifty Creek DL1/DL2 Brkr Rpl</t>
  </si>
  <si>
    <t>152226</t>
  </si>
  <si>
    <t>Middletown (5) 345kV Brkr Rpl</t>
  </si>
  <si>
    <t>154694</t>
  </si>
  <si>
    <t>Madison 69kV Cap &amp; Pin Rpl</t>
  </si>
  <si>
    <t>156481</t>
  </si>
  <si>
    <t>RFN-Tip Top Fence</t>
  </si>
  <si>
    <t>156518</t>
  </si>
  <si>
    <t>TEP-TC Reactors at TCSW</t>
  </si>
  <si>
    <t>156820</t>
  </si>
  <si>
    <t>TEP-Trimble County Relay</t>
  </si>
  <si>
    <t>158018</t>
  </si>
  <si>
    <t>Mobile Control House- LGE</t>
  </si>
  <si>
    <t>158112</t>
  </si>
  <si>
    <t>PBU- Paddys Run 138kV Repl</t>
  </si>
  <si>
    <t>LI-000057</t>
  </si>
  <si>
    <t>REL Jeffersontown ALT 4</t>
  </si>
  <si>
    <t>SU-000029</t>
  </si>
  <si>
    <t>PGG-Clifton GG Audit/Rmdiation</t>
  </si>
  <si>
    <t>SU-000041</t>
  </si>
  <si>
    <t>PBR-Algonquin PIN PRLY</t>
  </si>
  <si>
    <t>SU-000060</t>
  </si>
  <si>
    <t>PRLY-Ashbottom - S Park (6639)</t>
  </si>
  <si>
    <t>SU-000063</t>
  </si>
  <si>
    <t>PRLY-Grady-Paddys Run (6633)</t>
  </si>
  <si>
    <t>SU-000077</t>
  </si>
  <si>
    <t>PRLY-Aiken-Oxmoor (6650)</t>
  </si>
  <si>
    <t>SU-000132</t>
  </si>
  <si>
    <t>PR Ashbottom - Kenwood (6649)</t>
  </si>
  <si>
    <t>SU-000141</t>
  </si>
  <si>
    <t>PR Clifton-Hillcrest (6628)</t>
  </si>
  <si>
    <t>SU-000142</t>
  </si>
  <si>
    <t>PR Ford-Freys Hill (6659)</t>
  </si>
  <si>
    <t>SU-000261</t>
  </si>
  <si>
    <t>REL Jeffersontown ALT 4 SU</t>
  </si>
  <si>
    <t>SU-000267</t>
  </si>
  <si>
    <t>TEP-Skylight 69kV Capacitor</t>
  </si>
  <si>
    <t>SU-000269</t>
  </si>
  <si>
    <t>PBR-Taylor (2) 69kV BKR+</t>
  </si>
  <si>
    <t>SU-000278</t>
  </si>
  <si>
    <t>PIN-Lyndon South 138-69+</t>
  </si>
  <si>
    <t>SU-000293</t>
  </si>
  <si>
    <t>PBR- Fern Valley PIN PRLY RTU</t>
  </si>
  <si>
    <t>SU-000294</t>
  </si>
  <si>
    <t>PBR-Magazine PRLY PIR PAR</t>
  </si>
  <si>
    <t>SU-000370</t>
  </si>
  <si>
    <t>PBR-Canal (11) BKR (PIN)</t>
  </si>
  <si>
    <t>00029FACL</t>
  </si>
  <si>
    <t>AOC SPACE EXPANSION</t>
  </si>
  <si>
    <t>00065FACL</t>
  </si>
  <si>
    <t>GAS &amp; EL SAFETY-TRAIN BLDG EOC</t>
  </si>
  <si>
    <t>00072FACL</t>
  </si>
  <si>
    <t>CALL CENTER RENO BOC 3 LGE</t>
  </si>
  <si>
    <t>153065</t>
  </si>
  <si>
    <t>Solar Projects - Community LGE</t>
  </si>
  <si>
    <t>153561</t>
  </si>
  <si>
    <t>DCC ENHANCEMENT LGE</t>
  </si>
  <si>
    <t>155529</t>
  </si>
  <si>
    <t>MV-90 Daily Read LG&amp;E</t>
  </si>
  <si>
    <t>156464</t>
  </si>
  <si>
    <t>INSTALL HEAT AT BOC</t>
  </si>
  <si>
    <t>IT0000L</t>
  </si>
  <si>
    <t>IT Contingency-LGE</t>
  </si>
  <si>
    <t>IT0194L</t>
  </si>
  <si>
    <t>ITS Integration-LGE18</t>
  </si>
  <si>
    <t>IT0329L</t>
  </si>
  <si>
    <t>Lockout/Tagout Replace-LGE18</t>
  </si>
  <si>
    <t>IT0333L</t>
  </si>
  <si>
    <t>Cst Rel Mgmt Maj Acts-LGE18-19</t>
  </si>
  <si>
    <t>IT0337CG</t>
  </si>
  <si>
    <t>Barcode Gas Mat Steel-LGE18-19</t>
  </si>
  <si>
    <t>IT0352L</t>
  </si>
  <si>
    <t>Exp/Repl Cust Comm Chan-LGE18</t>
  </si>
  <si>
    <t>120754</t>
  </si>
  <si>
    <t>Misc. A/R Uncollect - LGE Cap</t>
  </si>
  <si>
    <t>147831</t>
  </si>
  <si>
    <t>Corporate Contingency-LGE</t>
  </si>
  <si>
    <t>131715</t>
  </si>
  <si>
    <t>N1DT Pleasure Ridge Sub-CW</t>
  </si>
  <si>
    <t>148882</t>
  </si>
  <si>
    <t>DSP TUCKER STATION</t>
  </si>
  <si>
    <t>148884</t>
  </si>
  <si>
    <t>DIST XFMR LIME KILN CW</t>
  </si>
  <si>
    <t>148885</t>
  </si>
  <si>
    <t>DIST XFMR LIME KILN SUB</t>
  </si>
  <si>
    <t>155292</t>
  </si>
  <si>
    <t>LEO PADMOUNT SWITCHGEAR 2020</t>
  </si>
  <si>
    <t>155315</t>
  </si>
  <si>
    <t>LEO TOOLS AND EQUIPMENT 2020</t>
  </si>
  <si>
    <t>155352</t>
  </si>
  <si>
    <t>Manhole Structural Rep 2020</t>
  </si>
  <si>
    <t>155359</t>
  </si>
  <si>
    <t>DWNTWN NTWK VAULT RPR 2020</t>
  </si>
  <si>
    <t>155361</t>
  </si>
  <si>
    <t>DWNTWN NTWK VENT PRTCT 2020</t>
  </si>
  <si>
    <t>155363</t>
  </si>
  <si>
    <t>PILC 2020 LGE CABLE REPL</t>
  </si>
  <si>
    <t>155365</t>
  </si>
  <si>
    <t>URD CABLE REPL/REJUV LGE 2020</t>
  </si>
  <si>
    <t>157031</t>
  </si>
  <si>
    <t>SCM2020 LGE LEGACY RELAY REPL</t>
  </si>
  <si>
    <t>157038</t>
  </si>
  <si>
    <t>SCM2020 LGE REPL ABB VHK MECH</t>
  </si>
  <si>
    <t>157051</t>
  </si>
  <si>
    <t>SCM2020 LGE CAP&amp;PIN INSUL UPGD</t>
  </si>
  <si>
    <t>157060</t>
  </si>
  <si>
    <t>SCM2020 LGE LTC OIL FILT ADDS</t>
  </si>
  <si>
    <t>157584</t>
  </si>
  <si>
    <t>SIO-LED ST LIGHT CONV-LGE</t>
  </si>
  <si>
    <t>157602</t>
  </si>
  <si>
    <t>DSP DEL PARK TO CANAL</t>
  </si>
  <si>
    <t>157611</t>
  </si>
  <si>
    <t>LGE HW/SW Asset Mgmt 2019</t>
  </si>
  <si>
    <t>157615</t>
  </si>
  <si>
    <t>Purchase Garage Equip 2019</t>
  </si>
  <si>
    <t>157283</t>
  </si>
  <si>
    <t>STT ITS Customization</t>
  </si>
  <si>
    <t>157285</t>
  </si>
  <si>
    <t>STT Equip Simulators-GL</t>
  </si>
  <si>
    <t>157369</t>
  </si>
  <si>
    <t>STT Trng Equip Trl</t>
  </si>
  <si>
    <t>132989</t>
  </si>
  <si>
    <t>MC2 Relays</t>
  </si>
  <si>
    <t>135120</t>
  </si>
  <si>
    <t>MC4 PJFF Bags 2020</t>
  </si>
  <si>
    <t>135123</t>
  </si>
  <si>
    <t>MC2 PJFF Bags 2020</t>
  </si>
  <si>
    <t>MISC TOOLS LGE</t>
  </si>
  <si>
    <t>143595</t>
  </si>
  <si>
    <t>MC4 SCR Catalyst L1 2020</t>
  </si>
  <si>
    <t>147042</t>
  </si>
  <si>
    <t>MC2 Exp Joints 2020</t>
  </si>
  <si>
    <t>147056</t>
  </si>
  <si>
    <t>MC2 Boiler Lower Slope</t>
  </si>
  <si>
    <t>149021LGE</t>
  </si>
  <si>
    <t>TC2 TDBFP RECIRC VALVE B</t>
  </si>
  <si>
    <t>150052LGE</t>
  </si>
  <si>
    <t>TC2 LOWER SLOPE WW REPL</t>
  </si>
  <si>
    <t>150064LGE</t>
  </si>
  <si>
    <t>TC2 SSC TILE</t>
  </si>
  <si>
    <t>151249</t>
  </si>
  <si>
    <t>MC Plant Fire Protection</t>
  </si>
  <si>
    <t>151578</t>
  </si>
  <si>
    <t>MC2 Boiler Air Tips</t>
  </si>
  <si>
    <t>152659LGE</t>
  </si>
  <si>
    <t>TC2 A ID FAN OVERHAUL LGE</t>
  </si>
  <si>
    <t>152685LGE</t>
  </si>
  <si>
    <t>TC2 B BFP OVERHAUL LG&amp;E</t>
  </si>
  <si>
    <t>153047LGE</t>
  </si>
  <si>
    <t>TC2 FINAL SH REPL*</t>
  </si>
  <si>
    <t>153080LGE</t>
  </si>
  <si>
    <t>TC2 SCR CATALYST L1 NEW-</t>
  </si>
  <si>
    <t>154327</t>
  </si>
  <si>
    <t>MC Basement Water Piping</t>
  </si>
  <si>
    <t>154464</t>
  </si>
  <si>
    <t>MC2 Turbine Room Roof Drains</t>
  </si>
  <si>
    <t>154541</t>
  </si>
  <si>
    <t>MC3 Secondary Air Meters</t>
  </si>
  <si>
    <t>154633</t>
  </si>
  <si>
    <t>MC 1E Recycle Pump OVERHAUL</t>
  </si>
  <si>
    <t>154639</t>
  </si>
  <si>
    <t>MC 2B CTP OVERHAUL 2020</t>
  </si>
  <si>
    <t>154640</t>
  </si>
  <si>
    <t>MC 2B MDBFP OVERHAUL 2020</t>
  </si>
  <si>
    <t>154642</t>
  </si>
  <si>
    <t>MC 2C BCP OVERHAUL 2019</t>
  </si>
  <si>
    <t>154644</t>
  </si>
  <si>
    <t>MC 2F Recyc Pump OVERHAUL 2020</t>
  </si>
  <si>
    <t>154738</t>
  </si>
  <si>
    <t>TC1 BATTERY REPLACEMENTS</t>
  </si>
  <si>
    <t>154744LGE</t>
  </si>
  <si>
    <t>TC2 COOLING TOWER PUMP OH-</t>
  </si>
  <si>
    <t>155443LGE</t>
  </si>
  <si>
    <t>TC F COAL CONV GALLERY REBLD-</t>
  </si>
  <si>
    <t>155558LGE</t>
  </si>
  <si>
    <t>TC2 BOILER WATER WALL 2020-</t>
  </si>
  <si>
    <t>155651LGE</t>
  </si>
  <si>
    <t>TC2 EXPANSION JOINTS 2020-</t>
  </si>
  <si>
    <t>155659LGE</t>
  </si>
  <si>
    <t>TC2 BURNER B,E ROWS 2020-</t>
  </si>
  <si>
    <t>156664</t>
  </si>
  <si>
    <t>MC 3B Mill Gearbox OVERHAUL 22</t>
  </si>
  <si>
    <t>156834LGE</t>
  </si>
  <si>
    <t>TC2 WESP DRAIN PIPING-</t>
  </si>
  <si>
    <t>156838LGE</t>
  </si>
  <si>
    <t>TC PLC CONVERSION-</t>
  </si>
  <si>
    <t>156932</t>
  </si>
  <si>
    <t>TC1 SB DRAIN PIPING OVERHAUL</t>
  </si>
  <si>
    <t>157075LGE</t>
  </si>
  <si>
    <t>TC2 HA COMP OH-</t>
  </si>
  <si>
    <t>157148</t>
  </si>
  <si>
    <t>PR11 Battery Replacement</t>
  </si>
  <si>
    <t>157779LGE</t>
  </si>
  <si>
    <t>TC2 RH ATTEMPERATORS-</t>
  </si>
  <si>
    <t>139991</t>
  </si>
  <si>
    <t>TEP-CR-MIDVALLEY-FNCHVL</t>
  </si>
  <si>
    <t>144782</t>
  </si>
  <si>
    <t>LGE Loaned to Transmission</t>
  </si>
  <si>
    <t>147735</t>
  </si>
  <si>
    <t>FULL UPGRD EMS SWARE-LGE-2020</t>
  </si>
  <si>
    <t>SPIR Project LGE</t>
  </si>
  <si>
    <t>148822</t>
  </si>
  <si>
    <t>CR Olin-Tip Top 69kV</t>
  </si>
  <si>
    <t>152711</t>
  </si>
  <si>
    <t>CR Skylight-Harmony Landing</t>
  </si>
  <si>
    <t>157313</t>
  </si>
  <si>
    <t>DSP N1DT Pleasure Ridge</t>
  </si>
  <si>
    <t>LI-000088</t>
  </si>
  <si>
    <t>TEP-CR-Ford-Freys Hill</t>
  </si>
  <si>
    <t>SU-000299</t>
  </si>
  <si>
    <t>PRLY-AS-CRS 3832</t>
  </si>
  <si>
    <t>SU-000301</t>
  </si>
  <si>
    <t>PRLY-BG-TA 6651</t>
  </si>
  <si>
    <t>SU-000336</t>
  </si>
  <si>
    <t>PRLY-BY-HB 3891</t>
  </si>
  <si>
    <t>SU-000337</t>
  </si>
  <si>
    <t>PRLY-CY-HI 6663</t>
  </si>
  <si>
    <t>SU-000338</t>
  </si>
  <si>
    <t>PRLY-CF-CW 6686</t>
  </si>
  <si>
    <t>SU-000346</t>
  </si>
  <si>
    <t>River Rd Hwy Relo-S</t>
  </si>
  <si>
    <t>SU-000347</t>
  </si>
  <si>
    <t>TEP-BL 345/161kV Transf. Repl</t>
  </si>
  <si>
    <t>SU-000356</t>
  </si>
  <si>
    <t>REL-CW-686 to Breaker</t>
  </si>
  <si>
    <t>SU-000357</t>
  </si>
  <si>
    <t>REL-DX-812 to Breaker</t>
  </si>
  <si>
    <t>SU-000358</t>
  </si>
  <si>
    <t>REL-HN-859 to Breaker</t>
  </si>
  <si>
    <t>SU-000359</t>
  </si>
  <si>
    <t>REL-MG-859 to Breaker</t>
  </si>
  <si>
    <t>SU-000360</t>
  </si>
  <si>
    <t>REL-OK-876 to Breaker</t>
  </si>
  <si>
    <t>SU-000361</t>
  </si>
  <si>
    <t>REL-PL-839 to Breaker</t>
  </si>
  <si>
    <t>SU-000362</t>
  </si>
  <si>
    <t>REL-TE-678 to Breaker</t>
  </si>
  <si>
    <t>SU-000367</t>
  </si>
  <si>
    <t>PBR-Nachand (1) BKR</t>
  </si>
  <si>
    <t>SU-000368</t>
  </si>
  <si>
    <t>PBR-Highland (2) BKR</t>
  </si>
  <si>
    <t>SU-000369</t>
  </si>
  <si>
    <t>PBR-Hancock (1) BKR</t>
  </si>
  <si>
    <t>SU-000402</t>
  </si>
  <si>
    <t>PPLC-Mill Creek 3857 DCB</t>
  </si>
  <si>
    <t>SU-000403</t>
  </si>
  <si>
    <t>PPLC-Knob Creek 3857 DCB</t>
  </si>
  <si>
    <t>00035FACL</t>
  </si>
  <si>
    <t>South Ops Engineering Center</t>
  </si>
  <si>
    <t>00075FACL</t>
  </si>
  <si>
    <t>BOC Elevator refurbish</t>
  </si>
  <si>
    <t>00105FACL</t>
  </si>
  <si>
    <t>KUGO Floor 1, 2 Remodel LGE</t>
  </si>
  <si>
    <t>149165</t>
  </si>
  <si>
    <t>LGE SECURITY EQUIPMENT 2020</t>
  </si>
  <si>
    <t>149481</t>
  </si>
  <si>
    <t>Misc Retail Hardware 2020 LG&amp;E</t>
  </si>
  <si>
    <t>153018</t>
  </si>
  <si>
    <t>FAC &amp; SITE IMPROVE LTP-LGE</t>
  </si>
  <si>
    <t>153021</t>
  </si>
  <si>
    <t>REPL FAILED EQUIP LTP-LGE</t>
  </si>
  <si>
    <t>153024</t>
  </si>
  <si>
    <t>FURN &amp; EQUIP LTP-LGE</t>
  </si>
  <si>
    <t>157892</t>
  </si>
  <si>
    <t>Smart Cities LG&amp;E 2019</t>
  </si>
  <si>
    <t>Mobile Dispatch Enh-LGE19-20</t>
  </si>
  <si>
    <t>IT0302L</t>
  </si>
  <si>
    <t>Rep ASTRO Spectra Yr 2/3-LGE20</t>
  </si>
  <si>
    <t>IT0306L</t>
  </si>
  <si>
    <t>Repl Quantar Repeat 2/2-LGE20</t>
  </si>
  <si>
    <t>IT0407L</t>
  </si>
  <si>
    <t>Bill Design Tool Upg-LGE20</t>
  </si>
  <si>
    <t>IT0419L</t>
  </si>
  <si>
    <t>Corp Web Redesign-LGE19-20</t>
  </si>
  <si>
    <t>IT0452L</t>
  </si>
  <si>
    <t>Oracle NMS Enhance-LGE20</t>
  </si>
  <si>
    <t>IT0458L</t>
  </si>
  <si>
    <t>PowerPlan Upgrade-LGE19-20</t>
  </si>
  <si>
    <t>IT0480L</t>
  </si>
  <si>
    <t>Time and Labor Upgr-LGE19-21</t>
  </si>
  <si>
    <t>IT0511L</t>
  </si>
  <si>
    <t>Trns Lnes Wk Mgmt Upg-LGE19-20</t>
  </si>
  <si>
    <t>IT0514L</t>
  </si>
  <si>
    <t>DACS Equip Repl (Yr2of3)-LGE20</t>
  </si>
  <si>
    <t>IT0559L</t>
  </si>
  <si>
    <t>Genetec HW Upgrade-LGE19-20</t>
  </si>
  <si>
    <t>IT0560L</t>
  </si>
  <si>
    <t>Cust Not Expand/Repl-LGE19-20</t>
  </si>
  <si>
    <t>IT0561L</t>
  </si>
  <si>
    <t>MAM Enhments-LGE19-20</t>
  </si>
  <si>
    <t>IT0564CG</t>
  </si>
  <si>
    <t>Gas Operator Qual App-LGE19-20</t>
  </si>
  <si>
    <t>IT0565CG</t>
  </si>
  <si>
    <t>Strg Intgrty Mgmt App-LGE19-20</t>
  </si>
  <si>
    <t>IT0569L</t>
  </si>
  <si>
    <t>Enterprise GIS-Phase2-LGE20-21</t>
  </si>
  <si>
    <t>IT0604L</t>
  </si>
  <si>
    <t>Avaya-Route&amp;Rpt Upg-LGE19-20</t>
  </si>
  <si>
    <t>IT0606L</t>
  </si>
  <si>
    <t>Bulk Power &amp; Env Systems-LGE20</t>
  </si>
  <si>
    <t>IT0609L</t>
  </si>
  <si>
    <t>Call Recording Upgr-LGE20-21</t>
  </si>
  <si>
    <t>IT0612L</t>
  </si>
  <si>
    <t>CIP Compl Tools - Yr 10-LGE20</t>
  </si>
  <si>
    <t>IT0613L</t>
  </si>
  <si>
    <t>Citrix XenDesk Maj Upgr-LGE20</t>
  </si>
  <si>
    <t>IT0614L</t>
  </si>
  <si>
    <t>Citrix XenMobile Upgrade-LGE20</t>
  </si>
  <si>
    <t>IT0615L</t>
  </si>
  <si>
    <t>CIP Compl Infra - Yr 10-LGE20</t>
  </si>
  <si>
    <t>IT0618L</t>
  </si>
  <si>
    <t>Constellation MW Rplmnt-LGE20</t>
  </si>
  <si>
    <t>IT0627L</t>
  </si>
  <si>
    <t>IT Sec Infrast Enhance-LGE20</t>
  </si>
  <si>
    <t>IT0628L</t>
  </si>
  <si>
    <t>ITSM Upgrade-LGE20</t>
  </si>
  <si>
    <t>IT0633L</t>
  </si>
  <si>
    <t>Microsoft Lic True-up-LGE20</t>
  </si>
  <si>
    <t>IT0634L</t>
  </si>
  <si>
    <t>Mbl &amp; Wrkst Lic True-up-LGE20</t>
  </si>
  <si>
    <t>IT0636L</t>
  </si>
  <si>
    <t>Mobile Radio-LGE20</t>
  </si>
  <si>
    <t>IT0637L</t>
  </si>
  <si>
    <t>Monitor Replacement-LGE20</t>
  </si>
  <si>
    <t>IT0644L</t>
  </si>
  <si>
    <t>Ntwrk Acc Dev&amp;Site Infra-LGE20</t>
  </si>
  <si>
    <t>IT0647L</t>
  </si>
  <si>
    <t>Network Test Equipment-LGE20</t>
  </si>
  <si>
    <t>IT0649L</t>
  </si>
  <si>
    <t>Outside Cable Plant -LGE20</t>
  </si>
  <si>
    <t>IT0651L</t>
  </si>
  <si>
    <t>Pers Product Grow &amp; Ref-LGE20</t>
  </si>
  <si>
    <t>IT0656L</t>
  </si>
  <si>
    <t>Router Upgrade Project-LGE20</t>
  </si>
  <si>
    <t>IT0661L</t>
  </si>
  <si>
    <t>Ser Cap Expan and Rel-LGE20</t>
  </si>
  <si>
    <t>IT0668L</t>
  </si>
  <si>
    <t>Site Security Improve-LGE20</t>
  </si>
  <si>
    <t>IT0671L</t>
  </si>
  <si>
    <t>Tech Refesh desk/lap-LGE20</t>
  </si>
  <si>
    <t>IT0672L</t>
  </si>
  <si>
    <t>Telecom Site Ren-LGE20</t>
  </si>
  <si>
    <t>IT0673L</t>
  </si>
  <si>
    <t>TOA Upgrade-LGE20</t>
  </si>
  <si>
    <t>IT0674L</t>
  </si>
  <si>
    <t>TRODS-LGE20</t>
  </si>
  <si>
    <t>IT0675L</t>
  </si>
  <si>
    <t>Truepoint MW Replacement-LGE20</t>
  </si>
  <si>
    <t>IT0680L</t>
  </si>
  <si>
    <t>Voice Infra Expansion-LGE20</t>
  </si>
  <si>
    <t>IT0681L</t>
  </si>
  <si>
    <t>Wireless Buildout-LGE20</t>
  </si>
  <si>
    <t>IT0682L</t>
  </si>
  <si>
    <t>SCADA Radio Refrsh Yr1/3-LGE20</t>
  </si>
  <si>
    <t>IT0689L</t>
  </si>
  <si>
    <t>Safety Dashboard Enhance-LGE20</t>
  </si>
  <si>
    <t>IT0690L</t>
  </si>
  <si>
    <t>Aligne Upgrade-LGE20</t>
  </si>
  <si>
    <t>IT0693L</t>
  </si>
  <si>
    <t>DB Refresh-LGE20</t>
  </si>
  <si>
    <t>IT0694L</t>
  </si>
  <si>
    <t>Windows 10 CBB Upgrade-LGE20</t>
  </si>
  <si>
    <t>IT0695L</t>
  </si>
  <si>
    <t>SCCM Upgrades-LGE20</t>
  </si>
  <si>
    <t>IT0701L</t>
  </si>
  <si>
    <t>Trans Lines Mobile Insp-LGE20</t>
  </si>
  <si>
    <t>IT0705L</t>
  </si>
  <si>
    <t>iPad Refresh Project-LGE20</t>
  </si>
  <si>
    <t>IT0708L</t>
  </si>
  <si>
    <t>My Acct Repl/Enhance-LGE19-20</t>
  </si>
  <si>
    <t>IT0710L</t>
  </si>
  <si>
    <t>SOA Middleware Upgrade-LGE20</t>
  </si>
  <si>
    <t>IT0711L</t>
  </si>
  <si>
    <t>CA API Mgmt Gateway Upg-LGE20</t>
  </si>
  <si>
    <t>IT0712L</t>
  </si>
  <si>
    <t>BI Rpting Aligne Fuels-LGE20</t>
  </si>
  <si>
    <t>IT0713L</t>
  </si>
  <si>
    <t>Enterprise GIS Enhance-LGE20</t>
  </si>
  <si>
    <t>IT0715L</t>
  </si>
  <si>
    <t>OpenTxt for Envrn Affrs-LGE20</t>
  </si>
  <si>
    <t>IT0716L</t>
  </si>
  <si>
    <t>UC&amp;C/CUCM Major Upgrade-LGE20</t>
  </si>
  <si>
    <t>IT0718L</t>
  </si>
  <si>
    <t>Virtual Reality Implment-LGE20</t>
  </si>
  <si>
    <t>IT0720L</t>
  </si>
  <si>
    <t>Computing Infra Upgrade-LGE20</t>
  </si>
  <si>
    <t>IT0722L</t>
  </si>
  <si>
    <t>Data Center Facility Upg-LGE20</t>
  </si>
  <si>
    <t>IT0723L</t>
  </si>
  <si>
    <t>Corporate RPA-LGE20</t>
  </si>
  <si>
    <t>IT0724L</t>
  </si>
  <si>
    <t>SAP Hana 2 Upgrade-LGE20-21</t>
  </si>
  <si>
    <t>IT0726L</t>
  </si>
  <si>
    <t>Data Analytics (SIO)-LGE20</t>
  </si>
  <si>
    <t>IT1087L</t>
  </si>
  <si>
    <t>SONET Equip Repl Yr 2/4-LGE20</t>
  </si>
  <si>
    <t>ECR Cash Working Capital (Page 6)</t>
  </si>
  <si>
    <t>FORECAST PERIOD              13 MONTH AVERAGE</t>
  </si>
  <si>
    <t>Additional Cash Working Capital Items (Page 5)</t>
  </si>
  <si>
    <t>FORECAST PERIOD               TOTAL COMPANY</t>
  </si>
  <si>
    <t>13 MO AVG FORECAST PERIOD                 TOTAL COMPANY INVESTMENT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</si>
</sst>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0.000"/>
    <numFmt numFmtId="190" formatCode="_([$€-2]* #,##0.00_);_([$€-2]* \(#,##0.00\);_([$€-2]* &quot;-&quot;??_)"/>
    <numFmt numFmtId="191" formatCode="_-* #,##0\ _F_-;\-* #,##0\ _F_-;_-* &quot;-&quot;\ _F_-;_-@_-"/>
    <numFmt numFmtId="192" formatCode="_-* #,##0.00\ _F_-;\-* #,##0.00\ _F_-;_-* &quot;-&quot;??\ _F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00000000"/>
    <numFmt numFmtId="196" formatCode="."/>
    <numFmt numFmtId="197" formatCode="&quot;$&quot;#,##0_);[Red]\(&quot;$&quot;#,##0\);&quot; &quot;"/>
    <numFmt numFmtId="198" formatCode="#,##0.00000_);[Red]\(#,##0.00000\);&quot; &quot;"/>
    <numFmt numFmtId="199" formatCode="###,000"/>
    <numFmt numFmtId="200" formatCode="0.00_);\(0.00\)"/>
    <numFmt numFmtId="201" formatCode="#,##0.0_);[Red]\(#,##0.0\);&quot; &quot;"/>
    <numFmt numFmtId="202" formatCode="#,##0.000_);\(#,##0.000\)"/>
    <numFmt numFmtId="203" formatCode="_(* #,##0.00_);_(* \(#,##0.00\);_(* &quot;-&quot;_);_(@_)"/>
    <numFmt numFmtId="204" formatCode="@*."/>
  </numFmts>
  <fonts count="24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b/>
      <sz val="12"/>
      <name val="Times New Roman"/>
      <family val="2"/>
    </font>
    <font>
      <sz val="12"/>
      <name val="Times New Roman"/>
      <family val="2"/>
    </font>
    <font>
      <i/>
      <sz val="12"/>
      <name val="Times New Roman"/>
      <family val="2"/>
    </font>
    <font>
      <sz val="12"/>
      <color rgb="FFFF0000"/>
      <name val="Times New Roman"/>
      <family val="1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12"/>
      <color rgb="FF0000FF"/>
      <name val="Arial"/>
      <family val="2"/>
    </font>
    <font>
      <b/>
      <sz val="12"/>
      <color theme="1"/>
      <name val="Arial"/>
      <family val="2"/>
    </font>
    <font>
      <b/>
      <i/>
      <sz val="11"/>
      <color theme="1"/>
      <name val="Calibri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sz val="10"/>
      <color rgb="FF0070C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56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6" borderId="0"/>
    <xf numFmtId="0" fontId="23" fillId="16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7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9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2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8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4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26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8" fillId="27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8" fillId="24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18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8" fillId="29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27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8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31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30" fillId="34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4" fillId="37" borderId="9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167" fontId="36" fillId="0" borderId="10" applyBorder="0">
      <alignment horizontal="center" vertical="center"/>
    </xf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8" fillId="35" borderId="0">
      <alignment horizontal="center"/>
    </xf>
    <xf numFmtId="0" fontId="38" fillId="35" borderId="0">
      <alignment horizontal="center"/>
    </xf>
    <xf numFmtId="166" fontId="38" fillId="35" borderId="0">
      <alignment horizontal="center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9" fillId="35" borderId="0">
      <alignment horizontal="left"/>
    </xf>
    <xf numFmtId="0" fontId="39" fillId="35" borderId="0">
      <alignment horizontal="left"/>
    </xf>
    <xf numFmtId="166" fontId="39" fillId="35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3" fillId="39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2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58" fillId="35" borderId="0">
      <alignment horizontal="left"/>
    </xf>
    <xf numFmtId="0" fontId="58" fillId="35" borderId="0">
      <alignment horizontal="left"/>
    </xf>
    <xf numFmtId="0" fontId="58" fillId="35" borderId="0">
      <alignment horizontal="left"/>
    </xf>
    <xf numFmtId="166" fontId="58" fillId="35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3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0" fontId="17" fillId="0" borderId="0"/>
    <xf numFmtId="40" fontId="66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17" fillId="0" borderId="0"/>
    <xf numFmtId="0" fontId="67" fillId="41" borderId="0">
      <alignment horizontal="center" vertical="center"/>
    </xf>
    <xf numFmtId="0" fontId="17" fillId="0" borderId="0"/>
    <xf numFmtId="0" fontId="68" fillId="41" borderId="0">
      <alignment horizontal="right"/>
    </xf>
    <xf numFmtId="164" fontId="35" fillId="43" borderId="0"/>
    <xf numFmtId="0" fontId="69" fillId="41" borderId="10"/>
    <xf numFmtId="0" fontId="58" fillId="41" borderId="10"/>
    <xf numFmtId="0" fontId="17" fillId="0" borderId="0"/>
    <xf numFmtId="0" fontId="58" fillId="41" borderId="10"/>
    <xf numFmtId="0" fontId="17" fillId="0" borderId="0"/>
    <xf numFmtId="0" fontId="69" fillId="41" borderId="10"/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1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1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4" borderId="0" applyNumberFormat="0" applyFont="0" applyBorder="0" applyAlignment="0" applyProtection="0"/>
    <xf numFmtId="164" fontId="58" fillId="23" borderId="0">
      <alignment horizontal="center"/>
    </xf>
    <xf numFmtId="0" fontId="58" fillId="23" borderId="0">
      <alignment horizontal="center"/>
    </xf>
    <xf numFmtId="0" fontId="58" fillId="23" borderId="0">
      <alignment horizontal="center"/>
    </xf>
    <xf numFmtId="0" fontId="17" fillId="0" borderId="0"/>
    <xf numFmtId="49" fontId="76" fillId="35" borderId="0">
      <alignment horizontal="center"/>
    </xf>
    <xf numFmtId="0" fontId="17" fillId="0" borderId="0"/>
    <xf numFmtId="164" fontId="37" fillId="38" borderId="0">
      <alignment horizontal="center"/>
    </xf>
    <xf numFmtId="0" fontId="37" fillId="38" borderId="0">
      <alignment horizontal="center"/>
    </xf>
    <xf numFmtId="0" fontId="17" fillId="0" borderId="0"/>
    <xf numFmtId="164" fontId="37" fillId="38" borderId="0">
      <alignment horizontal="centerContinuous"/>
    </xf>
    <xf numFmtId="0" fontId="37" fillId="38" borderId="0">
      <alignment horizontal="centerContinuous"/>
    </xf>
    <xf numFmtId="0" fontId="17" fillId="0" borderId="0"/>
    <xf numFmtId="164" fontId="77" fillId="35" borderId="0">
      <alignment horizontal="left"/>
    </xf>
    <xf numFmtId="0" fontId="77" fillId="35" borderId="0">
      <alignment horizontal="left"/>
    </xf>
    <xf numFmtId="0" fontId="17" fillId="0" borderId="0"/>
    <xf numFmtId="49" fontId="77" fillId="35" borderId="0">
      <alignment horizontal="center"/>
    </xf>
    <xf numFmtId="0" fontId="17" fillId="0" borderId="0"/>
    <xf numFmtId="164" fontId="35" fillId="38" borderId="0">
      <alignment horizontal="left"/>
    </xf>
    <xf numFmtId="0" fontId="35" fillId="38" borderId="0">
      <alignment horizontal="left"/>
    </xf>
    <xf numFmtId="0" fontId="17" fillId="0" borderId="0"/>
    <xf numFmtId="49" fontId="77" fillId="35" borderId="0">
      <alignment horizontal="left"/>
    </xf>
    <xf numFmtId="0" fontId="17" fillId="0" borderId="0"/>
    <xf numFmtId="164" fontId="35" fillId="38" borderId="0">
      <alignment horizontal="centerContinuous"/>
    </xf>
    <xf numFmtId="0" fontId="35" fillId="38" borderId="0">
      <alignment horizontal="centerContinuous"/>
    </xf>
    <xf numFmtId="0" fontId="17" fillId="0" borderId="0"/>
    <xf numFmtId="164" fontId="35" fillId="38" borderId="0">
      <alignment horizontal="right"/>
    </xf>
    <xf numFmtId="0" fontId="35" fillId="38" borderId="0">
      <alignment horizontal="right"/>
    </xf>
    <xf numFmtId="0" fontId="17" fillId="0" borderId="0"/>
    <xf numFmtId="49" fontId="58" fillId="35" borderId="0">
      <alignment horizontal="left"/>
    </xf>
    <xf numFmtId="49" fontId="58" fillId="35" borderId="0">
      <alignment horizontal="left"/>
    </xf>
    <xf numFmtId="0" fontId="17" fillId="0" borderId="0"/>
    <xf numFmtId="164" fontId="37" fillId="38" borderId="0">
      <alignment horizontal="right"/>
    </xf>
    <xf numFmtId="0" fontId="37" fillId="38" borderId="0">
      <alignment horizontal="right"/>
    </xf>
    <xf numFmtId="0" fontId="17" fillId="0" borderId="0"/>
    <xf numFmtId="164" fontId="77" fillId="21" borderId="0">
      <alignment horizontal="center"/>
    </xf>
    <xf numFmtId="0" fontId="77" fillId="21" borderId="0">
      <alignment horizontal="center"/>
    </xf>
    <xf numFmtId="0" fontId="17" fillId="0" borderId="0"/>
    <xf numFmtId="164" fontId="78" fillId="21" borderId="0">
      <alignment horizontal="center"/>
    </xf>
    <xf numFmtId="0" fontId="78" fillId="21" borderId="0">
      <alignment horizontal="center"/>
    </xf>
    <xf numFmtId="0" fontId="17" fillId="0" borderId="0"/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2" fillId="43" borderId="0" applyNumberFormat="0" applyProtection="0">
      <alignment horizontal="left" vertical="center" indent="1"/>
    </xf>
    <xf numFmtId="4" fontId="22" fillId="43" borderId="0" applyNumberFormat="0" applyProtection="0">
      <alignment horizontal="left" vertical="center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2" fillId="50" borderId="0" applyNumberFormat="0" applyProtection="0">
      <alignment horizontal="left" vertical="center" indent="1"/>
    </xf>
    <xf numFmtId="4" fontId="22" fillId="50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5" borderId="0">
      <alignment horizontal="center"/>
    </xf>
    <xf numFmtId="0" fontId="86" fillId="35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37" fontId="85" fillId="0" borderId="0"/>
    <xf numFmtId="0" fontId="21" fillId="0" borderId="0"/>
    <xf numFmtId="0" fontId="97" fillId="0" borderId="0"/>
    <xf numFmtId="0" fontId="23" fillId="0" borderId="0"/>
    <xf numFmtId="0" fontId="23" fillId="0" borderId="0"/>
    <xf numFmtId="0" fontId="98" fillId="0" borderId="0"/>
    <xf numFmtId="0" fontId="101" fillId="0" borderId="0"/>
    <xf numFmtId="0" fontId="98" fillId="0" borderId="0"/>
    <xf numFmtId="0" fontId="98" fillId="0" borderId="0"/>
    <xf numFmtId="0" fontId="98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8" fillId="0" borderId="0"/>
    <xf numFmtId="184" fontId="46" fillId="0" borderId="0" applyFill="0"/>
    <xf numFmtId="184" fontId="46" fillId="0" borderId="0">
      <alignment horizontal="center"/>
    </xf>
    <xf numFmtId="0" fontId="46" fillId="0" borderId="0" applyFill="0">
      <alignment horizontal="center"/>
    </xf>
    <xf numFmtId="184" fontId="45" fillId="0" borderId="30" applyFill="0"/>
    <xf numFmtId="0" fontId="98" fillId="0" borderId="0" applyFont="0" applyAlignment="0"/>
    <xf numFmtId="0" fontId="103" fillId="0" borderId="0" applyFill="0">
      <alignment vertical="top"/>
    </xf>
    <xf numFmtId="0" fontId="45" fillId="0" borderId="0" applyFill="0">
      <alignment horizontal="left" vertical="top"/>
    </xf>
    <xf numFmtId="184" fontId="91" fillId="0" borderId="6" applyFill="0"/>
    <xf numFmtId="0" fontId="98" fillId="0" borderId="0" applyNumberFormat="0" applyFont="0" applyAlignment="0"/>
    <xf numFmtId="0" fontId="103" fillId="0" borderId="0" applyFill="0">
      <alignment wrapText="1"/>
    </xf>
    <xf numFmtId="0" fontId="45" fillId="0" borderId="0" applyFill="0">
      <alignment horizontal="left" vertical="top" wrapText="1"/>
    </xf>
    <xf numFmtId="184" fontId="104" fillId="0" borderId="0" applyFill="0"/>
    <xf numFmtId="0" fontId="105" fillId="0" borderId="0" applyNumberFormat="0" applyFont="0" applyAlignment="0">
      <alignment horizontal="center"/>
    </xf>
    <xf numFmtId="0" fontId="106" fillId="0" borderId="0" applyFill="0">
      <alignment vertical="top" wrapText="1"/>
    </xf>
    <xf numFmtId="0" fontId="91" fillId="0" borderId="0" applyFill="0">
      <alignment horizontal="left" vertical="top" wrapText="1"/>
    </xf>
    <xf numFmtId="184" fontId="98" fillId="0" borderId="0" applyFill="0"/>
    <xf numFmtId="0" fontId="105" fillId="0" borderId="0" applyNumberFormat="0" applyFont="0" applyAlignment="0">
      <alignment horizontal="center"/>
    </xf>
    <xf numFmtId="0" fontId="107" fillId="0" borderId="0" applyFill="0">
      <alignment vertical="center" wrapText="1"/>
    </xf>
    <xf numFmtId="0" fontId="21" fillId="0" borderId="0">
      <alignment horizontal="left" vertical="center" wrapText="1"/>
    </xf>
    <xf numFmtId="184" fontId="108" fillId="0" borderId="0" applyFill="0"/>
    <xf numFmtId="0" fontId="105" fillId="0" borderId="0" applyNumberFormat="0" applyFont="0" applyAlignment="0">
      <alignment horizontal="center"/>
    </xf>
    <xf numFmtId="0" fontId="109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4" fontId="110" fillId="0" borderId="0" applyFill="0"/>
    <xf numFmtId="0" fontId="105" fillId="0" borderId="0" applyNumberFormat="0" applyFont="0" applyAlignment="0">
      <alignment horizontal="center"/>
    </xf>
    <xf numFmtId="0" fontId="111" fillId="0" borderId="0" applyFill="0">
      <alignment horizontal="center" vertical="center" wrapText="1"/>
    </xf>
    <xf numFmtId="0" fontId="112" fillId="0" borderId="0" applyFill="0">
      <alignment horizontal="center" vertical="center" wrapText="1"/>
    </xf>
    <xf numFmtId="184" fontId="113" fillId="0" borderId="0" applyFill="0"/>
    <xf numFmtId="0" fontId="105" fillId="0" borderId="0" applyNumberFormat="0" applyFont="0" applyAlignment="0">
      <alignment horizontal="center"/>
    </xf>
    <xf numFmtId="0" fontId="114" fillId="0" borderId="0">
      <alignment horizontal="center" wrapText="1"/>
    </xf>
    <xf numFmtId="0" fontId="110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9" fontId="46" fillId="16" borderId="0" applyFill="0"/>
    <xf numFmtId="0" fontId="115" fillId="0" borderId="0">
      <alignment horizontal="left" indent="7"/>
    </xf>
    <xf numFmtId="0" fontId="46" fillId="0" borderId="0" applyFill="0">
      <alignment horizontal="left" indent="7"/>
    </xf>
    <xf numFmtId="7" fontId="116" fillId="0" borderId="28" applyFill="0">
      <alignment horizontal="right"/>
    </xf>
    <xf numFmtId="0" fontId="91" fillId="0" borderId="0" applyNumberFormat="0">
      <alignment horizontal="right"/>
    </xf>
    <xf numFmtId="0" fontId="117" fillId="0" borderId="28" applyFont="0" applyFill="0"/>
    <xf numFmtId="0" fontId="91" fillId="0" borderId="28" applyFill="0"/>
    <xf numFmtId="39" fontId="116" fillId="0" borderId="0" applyFill="0"/>
    <xf numFmtId="0" fontId="98" fillId="0" borderId="0" applyNumberFormat="0" applyFont="0" applyBorder="0" applyAlignment="0"/>
    <xf numFmtId="0" fontId="106" fillId="0" borderId="0" applyFill="0">
      <alignment horizontal="left" indent="1"/>
    </xf>
    <xf numFmtId="0" fontId="91" fillId="0" borderId="0" applyFill="0">
      <alignment horizontal="left" indent="1"/>
    </xf>
    <xf numFmtId="39" fontId="108" fillId="0" borderId="0" applyFill="0"/>
    <xf numFmtId="0" fontId="98" fillId="0" borderId="0" applyNumberFormat="0" applyFont="0" applyFill="0" applyBorder="0" applyAlignment="0"/>
    <xf numFmtId="0" fontId="106" fillId="0" borderId="0" applyFill="0">
      <alignment horizontal="left" indent="2"/>
    </xf>
    <xf numFmtId="0" fontId="76" fillId="0" borderId="0" applyFill="0">
      <alignment horizontal="left" indent="2"/>
    </xf>
    <xf numFmtId="39" fontId="108" fillId="0" borderId="0" applyFill="0"/>
    <xf numFmtId="0" fontId="98" fillId="0" borderId="0" applyNumberFormat="0" applyFont="0" applyBorder="0" applyAlignment="0"/>
    <xf numFmtId="0" fontId="118" fillId="0" borderId="0">
      <alignment horizontal="left" indent="3"/>
    </xf>
    <xf numFmtId="0" fontId="119" fillId="0" borderId="0" applyFill="0">
      <alignment horizontal="left" indent="3"/>
    </xf>
    <xf numFmtId="39" fontId="108" fillId="0" borderId="0" applyFill="0"/>
    <xf numFmtId="0" fontId="98" fillId="0" borderId="0" applyNumberFormat="0" applyFont="0" applyBorder="0" applyAlignment="0"/>
    <xf numFmtId="0" fontId="109" fillId="0" borderId="0">
      <alignment horizontal="left" indent="4"/>
    </xf>
    <xf numFmtId="0" fontId="23" fillId="0" borderId="0" applyFill="0">
      <alignment horizontal="left" indent="4"/>
    </xf>
    <xf numFmtId="39" fontId="108" fillId="0" borderId="0" applyFill="0"/>
    <xf numFmtId="0" fontId="98" fillId="0" borderId="0" applyNumberFormat="0" applyFont="0" applyBorder="0" applyAlignment="0"/>
    <xf numFmtId="0" fontId="111" fillId="0" borderId="0">
      <alignment horizontal="left" indent="5"/>
    </xf>
    <xf numFmtId="0" fontId="112" fillId="0" borderId="0" applyFill="0">
      <alignment horizontal="left" indent="5"/>
    </xf>
    <xf numFmtId="39" fontId="113" fillId="0" borderId="0" applyFill="0"/>
    <xf numFmtId="0" fontId="98" fillId="0" borderId="0" applyNumberFormat="0" applyFont="0" applyFill="0" applyBorder="0" applyAlignment="0"/>
    <xf numFmtId="0" fontId="114" fillId="0" borderId="0" applyFill="0">
      <alignment horizontal="left" indent="6"/>
    </xf>
    <xf numFmtId="0" fontId="110" fillId="0" borderId="0" applyFill="0">
      <alignment horizontal="left" indent="6"/>
    </xf>
    <xf numFmtId="0" fontId="41" fillId="0" borderId="0"/>
    <xf numFmtId="166" fontId="23" fillId="0" borderId="0"/>
    <xf numFmtId="0" fontId="122" fillId="0" borderId="0"/>
    <xf numFmtId="166" fontId="23" fillId="0" borderId="0"/>
    <xf numFmtId="44" fontId="122" fillId="0" borderId="0" applyFont="0" applyFill="0" applyBorder="0" applyAlignment="0" applyProtection="0"/>
    <xf numFmtId="166" fontId="23" fillId="0" borderId="0"/>
    <xf numFmtId="166" fontId="23" fillId="0" borderId="0"/>
    <xf numFmtId="166" fontId="1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 applyNumberFormat="0" applyFont="0" applyFill="0" applyBorder="0" applyAlignment="0" applyProtection="0">
      <alignment horizontal="left"/>
    </xf>
    <xf numFmtId="38" fontId="23" fillId="54" borderId="0" applyNumberFormat="0" applyFont="0" applyBorder="0" applyAlignment="0" applyProtection="0"/>
    <xf numFmtId="187" fontId="74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3" fillId="0" borderId="0"/>
    <xf numFmtId="0" fontId="21" fillId="0" borderId="0"/>
    <xf numFmtId="0" fontId="122" fillId="0" borderId="0"/>
    <xf numFmtId="9" fontId="85" fillId="0" borderId="0" applyFont="0" applyFill="0" applyBorder="0" applyAlignment="0" applyProtection="0"/>
    <xf numFmtId="0" fontId="130" fillId="0" borderId="0"/>
    <xf numFmtId="0" fontId="14" fillId="0" borderId="0"/>
    <xf numFmtId="43" fontId="14" fillId="0" borderId="0" applyFont="0" applyFill="0" applyBorder="0" applyAlignment="0" applyProtection="0"/>
    <xf numFmtId="0" fontId="131" fillId="56" borderId="0" applyNumberFormat="0" applyBorder="0" applyAlignment="0" applyProtection="0"/>
    <xf numFmtId="0" fontId="132" fillId="60" borderId="35" applyNumberFormat="0" applyAlignment="0" applyProtection="0"/>
    <xf numFmtId="0" fontId="133" fillId="0" borderId="0" applyNumberFormat="0" applyFill="0" applyBorder="0" applyAlignment="0" applyProtection="0"/>
    <xf numFmtId="0" fontId="134" fillId="55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34" applyNumberFormat="0" applyFill="0" applyAlignment="0" applyProtection="0"/>
    <xf numFmtId="0" fontId="139" fillId="57" borderId="0" applyNumberFormat="0" applyBorder="0" applyAlignment="0" applyProtection="0"/>
    <xf numFmtId="0" fontId="140" fillId="59" borderId="33" applyNumberFormat="0" applyAlignment="0" applyProtection="0"/>
    <xf numFmtId="0" fontId="25" fillId="0" borderId="4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27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7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27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7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27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7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27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7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27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7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7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66" fontId="29" fillId="25" borderId="0" applyNumberFormat="0" applyBorder="0" applyAlignment="0" applyProtection="0"/>
    <xf numFmtId="0" fontId="141" fillId="62" borderId="0" applyNumberFormat="0" applyBorder="0" applyAlignment="0" applyProtection="0"/>
    <xf numFmtId="166" fontId="29" fillId="18" borderId="0" applyNumberFormat="0" applyBorder="0" applyAlignment="0" applyProtection="0"/>
    <xf numFmtId="0" fontId="141" fillId="64" borderId="0" applyNumberFormat="0" applyBorder="0" applyAlignment="0" applyProtection="0"/>
    <xf numFmtId="166" fontId="29" fillId="28" borderId="0" applyNumberFormat="0" applyBorder="0" applyAlignment="0" applyProtection="0"/>
    <xf numFmtId="0" fontId="141" fillId="66" borderId="0" applyNumberFormat="0" applyBorder="0" applyAlignment="0" applyProtection="0"/>
    <xf numFmtId="166" fontId="29" fillId="20" borderId="0" applyNumberFormat="0" applyBorder="0" applyAlignment="0" applyProtection="0"/>
    <xf numFmtId="0" fontId="141" fillId="68" borderId="0" applyNumberFormat="0" applyBorder="0" applyAlignment="0" applyProtection="0"/>
    <xf numFmtId="166" fontId="29" fillId="25" borderId="0" applyNumberFormat="0" applyBorder="0" applyAlignment="0" applyProtection="0"/>
    <xf numFmtId="0" fontId="141" fillId="70" borderId="0" applyNumberFormat="0" applyBorder="0" applyAlignment="0" applyProtection="0"/>
    <xf numFmtId="166" fontId="29" fillId="21" borderId="0" applyNumberFormat="0" applyBorder="0" applyAlignment="0" applyProtection="0"/>
    <xf numFmtId="0" fontId="141" fillId="72" borderId="0" applyNumberFormat="0" applyBorder="0" applyAlignment="0" applyProtection="0"/>
    <xf numFmtId="166" fontId="29" fillId="30" borderId="0" applyNumberFormat="0" applyBorder="0" applyAlignment="0" applyProtection="0"/>
    <xf numFmtId="0" fontId="141" fillId="61" borderId="0" applyNumberFormat="0" applyBorder="0" applyAlignment="0" applyProtection="0"/>
    <xf numFmtId="166" fontId="29" fillId="31" borderId="0" applyNumberFormat="0" applyBorder="0" applyAlignment="0" applyProtection="0"/>
    <xf numFmtId="0" fontId="141" fillId="63" borderId="0" applyNumberFormat="0" applyBorder="0" applyAlignment="0" applyProtection="0"/>
    <xf numFmtId="166" fontId="29" fillId="32" borderId="0" applyNumberFormat="0" applyBorder="0" applyAlignment="0" applyProtection="0"/>
    <xf numFmtId="0" fontId="141" fillId="65" borderId="0" applyNumberFormat="0" applyBorder="0" applyAlignment="0" applyProtection="0"/>
    <xf numFmtId="166" fontId="29" fillId="33" borderId="0" applyNumberFormat="0" applyBorder="0" applyAlignment="0" applyProtection="0"/>
    <xf numFmtId="0" fontId="141" fillId="67" borderId="0" applyNumberFormat="0" applyBorder="0" applyAlignment="0" applyProtection="0"/>
    <xf numFmtId="166" fontId="29" fillId="30" borderId="0" applyNumberFormat="0" applyBorder="0" applyAlignment="0" applyProtection="0"/>
    <xf numFmtId="0" fontId="141" fillId="69" borderId="0" applyNumberFormat="0" applyBorder="0" applyAlignment="0" applyProtection="0"/>
    <xf numFmtId="166" fontId="29" fillId="26" borderId="0" applyNumberFormat="0" applyBorder="0" applyAlignment="0" applyProtection="0"/>
    <xf numFmtId="0" fontId="141" fillId="71" borderId="0" applyNumberFormat="0" applyBorder="0" applyAlignment="0" applyProtection="0"/>
    <xf numFmtId="166" fontId="31" fillId="24" borderId="0" applyNumberFormat="0" applyBorder="0" applyAlignment="0" applyProtection="0"/>
    <xf numFmtId="0" fontId="142" fillId="59" borderId="32" applyNumberFormat="0" applyAlignment="0" applyProtection="0"/>
    <xf numFmtId="0" fontId="32" fillId="35" borderId="8" applyNumberFormat="0" applyAlignment="0" applyProtection="0"/>
    <xf numFmtId="166" fontId="35" fillId="37" borderId="9" applyNumberFormat="0" applyAlignment="0" applyProtection="0"/>
    <xf numFmtId="164" fontId="35" fillId="38" borderId="0">
      <alignment horizontal="left"/>
    </xf>
    <xf numFmtId="164" fontId="37" fillId="38" borderId="0">
      <alignment horizontal="right"/>
    </xf>
    <xf numFmtId="164" fontId="38" fillId="35" borderId="0">
      <alignment horizontal="center"/>
    </xf>
    <xf numFmtId="164" fontId="37" fillId="38" borderId="0">
      <alignment horizontal="right"/>
    </xf>
    <xf numFmtId="164" fontId="39" fillId="35" borderId="0">
      <alignment horizontal="left"/>
    </xf>
    <xf numFmtId="43" fontId="1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1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166" fontId="36" fillId="40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166" fontId="54" fillId="0" borderId="17" applyNumberFormat="0" applyFill="0" applyAlignment="0" applyProtection="0"/>
    <xf numFmtId="0" fontId="137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43" fillId="58" borderId="32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164" fontId="58" fillId="35" borderId="0">
      <alignment horizontal="left"/>
    </xf>
    <xf numFmtId="166" fontId="60" fillId="0" borderId="19" applyNumberFormat="0" applyFill="0" applyAlignment="0" applyProtection="0"/>
    <xf numFmtId="166" fontId="62" fillId="23" borderId="0" applyNumberFormat="0" applyBorder="0" applyAlignment="0" applyProtection="0"/>
    <xf numFmtId="164" fontId="23" fillId="0" borderId="0"/>
    <xf numFmtId="164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166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170" fontId="23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4" fillId="0" borderId="0"/>
    <xf numFmtId="0" fontId="23" fillId="0" borderId="0"/>
    <xf numFmtId="0" fontId="14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3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4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4" fontId="65" fillId="41" borderId="0">
      <alignment horizontal="right"/>
    </xf>
    <xf numFmtId="171" fontId="65" fillId="35" borderId="0">
      <alignment horizontal="right"/>
    </xf>
    <xf numFmtId="0" fontId="67" fillId="41" borderId="0">
      <alignment horizontal="center" vertical="center"/>
    </xf>
    <xf numFmtId="164" fontId="67" fillId="42" borderId="0">
      <alignment horizontal="center"/>
    </xf>
    <xf numFmtId="0" fontId="58" fillId="41" borderId="10"/>
    <xf numFmtId="164" fontId="35" fillId="43" borderId="0"/>
    <xf numFmtId="0" fontId="67" fillId="41" borderId="0" applyBorder="0">
      <alignment horizontal="centerContinuous"/>
    </xf>
    <xf numFmtId="164" fontId="70" fillId="35" borderId="0" applyBorder="0">
      <alignment horizontal="centerContinuous"/>
    </xf>
    <xf numFmtId="0" fontId="73" fillId="41" borderId="0" applyBorder="0">
      <alignment horizontal="centerContinuous"/>
    </xf>
    <xf numFmtId="164" fontId="71" fillId="43" borderId="0" applyBorder="0">
      <alignment horizontal="centerContinuous"/>
    </xf>
    <xf numFmtId="164" fontId="58" fillId="23" borderId="0">
      <alignment horizontal="center"/>
    </xf>
    <xf numFmtId="164" fontId="37" fillId="38" borderId="0">
      <alignment horizontal="center"/>
    </xf>
    <xf numFmtId="164" fontId="37" fillId="38" borderId="0">
      <alignment horizontal="centerContinuous"/>
    </xf>
    <xf numFmtId="164" fontId="77" fillId="35" borderId="0">
      <alignment horizontal="left"/>
    </xf>
    <xf numFmtId="164" fontId="35" fillId="38" borderId="0">
      <alignment horizontal="left"/>
    </xf>
    <xf numFmtId="164" fontId="35" fillId="38" borderId="0">
      <alignment horizontal="centerContinuous"/>
    </xf>
    <xf numFmtId="164" fontId="35" fillId="38" borderId="0">
      <alignment horizontal="right"/>
    </xf>
    <xf numFmtId="164" fontId="37" fillId="38" borderId="0">
      <alignment horizontal="right"/>
    </xf>
    <xf numFmtId="164" fontId="77" fillId="21" borderId="0">
      <alignment horizontal="center"/>
    </xf>
    <xf numFmtId="164" fontId="78" fillId="21" borderId="0">
      <alignment horizontal="center"/>
    </xf>
    <xf numFmtId="0" fontId="14" fillId="0" borderId="0"/>
    <xf numFmtId="0" fontId="25" fillId="0" borderId="4" applyNumberFormat="0" applyFill="0" applyAlignment="0" applyProtection="0"/>
    <xf numFmtId="164" fontId="86" fillId="35" borderId="0">
      <alignment horizontal="center"/>
    </xf>
    <xf numFmtId="0" fontId="14" fillId="0" borderId="0"/>
    <xf numFmtId="0" fontId="14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189" fontId="23" fillId="0" borderId="0">
      <alignment horizontal="left" wrapText="1"/>
    </xf>
    <xf numFmtId="0" fontId="23" fillId="16" borderId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4" borderId="0" applyNumberFormat="0" applyBorder="0" applyAlignment="0" applyProtection="0"/>
    <xf numFmtId="0" fontId="28" fillId="22" borderId="0" applyNumberFormat="0" applyBorder="0" applyAlignment="0" applyProtection="0"/>
    <xf numFmtId="0" fontId="28" fillId="18" borderId="0" applyNumberFormat="0" applyBorder="0" applyAlignment="0" applyProtection="0"/>
    <xf numFmtId="190" fontId="63" fillId="0" borderId="5" applyBorder="0"/>
    <xf numFmtId="0" fontId="63" fillId="0" borderId="5" applyBorder="0"/>
    <xf numFmtId="0" fontId="28" fillId="29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3" borderId="0" applyNumberFormat="0" applyBorder="0" applyAlignment="0" applyProtection="0"/>
    <xf numFmtId="0" fontId="28" fillId="31" borderId="0" applyNumberFormat="0" applyBorder="0" applyAlignment="0" applyProtection="0"/>
    <xf numFmtId="0" fontId="30" fillId="34" borderId="0" applyNumberFormat="0" applyBorder="0" applyAlignment="0" applyProtection="0"/>
    <xf numFmtId="173" fontId="145" fillId="0" borderId="28"/>
    <xf numFmtId="41" fontId="146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2" fillId="0" borderId="0" applyProtection="0"/>
    <xf numFmtId="0" fontId="46" fillId="0" borderId="0" applyProtection="0"/>
    <xf numFmtId="0" fontId="45" fillId="0" borderId="0" applyProtection="0"/>
    <xf numFmtId="0" fontId="46" fillId="0" borderId="0" applyProtection="0"/>
    <xf numFmtId="0" fontId="22" fillId="0" borderId="0" applyProtection="0"/>
    <xf numFmtId="0" fontId="47" fillId="0" borderId="0" applyProtection="0"/>
    <xf numFmtId="0" fontId="48" fillId="22" borderId="0" applyNumberFormat="0" applyBorder="0" applyAlignment="0" applyProtection="0"/>
    <xf numFmtId="0" fontId="49" fillId="0" borderId="12" applyNumberFormat="0" applyFill="0" applyAlignment="0" applyProtection="0"/>
    <xf numFmtId="0" fontId="51" fillId="0" borderId="14" applyNumberFormat="0" applyFill="0" applyAlignment="0" applyProtection="0"/>
    <xf numFmtId="0" fontId="53" fillId="0" borderId="16" applyNumberFormat="0" applyFill="0" applyAlignment="0" applyProtection="0"/>
    <xf numFmtId="0" fontId="53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3" borderId="0" applyNumberFormat="0" applyBorder="0" applyAlignment="0" applyProtection="0"/>
    <xf numFmtId="195" fontId="23" fillId="0" borderId="0"/>
    <xf numFmtId="0" fontId="14" fillId="0" borderId="0"/>
    <xf numFmtId="19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0" fontId="23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8" fillId="0" borderId="0"/>
    <xf numFmtId="0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65" fillId="35" borderId="0">
      <alignment horizontal="right"/>
    </xf>
    <xf numFmtId="171" fontId="65" fillId="35" borderId="0">
      <alignment horizontal="right"/>
    </xf>
    <xf numFmtId="171" fontId="65" fillId="35" borderId="0">
      <alignment horizontal="right"/>
    </xf>
    <xf numFmtId="0" fontId="67" fillId="42" borderId="0">
      <alignment horizontal="center"/>
    </xf>
    <xf numFmtId="0" fontId="67" fillId="42" borderId="0">
      <alignment horizontal="center"/>
    </xf>
    <xf numFmtId="0" fontId="67" fillId="42" borderId="0">
      <alignment horizontal="center"/>
    </xf>
    <xf numFmtId="0" fontId="58" fillId="41" borderId="10"/>
    <xf numFmtId="0" fontId="69" fillId="41" borderId="10"/>
    <xf numFmtId="0" fontId="35" fillId="43" borderId="0"/>
    <xf numFmtId="0" fontId="35" fillId="43" borderId="0"/>
    <xf numFmtId="0" fontId="35" fillId="43" borderId="0"/>
    <xf numFmtId="0" fontId="69" fillId="41" borderId="10"/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5" fillId="0" borderId="22">
      <alignment horizontal="center"/>
    </xf>
    <xf numFmtId="0" fontId="74" fillId="44" borderId="0" applyNumberFormat="0" applyFon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9" fontId="23" fillId="0" borderId="36">
      <alignment horizontal="center" vertical="center"/>
      <protection locked="0"/>
    </xf>
    <xf numFmtId="0" fontId="83" fillId="0" borderId="0" applyNumberFormat="0" applyFill="0" applyBorder="0" applyAlignment="0" applyProtection="0"/>
    <xf numFmtId="0" fontId="46" fillId="0" borderId="0"/>
    <xf numFmtId="172" fontId="23" fillId="0" borderId="0"/>
    <xf numFmtId="172" fontId="23" fillId="0" borderId="0"/>
    <xf numFmtId="0" fontId="23" fillId="0" borderId="0"/>
    <xf numFmtId="176" fontId="27" fillId="3" borderId="0" applyNumberFormat="0" applyBorder="0" applyAlignment="0" applyProtection="0"/>
    <xf numFmtId="176" fontId="27" fillId="3" borderId="0" applyNumberFormat="0" applyBorder="0" applyAlignment="0" applyProtection="0"/>
    <xf numFmtId="0" fontId="26" fillId="7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76" fontId="27" fillId="5" borderId="0" applyNumberFormat="0" applyBorder="0" applyAlignment="0" applyProtection="0"/>
    <xf numFmtId="176" fontId="27" fillId="5" borderId="0" applyNumberFormat="0" applyBorder="0" applyAlignment="0" applyProtection="0"/>
    <xf numFmtId="0" fontId="26" fillId="2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76" fontId="27" fillId="7" borderId="0" applyNumberFormat="0" applyBorder="0" applyAlignment="0" applyProtection="0"/>
    <xf numFmtId="176" fontId="27" fillId="7" borderId="0" applyNumberFormat="0" applyBorder="0" applyAlignment="0" applyProtection="0"/>
    <xf numFmtId="0" fontId="26" fillId="4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176" fontId="27" fillId="9" borderId="0" applyNumberFormat="0" applyBorder="0" applyAlignment="0" applyProtection="0"/>
    <xf numFmtId="0" fontId="26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76" fontId="27" fillId="11" borderId="0" applyNumberFormat="0" applyBorder="0" applyAlignment="0" applyProtection="0"/>
    <xf numFmtId="176" fontId="27" fillId="11" borderId="0" applyNumberFormat="0" applyBorder="0" applyAlignment="0" applyProtection="0"/>
    <xf numFmtId="0" fontId="26" fillId="22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76" fontId="27" fillId="13" borderId="0" applyNumberFormat="0" applyBorder="0" applyAlignment="0" applyProtection="0"/>
    <xf numFmtId="176" fontId="27" fillId="13" borderId="0" applyNumberFormat="0" applyBorder="0" applyAlignment="0" applyProtection="0"/>
    <xf numFmtId="0" fontId="26" fillId="2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176" fontId="27" fillId="4" borderId="0" applyNumberFormat="0" applyBorder="0" applyAlignment="0" applyProtection="0"/>
    <xf numFmtId="176" fontId="27" fillId="4" borderId="0" applyNumberFormat="0" applyBorder="0" applyAlignment="0" applyProtection="0"/>
    <xf numFmtId="0" fontId="26" fillId="1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6" fontId="27" fillId="6" borderId="0" applyNumberFormat="0" applyBorder="0" applyAlignment="0" applyProtection="0"/>
    <xf numFmtId="176" fontId="27" fillId="6" borderId="0" applyNumberFormat="0" applyBorder="0" applyAlignment="0" applyProtection="0"/>
    <xf numFmtId="0" fontId="26" fillId="18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176" fontId="27" fillId="8" borderId="0" applyNumberFormat="0" applyBorder="0" applyAlignment="0" applyProtection="0"/>
    <xf numFmtId="176" fontId="27" fillId="8" borderId="0" applyNumberFormat="0" applyBorder="0" applyAlignment="0" applyProtection="0"/>
    <xf numFmtId="0" fontId="26" fillId="3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6" fontId="27" fillId="10" borderId="0" applyNumberFormat="0" applyBorder="0" applyAlignment="0" applyProtection="0"/>
    <xf numFmtId="176" fontId="27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76" fontId="27" fillId="12" borderId="0" applyNumberFormat="0" applyBorder="0" applyAlignment="0" applyProtection="0"/>
    <xf numFmtId="176" fontId="27" fillId="12" borderId="0" applyNumberFormat="0" applyBorder="0" applyAlignment="0" applyProtection="0"/>
    <xf numFmtId="0" fontId="26" fillId="17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76" fontId="27" fillId="14" borderId="0" applyNumberFormat="0" applyBorder="0" applyAlignment="0" applyProtection="0"/>
    <xf numFmtId="176" fontId="27" fillId="14" borderId="0" applyNumberFormat="0" applyBorder="0" applyAlignment="0" applyProtection="0"/>
    <xf numFmtId="0" fontId="26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76" fontId="163" fillId="62" borderId="0" applyNumberFormat="0" applyBorder="0" applyAlignment="0" applyProtection="0"/>
    <xf numFmtId="176" fontId="163" fillId="62" borderId="0" applyNumberFormat="0" applyBorder="0" applyAlignment="0" applyProtection="0"/>
    <xf numFmtId="0" fontId="28" fillId="74" borderId="0" applyNumberFormat="0" applyBorder="0" applyAlignment="0" applyProtection="0"/>
    <xf numFmtId="172" fontId="29" fillId="30" borderId="0" applyNumberFormat="0" applyBorder="0" applyAlignment="0" applyProtection="0"/>
    <xf numFmtId="0" fontId="160" fillId="6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62" borderId="0" applyNumberFormat="0" applyBorder="0" applyAlignment="0" applyProtection="0"/>
    <xf numFmtId="172" fontId="28" fillId="74" borderId="0" applyNumberFormat="0" applyBorder="0" applyAlignment="0" applyProtection="0"/>
    <xf numFmtId="0" fontId="164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6" fontId="163" fillId="64" borderId="0" applyNumberFormat="0" applyBorder="0" applyAlignment="0" applyProtection="0"/>
    <xf numFmtId="176" fontId="163" fillId="64" borderId="0" applyNumberFormat="0" applyBorder="0" applyAlignment="0" applyProtection="0"/>
    <xf numFmtId="0" fontId="28" fillId="18" borderId="0" applyNumberFormat="0" applyBorder="0" applyAlignment="0" applyProtection="0"/>
    <xf numFmtId="172" fontId="29" fillId="28" borderId="0" applyNumberFormat="0" applyBorder="0" applyAlignment="0" applyProtection="0"/>
    <xf numFmtId="0" fontId="160" fillId="6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9" fillId="28" borderId="0" applyNumberFormat="0" applyBorder="0" applyAlignment="0" applyProtection="0"/>
    <xf numFmtId="0" fontId="29" fillId="18" borderId="0" applyNumberFormat="0" applyBorder="0" applyAlignment="0" applyProtection="0"/>
    <xf numFmtId="0" fontId="141" fillId="64" borderId="0" applyNumberFormat="0" applyBorder="0" applyAlignment="0" applyProtection="0"/>
    <xf numFmtId="172" fontId="28" fillId="18" borderId="0" applyNumberFormat="0" applyBorder="0" applyAlignment="0" applyProtection="0"/>
    <xf numFmtId="0" fontId="164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76" fontId="163" fillId="66" borderId="0" applyNumberFormat="0" applyBorder="0" applyAlignment="0" applyProtection="0"/>
    <xf numFmtId="176" fontId="163" fillId="66" borderId="0" applyNumberFormat="0" applyBorder="0" applyAlignment="0" applyProtection="0"/>
    <xf numFmtId="0" fontId="28" fillId="39" borderId="0" applyNumberFormat="0" applyBorder="0" applyAlignment="0" applyProtection="0"/>
    <xf numFmtId="172" fontId="29" fillId="28" borderId="0" applyNumberFormat="0" applyBorder="0" applyAlignment="0" applyProtection="0"/>
    <xf numFmtId="0" fontId="160" fillId="66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41" fillId="66" borderId="0" applyNumberFormat="0" applyBorder="0" applyAlignment="0" applyProtection="0"/>
    <xf numFmtId="172" fontId="28" fillId="39" borderId="0" applyNumberFormat="0" applyBorder="0" applyAlignment="0" applyProtection="0"/>
    <xf numFmtId="0" fontId="164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8" borderId="0" applyNumberFormat="0" applyBorder="0" applyAlignment="0" applyProtection="0"/>
    <xf numFmtId="176" fontId="163" fillId="68" borderId="0" applyNumberFormat="0" applyBorder="0" applyAlignment="0" applyProtection="0"/>
    <xf numFmtId="0" fontId="28" fillId="75" borderId="0" applyNumberFormat="0" applyBorder="0" applyAlignment="0" applyProtection="0"/>
    <xf numFmtId="172" fontId="29" fillId="20" borderId="0" applyNumberFormat="0" applyBorder="0" applyAlignment="0" applyProtection="0"/>
    <xf numFmtId="0" fontId="160" fillId="68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41" fillId="68" borderId="0" applyNumberFormat="0" applyBorder="0" applyAlignment="0" applyProtection="0"/>
    <xf numFmtId="172" fontId="28" fillId="75" borderId="0" applyNumberFormat="0" applyBorder="0" applyAlignment="0" applyProtection="0"/>
    <xf numFmtId="0" fontId="164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70" borderId="0" applyNumberFormat="0" applyBorder="0" applyAlignment="0" applyProtection="0"/>
    <xf numFmtId="176" fontId="163" fillId="70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70" borderId="0" applyNumberFormat="0" applyBorder="0" applyAlignment="0" applyProtection="0"/>
    <xf numFmtId="172" fontId="28" fillId="30" borderId="0" applyNumberFormat="0" applyBorder="0" applyAlignment="0" applyProtection="0"/>
    <xf numFmtId="0" fontId="164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76" fontId="163" fillId="72" borderId="0" applyNumberFormat="0" applyBorder="0" applyAlignment="0" applyProtection="0"/>
    <xf numFmtId="176" fontId="163" fillId="72" borderId="0" applyNumberFormat="0" applyBorder="0" applyAlignment="0" applyProtection="0"/>
    <xf numFmtId="0" fontId="28" fillId="49" borderId="0" applyNumberFormat="0" applyBorder="0" applyAlignment="0" applyProtection="0"/>
    <xf numFmtId="172" fontId="29" fillId="21" borderId="0" applyNumberFormat="0" applyBorder="0" applyAlignment="0" applyProtection="0"/>
    <xf numFmtId="0" fontId="160" fillId="72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141" fillId="72" borderId="0" applyNumberFormat="0" applyBorder="0" applyAlignment="0" applyProtection="0"/>
    <xf numFmtId="172" fontId="28" fillId="49" borderId="0" applyNumberFormat="0" applyBorder="0" applyAlignment="0" applyProtection="0"/>
    <xf numFmtId="0" fontId="164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76" fontId="163" fillId="61" borderId="0" applyNumberFormat="0" applyBorder="0" applyAlignment="0" applyProtection="0"/>
    <xf numFmtId="176" fontId="163" fillId="61" borderId="0" applyNumberFormat="0" applyBorder="0" applyAlignment="0" applyProtection="0"/>
    <xf numFmtId="0" fontId="28" fillId="76" borderId="0" applyNumberFormat="0" applyBorder="0" applyAlignment="0" applyProtection="0"/>
    <xf numFmtId="172" fontId="29" fillId="30" borderId="0" applyNumberFormat="0" applyBorder="0" applyAlignment="0" applyProtection="0"/>
    <xf numFmtId="0" fontId="160" fillId="6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1" borderId="0" applyNumberFormat="0" applyBorder="0" applyAlignment="0" applyProtection="0"/>
    <xf numFmtId="172" fontId="28" fillId="76" borderId="0" applyNumberFormat="0" applyBorder="0" applyAlignment="0" applyProtection="0"/>
    <xf numFmtId="0" fontId="164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76" fontId="163" fillId="63" borderId="0" applyNumberFormat="0" applyBorder="0" applyAlignment="0" applyProtection="0"/>
    <xf numFmtId="176" fontId="163" fillId="63" borderId="0" applyNumberFormat="0" applyBorder="0" applyAlignment="0" applyProtection="0"/>
    <xf numFmtId="0" fontId="28" fillId="31" borderId="0" applyNumberFormat="0" applyBorder="0" applyAlignment="0" applyProtection="0"/>
    <xf numFmtId="172" fontId="29" fillId="31" borderId="0" applyNumberFormat="0" applyBorder="0" applyAlignment="0" applyProtection="0"/>
    <xf numFmtId="0" fontId="160" fillId="6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41" fillId="63" borderId="0" applyNumberFormat="0" applyBorder="0" applyAlignment="0" applyProtection="0"/>
    <xf numFmtId="172" fontId="28" fillId="31" borderId="0" applyNumberFormat="0" applyBorder="0" applyAlignment="0" applyProtection="0"/>
    <xf numFmtId="0" fontId="164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76" fontId="163" fillId="65" borderId="0" applyNumberFormat="0" applyBorder="0" applyAlignment="0" applyProtection="0"/>
    <xf numFmtId="176" fontId="163" fillId="65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60" fillId="6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41" fillId="65" borderId="0" applyNumberFormat="0" applyBorder="0" applyAlignment="0" applyProtection="0"/>
    <xf numFmtId="172" fontId="28" fillId="32" borderId="0" applyNumberFormat="0" applyBorder="0" applyAlignment="0" applyProtection="0"/>
    <xf numFmtId="0" fontId="164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7" borderId="0" applyNumberFormat="0" applyBorder="0" applyAlignment="0" applyProtection="0"/>
    <xf numFmtId="176" fontId="163" fillId="67" borderId="0" applyNumberFormat="0" applyBorder="0" applyAlignment="0" applyProtection="0"/>
    <xf numFmtId="0" fontId="28" fillId="75" borderId="0" applyNumberFormat="0" applyBorder="0" applyAlignment="0" applyProtection="0"/>
    <xf numFmtId="172" fontId="29" fillId="33" borderId="0" applyNumberFormat="0" applyBorder="0" applyAlignment="0" applyProtection="0"/>
    <xf numFmtId="0" fontId="160" fillId="67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141" fillId="67" borderId="0" applyNumberFormat="0" applyBorder="0" applyAlignment="0" applyProtection="0"/>
    <xf numFmtId="172" fontId="28" fillId="75" borderId="0" applyNumberFormat="0" applyBorder="0" applyAlignment="0" applyProtection="0"/>
    <xf numFmtId="0" fontId="164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69" borderId="0" applyNumberFormat="0" applyBorder="0" applyAlignment="0" applyProtection="0"/>
    <xf numFmtId="176" fontId="163" fillId="69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6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9" borderId="0" applyNumberFormat="0" applyBorder="0" applyAlignment="0" applyProtection="0"/>
    <xf numFmtId="172" fontId="28" fillId="30" borderId="0" applyNumberFormat="0" applyBorder="0" applyAlignment="0" applyProtection="0"/>
    <xf numFmtId="0" fontId="164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0" fontId="28" fillId="3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176" fontId="163" fillId="71" borderId="0" applyNumberFormat="0" applyBorder="0" applyAlignment="0" applyProtection="0"/>
    <xf numFmtId="176" fontId="163" fillId="71" borderId="0" applyNumberFormat="0" applyBorder="0" applyAlignment="0" applyProtection="0"/>
    <xf numFmtId="0" fontId="28" fillId="26" borderId="0" applyNumberFormat="0" applyBorder="0" applyAlignment="0" applyProtection="0"/>
    <xf numFmtId="172" fontId="29" fillId="26" borderId="0" applyNumberFormat="0" applyBorder="0" applyAlignment="0" applyProtection="0"/>
    <xf numFmtId="0" fontId="160" fillId="71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141" fillId="71" borderId="0" applyNumberFormat="0" applyBorder="0" applyAlignment="0" applyProtection="0"/>
    <xf numFmtId="172" fontId="28" fillId="26" borderId="0" applyNumberFormat="0" applyBorder="0" applyAlignment="0" applyProtection="0"/>
    <xf numFmtId="0" fontId="164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6" fontId="165" fillId="56" borderId="0" applyNumberFormat="0" applyBorder="0" applyAlignment="0" applyProtection="0"/>
    <xf numFmtId="176" fontId="165" fillId="56" borderId="0" applyNumberFormat="0" applyBorder="0" applyAlignment="0" applyProtection="0"/>
    <xf numFmtId="0" fontId="30" fillId="24" borderId="0" applyNumberFormat="0" applyBorder="0" applyAlignment="0" applyProtection="0"/>
    <xf numFmtId="0" fontId="153" fillId="56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131" fillId="56" borderId="0" applyNumberFormat="0" applyBorder="0" applyAlignment="0" applyProtection="0"/>
    <xf numFmtId="172" fontId="30" fillId="24" borderId="0" applyNumberFormat="0" applyBorder="0" applyAlignment="0" applyProtection="0"/>
    <xf numFmtId="0" fontId="166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176" fontId="167" fillId="60" borderId="35" applyNumberFormat="0" applyAlignment="0" applyProtection="0"/>
    <xf numFmtId="176" fontId="167" fillId="60" borderId="35" applyNumberFormat="0" applyAlignment="0" applyProtection="0"/>
    <xf numFmtId="0" fontId="34" fillId="37" borderId="9" applyNumberFormat="0" applyAlignment="0" applyProtection="0"/>
    <xf numFmtId="0" fontId="157" fillId="60" borderId="35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0" fontId="132" fillId="60" borderId="35" applyNumberFormat="0" applyAlignment="0" applyProtection="0"/>
    <xf numFmtId="172" fontId="34" fillId="37" borderId="9" applyNumberFormat="0" applyAlignment="0" applyProtection="0"/>
    <xf numFmtId="0" fontId="168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34" fillId="37" borderId="9" applyNumberFormat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38" fillId="35" borderId="0">
      <alignment horizontal="center"/>
    </xf>
    <xf numFmtId="164" fontId="38" fillId="35" borderId="0">
      <alignment horizontal="center"/>
    </xf>
    <xf numFmtId="0" fontId="37" fillId="38" borderId="0">
      <alignment horizontal="right"/>
    </xf>
    <xf numFmtId="164" fontId="37" fillId="38" borderId="0">
      <alignment horizontal="right"/>
    </xf>
    <xf numFmtId="0" fontId="3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76" fontId="44" fillId="0" borderId="0" applyProtection="0"/>
    <xf numFmtId="176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76" fontId="45" fillId="0" borderId="0" applyProtection="0"/>
    <xf numFmtId="176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76" fontId="46" fillId="0" borderId="0" applyProtection="0"/>
    <xf numFmtId="176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76" fontId="23" fillId="0" borderId="0" applyProtection="0"/>
    <xf numFmtId="176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76" fontId="47" fillId="0" borderId="0" applyProtection="0"/>
    <xf numFmtId="176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6" fontId="171" fillId="55" borderId="0" applyNumberFormat="0" applyBorder="0" applyAlignment="0" applyProtection="0"/>
    <xf numFmtId="176" fontId="171" fillId="55" borderId="0" applyNumberFormat="0" applyBorder="0" applyAlignment="0" applyProtection="0"/>
    <xf numFmtId="0" fontId="48" fillId="40" borderId="0" applyNumberFormat="0" applyBorder="0" applyAlignment="0" applyProtection="0"/>
    <xf numFmtId="0" fontId="152" fillId="55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134" fillId="55" borderId="0" applyNumberFormat="0" applyBorder="0" applyAlignment="0" applyProtection="0"/>
    <xf numFmtId="172" fontId="48" fillId="40" borderId="0" applyNumberFormat="0" applyBorder="0" applyAlignment="0" applyProtection="0"/>
    <xf numFmtId="0" fontId="17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176" fontId="174" fillId="0" borderId="1" applyNumberFormat="0" applyFill="0" applyAlignment="0" applyProtection="0"/>
    <xf numFmtId="176" fontId="174" fillId="0" borderId="1" applyNumberFormat="0" applyFill="0" applyAlignment="0" applyProtection="0"/>
    <xf numFmtId="0" fontId="173" fillId="0" borderId="37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35" fillId="0" borderId="1" applyNumberFormat="0" applyFill="0" applyAlignment="0" applyProtection="0"/>
    <xf numFmtId="0" fontId="175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176" fontId="177" fillId="0" borderId="2" applyNumberFormat="0" applyFill="0" applyAlignment="0" applyProtection="0"/>
    <xf numFmtId="176" fontId="177" fillId="0" borderId="2" applyNumberFormat="0" applyFill="0" applyAlignment="0" applyProtection="0"/>
    <xf numFmtId="0" fontId="176" fillId="0" borderId="38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36" fillId="0" borderId="2" applyNumberFormat="0" applyFill="0" applyAlignment="0" applyProtection="0"/>
    <xf numFmtId="0" fontId="178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176" fontId="180" fillId="0" borderId="31" applyNumberFormat="0" applyFill="0" applyAlignment="0" applyProtection="0"/>
    <xf numFmtId="176" fontId="180" fillId="0" borderId="31" applyNumberFormat="0" applyFill="0" applyAlignment="0" applyProtection="0"/>
    <xf numFmtId="0" fontId="179" fillId="0" borderId="39" applyNumberFormat="0" applyFill="0" applyAlignment="0" applyProtection="0"/>
    <xf numFmtId="172" fontId="54" fillId="0" borderId="40" applyNumberFormat="0" applyFill="0" applyAlignment="0" applyProtection="0"/>
    <xf numFmtId="0" fontId="151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37" fillId="0" borderId="31" applyNumberFormat="0" applyFill="0" applyAlignment="0" applyProtection="0"/>
    <xf numFmtId="172" fontId="179" fillId="0" borderId="39" applyNumberFormat="0" applyFill="0" applyAlignment="0" applyProtection="0"/>
    <xf numFmtId="0" fontId="181" fillId="0" borderId="31" applyNumberFormat="0" applyFill="0" applyAlignment="0" applyProtection="0"/>
    <xf numFmtId="172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58" fillId="35" borderId="0">
      <alignment horizontal="left"/>
    </xf>
    <xf numFmtId="164" fontId="58" fillId="35" borderId="0">
      <alignment horizontal="left"/>
    </xf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176" fontId="183" fillId="0" borderId="34" applyNumberFormat="0" applyFill="0" applyAlignment="0" applyProtection="0"/>
    <xf numFmtId="176" fontId="183" fillId="0" borderId="34" applyNumberFormat="0" applyFill="0" applyAlignment="0" applyProtection="0"/>
    <xf numFmtId="0" fontId="182" fillId="0" borderId="19" applyNumberFormat="0" applyFill="0" applyAlignment="0" applyProtection="0"/>
    <xf numFmtId="0" fontId="156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8" fillId="0" borderId="34" applyNumberFormat="0" applyFill="0" applyAlignment="0" applyProtection="0"/>
    <xf numFmtId="172" fontId="182" fillId="0" borderId="19" applyNumberFormat="0" applyFill="0" applyAlignment="0" applyProtection="0"/>
    <xf numFmtId="0" fontId="184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176" fontId="186" fillId="57" borderId="0" applyNumberFormat="0" applyBorder="0" applyAlignment="0" applyProtection="0"/>
    <xf numFmtId="176" fontId="186" fillId="57" borderId="0" applyNumberFormat="0" applyBorder="0" applyAlignment="0" applyProtection="0"/>
    <xf numFmtId="0" fontId="185" fillId="23" borderId="0" applyNumberFormat="0" applyBorder="0" applyAlignment="0" applyProtection="0"/>
    <xf numFmtId="0" fontId="154" fillId="57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0" fontId="139" fillId="57" borderId="0" applyNumberFormat="0" applyBorder="0" applyAlignment="0" applyProtection="0"/>
    <xf numFmtId="172" fontId="185" fillId="23" borderId="0" applyNumberFormat="0" applyBorder="0" applyAlignment="0" applyProtection="0"/>
    <xf numFmtId="0" fontId="187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2" fontId="23" fillId="0" borderId="0"/>
    <xf numFmtId="172" fontId="23" fillId="0" borderId="0"/>
    <xf numFmtId="176" fontId="23" fillId="0" borderId="0"/>
    <xf numFmtId="176" fontId="23" fillId="0" borderId="0"/>
    <xf numFmtId="0" fontId="41" fillId="0" borderId="0"/>
    <xf numFmtId="0" fontId="23" fillId="0" borderId="0"/>
    <xf numFmtId="172" fontId="23" fillId="0" borderId="0"/>
    <xf numFmtId="166" fontId="23" fillId="0" borderId="0"/>
    <xf numFmtId="172" fontId="23" fillId="0" borderId="0"/>
    <xf numFmtId="172" fontId="2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6" fontId="27" fillId="0" borderId="0"/>
    <xf numFmtId="176" fontId="27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88" fillId="0" borderId="0"/>
    <xf numFmtId="0" fontId="1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176" fontId="189" fillId="59" borderId="33" applyNumberFormat="0" applyAlignment="0" applyProtection="0"/>
    <xf numFmtId="176" fontId="189" fillId="59" borderId="33" applyNumberFormat="0" applyAlignment="0" applyProtection="0"/>
    <xf numFmtId="0" fontId="64" fillId="20" borderId="21" applyNumberFormat="0" applyAlignment="0" applyProtection="0"/>
    <xf numFmtId="0" fontId="140" fillId="59" borderId="33" applyNumberFormat="0" applyAlignment="0" applyProtection="0"/>
    <xf numFmtId="172" fontId="64" fillId="20" borderId="21" applyNumberFormat="0" applyAlignment="0" applyProtection="0"/>
    <xf numFmtId="0" fontId="190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64" fillId="20" borderId="21" applyNumberFormat="0" applyAlignment="0" applyProtection="0"/>
    <xf numFmtId="171" fontId="65" fillId="35" borderId="0">
      <alignment horizontal="right"/>
    </xf>
    <xf numFmtId="40" fontId="66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176" fontId="67" fillId="41" borderId="0">
      <alignment horizontal="center" vertical="center"/>
    </xf>
    <xf numFmtId="0" fontId="69" fillId="41" borderId="10"/>
    <xf numFmtId="0" fontId="35" fillId="43" borderId="0"/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176" fontId="67" fillId="41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176" fontId="73" fillId="41" borderId="0" applyBorder="0">
      <alignment horizontal="centerContinuous"/>
    </xf>
    <xf numFmtId="0" fontId="58" fillId="23" borderId="0">
      <alignment horizontal="center"/>
    </xf>
    <xf numFmtId="164" fontId="58" fillId="23" borderId="0">
      <alignment horizontal="center"/>
    </xf>
    <xf numFmtId="49" fontId="76" fillId="35" borderId="0">
      <alignment horizontal="center"/>
    </xf>
    <xf numFmtId="0" fontId="37" fillId="38" borderId="0">
      <alignment horizontal="center"/>
    </xf>
    <xf numFmtId="164" fontId="37" fillId="38" borderId="0">
      <alignment horizontal="center"/>
    </xf>
    <xf numFmtId="0" fontId="37" fillId="38" borderId="0">
      <alignment horizontal="centerContinuous"/>
    </xf>
    <xf numFmtId="164" fontId="37" fillId="38" borderId="0">
      <alignment horizontal="centerContinuous"/>
    </xf>
    <xf numFmtId="0" fontId="77" fillId="35" borderId="0">
      <alignment horizontal="left"/>
    </xf>
    <xf numFmtId="164" fontId="77" fillId="35" borderId="0">
      <alignment horizontal="left"/>
    </xf>
    <xf numFmtId="49" fontId="77" fillId="35" borderId="0">
      <alignment horizontal="center"/>
    </xf>
    <xf numFmtId="0" fontId="35" fillId="38" borderId="0">
      <alignment horizontal="left"/>
    </xf>
    <xf numFmtId="164" fontId="35" fillId="38" borderId="0">
      <alignment horizontal="left"/>
    </xf>
    <xf numFmtId="49" fontId="77" fillId="35" borderId="0">
      <alignment horizontal="left"/>
    </xf>
    <xf numFmtId="0" fontId="35" fillId="38" borderId="0">
      <alignment horizontal="centerContinuous"/>
    </xf>
    <xf numFmtId="164" fontId="35" fillId="38" borderId="0">
      <alignment horizontal="centerContinuous"/>
    </xf>
    <xf numFmtId="0" fontId="35" fillId="38" borderId="0">
      <alignment horizontal="right"/>
    </xf>
    <xf numFmtId="164" fontId="35" fillId="38" borderId="0">
      <alignment horizontal="right"/>
    </xf>
    <xf numFmtId="49" fontId="58" fillId="35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77" fillId="21" borderId="0">
      <alignment horizontal="center"/>
    </xf>
    <xf numFmtId="164" fontId="77" fillId="21" borderId="0">
      <alignment horizontal="center"/>
    </xf>
    <xf numFmtId="0" fontId="78" fillId="21" borderId="0">
      <alignment horizontal="center"/>
    </xf>
    <xf numFmtId="164" fontId="78" fillId="21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176" fontId="192" fillId="0" borderId="4" applyNumberFormat="0" applyFill="0" applyAlignment="0" applyProtection="0"/>
    <xf numFmtId="176" fontId="192" fillId="0" borderId="4" applyNumberFormat="0" applyFill="0" applyAlignment="0" applyProtection="0"/>
    <xf numFmtId="0" fontId="84" fillId="0" borderId="41" applyNumberFormat="0" applyFill="0" applyAlignment="0" applyProtection="0"/>
    <xf numFmtId="0" fontId="25" fillId="0" borderId="4" applyNumberFormat="0" applyFill="0" applyAlignment="0" applyProtection="0"/>
    <xf numFmtId="0" fontId="193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5" fillId="0" borderId="0"/>
    <xf numFmtId="0" fontId="86" fillId="35" borderId="0">
      <alignment horizont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1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166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7" fontId="85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176" fontId="203" fillId="59" borderId="32" applyNumberFormat="0" applyAlignment="0" applyProtection="0"/>
    <xf numFmtId="176" fontId="203" fillId="59" borderId="32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0" fontId="202" fillId="20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4" fillId="0" borderId="0"/>
    <xf numFmtId="0" fontId="204" fillId="0" borderId="42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05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176" fontId="206" fillId="58" borderId="32" applyNumberFormat="0" applyAlignment="0" applyProtection="0"/>
    <xf numFmtId="176" fontId="206" fillId="58" borderId="32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0" fontId="56" fillId="21" borderId="8" applyNumberFormat="0" applyAlignment="0" applyProtection="0"/>
    <xf numFmtId="0" fontId="207" fillId="42" borderId="42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172" fontId="23" fillId="0" borderId="0"/>
    <xf numFmtId="172" fontId="23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23" fillId="0" borderId="0"/>
    <xf numFmtId="172" fontId="2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0" fontId="23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176" fontId="208" fillId="2" borderId="3" applyNumberFormat="0" applyFont="0" applyAlignment="0" applyProtection="0"/>
    <xf numFmtId="0" fontId="208" fillId="19" borderId="20" applyNumberFormat="0" applyFont="0" applyAlignment="0" applyProtection="0"/>
    <xf numFmtId="4" fontId="65" fillId="41" borderId="0">
      <alignment horizontal="right"/>
    </xf>
    <xf numFmtId="4" fontId="65" fillId="41" borderId="0">
      <alignment horizontal="right"/>
    </xf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04" fillId="0" borderId="0"/>
    <xf numFmtId="0" fontId="204" fillId="0" borderId="42"/>
    <xf numFmtId="0" fontId="209" fillId="38" borderId="0"/>
    <xf numFmtId="0" fontId="23" fillId="0" borderId="30" applyNumberFormat="0" applyFont="0" applyFill="0" applyAlignment="0" applyProtection="0"/>
    <xf numFmtId="0" fontId="207" fillId="0" borderId="43"/>
    <xf numFmtId="0" fontId="207" fillId="0" borderId="42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26" fillId="17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26" fillId="1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6" fillId="1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6" fillId="2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6" fillId="1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6" fillId="2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6" fillId="2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6" fillId="2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6" fillId="2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6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160" fillId="69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12" fillId="59" borderId="32" applyNumberFormat="0" applyAlignment="0" applyProtection="0"/>
    <xf numFmtId="0" fontId="212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157" fillId="60" borderId="35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205" fillId="0" borderId="0" applyNumberFormat="0" applyFill="0" applyBorder="0" applyAlignment="0" applyProtection="0"/>
    <xf numFmtId="164" fontId="215" fillId="0" borderId="0" applyNumberFormat="0" applyFont="0" applyFill="0" applyAlignment="0" applyProtection="0"/>
    <xf numFmtId="0" fontId="173" fillId="0" borderId="37" applyNumberFormat="0" applyFill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211" fillId="58" borderId="32" applyNumberFormat="0" applyAlignment="0" applyProtection="0"/>
    <xf numFmtId="0" fontId="211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204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0" fontId="214" fillId="0" borderId="0"/>
    <xf numFmtId="0" fontId="214" fillId="0" borderId="0"/>
    <xf numFmtId="0" fontId="214" fillId="0" borderId="0"/>
    <xf numFmtId="164" fontId="23" fillId="0" borderId="0"/>
    <xf numFmtId="0" fontId="214" fillId="0" borderId="0"/>
    <xf numFmtId="41" fontId="41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2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10" fillId="0" borderId="0"/>
    <xf numFmtId="37" fontId="85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4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14" fillId="0" borderId="0"/>
    <xf numFmtId="0" fontId="214" fillId="0" borderId="0"/>
    <xf numFmtId="0" fontId="214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37" fontId="85" fillId="0" borderId="0"/>
    <xf numFmtId="37" fontId="85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3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176" fontId="208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4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20" borderId="21" applyNumberFormat="0" applyAlignment="0" applyProtection="0"/>
    <xf numFmtId="0" fontId="155" fillId="59" borderId="33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55" fillId="59" borderId="33" applyNumberFormat="0" applyAlignment="0" applyProtection="0"/>
    <xf numFmtId="4" fontId="65" fillId="41" borderId="0">
      <alignment horizontal="right"/>
    </xf>
    <xf numFmtId="40" fontId="66" fillId="41" borderId="0">
      <alignment horizontal="right"/>
    </xf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0" fontId="66" fillId="41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0" fontId="67" fillId="42" borderId="0">
      <alignment horizontal="center"/>
    </xf>
    <xf numFmtId="164" fontId="67" fillId="42" borderId="0">
      <alignment horizontal="center"/>
    </xf>
    <xf numFmtId="0" fontId="67" fillId="41" borderId="0">
      <alignment horizontal="center" vertical="center"/>
    </xf>
    <xf numFmtId="0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7" fillId="41" borderId="0">
      <alignment horizontal="center" vertical="center"/>
    </xf>
    <xf numFmtId="0" fontId="67" fillId="41" borderId="0">
      <alignment horizontal="center" vertical="center"/>
    </xf>
    <xf numFmtId="0" fontId="35" fillId="43" borderId="0"/>
    <xf numFmtId="164" fontId="35" fillId="43" borderId="0"/>
    <xf numFmtId="0" fontId="58" fillId="41" borderId="10"/>
    <xf numFmtId="0" fontId="58" fillId="41" borderId="10"/>
    <xf numFmtId="0" fontId="35" fillId="43" borderId="0"/>
    <xf numFmtId="0" fontId="69" fillId="41" borderId="10"/>
    <xf numFmtId="0" fontId="69" fillId="41" borderId="10"/>
    <xf numFmtId="0" fontId="69" fillId="41" borderId="10"/>
    <xf numFmtId="0" fontId="69" fillId="41" borderId="10"/>
    <xf numFmtId="0" fontId="69" fillId="41" borderId="10"/>
    <xf numFmtId="172" fontId="69" fillId="41" borderId="10"/>
    <xf numFmtId="0" fontId="69" fillId="41" borderId="10"/>
    <xf numFmtId="0" fontId="69" fillId="41" borderId="10"/>
    <xf numFmtId="0" fontId="70" fillId="35" borderId="0" applyBorder="0">
      <alignment horizontal="centerContinuous"/>
    </xf>
    <xf numFmtId="164" fontId="70" fillId="35" borderId="0" applyBorder="0">
      <alignment horizontal="centerContinuous"/>
    </xf>
    <xf numFmtId="0" fontId="67" fillId="41" borderId="0" applyBorder="0">
      <alignment horizontal="centerContinuous"/>
    </xf>
    <xf numFmtId="0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1" borderId="0" applyBorder="0">
      <alignment horizontal="centerContinuous"/>
    </xf>
    <xf numFmtId="0" fontId="67" fillId="41" borderId="0" applyBorder="0">
      <alignment horizontal="centerContinuous"/>
    </xf>
    <xf numFmtId="0" fontId="71" fillId="43" borderId="0" applyBorder="0">
      <alignment horizontal="centerContinuous"/>
    </xf>
    <xf numFmtId="164" fontId="71" fillId="43" borderId="0" applyBorder="0">
      <alignment horizontal="centerContinuous"/>
    </xf>
    <xf numFmtId="0" fontId="216" fillId="43" borderId="0" applyBorder="0">
      <alignment horizontal="centerContinuous"/>
    </xf>
    <xf numFmtId="0" fontId="73" fillId="41" borderId="0" applyBorder="0">
      <alignment horizontal="centerContinuous"/>
    </xf>
    <xf numFmtId="0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1" borderId="0" applyBorder="0">
      <alignment horizontal="centerContinuous"/>
    </xf>
    <xf numFmtId="0" fontId="73" fillId="41" borderId="0" applyBorder="0">
      <alignment horizontal="centerContinuous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7" fontId="217" fillId="78" borderId="44">
      <alignment horizontal="left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199" fontId="218" fillId="0" borderId="45" applyNumberFormat="0" applyProtection="0">
      <alignment horizontal="right" vertical="center"/>
    </xf>
    <xf numFmtId="199" fontId="219" fillId="0" borderId="46" applyNumberFormat="0" applyProtection="0">
      <alignment horizontal="right" vertical="center"/>
    </xf>
    <xf numFmtId="0" fontId="219" fillId="79" borderId="47" applyNumberFormat="0" applyAlignment="0" applyProtection="0">
      <alignment horizontal="left" vertical="center" indent="1"/>
    </xf>
    <xf numFmtId="0" fontId="220" fillId="0" borderId="48" applyNumberFormat="0" applyFill="0" applyBorder="0" applyAlignment="0" applyProtection="0"/>
    <xf numFmtId="0" fontId="221" fillId="80" borderId="47" applyNumberFormat="0" applyAlignment="0" applyProtection="0">
      <alignment horizontal="left" vertical="center" indent="1"/>
    </xf>
    <xf numFmtId="0" fontId="221" fillId="81" borderId="47" applyNumberFormat="0" applyAlignment="0" applyProtection="0">
      <alignment horizontal="left" vertical="center" indent="1"/>
    </xf>
    <xf numFmtId="0" fontId="221" fillId="82" borderId="47" applyNumberFormat="0" applyAlignment="0" applyProtection="0">
      <alignment horizontal="left" vertical="center" indent="1"/>
    </xf>
    <xf numFmtId="0" fontId="221" fillId="83" borderId="47" applyNumberFormat="0" applyAlignment="0" applyProtection="0">
      <alignment horizontal="left" vertical="center" indent="1"/>
    </xf>
    <xf numFmtId="0" fontId="22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199" fontId="218" fillId="85" borderId="47" applyNumberFormat="0" applyAlignment="0" applyProtection="0">
      <alignment horizontal="left" vertical="center" indent="1"/>
    </xf>
    <xf numFmtId="0" fontId="219" fillId="79" borderId="46" applyNumberFormat="0" applyAlignment="0" applyProtection="0">
      <alignment horizontal="left" vertical="center" indent="1"/>
    </xf>
    <xf numFmtId="0" fontId="19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49" applyNumberFormat="0" applyFont="0" applyBorder="0" applyAlignment="0" applyProtection="0"/>
    <xf numFmtId="0" fontId="84" fillId="0" borderId="41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58" fillId="0" borderId="0" applyNumberFormat="0" applyFill="0" applyBorder="0" applyAlignment="0" applyProtection="0"/>
    <xf numFmtId="0" fontId="9" fillId="0" borderId="0"/>
    <xf numFmtId="0" fontId="8" fillId="0" borderId="0"/>
    <xf numFmtId="0" fontId="24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29" fillId="0" borderId="0"/>
    <xf numFmtId="0" fontId="4" fillId="0" borderId="0"/>
    <xf numFmtId="44" fontId="229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4" fillId="0" borderId="0"/>
    <xf numFmtId="43" fontId="2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4" fillId="0" borderId="0"/>
    <xf numFmtId="0" fontId="1" fillId="0" borderId="0"/>
  </cellStyleXfs>
  <cellXfs count="861">
    <xf numFmtId="37" fontId="0" fillId="0" borderId="0" xfId="0"/>
    <xf numFmtId="164" fontId="21" fillId="0" borderId="0" xfId="0" applyNumberFormat="1" applyFont="1" applyFill="1" applyProtection="1">
      <protection locked="0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43" fontId="23" fillId="0" borderId="0" xfId="2" applyFont="1" applyFill="1" applyBorder="1"/>
    <xf numFmtId="44" fontId="23" fillId="0" borderId="0" xfId="3" applyFont="1" applyFill="1"/>
    <xf numFmtId="0" fontId="23" fillId="0" borderId="0" xfId="8207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22" fillId="0" borderId="5" xfId="8207" applyFont="1" applyBorder="1"/>
    <xf numFmtId="49" fontId="23" fillId="0" borderId="0" xfId="8207" applyNumberFormat="1" applyFont="1" applyAlignment="1">
      <alignment horizontal="left"/>
    </xf>
    <xf numFmtId="14" fontId="23" fillId="0" borderId="0" xfId="8207" applyNumberFormat="1" applyFont="1" applyAlignment="1">
      <alignment horizontal="left"/>
    </xf>
    <xf numFmtId="0" fontId="92" fillId="0" borderId="0" xfId="8207" applyFont="1"/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175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75" fontId="89" fillId="0" borderId="0" xfId="8669" applyNumberFormat="1" applyFont="1" applyFill="1" applyBorder="1" applyAlignment="1">
      <alignment horizontal="right" vertical="top" wrapText="1"/>
    </xf>
    <xf numFmtId="175" fontId="23" fillId="0" borderId="0" xfId="8669" applyNumberFormat="1" applyFont="1" applyFill="1" applyBorder="1" applyAlignment="1">
      <alignment horizontal="right" wrapText="1"/>
    </xf>
    <xf numFmtId="175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75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76" fontId="89" fillId="0" borderId="0" xfId="8668" quotePrefix="1" applyNumberFormat="1" applyFont="1" applyFill="1" applyBorder="1" applyAlignment="1">
      <alignment horizontal="center" wrapText="1"/>
    </xf>
    <xf numFmtId="176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37" fontId="23" fillId="0" borderId="0" xfId="8672" applyNumberFormat="1" applyFont="1" applyFill="1" applyAlignment="1">
      <alignment horizontal="centerContinuous"/>
    </xf>
    <xf numFmtId="37" fontId="23" fillId="0" borderId="0" xfId="8672" applyNumberFormat="1" applyFont="1" applyFill="1"/>
    <xf numFmtId="37" fontId="23" fillId="0" borderId="0" xfId="8672" applyNumberFormat="1" applyFont="1" applyFill="1" applyAlignment="1"/>
    <xf numFmtId="37" fontId="23" fillId="0" borderId="0" xfId="8672" applyNumberFormat="1" applyFont="1" applyFill="1" applyAlignment="1" applyProtection="1">
      <alignment horizontal="centerContinuous"/>
      <protection locked="0"/>
    </xf>
    <xf numFmtId="37" fontId="23" fillId="0" borderId="0" xfId="8672" applyNumberFormat="1" applyFont="1" applyFill="1" applyAlignment="1">
      <alignment horizontal="right"/>
    </xf>
    <xf numFmtId="0" fontId="23" fillId="0" borderId="0" xfId="8672" applyFont="1" applyFill="1"/>
    <xf numFmtId="0" fontId="23" fillId="0" borderId="0" xfId="8672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2" applyNumberFormat="1" applyFont="1" applyFill="1" applyBorder="1" applyAlignment="1"/>
    <xf numFmtId="37" fontId="23" fillId="0" borderId="0" xfId="8672" applyNumberFormat="1" applyFont="1" applyFill="1" applyAlignment="1">
      <alignment horizontal="center"/>
    </xf>
    <xf numFmtId="177" fontId="23" fillId="0" borderId="0" xfId="8672" applyNumberFormat="1" applyFont="1" applyFill="1" applyAlignment="1">
      <alignment horizontal="center"/>
    </xf>
    <xf numFmtId="37" fontId="23" fillId="0" borderId="29" xfId="8672" applyNumberFormat="1" applyFont="1" applyFill="1" applyBorder="1" applyAlignment="1">
      <alignment horizontal="center"/>
    </xf>
    <xf numFmtId="37" fontId="23" fillId="0" borderId="29" xfId="8672" applyNumberFormat="1" applyFont="1" applyFill="1" applyBorder="1"/>
    <xf numFmtId="37" fontId="79" fillId="0" borderId="0" xfId="8672" applyNumberFormat="1" applyFont="1" applyFill="1" applyAlignment="1"/>
    <xf numFmtId="10" fontId="23" fillId="0" borderId="0" xfId="8672" applyNumberFormat="1" applyFont="1" applyFill="1"/>
    <xf numFmtId="37" fontId="23" fillId="0" borderId="0" xfId="8672" applyNumberFormat="1" applyFont="1" applyFill="1" applyAlignment="1" applyProtection="1">
      <protection locked="0"/>
    </xf>
    <xf numFmtId="37" fontId="23" fillId="0" borderId="0" xfId="8672" applyNumberFormat="1" applyFont="1" applyFill="1" applyProtection="1">
      <protection locked="0"/>
    </xf>
    <xf numFmtId="10" fontId="23" fillId="0" borderId="0" xfId="8672" applyNumberFormat="1" applyFont="1" applyFill="1" applyAlignment="1"/>
    <xf numFmtId="181" fontId="23" fillId="0" borderId="0" xfId="8672" applyNumberFormat="1" applyFont="1" applyFill="1" applyAlignment="1"/>
    <xf numFmtId="37" fontId="23" fillId="0" borderId="0" xfId="8672" applyNumberFormat="1" applyFont="1" applyFill="1" applyAlignment="1">
      <alignment horizontal="left"/>
    </xf>
    <xf numFmtId="37" fontId="23" fillId="0" borderId="0" xfId="8672" applyNumberFormat="1" applyFont="1" applyFill="1" applyBorder="1"/>
    <xf numFmtId="37" fontId="92" fillId="0" borderId="0" xfId="8672" applyNumberFormat="1" applyFont="1" applyFill="1" applyAlignment="1"/>
    <xf numFmtId="37" fontId="23" fillId="0" borderId="0" xfId="8672" applyNumberFormat="1" applyFont="1" applyFill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5" fontId="23" fillId="0" borderId="0" xfId="8672" applyNumberFormat="1" applyFont="1" applyFill="1" applyBorder="1" applyAlignment="1"/>
    <xf numFmtId="10" fontId="23" fillId="0" borderId="0" xfId="8672" applyNumberFormat="1" applyFont="1" applyFill="1" applyBorder="1"/>
    <xf numFmtId="37" fontId="23" fillId="0" borderId="0" xfId="8672" applyNumberFormat="1" applyFont="1" applyFill="1" applyBorder="1" applyAlignment="1"/>
    <xf numFmtId="10" fontId="23" fillId="0" borderId="0" xfId="8672" applyNumberFormat="1" applyFont="1" applyFill="1" applyBorder="1" applyAlignment="1"/>
    <xf numFmtId="37" fontId="23" fillId="0" borderId="0" xfId="8672" applyNumberFormat="1" applyFont="1" applyFill="1" applyBorder="1" applyProtection="1">
      <protection locked="0"/>
    </xf>
    <xf numFmtId="182" fontId="23" fillId="0" borderId="0" xfId="3834" applyNumberFormat="1" applyFont="1" applyFill="1"/>
    <xf numFmtId="182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2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2" fontId="23" fillId="0" borderId="0" xfId="0" applyNumberFormat="1" applyFont="1" applyFill="1"/>
    <xf numFmtId="182" fontId="23" fillId="0" borderId="27" xfId="3834" applyNumberFormat="1" applyFont="1" applyFill="1" applyBorder="1"/>
    <xf numFmtId="182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2" applyNumberFormat="1" applyFont="1" applyFill="1" applyBorder="1" applyProtection="1">
      <protection locked="0"/>
    </xf>
    <xf numFmtId="37" fontId="23" fillId="0" borderId="0" xfId="0" applyFont="1"/>
    <xf numFmtId="49" fontId="23" fillId="0" borderId="0" xfId="0" applyNumberFormat="1" applyFont="1"/>
    <xf numFmtId="0" fontId="22" fillId="0" borderId="0" xfId="0" applyNumberFormat="1" applyFont="1" applyFill="1" applyAlignment="1">
      <alignment horizontal="center"/>
    </xf>
    <xf numFmtId="0" fontId="22" fillId="0" borderId="0" xfId="8675" applyFont="1" applyFill="1"/>
    <xf numFmtId="0" fontId="98" fillId="0" borderId="0" xfId="8675" applyFill="1"/>
    <xf numFmtId="43" fontId="23" fillId="0" borderId="0" xfId="3236" applyFill="1" applyBorder="1"/>
    <xf numFmtId="37" fontId="22" fillId="0" borderId="0" xfId="0" applyFont="1" applyFill="1"/>
    <xf numFmtId="37" fontId="0" fillId="0" borderId="0" xfId="0" applyFill="1"/>
    <xf numFmtId="37" fontId="22" fillId="0" borderId="0" xfId="0" applyFont="1"/>
    <xf numFmtId="180" fontId="24" fillId="0" borderId="0" xfId="1" applyNumberFormat="1" applyFont="1" applyFill="1" applyAlignment="1">
      <alignment horizontal="left"/>
    </xf>
    <xf numFmtId="9" fontId="89" fillId="0" borderId="6" xfId="8669" applyFont="1" applyFill="1" applyBorder="1" applyAlignment="1">
      <alignment horizontal="center" vertical="center" wrapText="1"/>
    </xf>
    <xf numFmtId="49" fontId="24" fillId="0" borderId="0" xfId="1" applyNumberFormat="1" applyFont="1" applyFill="1" applyAlignment="1">
      <alignment horizontal="right" wrapText="1"/>
    </xf>
    <xf numFmtId="180" fontId="24" fillId="0" borderId="0" xfId="1" applyNumberFormat="1" applyFont="1" applyFill="1" applyAlignment="1">
      <alignment horizontal="right"/>
    </xf>
    <xf numFmtId="183" fontId="23" fillId="0" borderId="0" xfId="8676" applyNumberFormat="1" applyFont="1" applyAlignment="1" applyProtection="1">
      <alignment horizontal="left"/>
    </xf>
    <xf numFmtId="0" fontId="23" fillId="0" borderId="0" xfId="8676" applyFont="1"/>
    <xf numFmtId="0" fontId="23" fillId="0" borderId="0" xfId="8676" applyFont="1" applyAlignment="1" applyProtection="1">
      <alignment horizontal="left"/>
    </xf>
    <xf numFmtId="0" fontId="92" fillId="0" borderId="0" xfId="8676" applyFont="1" applyBorder="1" applyAlignment="1" applyProtection="1">
      <alignment horizontal="left"/>
    </xf>
    <xf numFmtId="0" fontId="92" fillId="0" borderId="0" xfId="8676" applyFont="1" applyBorder="1"/>
    <xf numFmtId="0" fontId="23" fillId="0" borderId="0" xfId="8676" applyFont="1" applyBorder="1"/>
    <xf numFmtId="0" fontId="23" fillId="0" borderId="0" xfId="8676" applyFont="1" applyFill="1" applyAlignment="1" applyProtection="1">
      <alignment horizontal="left"/>
    </xf>
    <xf numFmtId="0" fontId="23" fillId="0" borderId="0" xfId="8676" applyFont="1" applyFill="1"/>
    <xf numFmtId="49" fontId="23" fillId="0" borderId="0" xfId="8676" applyNumberFormat="1" applyFont="1" applyAlignment="1" applyProtection="1">
      <alignment horizontal="left"/>
    </xf>
    <xf numFmtId="0" fontId="120" fillId="0" borderId="0" xfId="8667" applyFont="1" applyFill="1" applyBorder="1" applyAlignment="1">
      <alignment horizontal="center"/>
    </xf>
    <xf numFmtId="0" fontId="89" fillId="0" borderId="0" xfId="8667" quotePrefix="1" applyFont="1" applyFill="1" applyBorder="1" applyAlignment="1">
      <alignment horizontal="left"/>
    </xf>
    <xf numFmtId="9" fontId="121" fillId="0" borderId="6" xfId="8669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5" fontId="23" fillId="0" borderId="0" xfId="8764" applyNumberFormat="1" applyFont="1" applyFill="1" applyBorder="1" applyAlignment="1" applyProtection="1"/>
    <xf numFmtId="0" fontId="89" fillId="0" borderId="0" xfId="8667" applyFont="1" applyFill="1" applyBorder="1" applyAlignment="1">
      <alignment horizontal="center" vertical="center" wrapText="1"/>
    </xf>
    <xf numFmtId="37" fontId="44" fillId="0" borderId="0" xfId="0" applyFont="1"/>
    <xf numFmtId="37" fontId="44" fillId="0" borderId="0" xfId="0" applyFont="1" applyFill="1"/>
    <xf numFmtId="41" fontId="126" fillId="0" borderId="0" xfId="0" applyNumberFormat="1" applyFont="1" applyFill="1" applyBorder="1"/>
    <xf numFmtId="37" fontId="22" fillId="0" borderId="0" xfId="0" quotePrefix="1" applyFont="1" applyAlignment="1">
      <alignment horizontal="left"/>
    </xf>
    <xf numFmtId="41" fontId="125" fillId="0" borderId="0" xfId="0" applyNumberFormat="1" applyFont="1" applyAlignment="1">
      <alignment horizontal="center"/>
    </xf>
    <xf numFmtId="41" fontId="126" fillId="0" borderId="0" xfId="0" applyNumberFormat="1" applyFont="1" applyBorder="1"/>
    <xf numFmtId="37" fontId="125" fillId="0" borderId="0" xfId="0" applyNumberFormat="1" applyFont="1" applyAlignment="1">
      <alignment horizontal="center"/>
    </xf>
    <xf numFmtId="41" fontId="23" fillId="0" borderId="0" xfId="0" applyNumberFormat="1" applyFont="1"/>
    <xf numFmtId="37" fontId="23" fillId="0" borderId="0" xfId="0" applyNumberFormat="1" applyFont="1"/>
    <xf numFmtId="42" fontId="23" fillId="0" borderId="0" xfId="0" applyNumberFormat="1" applyFont="1" applyFill="1"/>
    <xf numFmtId="41" fontId="23" fillId="0" borderId="0" xfId="0" applyNumberFormat="1" applyFont="1" applyFill="1"/>
    <xf numFmtId="37" fontId="23" fillId="0" borderId="0" xfId="0" applyFont="1" applyAlignment="1">
      <alignment horizontal="left"/>
    </xf>
    <xf numFmtId="37" fontId="23" fillId="0" borderId="0" xfId="0" quotePrefix="1" applyFont="1" applyFill="1" applyAlignment="1">
      <alignment horizontal="left"/>
    </xf>
    <xf numFmtId="41" fontId="23" fillId="0" borderId="0" xfId="0" applyNumberFormat="1" applyFont="1" applyFill="1" applyBorder="1"/>
    <xf numFmtId="37" fontId="23" fillId="0" borderId="0" xfId="0" quotePrefix="1" applyFont="1" applyAlignment="1">
      <alignment horizontal="left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164" fontId="23" fillId="0" borderId="0" xfId="0" applyNumberFormat="1" applyFont="1" applyFill="1" applyBorder="1"/>
    <xf numFmtId="43" fontId="23" fillId="0" borderId="5" xfId="3236" applyFont="1" applyFill="1" applyBorder="1"/>
    <xf numFmtId="43" fontId="23" fillId="0" borderId="0" xfId="3236" applyFont="1" applyFill="1" applyBorder="1"/>
    <xf numFmtId="182" fontId="23" fillId="0" borderId="6" xfId="3834" applyNumberFormat="1" applyFont="1" applyFill="1" applyBorder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49" fontId="24" fillId="0" borderId="0" xfId="1" applyNumberFormat="1" applyFont="1" applyFill="1" applyAlignment="1">
      <alignment horizontal="left" wrapText="1"/>
    </xf>
    <xf numFmtId="180" fontId="25" fillId="0" borderId="0" xfId="1" applyNumberFormat="1" applyFont="1" applyFill="1" applyAlignment="1">
      <alignment horizontal="left"/>
    </xf>
    <xf numFmtId="0" fontId="122" fillId="0" borderId="0" xfId="8765" applyFill="1"/>
    <xf numFmtId="0" fontId="94" fillId="0" borderId="0" xfId="8807" applyFont="1" applyFill="1" applyAlignment="1">
      <alignment horizontal="centerContinuous"/>
    </xf>
    <xf numFmtId="0" fontId="41" fillId="0" borderId="0" xfId="8807" applyFont="1" applyFill="1"/>
    <xf numFmtId="0" fontId="94" fillId="0" borderId="0" xfId="8807" applyNumberFormat="1" applyFont="1" applyFill="1" applyAlignment="1">
      <alignment horizontal="centerContinuous"/>
    </xf>
    <xf numFmtId="0" fontId="41" fillId="0" borderId="0" xfId="8807" applyNumberFormat="1" applyFont="1" applyFill="1" applyAlignment="1">
      <alignment horizontal="centerContinuous"/>
    </xf>
    <xf numFmtId="37" fontId="94" fillId="0" borderId="0" xfId="8807" applyNumberFormat="1" applyFont="1" applyFill="1" applyAlignment="1">
      <alignment horizontal="center"/>
    </xf>
    <xf numFmtId="37" fontId="94" fillId="0" borderId="0" xfId="8807" applyNumberFormat="1" applyFont="1" applyFill="1" applyAlignment="1">
      <alignment horizontal="right"/>
    </xf>
    <xf numFmtId="0" fontId="94" fillId="0" borderId="0" xfId="8807" applyFont="1" applyFill="1" applyAlignment="1"/>
    <xf numFmtId="0" fontId="94" fillId="0" borderId="0" xfId="8807" applyNumberFormat="1" applyFont="1" applyFill="1" applyAlignment="1">
      <alignment horizontal="center"/>
    </xf>
    <xf numFmtId="0" fontId="41" fillId="0" borderId="0" xfId="8807" applyFont="1" applyFill="1" applyAlignment="1">
      <alignment horizontal="center"/>
    </xf>
    <xf numFmtId="0" fontId="94" fillId="0" borderId="0" xfId="8807" applyNumberFormat="1" applyFont="1" applyFill="1" applyBorder="1" applyAlignment="1">
      <alignment horizontal="center"/>
    </xf>
    <xf numFmtId="0" fontId="94" fillId="0" borderId="0" xfId="8807" applyFont="1" applyFill="1" applyBorder="1" applyAlignment="1">
      <alignment horizontal="center"/>
    </xf>
    <xf numFmtId="0" fontId="94" fillId="0" borderId="0" xfId="8807" applyFont="1" applyFill="1" applyBorder="1" applyAlignment="1">
      <alignment horizontal="right"/>
    </xf>
    <xf numFmtId="0" fontId="94" fillId="0" borderId="5" xfId="8807" applyNumberFormat="1" applyFont="1" applyFill="1" applyBorder="1" applyAlignment="1">
      <alignment horizontal="center"/>
    </xf>
    <xf numFmtId="0" fontId="94" fillId="0" borderId="0" xfId="8807" applyNumberFormat="1" applyFont="1" applyFill="1" applyAlignment="1">
      <alignment horizontal="left"/>
    </xf>
    <xf numFmtId="2" fontId="41" fillId="0" borderId="0" xfId="8807" applyNumberFormat="1" applyFont="1" applyFill="1"/>
    <xf numFmtId="0" fontId="41" fillId="0" borderId="0" xfId="8807" applyFont="1" applyFill="1" applyAlignment="1"/>
    <xf numFmtId="0" fontId="41" fillId="0" borderId="0" xfId="8807" applyNumberFormat="1" applyFont="1" applyFill="1" applyAlignment="1"/>
    <xf numFmtId="39" fontId="41" fillId="0" borderId="0" xfId="8807" applyNumberFormat="1" applyFont="1" applyFill="1"/>
    <xf numFmtId="0" fontId="41" fillId="0" borderId="0" xfId="8807" applyNumberFormat="1" applyFont="1" applyFill="1" applyAlignment="1">
      <alignment horizontal="center"/>
    </xf>
    <xf numFmtId="2" fontId="41" fillId="0" borderId="0" xfId="8807" quotePrefix="1" applyNumberFormat="1" applyFont="1" applyFill="1" applyAlignment="1">
      <alignment horizontal="center"/>
    </xf>
    <xf numFmtId="2" fontId="41" fillId="0" borderId="0" xfId="8807" applyNumberFormat="1" applyFont="1" applyFill="1" applyAlignment="1">
      <alignment horizontal="right"/>
    </xf>
    <xf numFmtId="0" fontId="41" fillId="0" borderId="0" xfId="8807" applyNumberFormat="1" applyFont="1" applyFill="1" applyAlignment="1">
      <alignment horizontal="left"/>
    </xf>
    <xf numFmtId="3" fontId="41" fillId="0" borderId="0" xfId="8807" applyNumberFormat="1" applyFont="1" applyFill="1"/>
    <xf numFmtId="37" fontId="94" fillId="0" borderId="5" xfId="8807" applyNumberFormat="1" applyFont="1" applyFill="1" applyBorder="1" applyAlignment="1">
      <alignment horizontal="center"/>
    </xf>
    <xf numFmtId="3" fontId="94" fillId="0" borderId="0" xfId="8807" applyNumberFormat="1" applyFont="1" applyFill="1" applyAlignment="1"/>
    <xf numFmtId="0" fontId="41" fillId="0" borderId="0" xfId="8807" applyNumberFormat="1" applyFont="1" applyFill="1" applyBorder="1" applyAlignment="1">
      <alignment horizontal="left"/>
    </xf>
    <xf numFmtId="3" fontId="41" fillId="0" borderId="0" xfId="8807" applyNumberFormat="1" applyFont="1" applyFill="1" applyAlignment="1"/>
    <xf numFmtId="4" fontId="41" fillId="0" borderId="0" xfId="8807" applyNumberFormat="1" applyFont="1" applyFill="1" applyAlignment="1"/>
    <xf numFmtId="2" fontId="94" fillId="0" borderId="0" xfId="8807" applyNumberFormat="1" applyFont="1" applyFill="1"/>
    <xf numFmtId="178" fontId="94" fillId="0" borderId="0" xfId="8807" applyNumberFormat="1" applyFont="1" applyFill="1"/>
    <xf numFmtId="2" fontId="41" fillId="0" borderId="0" xfId="8807" applyNumberFormat="1" applyFont="1" applyFill="1" applyAlignment="1"/>
    <xf numFmtId="2" fontId="41" fillId="0" borderId="5" xfId="8807" applyNumberFormat="1" applyFont="1" applyFill="1" applyBorder="1"/>
    <xf numFmtId="9" fontId="89" fillId="0" borderId="0" xfId="8669" quotePrefix="1" applyNumberFormat="1" applyFont="1" applyFill="1" applyBorder="1" applyAlignment="1">
      <alignment horizontal="right" wrapText="1"/>
    </xf>
    <xf numFmtId="179" fontId="23" fillId="0" borderId="0" xfId="8668" applyNumberFormat="1" applyFont="1" applyFill="1" applyBorder="1" applyAlignment="1">
      <alignment horizontal="right" wrapText="1"/>
    </xf>
    <xf numFmtId="1" fontId="41" fillId="0" borderId="0" xfId="8807" applyNumberFormat="1" applyFont="1" applyFill="1"/>
    <xf numFmtId="1" fontId="23" fillId="0" borderId="0" xfId="8667" applyNumberFormat="1" applyFont="1" applyFill="1" applyBorder="1" applyAlignment="1">
      <alignment horizontal="center" wrapText="1"/>
    </xf>
    <xf numFmtId="43" fontId="89" fillId="0" borderId="0" xfId="8806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right" wrapText="1"/>
    </xf>
    <xf numFmtId="1" fontId="128" fillId="0" borderId="0" xfId="8667" applyNumberFormat="1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center" wrapText="1"/>
    </xf>
    <xf numFmtId="0" fontId="41" fillId="0" borderId="0" xfId="8807" quotePrefix="1" applyFont="1" applyFill="1" applyAlignment="1">
      <alignment horizontal="center"/>
    </xf>
    <xf numFmtId="49" fontId="25" fillId="0" borderId="0" xfId="1" applyNumberFormat="1" applyFont="1" applyFill="1" applyAlignment="1">
      <alignment horizontal="left" wrapText="1"/>
    </xf>
    <xf numFmtId="0" fontId="89" fillId="0" borderId="0" xfId="8667" applyFont="1" applyFill="1" applyBorder="1" applyAlignment="1">
      <alignment horizontal="center"/>
    </xf>
    <xf numFmtId="0" fontId="122" fillId="0" borderId="0" xfId="8765" applyFill="1" applyBorder="1"/>
    <xf numFmtId="0" fontId="130" fillId="0" borderId="0" xfId="8817"/>
    <xf numFmtId="173" fontId="23" fillId="0" borderId="0" xfId="3236" applyNumberFormat="1"/>
    <xf numFmtId="49" fontId="130" fillId="0" borderId="0" xfId="8817" applyNumberFormat="1" applyFont="1" applyAlignment="1">
      <alignment horizontal="right" wrapText="1"/>
    </xf>
    <xf numFmtId="0" fontId="130" fillId="0" borderId="0" xfId="8817" applyAlignment="1"/>
    <xf numFmtId="49" fontId="130" fillId="0" borderId="0" xfId="8817" applyNumberFormat="1" applyFont="1" applyAlignment="1">
      <alignment horizontal="center" wrapText="1"/>
    </xf>
    <xf numFmtId="44" fontId="123" fillId="0" borderId="0" xfId="8832" applyFont="1" applyFill="1" applyBorder="1"/>
    <xf numFmtId="0" fontId="25" fillId="0" borderId="0" xfId="9302" applyFont="1" applyFill="1" applyAlignment="1">
      <alignment horizontal="center"/>
    </xf>
    <xf numFmtId="0" fontId="25" fillId="0" borderId="0" xfId="9302" applyFont="1" applyFill="1" applyAlignment="1">
      <alignment horizontal="center" wrapText="1"/>
    </xf>
    <xf numFmtId="43" fontId="149" fillId="0" borderId="0" xfId="9382" applyFont="1" applyFill="1" applyAlignment="1">
      <alignment horizontal="center"/>
    </xf>
    <xf numFmtId="0" fontId="24" fillId="0" borderId="0" xfId="9302" applyFont="1" applyFill="1" applyAlignment="1">
      <alignment horizontal="center"/>
    </xf>
    <xf numFmtId="0" fontId="24" fillId="0" borderId="0" xfId="9302" applyFont="1" applyFill="1"/>
    <xf numFmtId="49" fontId="41" fillId="0" borderId="0" xfId="9307" applyNumberFormat="1" applyFont="1" applyFill="1" applyAlignment="1">
      <alignment horizontal="fill"/>
    </xf>
    <xf numFmtId="37" fontId="41" fillId="0" borderId="0" xfId="9307" applyFont="1" applyFill="1" applyAlignment="1">
      <alignment horizontal="fill"/>
    </xf>
    <xf numFmtId="37" fontId="94" fillId="0" borderId="0" xfId="9307" applyFont="1" applyFill="1" applyAlignment="1">
      <alignment horizontal="right"/>
    </xf>
    <xf numFmtId="37" fontId="41" fillId="0" borderId="0" xfId="9307" applyFont="1" applyFill="1"/>
    <xf numFmtId="49" fontId="41" fillId="0" borderId="0" xfId="9307" applyNumberFormat="1" applyFont="1" applyFill="1"/>
    <xf numFmtId="37" fontId="41" fillId="0" borderId="0" xfId="9307" applyFont="1" applyFill="1" applyAlignment="1">
      <alignment horizontal="left"/>
    </xf>
    <xf numFmtId="49" fontId="161" fillId="0" borderId="0" xfId="9307" applyNumberFormat="1" applyFont="1" applyFill="1" applyAlignment="1">
      <alignment horizontal="centerContinuous"/>
    </xf>
    <xf numFmtId="37" fontId="94" fillId="0" borderId="0" xfId="9307" applyFont="1" applyFill="1" applyAlignment="1">
      <alignment horizontal="centerContinuous"/>
    </xf>
    <xf numFmtId="49" fontId="94" fillId="0" borderId="0" xfId="9307" applyNumberFormat="1" applyFont="1" applyFill="1" applyAlignment="1">
      <alignment horizontal="centerContinuous"/>
    </xf>
    <xf numFmtId="37" fontId="161" fillId="0" borderId="0" xfId="9307" applyFont="1" applyFill="1" applyAlignment="1">
      <alignment horizontal="center"/>
    </xf>
    <xf numFmtId="37" fontId="162" fillId="0" borderId="0" xfId="9307" applyFont="1" applyFill="1" applyAlignment="1">
      <alignment horizontal="center"/>
    </xf>
    <xf numFmtId="49" fontId="41" fillId="0" borderId="0" xfId="9307" applyNumberFormat="1" applyFont="1" applyFill="1" applyAlignment="1">
      <alignment horizontal="left"/>
    </xf>
    <xf numFmtId="37" fontId="41" fillId="0" borderId="0" xfId="9307" applyFont="1" applyFill="1" applyAlignment="1">
      <alignment horizontal="centerContinuous"/>
    </xf>
    <xf numFmtId="37" fontId="41" fillId="0" borderId="0" xfId="9307" applyFont="1" applyFill="1" applyAlignment="1">
      <alignment horizontal="center"/>
    </xf>
    <xf numFmtId="37" fontId="41" fillId="0" borderId="0" xfId="9307" quotePrefix="1" applyFont="1" applyFill="1" applyAlignment="1">
      <alignment horizontal="center"/>
    </xf>
    <xf numFmtId="37" fontId="41" fillId="0" borderId="5" xfId="9307" applyFont="1" applyFill="1" applyBorder="1" applyAlignment="1">
      <alignment horizontal="centerContinuous"/>
    </xf>
    <xf numFmtId="37" fontId="41" fillId="0" borderId="5" xfId="9307" quotePrefix="1" applyFont="1" applyFill="1" applyBorder="1" applyAlignment="1">
      <alignment horizontal="center"/>
    </xf>
    <xf numFmtId="37" fontId="41" fillId="0" borderId="5" xfId="9307" applyFont="1" applyFill="1" applyBorder="1" applyAlignment="1">
      <alignment horizontal="center"/>
    </xf>
    <xf numFmtId="37" fontId="41" fillId="0" borderId="0" xfId="9307" quotePrefix="1" applyFont="1" applyFill="1" applyAlignment="1">
      <alignment horizontal="left"/>
    </xf>
    <xf numFmtId="37" fontId="41" fillId="0" borderId="0" xfId="9307" applyFont="1" applyFill="1" applyAlignment="1">
      <alignment horizontal="right"/>
    </xf>
    <xf numFmtId="49" fontId="41" fillId="0" borderId="0" xfId="9307" applyNumberFormat="1" applyFont="1" applyFill="1" applyAlignment="1">
      <alignment horizontal="right"/>
    </xf>
    <xf numFmtId="182" fontId="41" fillId="0" borderId="0" xfId="3834" applyNumberFormat="1" applyFont="1" applyFill="1" applyProtection="1">
      <protection locked="0"/>
    </xf>
    <xf numFmtId="182" fontId="41" fillId="0" borderId="0" xfId="3834" applyNumberFormat="1" applyFont="1" applyFill="1" applyProtection="1"/>
    <xf numFmtId="37" fontId="41" fillId="0" borderId="0" xfId="9307" applyFont="1" applyFill="1" applyProtection="1">
      <protection locked="0"/>
    </xf>
    <xf numFmtId="37" fontId="41" fillId="0" borderId="0" xfId="9307" applyNumberFormat="1" applyFont="1" applyFill="1" applyProtection="1">
      <protection locked="0"/>
    </xf>
    <xf numFmtId="37" fontId="41" fillId="0" borderId="0" xfId="9307" applyNumberFormat="1" applyFont="1" applyFill="1" applyProtection="1"/>
    <xf numFmtId="37" fontId="41" fillId="0" borderId="0" xfId="9307" quotePrefix="1" applyFont="1" applyFill="1"/>
    <xf numFmtId="173" fontId="41" fillId="0" borderId="0" xfId="3236" applyNumberFormat="1" applyFont="1" applyFill="1" applyProtection="1"/>
    <xf numFmtId="37" fontId="41" fillId="0" borderId="5" xfId="9307" applyFont="1" applyFill="1" applyBorder="1"/>
    <xf numFmtId="37" fontId="41" fillId="0" borderId="0" xfId="9307" applyFont="1" applyFill="1" applyBorder="1"/>
    <xf numFmtId="43" fontId="41" fillId="0" borderId="0" xfId="3236" applyFont="1" applyFill="1"/>
    <xf numFmtId="182" fontId="41" fillId="0" borderId="7" xfId="3834" applyNumberFormat="1" applyFont="1" applyFill="1" applyBorder="1"/>
    <xf numFmtId="182" fontId="41" fillId="0" borderId="0" xfId="3834" applyNumberFormat="1" applyFont="1" applyFill="1" applyBorder="1"/>
    <xf numFmtId="10" fontId="41" fillId="0" borderId="27" xfId="9766" applyNumberFormat="1" applyFont="1" applyFill="1" applyBorder="1"/>
    <xf numFmtId="10" fontId="41" fillId="0" borderId="0" xfId="9766" applyNumberFormat="1" applyFont="1" applyFill="1" applyBorder="1"/>
    <xf numFmtId="0" fontId="41" fillId="0" borderId="0" xfId="9824" quotePrefix="1" applyFont="1" applyFill="1" applyAlignment="1">
      <alignment horizontal="left"/>
    </xf>
    <xf numFmtId="49" fontId="41" fillId="0" borderId="0" xfId="9307" quotePrefix="1" applyNumberFormat="1" applyFont="1" applyFill="1" applyAlignment="1">
      <alignment horizontal="right"/>
    </xf>
    <xf numFmtId="181" fontId="41" fillId="0" borderId="0" xfId="9307" applyNumberFormat="1" applyFont="1" applyFill="1"/>
    <xf numFmtId="49" fontId="41" fillId="0" borderId="0" xfId="9307" applyNumberFormat="1" applyFont="1" applyFill="1" applyBorder="1" applyAlignment="1">
      <alignment horizontal="right"/>
    </xf>
    <xf numFmtId="37" fontId="41" fillId="0" borderId="0" xfId="9307" quotePrefix="1" applyFont="1" applyFill="1" applyBorder="1"/>
    <xf numFmtId="173" fontId="41" fillId="0" borderId="0" xfId="3236" applyNumberFormat="1" applyFont="1" applyFill="1"/>
    <xf numFmtId="196" fontId="41" fillId="0" borderId="0" xfId="9307" applyNumberFormat="1" applyFont="1" applyBorder="1" applyAlignment="1">
      <alignment horizontal="right"/>
    </xf>
    <xf numFmtId="196" fontId="41" fillId="0" borderId="0" xfId="9307" applyNumberFormat="1" applyFont="1" applyAlignment="1">
      <alignment horizontal="right"/>
    </xf>
    <xf numFmtId="173" fontId="41" fillId="0" borderId="0" xfId="9307" applyNumberFormat="1" applyFont="1" applyFill="1"/>
    <xf numFmtId="173" fontId="41" fillId="0" borderId="5" xfId="9307" applyNumberFormat="1" applyFont="1" applyFill="1" applyBorder="1"/>
    <xf numFmtId="0" fontId="24" fillId="0" borderId="0" xfId="53043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4" fontId="24" fillId="0" borderId="0" xfId="53043" applyNumberFormat="1" applyFill="1"/>
    <xf numFmtId="0" fontId="24" fillId="0" borderId="0" xfId="53043" applyFill="1" applyAlignment="1">
      <alignment horizontal="center"/>
    </xf>
    <xf numFmtId="43" fontId="24" fillId="0" borderId="0" xfId="53043" applyNumberFormat="1" applyFill="1"/>
    <xf numFmtId="0" fontId="24" fillId="0" borderId="0" xfId="53043" applyFont="1" applyFill="1" applyAlignment="1">
      <alignment horizontal="center"/>
    </xf>
    <xf numFmtId="0" fontId="198" fillId="0" borderId="0" xfId="8667" applyFont="1" applyFill="1" applyBorder="1" applyAlignment="1">
      <alignment horizontal="left"/>
    </xf>
    <xf numFmtId="49" fontId="198" fillId="0" borderId="0" xfId="8667" applyNumberFormat="1" applyFont="1" applyFill="1" applyBorder="1" applyAlignment="1">
      <alignment horizontal="center"/>
    </xf>
    <xf numFmtId="0" fontId="198" fillId="0" borderId="0" xfId="8667" applyFont="1" applyFill="1" applyBorder="1" applyAlignment="1">
      <alignment horizontal="right"/>
    </xf>
    <xf numFmtId="0" fontId="198" fillId="0" borderId="0" xfId="8667" applyFont="1" applyFill="1" applyBorder="1" applyAlignment="1">
      <alignment horizontal="center"/>
    </xf>
    <xf numFmtId="0" fontId="198" fillId="0" borderId="5" xfId="8667" applyFont="1" applyFill="1" applyBorder="1" applyAlignment="1">
      <alignment horizontal="center" wrapText="1"/>
    </xf>
    <xf numFmtId="0" fontId="199" fillId="0" borderId="0" xfId="8667" applyFont="1" applyFill="1" applyBorder="1" applyAlignment="1">
      <alignment horizontal="left"/>
    </xf>
    <xf numFmtId="0" fontId="199" fillId="0" borderId="0" xfId="8667" applyFont="1" applyFill="1" applyBorder="1" applyAlignment="1">
      <alignment horizontal="center" wrapText="1"/>
    </xf>
    <xf numFmtId="176" fontId="198" fillId="0" borderId="0" xfId="8667" applyNumberFormat="1" applyFont="1" applyFill="1" applyBorder="1" applyAlignment="1">
      <alignment horizontal="center"/>
    </xf>
    <xf numFmtId="176" fontId="198" fillId="0" borderId="0" xfId="8668" quotePrefix="1" applyNumberFormat="1" applyFont="1" applyFill="1" applyBorder="1" applyAlignment="1">
      <alignment horizontal="center" wrapText="1"/>
    </xf>
    <xf numFmtId="9" fontId="198" fillId="0" borderId="0" xfId="8667" applyNumberFormat="1" applyFont="1" applyFill="1" applyBorder="1" applyAlignment="1">
      <alignment horizontal="center"/>
    </xf>
    <xf numFmtId="9" fontId="198" fillId="0" borderId="0" xfId="8816" applyFont="1" applyFill="1" applyBorder="1" applyAlignment="1">
      <alignment horizontal="righ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200" fillId="0" borderId="0" xfId="57814" applyNumberFormat="1" applyFont="1" applyAlignment="1"/>
    <xf numFmtId="43" fontId="198" fillId="0" borderId="0" xfId="57813" applyFont="1" applyFill="1" applyBorder="1" applyAlignment="1">
      <alignment horizontal="left"/>
    </xf>
    <xf numFmtId="43" fontId="198" fillId="0" borderId="0" xfId="8667" applyNumberFormat="1" applyFont="1" applyFill="1" applyBorder="1" applyAlignment="1">
      <alignment horizontal="left"/>
    </xf>
    <xf numFmtId="49" fontId="200" fillId="0" borderId="0" xfId="57814" applyNumberFormat="1" applyFont="1" applyFill="1" applyAlignment="1"/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9" fontId="89" fillId="0" borderId="0" xfId="8816" applyNumberFormat="1" applyFont="1" applyFill="1" applyBorder="1" applyAlignment="1">
      <alignment horizontal="center"/>
    </xf>
    <xf numFmtId="9" fontId="89" fillId="0" borderId="0" xfId="8816" applyFont="1" applyFill="1" applyBorder="1" applyAlignment="1">
      <alignment horizontal="right"/>
    </xf>
    <xf numFmtId="43" fontId="89" fillId="0" borderId="0" xfId="57813" applyFont="1" applyFill="1" applyBorder="1" applyAlignment="1">
      <alignment horizontal="left"/>
    </xf>
    <xf numFmtId="49" fontId="124" fillId="0" borderId="0" xfId="57814" applyNumberFormat="1" applyFont="1" applyAlignment="1"/>
    <xf numFmtId="43" fontId="89" fillId="0" borderId="0" xfId="8667" applyNumberFormat="1" applyFont="1" applyFill="1" applyBorder="1" applyAlignment="1">
      <alignment horizontal="left"/>
    </xf>
    <xf numFmtId="49" fontId="124" fillId="0" borderId="0" xfId="57814" applyNumberFormat="1" applyFont="1" applyFill="1" applyAlignment="1"/>
    <xf numFmtId="180" fontId="24" fillId="0" borderId="22" xfId="53043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Alignment="1">
      <alignment horizontal="left"/>
    </xf>
    <xf numFmtId="0" fontId="22" fillId="0" borderId="0" xfId="8667" applyFont="1" applyFill="1" applyBorder="1" applyAlignment="1">
      <alignment horizontal="left"/>
    </xf>
    <xf numFmtId="0" fontId="210" fillId="0" borderId="0" xfId="8667" applyFont="1" applyFill="1" applyBorder="1" applyAlignment="1">
      <alignment horizontal="left"/>
    </xf>
    <xf numFmtId="37" fontId="22" fillId="0" borderId="0" xfId="9307" applyFont="1" applyFill="1" applyAlignment="1">
      <alignment horizontal="righ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23" fillId="0" borderId="0" xfId="8668" applyNumberFormat="1" applyFont="1" applyFill="1" applyBorder="1" applyAlignment="1">
      <alignment horizontal="right"/>
    </xf>
    <xf numFmtId="173" fontId="23" fillId="0" borderId="5" xfId="8668" applyNumberFormat="1" applyFont="1" applyFill="1" applyBorder="1" applyAlignment="1">
      <alignment horizontal="right"/>
    </xf>
    <xf numFmtId="173" fontId="23" fillId="0" borderId="2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89" fillId="0" borderId="27" xfId="8668" applyNumberFormat="1" applyFont="1" applyFill="1" applyBorder="1" applyAlignment="1">
      <alignment horizontal="right"/>
    </xf>
    <xf numFmtId="173" fontId="89" fillId="0" borderId="7" xfId="8668" applyNumberFormat="1" applyFont="1" applyFill="1" applyBorder="1" applyAlignment="1">
      <alignment horizontal="right"/>
    </xf>
    <xf numFmtId="175" fontId="23" fillId="0" borderId="0" xfId="8669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0" fontId="23" fillId="0" borderId="0" xfId="4397"/>
    <xf numFmtId="164" fontId="23" fillId="0" borderId="0" xfId="0" quotePrefix="1" applyNumberFormat="1" applyFont="1" applyFill="1"/>
    <xf numFmtId="198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Alignment="1">
      <alignment horizontal="right"/>
    </xf>
    <xf numFmtId="0" fontId="24" fillId="0" borderId="0" xfId="53043" quotePrefix="1" applyFill="1"/>
    <xf numFmtId="14" fontId="24" fillId="0" borderId="0" xfId="53043" applyNumberFormat="1" applyFill="1" applyAlignment="1">
      <alignment horizontal="center"/>
    </xf>
    <xf numFmtId="180" fontId="197" fillId="0" borderId="0" xfId="53043" applyNumberFormat="1" applyFont="1" applyFill="1" applyAlignment="1">
      <alignment horizontal="left"/>
    </xf>
    <xf numFmtId="43" fontId="24" fillId="0" borderId="0" xfId="53043" applyNumberFormat="1" applyFont="1" applyFill="1" applyAlignment="1">
      <alignment horizontal="right"/>
    </xf>
    <xf numFmtId="0" fontId="24" fillId="0" borderId="0" xfId="53043" applyFill="1" applyAlignment="1">
      <alignment horizontal="right"/>
    </xf>
    <xf numFmtId="43" fontId="24" fillId="0" borderId="0" xfId="53043" applyNumberFormat="1" applyFont="1" applyFill="1"/>
    <xf numFmtId="43" fontId="24" fillId="0" borderId="0" xfId="53043" applyNumberFormat="1" applyFont="1" applyFill="1" applyBorder="1"/>
    <xf numFmtId="43" fontId="24" fillId="0" borderId="5" xfId="53043" applyNumberFormat="1" applyFont="1" applyFill="1" applyBorder="1"/>
    <xf numFmtId="0" fontId="25" fillId="0" borderId="0" xfId="53043" applyFont="1" applyFill="1"/>
    <xf numFmtId="43" fontId="24" fillId="0" borderId="28" xfId="53043" applyNumberFormat="1" applyFont="1" applyFill="1" applyBorder="1"/>
    <xf numFmtId="0" fontId="24" fillId="0" borderId="0" xfId="53043" applyFont="1" applyFill="1"/>
    <xf numFmtId="43" fontId="24" fillId="0" borderId="28" xfId="53043" applyNumberFormat="1" applyFont="1" applyFill="1" applyBorder="1" applyAlignment="1">
      <alignment horizontal="right"/>
    </xf>
    <xf numFmtId="16" fontId="24" fillId="0" borderId="0" xfId="53043" applyNumberFormat="1" applyFill="1"/>
    <xf numFmtId="0" fontId="25" fillId="0" borderId="0" xfId="53043" applyFont="1" applyFill="1" applyAlignment="1">
      <alignment horizontal="center"/>
    </xf>
    <xf numFmtId="43" fontId="25" fillId="0" borderId="0" xfId="53043" applyNumberFormat="1" applyFont="1" applyFill="1"/>
    <xf numFmtId="43" fontId="149" fillId="0" borderId="5" xfId="29429" applyFont="1" applyFill="1" applyBorder="1"/>
    <xf numFmtId="180" fontId="25" fillId="0" borderId="0" xfId="53043" applyNumberFormat="1" applyFont="1" applyFill="1" applyAlignment="1">
      <alignment horizontal="left"/>
    </xf>
    <xf numFmtId="197" fontId="24" fillId="0" borderId="0" xfId="53043" applyNumberFormat="1" applyFont="1" applyFill="1" applyAlignment="1">
      <alignment horizontal="left"/>
    </xf>
    <xf numFmtId="173" fontId="0" fillId="0" borderId="0" xfId="29429" applyNumberFormat="1" applyFont="1" applyFill="1" applyBorder="1" applyAlignment="1">
      <alignment horizontal="right"/>
    </xf>
    <xf numFmtId="10" fontId="201" fillId="0" borderId="0" xfId="57812" applyNumberFormat="1" applyFont="1" applyFill="1"/>
    <xf numFmtId="49" fontId="24" fillId="0" borderId="0" xfId="53043" applyNumberFormat="1" applyFont="1" applyFill="1" applyAlignment="1">
      <alignment horizontal="left" wrapText="1"/>
    </xf>
    <xf numFmtId="49" fontId="24" fillId="0" borderId="0" xfId="53043" applyNumberFormat="1" applyFont="1" applyFill="1" applyAlignment="1">
      <alignment horizontal="right" wrapText="1"/>
    </xf>
    <xf numFmtId="49" fontId="25" fillId="0" borderId="0" xfId="53043" applyNumberFormat="1" applyFont="1" applyFill="1" applyAlignment="1">
      <alignment horizontal="left" wrapText="1"/>
    </xf>
    <xf numFmtId="180" fontId="24" fillId="0" borderId="0" xfId="1" applyNumberFormat="1" applyFont="1" applyFill="1" applyBorder="1" applyAlignment="1">
      <alignment horizontal="right"/>
    </xf>
    <xf numFmtId="188" fontId="24" fillId="0" borderId="28" xfId="1" applyNumberFormat="1" applyFont="1" applyFill="1" applyBorder="1" applyAlignment="1">
      <alignment horizontal="right"/>
    </xf>
    <xf numFmtId="0" fontId="24" fillId="0" borderId="0" xfId="1" applyFill="1"/>
    <xf numFmtId="180" fontId="96" fillId="0" borderId="0" xfId="53043" applyNumberFormat="1" applyFont="1" applyFill="1" applyAlignment="1">
      <alignment horizontal="right"/>
    </xf>
    <xf numFmtId="180" fontId="25" fillId="0" borderId="22" xfId="53043" applyNumberFormat="1" applyFont="1" applyFill="1" applyBorder="1" applyAlignment="1">
      <alignment horizontal="right"/>
    </xf>
    <xf numFmtId="180" fontId="24" fillId="0" borderId="5" xfId="53043" applyNumberFormat="1" applyFont="1" applyFill="1" applyBorder="1" applyAlignment="1">
      <alignment horizontal="right"/>
    </xf>
    <xf numFmtId="180" fontId="24" fillId="0" borderId="0" xfId="53043" quotePrefix="1" applyNumberFormat="1" applyFont="1" applyFill="1" applyAlignment="1">
      <alignment horizontal="right"/>
    </xf>
    <xf numFmtId="180" fontId="25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Border="1" applyAlignment="1">
      <alignment horizontal="right"/>
    </xf>
    <xf numFmtId="173" fontId="201" fillId="0" borderId="0" xfId="29429" applyNumberFormat="1" applyFont="1" applyFill="1" applyAlignment="1">
      <alignment horizontal="right"/>
    </xf>
    <xf numFmtId="0" fontId="25" fillId="0" borderId="0" xfId="1" applyFont="1" applyFill="1"/>
    <xf numFmtId="0" fontId="129" fillId="0" borderId="0" xfId="1" applyFont="1" applyFill="1"/>
    <xf numFmtId="16" fontId="24" fillId="0" borderId="0" xfId="1" quotePrefix="1" applyNumberFormat="1" applyFill="1" applyAlignment="1">
      <alignment horizontal="center"/>
    </xf>
    <xf numFmtId="0" fontId="24" fillId="0" borderId="0" xfId="1" quotePrefix="1" applyFill="1" applyAlignment="1">
      <alignment horizontal="center"/>
    </xf>
    <xf numFmtId="180" fontId="24" fillId="0" borderId="0" xfId="1" applyNumberFormat="1" applyFill="1"/>
    <xf numFmtId="0" fontId="25" fillId="0" borderId="0" xfId="9302" applyFont="1" applyFill="1"/>
    <xf numFmtId="14" fontId="24" fillId="0" borderId="0" xfId="9302" applyNumberFormat="1" applyFont="1" applyFill="1"/>
    <xf numFmtId="43" fontId="24" fillId="0" borderId="0" xfId="9302" applyNumberFormat="1" applyFont="1" applyFill="1"/>
    <xf numFmtId="0" fontId="14" fillId="0" borderId="0" xfId="8831" applyFill="1"/>
    <xf numFmtId="0" fontId="23" fillId="0" borderId="0" xfId="8813" applyFont="1"/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0" fillId="0" borderId="0" xfId="0" applyFill="1" applyBorder="1"/>
    <xf numFmtId="14" fontId="24" fillId="0" borderId="0" xfId="53043" applyNumberFormat="1" applyFont="1" applyFill="1"/>
    <xf numFmtId="14" fontId="25" fillId="0" borderId="0" xfId="53043" applyNumberFormat="1" applyFont="1" applyFill="1"/>
    <xf numFmtId="182" fontId="23" fillId="0" borderId="0" xfId="3834" applyNumberFormat="1" applyFont="1" applyFill="1" applyBorder="1"/>
    <xf numFmtId="182" fontId="23" fillId="0" borderId="0" xfId="3834" quotePrefix="1" applyNumberFormat="1" applyFont="1" applyFill="1" applyBorder="1"/>
    <xf numFmtId="0" fontId="23" fillId="0" borderId="0" xfId="8672" applyFont="1" applyFill="1" applyBorder="1"/>
    <xf numFmtId="177" fontId="23" fillId="0" borderId="0" xfId="8672" applyNumberFormat="1" applyFont="1" applyFill="1" applyBorder="1" applyAlignment="1">
      <alignment horizontal="center"/>
    </xf>
    <xf numFmtId="182" fontId="23" fillId="0" borderId="0" xfId="3834" applyNumberFormat="1" applyFont="1" applyFill="1" applyBorder="1" applyProtection="1">
      <protection locked="0"/>
    </xf>
    <xf numFmtId="37" fontId="23" fillId="0" borderId="0" xfId="0" applyFont="1" applyFill="1" applyBorder="1"/>
    <xf numFmtId="5" fontId="23" fillId="0" borderId="0" xfId="0" applyNumberFormat="1" applyFont="1" applyFill="1" applyBorder="1"/>
    <xf numFmtId="182" fontId="23" fillId="0" borderId="0" xfId="0" applyNumberFormat="1" applyFont="1" applyFill="1" applyBorder="1"/>
    <xf numFmtId="37" fontId="23" fillId="0" borderId="0" xfId="8672" applyNumberFormat="1" applyFont="1" applyFill="1" applyBorder="1" applyAlignment="1">
      <alignment horizontal="centerContinuous"/>
    </xf>
    <xf numFmtId="49" fontId="124" fillId="0" borderId="0" xfId="8458" applyNumberFormat="1" applyFont="1" applyAlignment="1"/>
    <xf numFmtId="43" fontId="89" fillId="0" borderId="0" xfId="8806" applyFont="1" applyFill="1" applyBorder="1" applyAlignment="1">
      <alignment horizontal="left"/>
    </xf>
    <xf numFmtId="9" fontId="198" fillId="0" borderId="0" xfId="8816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180" fontId="222" fillId="0" borderId="0" xfId="1" applyNumberFormat="1" applyFont="1" applyFill="1" applyAlignment="1">
      <alignment horizontal="left"/>
    </xf>
    <xf numFmtId="0" fontId="8" fillId="0" borderId="0" xfId="62041"/>
    <xf numFmtId="0" fontId="210" fillId="0" borderId="0" xfId="8667" applyFont="1" applyFill="1" applyBorder="1" applyAlignment="1">
      <alignment horizontal="right"/>
    </xf>
    <xf numFmtId="0" fontId="123" fillId="0" borderId="0" xfId="8765" applyFont="1" applyFill="1" applyAlignment="1"/>
    <xf numFmtId="0" fontId="94" fillId="0" borderId="0" xfId="8765" applyFont="1" applyFill="1" applyAlignment="1">
      <alignment horizontal="right"/>
    </xf>
    <xf numFmtId="0" fontId="94" fillId="0" borderId="0" xfId="8765" applyFont="1" applyFill="1" applyAlignment="1">
      <alignment horizontal="centerContinuous"/>
    </xf>
    <xf numFmtId="0" fontId="94" fillId="0" borderId="0" xfId="8765" applyNumberFormat="1" applyFont="1" applyFill="1" applyAlignment="1">
      <alignment horizontal="centerContinuous"/>
    </xf>
    <xf numFmtId="0" fontId="123" fillId="0" borderId="0" xfId="8765" applyNumberFormat="1" applyFont="1" applyFill="1" applyAlignment="1">
      <alignment horizontal="right"/>
    </xf>
    <xf numFmtId="0" fontId="123" fillId="0" borderId="0" xfId="8765" applyNumberFormat="1" applyFont="1" applyFill="1" applyAlignment="1">
      <alignment horizontal="centerContinuous"/>
    </xf>
    <xf numFmtId="0" fontId="123" fillId="0" borderId="0" xfId="8765" applyFont="1" applyFill="1"/>
    <xf numFmtId="0" fontId="94" fillId="0" borderId="0" xfId="8765" applyNumberFormat="1" applyFont="1" applyFill="1" applyAlignment="1">
      <alignment horizontal="center"/>
    </xf>
    <xf numFmtId="37" fontId="94" fillId="0" borderId="25" xfId="8765" applyNumberFormat="1" applyFont="1" applyFill="1" applyBorder="1" applyAlignment="1">
      <alignment horizontal="center"/>
    </xf>
    <xf numFmtId="3" fontId="94" fillId="0" borderId="0" xfId="8765" applyNumberFormat="1" applyFont="1" applyFill="1" applyAlignment="1">
      <alignment horizontal="center"/>
    </xf>
    <xf numFmtId="0" fontId="123" fillId="0" borderId="0" xfId="8765" applyFont="1" applyFill="1" applyAlignment="1">
      <alignment horizontal="right"/>
    </xf>
    <xf numFmtId="0" fontId="94" fillId="0" borderId="0" xfId="8765" applyNumberFormat="1" applyFont="1" applyFill="1" applyAlignment="1">
      <alignment horizontal="left"/>
    </xf>
    <xf numFmtId="200" fontId="123" fillId="0" borderId="0" xfId="8765" applyNumberFormat="1" applyFont="1" applyFill="1" applyAlignment="1"/>
    <xf numFmtId="2" fontId="123" fillId="0" borderId="0" xfId="8765" applyNumberFormat="1" applyFont="1" applyFill="1"/>
    <xf numFmtId="0" fontId="94" fillId="0" borderId="2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/>
    <xf numFmtId="0" fontId="41" fillId="0" borderId="0" xfId="8765" applyNumberFormat="1" applyFont="1" applyFill="1" applyAlignment="1">
      <alignment horizontal="center"/>
    </xf>
    <xf numFmtId="2" fontId="123" fillId="0" borderId="0" xfId="8765" applyNumberFormat="1" applyFont="1" applyFill="1" applyAlignment="1">
      <alignment horizontal="right"/>
    </xf>
    <xf numFmtId="0" fontId="95" fillId="0" borderId="0" xfId="8765" applyNumberFormat="1" applyFont="1" applyFill="1" applyAlignment="1"/>
    <xf numFmtId="0" fontId="94" fillId="0" borderId="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>
      <alignment horizontal="left"/>
    </xf>
    <xf numFmtId="0" fontId="95" fillId="0" borderId="0" xfId="8765" applyNumberFormat="1" applyFont="1" applyFill="1" applyAlignment="1">
      <alignment horizontal="left"/>
    </xf>
    <xf numFmtId="0" fontId="94" fillId="0" borderId="0" xfId="8765" applyNumberFormat="1" applyFont="1" applyFill="1" applyAlignment="1"/>
    <xf numFmtId="0" fontId="123" fillId="0" borderId="25" xfId="8765" applyFont="1" applyFill="1" applyBorder="1"/>
    <xf numFmtId="0" fontId="123" fillId="0" borderId="0" xfId="8765" applyFont="1" applyFill="1" applyBorder="1" applyAlignment="1"/>
    <xf numFmtId="200" fontId="123" fillId="0" borderId="0" xfId="8765" applyNumberFormat="1" applyFont="1" applyFill="1" applyBorder="1" applyAlignment="1"/>
    <xf numFmtId="0" fontId="41" fillId="0" borderId="0" xfId="8765" quotePrefix="1" applyNumberFormat="1" applyFont="1" applyFill="1" applyAlignment="1">
      <alignment horizontal="left"/>
    </xf>
    <xf numFmtId="0" fontId="94" fillId="0" borderId="0" xfId="8765" applyFont="1" applyFill="1" applyAlignment="1"/>
    <xf numFmtId="0" fontId="41" fillId="0" borderId="0" xfId="8765" applyFont="1" applyFill="1" applyAlignment="1"/>
    <xf numFmtId="0" fontId="123" fillId="0" borderId="0" xfId="8765" quotePrefix="1" applyFont="1" applyFill="1" applyAlignment="1">
      <alignment horizontal="left"/>
    </xf>
    <xf numFmtId="200" fontId="41" fillId="0" borderId="0" xfId="8765" applyNumberFormat="1" applyFont="1" applyFill="1" applyAlignment="1"/>
    <xf numFmtId="2" fontId="123" fillId="0" borderId="0" xfId="8765" applyNumberFormat="1" applyFont="1" applyFill="1" applyAlignment="1"/>
    <xf numFmtId="43" fontId="89" fillId="0" borderId="0" xfId="8806" quotePrefix="1" applyFont="1" applyFill="1" applyBorder="1" applyAlignment="1">
      <alignment horizontal="right" wrapText="1"/>
    </xf>
    <xf numFmtId="9" fontId="89" fillId="0" borderId="0" xfId="8669" applyFont="1" applyFill="1" applyBorder="1" applyAlignment="1">
      <alignment horizontal="right" wrapText="1"/>
    </xf>
    <xf numFmtId="9" fontId="89" fillId="0" borderId="0" xfId="8669" quotePrefix="1" applyFont="1" applyFill="1" applyBorder="1" applyAlignment="1">
      <alignment horizontal="right" wrapText="1"/>
    </xf>
    <xf numFmtId="0" fontId="123" fillId="0" borderId="0" xfId="8765" applyFont="1" applyAlignment="1"/>
    <xf numFmtId="179" fontId="23" fillId="0" borderId="0" xfId="8667" applyNumberFormat="1" applyFont="1" applyFill="1" applyBorder="1" applyAlignment="1">
      <alignment horizontal="center"/>
    </xf>
    <xf numFmtId="49" fontId="23" fillId="0" borderId="0" xfId="4397" applyNumberFormat="1" applyFont="1" applyAlignment="1">
      <alignment horizontal="left" wrapText="1"/>
    </xf>
    <xf numFmtId="49" fontId="23" fillId="0" borderId="0" xfId="4397" applyNumberFormat="1" applyFont="1" applyAlignment="1">
      <alignment horizontal="right" wrapText="1"/>
    </xf>
    <xf numFmtId="49" fontId="25" fillId="0" borderId="0" xfId="4397" applyNumberFormat="1" applyFont="1" applyAlignment="1">
      <alignment horizontal="left" wrapText="1"/>
    </xf>
    <xf numFmtId="186" fontId="25" fillId="0" borderId="0" xfId="4397" applyNumberFormat="1" applyFont="1" applyAlignment="1">
      <alignment horizontal="left"/>
    </xf>
    <xf numFmtId="186" fontId="23" fillId="0" borderId="0" xfId="4397" applyNumberFormat="1" applyFont="1" applyAlignment="1">
      <alignment horizontal="right"/>
    </xf>
    <xf numFmtId="186" fontId="24" fillId="0" borderId="0" xfId="1" applyNumberFormat="1" applyFont="1" applyFill="1" applyAlignment="1">
      <alignment horizontal="right"/>
    </xf>
    <xf numFmtId="180" fontId="23" fillId="0" borderId="0" xfId="4397" applyNumberFormat="1" applyFont="1" applyAlignment="1">
      <alignment horizontal="left"/>
    </xf>
    <xf numFmtId="180" fontId="23" fillId="0" borderId="0" xfId="4397" applyNumberFormat="1" applyFont="1" applyAlignment="1">
      <alignment horizontal="right"/>
    </xf>
    <xf numFmtId="186" fontId="23" fillId="0" borderId="0" xfId="4397" applyNumberFormat="1" applyFont="1" applyAlignment="1">
      <alignment horizontal="left"/>
    </xf>
    <xf numFmtId="180" fontId="25" fillId="0" borderId="0" xfId="4397" applyNumberFormat="1" applyFont="1" applyAlignment="1">
      <alignment horizontal="left"/>
    </xf>
    <xf numFmtId="201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Border="1" applyAlignment="1">
      <alignment horizontal="right"/>
    </xf>
    <xf numFmtId="0" fontId="23" fillId="0" borderId="0" xfId="8817" applyFont="1"/>
    <xf numFmtId="173" fontId="89" fillId="0" borderId="0" xfId="8667" applyNumberFormat="1" applyFont="1" applyFill="1" applyBorder="1" applyAlignment="1">
      <alignment horizontal="left"/>
    </xf>
    <xf numFmtId="49" fontId="41" fillId="0" borderId="0" xfId="57809" applyNumberFormat="1" applyFont="1" applyFill="1" applyAlignment="1">
      <alignment horizontal="fill"/>
    </xf>
    <xf numFmtId="37" fontId="41" fillId="0" borderId="0" xfId="57809" applyFont="1" applyFill="1" applyAlignment="1">
      <alignment horizontal="fill"/>
    </xf>
    <xf numFmtId="37" fontId="94" fillId="0" borderId="0" xfId="57809" applyFont="1" applyFill="1" applyAlignment="1">
      <alignment horizontal="right"/>
    </xf>
    <xf numFmtId="37" fontId="22" fillId="0" borderId="0" xfId="57809" applyFont="1" applyFill="1" applyAlignment="1">
      <alignment horizontal="right"/>
    </xf>
    <xf numFmtId="37" fontId="41" fillId="0" borderId="0" xfId="57809" applyFont="1" applyFill="1"/>
    <xf numFmtId="49" fontId="41" fillId="0" borderId="0" xfId="57809" applyNumberFormat="1" applyFont="1" applyFill="1"/>
    <xf numFmtId="37" fontId="41" fillId="0" borderId="0" xfId="57809" applyFont="1" applyFill="1" applyAlignment="1">
      <alignment horizontal="left"/>
    </xf>
    <xf numFmtId="49" fontId="161" fillId="0" borderId="0" xfId="57809" applyNumberFormat="1" applyFont="1" applyFill="1" applyAlignment="1">
      <alignment horizontal="centerContinuous"/>
    </xf>
    <xf numFmtId="37" fontId="94" fillId="0" borderId="0" xfId="57809" applyFont="1" applyFill="1" applyAlignment="1">
      <alignment horizontal="centerContinuous"/>
    </xf>
    <xf numFmtId="49" fontId="94" fillId="0" borderId="0" xfId="57809" applyNumberFormat="1" applyFont="1" applyFill="1" applyAlignment="1">
      <alignment horizontal="centerContinuous"/>
    </xf>
    <xf numFmtId="37" fontId="162" fillId="0" borderId="0" xfId="57809" applyFont="1" applyFill="1" applyAlignment="1">
      <alignment horizontal="center"/>
    </xf>
    <xf numFmtId="49" fontId="41" fillId="0" borderId="0" xfId="57809" applyNumberFormat="1" applyFont="1" applyFill="1" applyAlignment="1">
      <alignment horizontal="left"/>
    </xf>
    <xf numFmtId="37" fontId="41" fillId="0" borderId="0" xfId="57809" quotePrefix="1" applyFont="1" applyFill="1" applyAlignment="1">
      <alignment horizontal="center"/>
    </xf>
    <xf numFmtId="37" fontId="41" fillId="0" borderId="0" xfId="57809" applyFont="1" applyFill="1" applyAlignment="1">
      <alignment horizontal="centerContinuous"/>
    </xf>
    <xf numFmtId="37" fontId="41" fillId="0" borderId="0" xfId="57809" applyFont="1" applyFill="1" applyAlignment="1">
      <alignment horizontal="center"/>
    </xf>
    <xf numFmtId="37" fontId="41" fillId="0" borderId="5" xfId="57809" applyFont="1" applyFill="1" applyBorder="1" applyAlignment="1">
      <alignment horizontal="centerContinuous"/>
    </xf>
    <xf numFmtId="37" fontId="41" fillId="0" borderId="5" xfId="57809" quotePrefix="1" applyFont="1" applyFill="1" applyBorder="1" applyAlignment="1">
      <alignment horizontal="center"/>
    </xf>
    <xf numFmtId="37" fontId="41" fillId="0" borderId="5" xfId="57809" applyFont="1" applyFill="1" applyBorder="1" applyAlignment="1">
      <alignment horizontal="center"/>
    </xf>
    <xf numFmtId="37" fontId="41" fillId="0" borderId="0" xfId="57809" quotePrefix="1" applyFont="1" applyFill="1" applyAlignment="1">
      <alignment horizontal="left"/>
    </xf>
    <xf numFmtId="37" fontId="41" fillId="0" borderId="0" xfId="57809" applyFont="1" applyFill="1" applyAlignment="1">
      <alignment horizontal="right"/>
    </xf>
    <xf numFmtId="196" fontId="41" fillId="0" borderId="0" xfId="57809" applyNumberFormat="1" applyFont="1" applyBorder="1" applyAlignment="1">
      <alignment horizontal="right"/>
    </xf>
    <xf numFmtId="196" fontId="41" fillId="0" borderId="0" xfId="57809" applyNumberFormat="1" applyFont="1" applyAlignment="1">
      <alignment horizontal="right"/>
    </xf>
    <xf numFmtId="37" fontId="41" fillId="0" borderId="0" xfId="57809" applyFont="1" applyFill="1" applyProtection="1">
      <protection locked="0"/>
    </xf>
    <xf numFmtId="37" fontId="41" fillId="0" borderId="0" xfId="57809" applyNumberFormat="1" applyFont="1" applyFill="1" applyProtection="1">
      <protection locked="0"/>
    </xf>
    <xf numFmtId="37" fontId="41" fillId="0" borderId="0" xfId="57809" applyNumberFormat="1" applyFont="1" applyFill="1" applyProtection="1"/>
    <xf numFmtId="37" fontId="41" fillId="0" borderId="0" xfId="57809" quotePrefix="1" applyFont="1" applyFill="1"/>
    <xf numFmtId="49" fontId="41" fillId="0" borderId="0" xfId="57809" applyNumberFormat="1" applyFont="1" applyFill="1" applyAlignment="1">
      <alignment horizontal="right"/>
    </xf>
    <xf numFmtId="37" fontId="41" fillId="0" borderId="5" xfId="57809" applyFont="1" applyFill="1" applyBorder="1"/>
    <xf numFmtId="37" fontId="41" fillId="0" borderId="0" xfId="57809" applyFont="1" applyFill="1" applyBorder="1"/>
    <xf numFmtId="173" fontId="41" fillId="0" borderId="0" xfId="57809" applyNumberFormat="1" applyFont="1" applyFill="1"/>
    <xf numFmtId="173" fontId="41" fillId="0" borderId="5" xfId="57809" applyNumberFormat="1" applyFont="1" applyFill="1" applyBorder="1"/>
    <xf numFmtId="49" fontId="41" fillId="0" borderId="0" xfId="57809" quotePrefix="1" applyNumberFormat="1" applyFont="1" applyFill="1" applyAlignment="1">
      <alignment horizontal="right"/>
    </xf>
    <xf numFmtId="181" fontId="41" fillId="0" borderId="0" xfId="57809" applyNumberFormat="1" applyFont="1" applyFill="1"/>
    <xf numFmtId="49" fontId="41" fillId="0" borderId="0" xfId="57809" applyNumberFormat="1" applyFont="1" applyFill="1" applyBorder="1" applyAlignment="1">
      <alignment horizontal="right"/>
    </xf>
    <xf numFmtId="37" fontId="41" fillId="0" borderId="0" xfId="57809" quotePrefix="1" applyFont="1" applyFill="1" applyBorder="1"/>
    <xf numFmtId="180" fontId="23" fillId="0" borderId="0" xfId="60200" applyNumberFormat="1"/>
    <xf numFmtId="49" fontId="24" fillId="0" borderId="0" xfId="53043" applyNumberFormat="1" applyFont="1" applyAlignment="1">
      <alignment horizontal="left" wrapText="1"/>
    </xf>
    <xf numFmtId="180" fontId="24" fillId="0" borderId="0" xfId="53043" applyNumberFormat="1" applyFont="1" applyFill="1" applyAlignment="1">
      <alignment horizontal="left" indent="3"/>
    </xf>
    <xf numFmtId="202" fontId="23" fillId="0" borderId="0" xfId="8672" applyNumberFormat="1" applyFont="1" applyFill="1" applyAlignment="1"/>
    <xf numFmtId="180" fontId="23" fillId="0" borderId="0" xfId="60200" applyNumberFormat="1" applyFont="1" applyAlignment="1">
      <alignment horizontal="right"/>
    </xf>
    <xf numFmtId="0" fontId="23" fillId="0" borderId="0" xfId="60200"/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  <xf numFmtId="0" fontId="94" fillId="0" borderId="0" xfId="8765" applyFont="1" applyFill="1" applyAlignment="1">
      <alignment horizontal="center"/>
    </xf>
    <xf numFmtId="0" fontId="22" fillId="0" borderId="5" xfId="8813" applyFont="1" applyBorder="1"/>
    <xf numFmtId="49" fontId="23" fillId="0" borderId="0" xfId="8813" applyNumberFormat="1" applyFont="1" applyAlignment="1">
      <alignment horizontal="left"/>
    </xf>
    <xf numFmtId="15" fontId="23" fillId="0" borderId="0" xfId="8813" quotePrefix="1" applyNumberFormat="1" applyFont="1" applyAlignment="1">
      <alignment horizontal="left"/>
    </xf>
    <xf numFmtId="0" fontId="25" fillId="0" borderId="0" xfId="53043" applyFont="1"/>
    <xf numFmtId="0" fontId="24" fillId="0" borderId="0" xfId="53043"/>
    <xf numFmtId="14" fontId="24" fillId="0" borderId="0" xfId="53043" applyNumberFormat="1"/>
    <xf numFmtId="10" fontId="24" fillId="0" borderId="0" xfId="53043" applyNumberFormat="1"/>
    <xf numFmtId="41" fontId="24" fillId="0" borderId="0" xfId="53043" applyNumberFormat="1"/>
    <xf numFmtId="41" fontId="24" fillId="0" borderId="5" xfId="53043" applyNumberFormat="1" applyBorder="1"/>
    <xf numFmtId="41" fontId="24" fillId="0" borderId="0" xfId="53043" applyNumberFormat="1" applyBorder="1"/>
    <xf numFmtId="43" fontId="24" fillId="0" borderId="0" xfId="53043" applyNumberFormat="1"/>
    <xf numFmtId="180" fontId="24" fillId="0" borderId="0" xfId="53043" applyNumberFormat="1" applyFont="1" applyAlignment="1">
      <alignment horizontal="left"/>
    </xf>
    <xf numFmtId="0" fontId="122" fillId="0" borderId="0" xfId="8765" applyFont="1" applyFill="1"/>
    <xf numFmtId="0" fontId="224" fillId="0" borderId="0" xfId="8807" applyFont="1" applyFill="1" applyAlignment="1">
      <alignment horizontal="centerContinuous"/>
    </xf>
    <xf numFmtId="0" fontId="224" fillId="0" borderId="0" xfId="8807" applyNumberFormat="1" applyFont="1" applyFill="1" applyAlignment="1">
      <alignment horizontal="centerContinuous"/>
    </xf>
    <xf numFmtId="0" fontId="224" fillId="0" borderId="0" xfId="62045" applyNumberFormat="1" applyFont="1" applyFill="1" applyAlignment="1">
      <alignment horizontal="centerContinuous"/>
    </xf>
    <xf numFmtId="0" fontId="225" fillId="0" borderId="0" xfId="8807" applyNumberFormat="1" applyFont="1" applyFill="1"/>
    <xf numFmtId="0" fontId="225" fillId="0" borderId="0" xfId="8807" applyNumberFormat="1" applyFont="1" applyFill="1" applyAlignment="1">
      <alignment horizontal="center"/>
    </xf>
    <xf numFmtId="0" fontId="224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center"/>
    </xf>
    <xf numFmtId="0" fontId="224" fillId="0" borderId="0" xfId="8765" applyFont="1" applyFill="1" applyAlignment="1">
      <alignment horizontal="center"/>
    </xf>
    <xf numFmtId="0" fontId="225" fillId="0" borderId="0" xfId="62045" applyNumberFormat="1" applyFont="1" applyFill="1" applyBorder="1" applyAlignment="1">
      <alignment horizontal="centerContinuous"/>
    </xf>
    <xf numFmtId="0" fontId="122" fillId="0" borderId="0" xfId="62045" applyNumberFormat="1" applyFont="1" applyFill="1" applyAlignment="1"/>
    <xf numFmtId="0" fontId="224" fillId="0" borderId="0" xfId="62045" applyNumberFormat="1" applyFont="1" applyFill="1" applyAlignment="1">
      <alignment horizontal="center"/>
    </xf>
    <xf numFmtId="0" fontId="122" fillId="0" borderId="0" xfId="8765" applyNumberFormat="1" applyFont="1" applyFill="1" applyAlignment="1"/>
    <xf numFmtId="0" fontId="225" fillId="0" borderId="0" xfId="8807" applyFont="1" applyFill="1"/>
    <xf numFmtId="0" fontId="224" fillId="0" borderId="0" xfId="62045" applyNumberFormat="1" applyFont="1" applyFill="1" applyBorder="1" applyAlignment="1">
      <alignment horizontal="center"/>
    </xf>
    <xf numFmtId="0" fontId="224" fillId="0" borderId="5" xfId="62045" applyNumberFormat="1" applyFont="1" applyFill="1" applyBorder="1" applyAlignment="1">
      <alignment horizontal="center"/>
    </xf>
    <xf numFmtId="0" fontId="122" fillId="0" borderId="0" xfId="8765" applyFont="1" applyFill="1" applyAlignment="1"/>
    <xf numFmtId="37" fontId="224" fillId="0" borderId="25" xfId="8765" applyNumberFormat="1" applyFont="1" applyFill="1" applyBorder="1" applyAlignment="1">
      <alignment horizontal="center"/>
    </xf>
    <xf numFmtId="3" fontId="224" fillId="0" borderId="0" xfId="8765" applyNumberFormat="1" applyFont="1" applyFill="1" applyAlignment="1">
      <alignment horizontal="center"/>
    </xf>
    <xf numFmtId="0" fontId="224" fillId="0" borderId="25" xfId="8765" applyNumberFormat="1" applyFont="1" applyFill="1" applyBorder="1" applyAlignment="1">
      <alignment horizontal="center"/>
    </xf>
    <xf numFmtId="0" fontId="224" fillId="0" borderId="25" xfId="62045" applyNumberFormat="1" applyFont="1" applyFill="1" applyBorder="1" applyAlignment="1">
      <alignment horizontal="center"/>
    </xf>
    <xf numFmtId="0" fontId="122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left"/>
    </xf>
    <xf numFmtId="0" fontId="122" fillId="0" borderId="0" xfId="8765" applyNumberFormat="1" applyFont="1" applyFill="1" applyAlignment="1">
      <alignment horizontal="center"/>
    </xf>
    <xf numFmtId="0" fontId="122" fillId="0" borderId="0" xfId="62045" applyNumberFormat="1" applyFont="1" applyFill="1"/>
    <xf numFmtId="2" fontId="225" fillId="0" borderId="0" xfId="8807" applyNumberFormat="1" applyFont="1" applyFill="1"/>
    <xf numFmtId="2" fontId="122" fillId="0" borderId="0" xfId="8765" applyNumberFormat="1" applyFont="1" applyFill="1"/>
    <xf numFmtId="0" fontId="225" fillId="0" borderId="0" xfId="8765" applyNumberFormat="1" applyFont="1" applyFill="1" applyAlignment="1"/>
    <xf numFmtId="0" fontId="225" fillId="0" borderId="0" xfId="8765" applyNumberFormat="1" applyFont="1" applyFill="1" applyAlignment="1">
      <alignment horizontal="center"/>
    </xf>
    <xf numFmtId="2" fontId="122" fillId="0" borderId="0" xfId="8765" applyNumberFormat="1" applyFont="1" applyFill="1" applyAlignment="1"/>
    <xf numFmtId="2" fontId="122" fillId="0" borderId="0" xfId="62045" applyNumberFormat="1" applyFont="1" applyFill="1" applyAlignment="1">
      <alignment horizontal="right"/>
    </xf>
    <xf numFmtId="2" fontId="122" fillId="0" borderId="0" xfId="62045" applyNumberFormat="1" applyFont="1" applyFill="1" applyAlignment="1"/>
    <xf numFmtId="2" fontId="122" fillId="0" borderId="0" xfId="62045" applyNumberFormat="1" applyFont="1" applyFill="1"/>
    <xf numFmtId="1" fontId="225" fillId="0" borderId="0" xfId="8807" applyNumberFormat="1" applyFont="1" applyFill="1"/>
    <xf numFmtId="0" fontId="226" fillId="0" borderId="0" xfId="8765" applyNumberFormat="1" applyFont="1" applyFill="1" applyAlignment="1"/>
    <xf numFmtId="0" fontId="225" fillId="0" borderId="0" xfId="8765" quotePrefix="1" applyNumberFormat="1" applyFont="1" applyFill="1" applyAlignment="1">
      <alignment horizontal="center"/>
    </xf>
    <xf numFmtId="0" fontId="122" fillId="0" borderId="0" xfId="0" applyNumberFormat="1" applyFont="1" applyFill="1" applyAlignment="1">
      <alignment horizontal="center"/>
    </xf>
    <xf numFmtId="9" fontId="225" fillId="0" borderId="0" xfId="8765" applyNumberFormat="1" applyFont="1" applyFill="1" applyAlignment="1">
      <alignment horizontal="center"/>
    </xf>
    <xf numFmtId="0" fontId="122" fillId="0" borderId="0" xfId="8765" applyNumberFormat="1" applyFont="1" applyFill="1" applyAlignment="1">
      <alignment horizontal="right"/>
    </xf>
    <xf numFmtId="0" fontId="224" fillId="0" borderId="5" xfId="8765" applyNumberFormat="1" applyFont="1" applyFill="1" applyBorder="1" applyAlignment="1">
      <alignment horizontal="center"/>
    </xf>
    <xf numFmtId="0" fontId="225" fillId="0" borderId="0" xfId="8765" applyNumberFormat="1" applyFont="1" applyFill="1" applyAlignment="1">
      <alignment horizontal="left"/>
    </xf>
    <xf numFmtId="2" fontId="225" fillId="0" borderId="0" xfId="62045" applyNumberFormat="1" applyFont="1" applyFill="1"/>
    <xf numFmtId="0" fontId="226" fillId="0" borderId="0" xfId="8765" applyNumberFormat="1" applyFont="1" applyFill="1" applyAlignment="1">
      <alignment horizontal="left"/>
    </xf>
    <xf numFmtId="0" fontId="224" fillId="0" borderId="0" xfId="8765" applyNumberFormat="1" applyFont="1" applyFill="1" applyAlignment="1"/>
    <xf numFmtId="0" fontId="122" fillId="0" borderId="25" xfId="8765" applyFont="1" applyFill="1" applyBorder="1"/>
    <xf numFmtId="2" fontId="122" fillId="0" borderId="0" xfId="62045" applyNumberFormat="1" applyFont="1" applyFill="1" applyBorder="1" applyAlignment="1"/>
    <xf numFmtId="0" fontId="225" fillId="0" borderId="0" xfId="8765" quotePrefix="1" applyNumberFormat="1" applyFont="1" applyFill="1" applyAlignment="1">
      <alignment horizontal="left"/>
    </xf>
    <xf numFmtId="0" fontId="224" fillId="0" borderId="0" xfId="8765" applyFont="1" applyFill="1" applyAlignment="1"/>
    <xf numFmtId="0" fontId="225" fillId="0" borderId="0" xfId="8765" applyFont="1" applyFill="1" applyAlignment="1"/>
    <xf numFmtId="2" fontId="225" fillId="0" borderId="0" xfId="8807" applyNumberFormat="1" applyFont="1" applyFill="1" applyAlignment="1">
      <alignment horizontal="right"/>
    </xf>
    <xf numFmtId="2" fontId="122" fillId="0" borderId="0" xfId="8765" applyNumberFormat="1" applyFont="1" applyFill="1" applyAlignment="1">
      <alignment horizontal="right"/>
    </xf>
    <xf numFmtId="0" fontId="122" fillId="0" borderId="0" xfId="8765" quotePrefix="1" applyNumberFormat="1" applyFont="1" applyFill="1" applyAlignment="1">
      <alignment horizontal="center"/>
    </xf>
    <xf numFmtId="0" fontId="122" fillId="0" borderId="0" xfId="8765" quotePrefix="1" applyFont="1" applyFill="1" applyAlignment="1">
      <alignment horizontal="left"/>
    </xf>
    <xf numFmtId="0" fontId="122" fillId="0" borderId="0" xfId="8765" applyNumberFormat="1" applyFont="1" applyFill="1"/>
    <xf numFmtId="0" fontId="41" fillId="0" borderId="0" xfId="62045" applyNumberFormat="1" applyFont="1" applyFill="1" applyAlignment="1">
      <alignment horizontal="centerContinuous"/>
    </xf>
    <xf numFmtId="0" fontId="41" fillId="0" borderId="0" xfId="62045" applyNumberFormat="1" applyFont="1" applyFill="1" applyAlignment="1">
      <alignment horizontal="center"/>
    </xf>
    <xf numFmtId="0" fontId="94" fillId="0" borderId="0" xfId="62045" applyNumberFormat="1" applyFont="1" applyFill="1" applyAlignment="1">
      <alignment horizontal="center"/>
    </xf>
    <xf numFmtId="0" fontId="94" fillId="0" borderId="5" xfId="62045" applyNumberFormat="1" applyFont="1" applyFill="1" applyBorder="1" applyAlignment="1">
      <alignment horizontal="center"/>
    </xf>
    <xf numFmtId="2" fontId="41" fillId="0" borderId="0" xfId="8807" applyNumberFormat="1" applyFont="1" applyFill="1" applyAlignment="1">
      <alignment horizontal="center"/>
    </xf>
    <xf numFmtId="2" fontId="94" fillId="0" borderId="0" xfId="8807" applyNumberFormat="1" applyFont="1" applyFill="1" applyAlignment="1"/>
    <xf numFmtId="2" fontId="41" fillId="0" borderId="0" xfId="8808" quotePrefix="1" applyNumberFormat="1" applyFont="1" applyFill="1" applyAlignment="1">
      <alignment horizontal="right"/>
    </xf>
    <xf numFmtId="0" fontId="123" fillId="0" borderId="0" xfId="8765" applyFont="1" applyFill="1" applyAlignment="1">
      <alignment horizontal="center"/>
    </xf>
    <xf numFmtId="0" fontId="123" fillId="0" borderId="6" xfId="8765" applyFont="1" applyFill="1" applyBorder="1"/>
    <xf numFmtId="0" fontId="123" fillId="0" borderId="0" xfId="8765" applyFont="1" applyFill="1" applyBorder="1"/>
    <xf numFmtId="2" fontId="41" fillId="0" borderId="6" xfId="8807" applyNumberFormat="1" applyFont="1" applyFill="1" applyBorder="1"/>
    <xf numFmtId="0" fontId="41" fillId="0" borderId="0" xfId="62045" applyNumberFormat="1" applyFont="1" applyFill="1" applyAlignment="1"/>
    <xf numFmtId="2" fontId="41" fillId="0" borderId="6" xfId="8807" applyNumberFormat="1" applyFont="1" applyFill="1" applyBorder="1" applyAlignment="1"/>
    <xf numFmtId="0" fontId="123" fillId="0" borderId="0" xfId="62045" applyNumberFormat="1" applyFont="1" applyFill="1"/>
    <xf numFmtId="1" fontId="94" fillId="0" borderId="0" xfId="8765" applyNumberFormat="1" applyFont="1" applyFill="1" applyAlignment="1">
      <alignment horizontal="centerContinuous"/>
    </xf>
    <xf numFmtId="2" fontId="94" fillId="0" borderId="0" xfId="8765" applyNumberFormat="1" applyFont="1" applyFill="1" applyAlignment="1">
      <alignment horizontal="centerContinuous"/>
    </xf>
    <xf numFmtId="178" fontId="123" fillId="0" borderId="0" xfId="8765" applyNumberFormat="1" applyFont="1" applyFill="1" applyAlignment="1">
      <alignment horizontal="center"/>
    </xf>
    <xf numFmtId="1" fontId="123" fillId="0" borderId="0" xfId="8765" applyNumberFormat="1" applyFont="1" applyFill="1" applyAlignment="1">
      <alignment horizontal="centerContinuous"/>
    </xf>
    <xf numFmtId="2" fontId="123" fillId="0" borderId="0" xfId="8765" applyNumberFormat="1" applyFont="1" applyFill="1" applyAlignment="1">
      <alignment horizontal="centerContinuous"/>
    </xf>
    <xf numFmtId="1" fontId="94" fillId="0" borderId="0" xfId="8765" applyNumberFormat="1" applyFont="1" applyFill="1" applyAlignment="1">
      <alignment horizontal="center"/>
    </xf>
    <xf numFmtId="2" fontId="94" fillId="0" borderId="0" xfId="8765" applyNumberFormat="1" applyFont="1" applyFill="1" applyAlignment="1">
      <alignment horizontal="center"/>
    </xf>
    <xf numFmtId="2" fontId="41" fillId="0" borderId="0" xfId="62045" applyNumberFormat="1" applyFont="1" applyFill="1" applyBorder="1" applyAlignment="1">
      <alignment horizontal="centerContinuous"/>
    </xf>
    <xf numFmtId="2" fontId="123" fillId="0" borderId="0" xfId="62045" applyNumberFormat="1" applyFont="1" applyFill="1" applyAlignment="1"/>
    <xf numFmtId="2" fontId="94" fillId="0" borderId="0" xfId="62045" applyNumberFormat="1" applyFont="1" applyFill="1" applyAlignment="1">
      <alignment horizontal="center"/>
    </xf>
    <xf numFmtId="178" fontId="94" fillId="0" borderId="0" xfId="8765" applyNumberFormat="1" applyFont="1" applyFill="1" applyAlignment="1">
      <alignment horizontal="center"/>
    </xf>
    <xf numFmtId="2" fontId="94" fillId="0" borderId="0" xfId="62045" applyNumberFormat="1" applyFont="1" applyFill="1" applyBorder="1" applyAlignment="1">
      <alignment horizontal="center"/>
    </xf>
    <xf numFmtId="2" fontId="94" fillId="0" borderId="5" xfId="62045" applyNumberFormat="1" applyFont="1" applyFill="1" applyBorder="1" applyAlignment="1">
      <alignment horizontal="center"/>
    </xf>
    <xf numFmtId="1" fontId="94" fillId="0" borderId="25" xfId="8765" applyNumberFormat="1" applyFont="1" applyFill="1" applyBorder="1" applyAlignment="1">
      <alignment horizontal="center"/>
    </xf>
    <xf numFmtId="2" fontId="94" fillId="0" borderId="25" xfId="62045" applyNumberFormat="1" applyFont="1" applyFill="1" applyBorder="1" applyAlignment="1">
      <alignment horizontal="center"/>
    </xf>
    <xf numFmtId="2" fontId="94" fillId="0" borderId="25" xfId="8765" applyNumberFormat="1" applyFont="1" applyFill="1" applyBorder="1" applyAlignment="1">
      <alignment horizontal="center"/>
    </xf>
    <xf numFmtId="178" fontId="94" fillId="0" borderId="25" xfId="8765" applyNumberFormat="1" applyFont="1" applyFill="1" applyBorder="1" applyAlignment="1">
      <alignment horizontal="center"/>
    </xf>
    <xf numFmtId="1" fontId="123" fillId="0" borderId="0" xfId="8765" applyNumberFormat="1" applyFont="1" applyFill="1" applyAlignment="1"/>
    <xf numFmtId="2" fontId="123" fillId="0" borderId="0" xfId="62045" applyNumberFormat="1" applyFont="1" applyFill="1"/>
    <xf numFmtId="1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Alignment="1">
      <alignment horizontal="right"/>
    </xf>
    <xf numFmtId="2" fontId="41" fillId="0" borderId="0" xfId="8765" applyNumberFormat="1" applyFont="1" applyFill="1" applyAlignment="1">
      <alignment horizontal="center"/>
    </xf>
    <xf numFmtId="1" fontId="41" fillId="0" borderId="0" xfId="8765" quotePrefix="1" applyNumberFormat="1" applyFont="1" applyFill="1" applyAlignment="1">
      <alignment horizontal="center"/>
    </xf>
    <xf numFmtId="178" fontId="123" fillId="0" borderId="0" xfId="0" applyNumberFormat="1" applyFont="1" applyFill="1" applyAlignment="1">
      <alignment horizontal="center"/>
    </xf>
    <xf numFmtId="1" fontId="41" fillId="0" borderId="0" xfId="0" applyNumberFormat="1" applyFont="1" applyFill="1" applyAlignment="1">
      <alignment horizontal="center"/>
    </xf>
    <xf numFmtId="2" fontId="41" fillId="0" borderId="0" xfId="0" applyNumberFormat="1" applyFont="1" applyAlignment="1">
      <alignment horizontal="center"/>
    </xf>
    <xf numFmtId="2" fontId="227" fillId="0" borderId="0" xfId="8807" applyNumberFormat="1" applyFont="1" applyFill="1"/>
    <xf numFmtId="2" fontId="41" fillId="0" borderId="0" xfId="62045" applyNumberFormat="1" applyFont="1" applyFill="1"/>
    <xf numFmtId="178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Border="1" applyAlignment="1"/>
    <xf numFmtId="2" fontId="94" fillId="0" borderId="0" xfId="8765" applyNumberFormat="1" applyFont="1" applyFill="1" applyAlignment="1"/>
    <xf numFmtId="2" fontId="41" fillId="0" borderId="0" xfId="8765" applyNumberFormat="1" applyFont="1" applyFill="1" applyAlignment="1">
      <alignment horizontal="left"/>
    </xf>
    <xf numFmtId="2" fontId="41" fillId="0" borderId="0" xfId="8765" applyNumberFormat="1" applyFont="1" applyFill="1" applyAlignment="1"/>
    <xf numFmtId="178" fontId="123" fillId="0" borderId="0" xfId="8765" quotePrefix="1" applyNumberFormat="1" applyFont="1" applyFill="1" applyAlignment="1">
      <alignment horizontal="center"/>
    </xf>
    <xf numFmtId="2" fontId="94" fillId="0" borderId="6" xfId="8807" applyNumberFormat="1" applyFont="1" applyFill="1" applyBorder="1"/>
    <xf numFmtId="0" fontId="123" fillId="0" borderId="0" xfId="8765" applyNumberFormat="1" applyFont="1" applyFill="1"/>
    <xf numFmtId="0" fontId="123" fillId="0" borderId="0" xfId="8765" applyNumberFormat="1" applyFont="1" applyFill="1" applyAlignment="1"/>
    <xf numFmtId="0" fontId="15" fillId="0" borderId="0" xfId="8810" applyFill="1"/>
    <xf numFmtId="0" fontId="0" fillId="0" borderId="0" xfId="0" applyNumberFormat="1"/>
    <xf numFmtId="43" fontId="25" fillId="0" borderId="0" xfId="9302" applyNumberFormat="1" applyFont="1" applyFill="1"/>
    <xf numFmtId="0" fontId="23" fillId="0" borderId="0" xfId="8667" quotePrefix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left" wrapText="1"/>
    </xf>
    <xf numFmtId="175" fontId="89" fillId="0" borderId="0" xfId="8816" applyNumberFormat="1" applyFont="1" applyFill="1" applyBorder="1" applyAlignment="1">
      <alignment horizontal="right" wrapText="1"/>
    </xf>
    <xf numFmtId="0" fontId="92" fillId="0" borderId="0" xfId="8667" applyFont="1" applyFill="1" applyBorder="1" applyAlignment="1">
      <alignment horizontal="left" wrapText="1"/>
    </xf>
    <xf numFmtId="173" fontId="89" fillId="0" borderId="28" xfId="8668" applyNumberFormat="1" applyFont="1" applyFill="1" applyBorder="1" applyAlignment="1">
      <alignment horizontal="right" wrapText="1"/>
    </xf>
    <xf numFmtId="10" fontId="89" fillId="0" borderId="0" xfId="8668" applyNumberFormat="1" applyFont="1" applyFill="1" applyBorder="1" applyAlignment="1">
      <alignment horizontal="right" wrapText="1"/>
    </xf>
    <xf numFmtId="49" fontId="24" fillId="0" borderId="0" xfId="62042" applyNumberFormat="1" applyFont="1" applyFill="1" applyAlignment="1">
      <alignment horizontal="right" wrapText="1"/>
    </xf>
    <xf numFmtId="180" fontId="25" fillId="0" borderId="0" xfId="4397" applyNumberFormat="1" applyFont="1" applyAlignment="1">
      <alignment horizontal="right"/>
    </xf>
    <xf numFmtId="180" fontId="24" fillId="0" borderId="0" xfId="62042" applyNumberFormat="1" applyFont="1" applyFill="1" applyAlignment="1">
      <alignment horizontal="right"/>
    </xf>
    <xf numFmtId="180" fontId="96" fillId="0" borderId="0" xfId="4397" applyNumberFormat="1" applyFont="1" applyAlignment="1">
      <alignment horizontal="right"/>
    </xf>
    <xf numFmtId="180" fontId="23" fillId="0" borderId="22" xfId="4397" applyNumberFormat="1" applyFont="1" applyBorder="1" applyAlignment="1">
      <alignment horizontal="right"/>
    </xf>
    <xf numFmtId="180" fontId="232" fillId="0" borderId="0" xfId="4397" applyNumberFormat="1" applyFont="1" applyAlignment="1">
      <alignment horizontal="left"/>
    </xf>
    <xf numFmtId="180" fontId="129" fillId="0" borderId="0" xfId="4397" applyNumberFormat="1" applyFont="1" applyAlignment="1">
      <alignment horizontal="right"/>
    </xf>
    <xf numFmtId="180" fontId="129" fillId="0" borderId="0" xfId="4397" applyNumberFormat="1" applyFont="1" applyAlignment="1">
      <alignment horizontal="left"/>
    </xf>
    <xf numFmtId="180" fontId="23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right"/>
    </xf>
    <xf numFmtId="180" fontId="96" fillId="0" borderId="22" xfId="4397" applyNumberFormat="1" applyFont="1" applyBorder="1" applyAlignment="1">
      <alignment horizontal="right"/>
    </xf>
    <xf numFmtId="198" fontId="24" fillId="0" borderId="0" xfId="62042" applyNumberFormat="1" applyFont="1" applyFill="1" applyAlignment="1">
      <alignment horizontal="right"/>
    </xf>
    <xf numFmtId="0" fontId="229" fillId="0" borderId="0" xfId="62051" applyFont="1" applyFill="1"/>
    <xf numFmtId="0" fontId="233" fillId="0" borderId="0" xfId="62051" applyFont="1" applyFill="1"/>
    <xf numFmtId="0" fontId="91" fillId="0" borderId="0" xfId="62051" applyFont="1" applyProtection="1"/>
    <xf numFmtId="0" fontId="229" fillId="0" borderId="0" xfId="62051" applyFont="1" applyProtection="1"/>
    <xf numFmtId="0" fontId="229" fillId="0" borderId="0" xfId="62051" applyFont="1"/>
    <xf numFmtId="0" fontId="229" fillId="0" borderId="0" xfId="62051" applyNumberFormat="1" applyFont="1" applyFill="1" applyAlignment="1" applyProtection="1"/>
    <xf numFmtId="0" fontId="229" fillId="0" borderId="0" xfId="62051" applyNumberFormat="1" applyFont="1" applyFill="1" applyAlignment="1" applyProtection="1">
      <alignment horizontal="left"/>
    </xf>
    <xf numFmtId="14" fontId="21" fillId="0" borderId="0" xfId="62051" applyNumberFormat="1" applyFont="1" applyFill="1" applyBorder="1" applyAlignment="1" applyProtection="1">
      <alignment horizontal="centerContinuous"/>
    </xf>
    <xf numFmtId="44" fontId="234" fillId="87" borderId="50" xfId="62051" applyNumberFormat="1" applyFont="1" applyFill="1" applyBorder="1" applyAlignment="1" applyProtection="1">
      <alignment horizontal="left"/>
    </xf>
    <xf numFmtId="0" fontId="235" fillId="87" borderId="51" xfId="62051" applyFont="1" applyFill="1" applyBorder="1" applyProtection="1"/>
    <xf numFmtId="0" fontId="235" fillId="87" borderId="52" xfId="62051" applyFont="1" applyFill="1" applyBorder="1" applyProtection="1"/>
    <xf numFmtId="0" fontId="229" fillId="88" borderId="53" xfId="62051" applyFont="1" applyFill="1" applyBorder="1" applyProtection="1"/>
    <xf numFmtId="0" fontId="229" fillId="88" borderId="0" xfId="62051" applyFont="1" applyFill="1" applyBorder="1" applyProtection="1"/>
    <xf numFmtId="0" fontId="229" fillId="88" borderId="10" xfId="62051" applyFont="1" applyFill="1" applyBorder="1" applyProtection="1"/>
    <xf numFmtId="0" fontId="229" fillId="88" borderId="54" xfId="62051" applyFont="1" applyFill="1" applyBorder="1" applyProtection="1"/>
    <xf numFmtId="0" fontId="229" fillId="88" borderId="55" xfId="62051" applyFont="1" applyFill="1" applyBorder="1" applyProtection="1"/>
    <xf numFmtId="0" fontId="229" fillId="88" borderId="56" xfId="62051" applyFont="1" applyFill="1" applyBorder="1" applyProtection="1"/>
    <xf numFmtId="0" fontId="229" fillId="88" borderId="57" xfId="62051" applyFont="1" applyFill="1" applyBorder="1" applyProtection="1"/>
    <xf numFmtId="0" fontId="231" fillId="88" borderId="0" xfId="62051" applyFont="1" applyFill="1" applyBorder="1" applyProtection="1"/>
    <xf numFmtId="0" fontId="229" fillId="88" borderId="58" xfId="62051" applyFont="1" applyFill="1" applyBorder="1" applyProtection="1"/>
    <xf numFmtId="0" fontId="236" fillId="88" borderId="0" xfId="62051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 indent="1"/>
    </xf>
    <xf numFmtId="43" fontId="230" fillId="89" borderId="59" xfId="62052" applyFont="1" applyFill="1" applyBorder="1" applyAlignment="1" applyProtection="1">
      <alignment horizontal="center"/>
    </xf>
    <xf numFmtId="43" fontId="230" fillId="89" borderId="60" xfId="62052" applyFont="1" applyFill="1" applyBorder="1" applyAlignment="1" applyProtection="1">
      <alignment horizontal="center"/>
    </xf>
    <xf numFmtId="43" fontId="230" fillId="89" borderId="61" xfId="62053" applyFont="1" applyFill="1" applyBorder="1" applyAlignment="1" applyProtection="1">
      <alignment horizontal="center"/>
    </xf>
    <xf numFmtId="43" fontId="230" fillId="89" borderId="62" xfId="62053" applyFont="1" applyFill="1" applyBorder="1" applyAlignment="1" applyProtection="1">
      <alignment horizontal="center"/>
    </xf>
    <xf numFmtId="43" fontId="237" fillId="89" borderId="61" xfId="62053" applyFont="1" applyFill="1" applyBorder="1" applyAlignment="1" applyProtection="1">
      <alignment horizontal="center"/>
    </xf>
    <xf numFmtId="43" fontId="237" fillId="89" borderId="62" xfId="62053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/>
    </xf>
    <xf numFmtId="43" fontId="238" fillId="89" borderId="61" xfId="62053" applyFont="1" applyFill="1" applyBorder="1" applyAlignment="1" applyProtection="1">
      <alignment horizontal="center"/>
    </xf>
    <xf numFmtId="43" fontId="238" fillId="89" borderId="62" xfId="62053" applyFont="1" applyFill="1" applyBorder="1" applyAlignment="1" applyProtection="1">
      <alignment horizontal="center"/>
    </xf>
    <xf numFmtId="43" fontId="230" fillId="89" borderId="59" xfId="62053" applyFont="1" applyFill="1" applyBorder="1" applyAlignment="1" applyProtection="1">
      <alignment horizontal="center"/>
    </xf>
    <xf numFmtId="43" fontId="230" fillId="89" borderId="60" xfId="62053" applyFont="1" applyFill="1" applyBorder="1" applyAlignment="1" applyProtection="1">
      <alignment horizontal="center"/>
    </xf>
    <xf numFmtId="43" fontId="230" fillId="89" borderId="63" xfId="62053" applyFont="1" applyFill="1" applyBorder="1" applyAlignment="1" applyProtection="1">
      <alignment horizontal="center"/>
    </xf>
    <xf numFmtId="204" fontId="231" fillId="88" borderId="0" xfId="62051" applyNumberFormat="1" applyFont="1" applyFill="1" applyBorder="1" applyAlignment="1" applyProtection="1">
      <alignment horizontal="left"/>
    </xf>
    <xf numFmtId="0" fontId="229" fillId="88" borderId="64" xfId="62051" applyFont="1" applyFill="1" applyBorder="1" applyProtection="1"/>
    <xf numFmtId="0" fontId="229" fillId="88" borderId="65" xfId="62051" applyFont="1" applyFill="1" applyBorder="1" applyProtection="1"/>
    <xf numFmtId="0" fontId="229" fillId="88" borderId="62" xfId="62051" applyFont="1" applyFill="1" applyBorder="1" applyProtection="1"/>
    <xf numFmtId="0" fontId="229" fillId="88" borderId="66" xfId="62051" applyFont="1" applyFill="1" applyBorder="1" applyProtection="1"/>
    <xf numFmtId="0" fontId="229" fillId="88" borderId="5" xfId="62051" applyFont="1" applyFill="1" applyBorder="1" applyProtection="1"/>
    <xf numFmtId="0" fontId="229" fillId="88" borderId="67" xfId="62051" applyFont="1" applyFill="1" applyBorder="1" applyProtection="1"/>
    <xf numFmtId="0" fontId="22" fillId="0" borderId="0" xfId="62048" applyFont="1" applyFill="1" applyAlignment="1" applyProtection="1">
      <alignment horizontal="left"/>
    </xf>
    <xf numFmtId="0" fontId="23" fillId="0" borderId="0" xfId="62047" applyFont="1" applyFill="1"/>
    <xf numFmtId="0" fontId="22" fillId="0" borderId="0" xfId="62048" quotePrefix="1" applyFont="1" applyFill="1" applyAlignment="1" applyProtection="1">
      <alignment horizontal="left"/>
      <protection locked="0"/>
    </xf>
    <xf numFmtId="0" fontId="23" fillId="0" borderId="0" xfId="62047" applyFont="1" applyFill="1" applyAlignment="1">
      <alignment horizontal="center" wrapText="1"/>
    </xf>
    <xf numFmtId="0" fontId="23" fillId="0" borderId="0" xfId="62047" applyFont="1" applyFill="1" applyAlignment="1">
      <alignment horizontal="center"/>
    </xf>
    <xf numFmtId="41" fontId="23" fillId="0" borderId="0" xfId="62047" applyNumberFormat="1" applyFont="1" applyFill="1"/>
    <xf numFmtId="203" fontId="23" fillId="0" borderId="0" xfId="62047" applyNumberFormat="1" applyFont="1" applyFill="1"/>
    <xf numFmtId="0" fontId="23" fillId="0" borderId="0" xfId="62047" applyFont="1" applyFill="1" applyAlignment="1">
      <alignment horizontal="left" indent="1"/>
    </xf>
    <xf numFmtId="41" fontId="23" fillId="0" borderId="0" xfId="62047" applyNumberFormat="1" applyFont="1" applyFill="1" applyAlignment="1">
      <alignment horizontal="left" indent="1"/>
    </xf>
    <xf numFmtId="175" fontId="23" fillId="0" borderId="0" xfId="62047" applyNumberFormat="1" applyFont="1" applyFill="1" applyAlignment="1">
      <alignment horizontal="right"/>
    </xf>
    <xf numFmtId="10" fontId="23" fillId="0" borderId="0" xfId="62047" applyNumberFormat="1" applyFont="1" applyFill="1" applyAlignment="1">
      <alignment horizontal="right"/>
    </xf>
    <xf numFmtId="182" fontId="23" fillId="0" borderId="0" xfId="62049" applyNumberFormat="1" applyFont="1" applyFill="1" applyAlignment="1">
      <alignment horizontal="left"/>
    </xf>
    <xf numFmtId="182" fontId="23" fillId="0" borderId="0" xfId="62049" applyNumberFormat="1" applyFont="1" applyFill="1"/>
    <xf numFmtId="182" fontId="23" fillId="0" borderId="0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/>
    <xf numFmtId="182" fontId="23" fillId="0" borderId="0" xfId="62049" applyNumberFormat="1" applyFont="1" applyFill="1" applyBorder="1"/>
    <xf numFmtId="182" fontId="23" fillId="0" borderId="5" xfId="62049" applyNumberFormat="1" applyFont="1" applyFill="1" applyBorder="1"/>
    <xf numFmtId="41" fontId="23" fillId="0" borderId="0" xfId="62047" applyNumberFormat="1" applyFont="1" applyFill="1" applyAlignment="1">
      <alignment horizontal="left" indent="2"/>
    </xf>
    <xf numFmtId="182" fontId="23" fillId="0" borderId="0" xfId="62047" applyNumberFormat="1" applyFont="1" applyFill="1"/>
    <xf numFmtId="182" fontId="23" fillId="0" borderId="0" xfId="62049" applyNumberFormat="1" applyFont="1" applyFill="1" applyAlignment="1">
      <alignment horizontal="left" indent="1"/>
    </xf>
    <xf numFmtId="0" fontId="23" fillId="0" borderId="0" xfId="62047" applyFont="1" applyFill="1" applyAlignment="1">
      <alignment horizontal="left" indent="2"/>
    </xf>
    <xf numFmtId="182" fontId="23" fillId="0" borderId="6" xfId="62049" applyNumberFormat="1" applyFont="1" applyFill="1" applyBorder="1" applyAlignment="1">
      <alignment horizontal="left"/>
    </xf>
    <xf numFmtId="41" fontId="23" fillId="0" borderId="0" xfId="62047" applyNumberFormat="1" applyFont="1" applyFill="1" applyAlignment="1">
      <alignment horizontal="left"/>
    </xf>
    <xf numFmtId="0" fontId="23" fillId="0" borderId="0" xfId="62047" applyFont="1" applyFill="1" applyBorder="1"/>
    <xf numFmtId="182" fontId="23" fillId="0" borderId="5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 applyAlignment="1">
      <alignment horizontal="left" indent="1"/>
    </xf>
    <xf numFmtId="182" fontId="23" fillId="0" borderId="0" xfId="62047" applyNumberFormat="1" applyFont="1" applyFill="1" applyBorder="1"/>
    <xf numFmtId="44" fontId="23" fillId="0" borderId="0" xfId="62049" applyNumberFormat="1" applyFont="1" applyFill="1"/>
    <xf numFmtId="182" fontId="23" fillId="0" borderId="27" xfId="62049" applyNumberFormat="1" applyFont="1" applyFill="1" applyBorder="1"/>
    <xf numFmtId="10" fontId="23" fillId="0" borderId="0" xfId="62047" applyNumberFormat="1" applyFont="1" applyFill="1"/>
    <xf numFmtId="49" fontId="3" fillId="0" borderId="0" xfId="60179" applyNumberFormat="1" applyFont="1" applyAlignment="1">
      <alignment horizontal="right" wrapText="1"/>
    </xf>
    <xf numFmtId="180" fontId="3" fillId="0" borderId="0" xfId="60179" applyNumberFormat="1" applyFont="1" applyAlignment="1">
      <alignment horizontal="right"/>
    </xf>
    <xf numFmtId="180" fontId="3" fillId="15" borderId="0" xfId="60179" applyNumberFormat="1" applyFont="1" applyFill="1" applyAlignment="1">
      <alignment horizontal="right"/>
    </xf>
    <xf numFmtId="201" fontId="3" fillId="0" borderId="0" xfId="60179" applyNumberFormat="1" applyFont="1" applyAlignment="1">
      <alignment horizontal="right"/>
    </xf>
    <xf numFmtId="180" fontId="3" fillId="0" borderId="0" xfId="60179" applyNumberFormat="1" applyFont="1" applyFill="1" applyAlignment="1">
      <alignment horizontal="right"/>
    </xf>
    <xf numFmtId="0" fontId="23" fillId="0" borderId="0" xfId="62047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0" fontId="23" fillId="0" borderId="0" xfId="62047" applyFont="1" applyFill="1" applyAlignment="1">
      <alignment horizontal="left"/>
    </xf>
    <xf numFmtId="0" fontId="124" fillId="0" borderId="0" xfId="62047" applyFont="1"/>
    <xf numFmtId="10" fontId="124" fillId="0" borderId="0" xfId="62047" applyNumberFormat="1" applyFont="1"/>
    <xf numFmtId="0" fontId="22" fillId="0" borderId="0" xfId="62047" applyFont="1" applyFill="1" applyAlignment="1">
      <alignment horizontal="left"/>
    </xf>
    <xf numFmtId="176" fontId="23" fillId="0" borderId="5" xfId="62047" applyNumberFormat="1" applyFont="1" applyFill="1" applyBorder="1" applyAlignment="1">
      <alignment horizontal="center"/>
    </xf>
    <xf numFmtId="0" fontId="124" fillId="0" borderId="5" xfId="62047" applyFont="1" applyBorder="1" applyAlignment="1">
      <alignment horizontal="center" wrapText="1"/>
    </xf>
    <xf numFmtId="10" fontId="124" fillId="0" borderId="5" xfId="62047" applyNumberFormat="1" applyFont="1" applyBorder="1" applyAlignment="1">
      <alignment horizontal="center" wrapText="1"/>
    </xf>
    <xf numFmtId="0" fontId="23" fillId="0" borderId="0" xfId="62047" applyFont="1" applyFill="1" applyBorder="1" applyAlignment="1">
      <alignment horizontal="center" wrapText="1"/>
    </xf>
    <xf numFmtId="175" fontId="23" fillId="0" borderId="0" xfId="62050" applyNumberFormat="1" applyFont="1" applyFill="1"/>
    <xf numFmtId="175" fontId="239" fillId="0" borderId="0" xfId="62050" applyNumberFormat="1" applyFont="1" applyFill="1"/>
    <xf numFmtId="41" fontId="124" fillId="0" borderId="0" xfId="62047" applyNumberFormat="1" applyFont="1"/>
    <xf numFmtId="175" fontId="239" fillId="86" borderId="0" xfId="62050" applyNumberFormat="1" applyFont="1" applyFill="1"/>
    <xf numFmtId="41" fontId="124" fillId="0" borderId="0" xfId="62047" applyNumberFormat="1" applyFont="1" applyBorder="1"/>
    <xf numFmtId="0" fontId="23" fillId="90" borderId="0" xfId="62047" quotePrefix="1" applyFont="1" applyFill="1" applyAlignment="1">
      <alignment horizontal="center"/>
    </xf>
    <xf numFmtId="0" fontId="23" fillId="90" borderId="0" xfId="62047" applyFont="1" applyFill="1"/>
    <xf numFmtId="0" fontId="23" fillId="90" borderId="0" xfId="62047" applyFont="1" applyFill="1" applyAlignment="1">
      <alignment horizontal="center"/>
    </xf>
    <xf numFmtId="0" fontId="23" fillId="0" borderId="0" xfId="62047" quotePrefix="1" applyFont="1" applyFill="1" applyAlignment="1">
      <alignment horizontal="center"/>
    </xf>
    <xf numFmtId="41" fontId="124" fillId="0" borderId="0" xfId="62047" applyNumberFormat="1" applyFont="1" applyFill="1" applyBorder="1"/>
    <xf numFmtId="175" fontId="23" fillId="0" borderId="0" xfId="6291" applyNumberFormat="1" applyFont="1" applyFill="1"/>
    <xf numFmtId="0" fontId="23" fillId="0" borderId="0" xfId="62047" applyNumberFormat="1" applyFont="1" applyFill="1"/>
    <xf numFmtId="0" fontId="23" fillId="0" borderId="0" xfId="62048" applyFont="1" applyFill="1" applyAlignment="1" applyProtection="1">
      <alignment horizontal="left"/>
    </xf>
    <xf numFmtId="0" fontId="23" fillId="0" borderId="0" xfId="62048" quotePrefix="1" applyFont="1" applyFill="1" applyAlignment="1" applyProtection="1">
      <alignment horizontal="left"/>
      <protection locked="0"/>
    </xf>
    <xf numFmtId="41" fontId="23" fillId="0" borderId="0" xfId="62049" applyNumberFormat="1" applyFont="1" applyFill="1" applyAlignment="1">
      <alignment horizontal="right"/>
    </xf>
    <xf numFmtId="49" fontId="24" fillId="0" borderId="0" xfId="53043" applyNumberFormat="1" applyFont="1" applyFill="1" applyAlignment="1">
      <alignment horizontal="center" wrapText="1"/>
    </xf>
    <xf numFmtId="49" fontId="24" fillId="0" borderId="0" xfId="53043" applyNumberFormat="1" applyFont="1" applyFill="1" applyBorder="1" applyAlignment="1">
      <alignment horizontal="right" wrapText="1"/>
    </xf>
    <xf numFmtId="49" fontId="25" fillId="0" borderId="0" xfId="53043" applyNumberFormat="1" applyFont="1" applyFill="1" applyAlignment="1">
      <alignment horizontal="center" wrapText="1"/>
    </xf>
    <xf numFmtId="180" fontId="25" fillId="0" borderId="0" xfId="53043" applyNumberFormat="1" applyFont="1" applyFill="1" applyAlignment="1">
      <alignment horizontal="center"/>
    </xf>
    <xf numFmtId="180" fontId="96" fillId="0" borderId="0" xfId="53043" applyNumberFormat="1" applyFont="1" applyFill="1" applyBorder="1" applyAlignment="1">
      <alignment horizontal="right"/>
    </xf>
    <xf numFmtId="180" fontId="25" fillId="0" borderId="0" xfId="53043" applyNumberFormat="1" applyFont="1" applyFill="1" applyBorder="1" applyAlignment="1">
      <alignment horizontal="right"/>
    </xf>
    <xf numFmtId="180" fontId="201" fillId="0" borderId="22" xfId="53043" applyNumberFormat="1" applyFont="1" applyFill="1" applyBorder="1" applyAlignment="1">
      <alignment horizontal="right"/>
    </xf>
    <xf numFmtId="173" fontId="0" fillId="0" borderId="22" xfId="29429" applyNumberFormat="1" applyFont="1" applyFill="1" applyBorder="1" applyAlignment="1">
      <alignment horizontal="right"/>
    </xf>
    <xf numFmtId="180" fontId="24" fillId="0" borderId="0" xfId="53043" quotePrefix="1" applyNumberFormat="1" applyFont="1" applyFill="1" applyBorder="1" applyAlignment="1">
      <alignment horizontal="right"/>
    </xf>
    <xf numFmtId="180" fontId="24" fillId="0" borderId="22" xfId="53043" quotePrefix="1" applyNumberFormat="1" applyFont="1" applyFill="1" applyBorder="1" applyAlignment="1">
      <alignment horizontal="right"/>
    </xf>
    <xf numFmtId="180" fontId="201" fillId="0" borderId="0" xfId="53043" applyNumberFormat="1" applyFont="1" applyFill="1" applyBorder="1" applyAlignment="1">
      <alignment horizontal="right"/>
    </xf>
    <xf numFmtId="43" fontId="0" fillId="0" borderId="0" xfId="29429" applyFont="1" applyFill="1" applyBorder="1" applyAlignment="1">
      <alignment horizontal="right"/>
    </xf>
    <xf numFmtId="173" fontId="201" fillId="0" borderId="0" xfId="29429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center"/>
    </xf>
    <xf numFmtId="41" fontId="24" fillId="0" borderId="0" xfId="53043" applyNumberFormat="1" applyFont="1" applyFill="1" applyAlignment="1">
      <alignment horizontal="right"/>
    </xf>
    <xf numFmtId="0" fontId="20" fillId="0" borderId="0" xfId="62054" applyFont="1"/>
    <xf numFmtId="0" fontId="2" fillId="0" borderId="0" xfId="62054" applyFont="1"/>
    <xf numFmtId="180" fontId="2" fillId="0" borderId="0" xfId="62054" applyNumberFormat="1" applyFont="1" applyFill="1" applyAlignment="1"/>
    <xf numFmtId="0" fontId="2" fillId="0" borderId="0" xfId="62054" applyFont="1" applyAlignment="1">
      <alignment horizontal="left"/>
    </xf>
    <xf numFmtId="180" fontId="2" fillId="0" borderId="0" xfId="62054" applyNumberFormat="1" applyFont="1" applyFill="1" applyAlignment="1">
      <alignment horizontal="left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88" fontId="24" fillId="0" borderId="0" xfId="53043" applyNumberFormat="1" applyFont="1" applyFill="1" applyBorder="1" applyAlignment="1">
      <alignment horizontal="right"/>
    </xf>
    <xf numFmtId="37" fontId="1" fillId="0" borderId="0" xfId="0" applyFont="1"/>
    <xf numFmtId="14" fontId="1" fillId="0" borderId="0" xfId="0" applyNumberFormat="1" applyFont="1"/>
    <xf numFmtId="41" fontId="1" fillId="0" borderId="0" xfId="0" applyNumberFormat="1" applyFont="1"/>
    <xf numFmtId="37" fontId="92" fillId="0" borderId="0" xfId="0" applyFont="1"/>
    <xf numFmtId="37" fontId="23" fillId="0" borderId="0" xfId="0" applyFont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9" fontId="99" fillId="0" borderId="0" xfId="8669" applyFont="1" applyFill="1"/>
    <xf numFmtId="164" fontId="100" fillId="0" borderId="0" xfId="0" applyNumberFormat="1" applyFont="1" applyFill="1"/>
    <xf numFmtId="165" fontId="93" fillId="0" borderId="0" xfId="0" applyNumberFormat="1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49" fontId="25" fillId="0" borderId="0" xfId="1" applyNumberFormat="1" applyFont="1" applyFill="1" applyAlignment="1">
      <alignment horizontal="center" wrapText="1"/>
    </xf>
    <xf numFmtId="49" fontId="24" fillId="0" borderId="0" xfId="1" applyNumberFormat="1" applyFont="1" applyFill="1" applyAlignment="1">
      <alignment horizontal="center" wrapText="1"/>
    </xf>
    <xf numFmtId="0" fontId="23" fillId="0" borderId="0" xfId="8675" applyFont="1" applyFill="1"/>
    <xf numFmtId="43" fontId="98" fillId="0" borderId="0" xfId="8675" applyNumberFormat="1" applyFill="1" applyBorder="1"/>
    <xf numFmtId="43" fontId="23" fillId="0" borderId="6" xfId="3236" applyFill="1" applyBorder="1"/>
    <xf numFmtId="43" fontId="23" fillId="0" borderId="0" xfId="3236" applyFill="1"/>
    <xf numFmtId="43" fontId="98" fillId="0" borderId="0" xfId="8675" applyNumberFormat="1" applyFill="1"/>
    <xf numFmtId="0" fontId="98" fillId="0" borderId="0" xfId="8675" applyFill="1" applyBorder="1"/>
    <xf numFmtId="43" fontId="23" fillId="0" borderId="7" xfId="3236" applyFill="1" applyBorder="1"/>
    <xf numFmtId="44" fontId="23" fillId="0" borderId="0" xfId="3834" applyFill="1" applyBorder="1"/>
    <xf numFmtId="164" fontId="22" fillId="0" borderId="0" xfId="0" applyNumberFormat="1" applyFont="1" applyFill="1" applyBorder="1"/>
    <xf numFmtId="39" fontId="23" fillId="0" borderId="0" xfId="3834" applyNumberFormat="1" applyFont="1" applyFill="1" applyBorder="1"/>
    <xf numFmtId="43" fontId="22" fillId="0" borderId="0" xfId="3236" applyFont="1" applyFill="1" applyBorder="1" applyAlignment="1">
      <alignment horizontal="center"/>
    </xf>
    <xf numFmtId="37" fontId="22" fillId="0" borderId="0" xfId="0" applyFont="1" applyFill="1" applyBorder="1" applyAlignment="1">
      <alignment horizontal="center"/>
    </xf>
    <xf numFmtId="43" fontId="23" fillId="0" borderId="5" xfId="3236" applyFill="1" applyBorder="1"/>
    <xf numFmtId="43" fontId="98" fillId="0" borderId="5" xfId="8675" applyNumberFormat="1" applyFill="1" applyBorder="1"/>
    <xf numFmtId="43" fontId="0" fillId="0" borderId="0" xfId="3236" applyFont="1" applyFill="1" applyBorder="1"/>
    <xf numFmtId="43" fontId="0" fillId="0" borderId="0" xfId="3236" applyFont="1" applyFill="1"/>
    <xf numFmtId="0" fontId="23" fillId="0" borderId="0" xfId="0" applyNumberFormat="1" applyFont="1" applyFill="1" applyAlignment="1">
      <alignment horizontal="left"/>
    </xf>
    <xf numFmtId="43" fontId="23" fillId="0" borderId="0" xfId="3236" applyFont="1" applyFill="1"/>
    <xf numFmtId="43" fontId="23" fillId="0" borderId="6" xfId="3236" applyFont="1" applyFill="1" applyBorder="1"/>
    <xf numFmtId="43" fontId="23" fillId="0" borderId="7" xfId="3236" applyFont="1" applyFill="1" applyBorder="1"/>
    <xf numFmtId="43" fontId="23" fillId="0" borderId="0" xfId="8806" applyFont="1" applyFill="1" applyBorder="1"/>
    <xf numFmtId="0" fontId="20" fillId="0" borderId="0" xfId="62043" applyFont="1" applyFill="1"/>
    <xf numFmtId="0" fontId="1" fillId="0" borderId="0" xfId="62055" applyFill="1"/>
    <xf numFmtId="0" fontId="7" fillId="0" borderId="0" xfId="62043" applyFill="1"/>
    <xf numFmtId="49" fontId="25" fillId="0" borderId="0" xfId="53043" applyNumberFormat="1" applyFont="1" applyFill="1" applyAlignment="1">
      <alignment horizontal="left"/>
    </xf>
    <xf numFmtId="49" fontId="24" fillId="0" borderId="0" xfId="53043" applyNumberFormat="1" applyFont="1" applyFill="1" applyAlignment="1">
      <alignment horizontal="left"/>
    </xf>
    <xf numFmtId="180" fontId="6" fillId="0" borderId="0" xfId="62046" applyNumberFormat="1" applyFont="1" applyFill="1" applyAlignment="1">
      <alignment horizontal="left"/>
    </xf>
    <xf numFmtId="180" fontId="24" fillId="0" borderId="0" xfId="9302" applyNumberFormat="1" applyFont="1" applyFill="1" applyAlignment="1">
      <alignment horizontal="right"/>
    </xf>
    <xf numFmtId="49" fontId="3" fillId="0" borderId="0" xfId="60179" applyNumberFormat="1" applyFont="1" applyFill="1" applyAlignment="1">
      <alignment horizontal="right" wrapText="1"/>
    </xf>
    <xf numFmtId="49" fontId="228" fillId="0" borderId="0" xfId="0" applyNumberFormat="1" applyFont="1" applyFill="1" applyAlignment="1">
      <alignment horizontal="left" wrapText="1"/>
    </xf>
    <xf numFmtId="49" fontId="228" fillId="0" borderId="0" xfId="0" applyNumberFormat="1" applyFont="1" applyFill="1" applyAlignment="1">
      <alignment horizontal="right" wrapText="1"/>
    </xf>
    <xf numFmtId="49" fontId="7" fillId="0" borderId="0" xfId="62043" applyNumberFormat="1" applyFont="1" applyFill="1" applyAlignment="1">
      <alignment horizontal="right" wrapText="1"/>
    </xf>
    <xf numFmtId="180" fontId="20" fillId="0" borderId="0" xfId="0" applyNumberFormat="1" applyFont="1" applyFill="1" applyAlignment="1">
      <alignment horizontal="left"/>
    </xf>
    <xf numFmtId="180" fontId="228" fillId="0" borderId="0" xfId="0" applyNumberFormat="1" applyFont="1" applyFill="1" applyAlignment="1">
      <alignment horizontal="right"/>
    </xf>
    <xf numFmtId="180" fontId="7" fillId="0" borderId="0" xfId="62043" applyNumberFormat="1" applyFont="1" applyFill="1" applyAlignment="1">
      <alignment horizontal="right"/>
    </xf>
    <xf numFmtId="180" fontId="223" fillId="0" borderId="0" xfId="0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left"/>
    </xf>
    <xf numFmtId="188" fontId="7" fillId="0" borderId="0" xfId="62043" applyNumberFormat="1" applyFont="1" applyFill="1" applyAlignment="1">
      <alignment horizontal="right"/>
    </xf>
    <xf numFmtId="180" fontId="228" fillId="0" borderId="22" xfId="0" applyNumberFormat="1" applyFont="1" applyFill="1" applyBorder="1" applyAlignment="1">
      <alignment horizontal="right"/>
    </xf>
    <xf numFmtId="180" fontId="20" fillId="0" borderId="22" xfId="0" applyNumberFormat="1" applyFont="1" applyFill="1" applyBorder="1" applyAlignment="1">
      <alignment horizontal="right"/>
    </xf>
    <xf numFmtId="198" fontId="7" fillId="0" borderId="0" xfId="62043" applyNumberFormat="1" applyFont="1" applyFill="1" applyAlignment="1">
      <alignment horizontal="right"/>
    </xf>
    <xf numFmtId="180" fontId="20" fillId="0" borderId="0" xfId="0" applyNumberFormat="1" applyFont="1" applyFill="1" applyAlignment="1">
      <alignment horizontal="right"/>
    </xf>
    <xf numFmtId="201" fontId="3" fillId="0" borderId="0" xfId="60179" applyNumberFormat="1" applyFont="1" applyFill="1" applyAlignment="1">
      <alignment horizontal="right"/>
    </xf>
    <xf numFmtId="49" fontId="5" fillId="0" borderId="0" xfId="8818" applyNumberFormat="1" applyFont="1" applyFill="1" applyAlignment="1">
      <alignment horizontal="right" wrapText="1"/>
    </xf>
    <xf numFmtId="0" fontId="20" fillId="0" borderId="0" xfId="8818" applyFont="1" applyFill="1"/>
    <xf numFmtId="43" fontId="14" fillId="0" borderId="0" xfId="8818" applyNumberFormat="1" applyFill="1"/>
    <xf numFmtId="0" fontId="14" fillId="0" borderId="0" xfId="8818" applyFill="1"/>
    <xf numFmtId="49" fontId="14" fillId="0" borderId="0" xfId="8831" applyNumberFormat="1" applyFont="1" applyFill="1" applyAlignment="1">
      <alignment horizontal="right" wrapText="1"/>
    </xf>
    <xf numFmtId="44" fontId="14" fillId="0" borderId="0" xfId="8831" applyNumberFormat="1" applyFill="1"/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161" fillId="0" borderId="0" xfId="9307" applyFont="1" applyFill="1" applyAlignment="1">
      <alignment horizontal="center"/>
    </xf>
    <xf numFmtId="37" fontId="161" fillId="0" borderId="0" xfId="57809" applyFont="1" applyFill="1" applyAlignment="1">
      <alignment horizontal="center"/>
    </xf>
    <xf numFmtId="0" fontId="91" fillId="0" borderId="0" xfId="8813" applyFont="1" applyAlignment="1">
      <alignment horizontal="center"/>
    </xf>
    <xf numFmtId="0" fontId="23" fillId="0" borderId="0" xfId="8676" applyFont="1" applyAlignment="1" applyProtection="1">
      <alignment horizontal="center"/>
    </xf>
    <xf numFmtId="49" fontId="23" fillId="0" borderId="0" xfId="8676" applyNumberFormat="1" applyFont="1" applyAlignment="1" applyProtection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0" fontId="124" fillId="0" borderId="0" xfId="62047" applyFont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0" fontId="24" fillId="0" borderId="5" xfId="53043" applyBorder="1" applyAlignment="1">
      <alignment horizontal="center"/>
    </xf>
    <xf numFmtId="0" fontId="236" fillId="88" borderId="0" xfId="62051" applyFont="1" applyFill="1" applyBorder="1" applyAlignment="1" applyProtection="1">
      <alignment horizontal="center"/>
    </xf>
    <xf numFmtId="0" fontId="25" fillId="0" borderId="5" xfId="9302" applyFont="1" applyFill="1" applyBorder="1" applyAlignment="1">
      <alignment horizontal="center"/>
    </xf>
    <xf numFmtId="9" fontId="25" fillId="0" borderId="5" xfId="9302" applyNumberFormat="1" applyFont="1" applyFill="1" applyBorder="1" applyAlignment="1">
      <alignment horizontal="center"/>
    </xf>
    <xf numFmtId="0" fontId="224" fillId="0" borderId="0" xfId="8807" applyFont="1" applyFill="1" applyAlignment="1">
      <alignment horizontal="center"/>
    </xf>
    <xf numFmtId="0" fontId="94" fillId="0" borderId="0" xfId="8765" applyFont="1" applyFill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  <xf numFmtId="37" fontId="0" fillId="0" borderId="0" xfId="0" applyAlignment="1">
      <alignment horizontal="center"/>
    </xf>
    <xf numFmtId="37" fontId="0" fillId="0" borderId="0" xfId="0" applyFont="1"/>
  </cellXfs>
  <cellStyles count="62056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5"/>
    <cellStyle name="=C:\WINNT\SYSTEM32\COMMAND.COM 3" xfId="9826"/>
    <cellStyle name="=C:\WINNT35\SYSTEM32\COMMAND.COM" xfId="9827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33"/>
    <cellStyle name="20% - Accent1 15" xfId="9828"/>
    <cellStyle name="20% - Accent1 16" xfId="9829"/>
    <cellStyle name="20% - Accent1 17" xfId="9830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1"/>
    <cellStyle name="20% - Accent1 4 10 2" xfId="9832"/>
    <cellStyle name="20% - Accent1 4 10 2 2" xfId="9833"/>
    <cellStyle name="20% - Accent1 4 10 2 3" xfId="9834"/>
    <cellStyle name="20% - Accent1 4 10 3" xfId="9835"/>
    <cellStyle name="20% - Accent1 4 10 3 2" xfId="9836"/>
    <cellStyle name="20% - Accent1 4 10 4" xfId="9837"/>
    <cellStyle name="20% - Accent1 4 10 5" xfId="9838"/>
    <cellStyle name="20% - Accent1 4 11" xfId="9839"/>
    <cellStyle name="20% - Accent1 4 11 2" xfId="9840"/>
    <cellStyle name="20% - Accent1 4 11 3" xfId="9841"/>
    <cellStyle name="20% - Accent1 4 12" xfId="9842"/>
    <cellStyle name="20% - Accent1 4 12 2" xfId="9843"/>
    <cellStyle name="20% - Accent1 4 12 3" xfId="9844"/>
    <cellStyle name="20% - Accent1 4 13" xfId="9845"/>
    <cellStyle name="20% - Accent1 4 13 2" xfId="9846"/>
    <cellStyle name="20% - Accent1 4 14" xfId="9847"/>
    <cellStyle name="20% - Accent1 4 15" xfId="9848"/>
    <cellStyle name="20% - Accent1 4 16" xfId="9849"/>
    <cellStyle name="20% - Accent1 4 2" xfId="150"/>
    <cellStyle name="20% - Accent1 4 2 10" xfId="9850"/>
    <cellStyle name="20% - Accent1 4 2 10 2" xfId="9851"/>
    <cellStyle name="20% - Accent1 4 2 10 3" xfId="9852"/>
    <cellStyle name="20% - Accent1 4 2 11" xfId="9853"/>
    <cellStyle name="20% - Accent1 4 2 11 2" xfId="9854"/>
    <cellStyle name="20% - Accent1 4 2 11 3" xfId="9855"/>
    <cellStyle name="20% - Accent1 4 2 12" xfId="9856"/>
    <cellStyle name="20% - Accent1 4 2 12 2" xfId="9857"/>
    <cellStyle name="20% - Accent1 4 2 13" xfId="9858"/>
    <cellStyle name="20% - Accent1 4 2 14" xfId="9859"/>
    <cellStyle name="20% - Accent1 4 2 15" xfId="9860"/>
    <cellStyle name="20% - Accent1 4 2 2" xfId="151"/>
    <cellStyle name="20% - Accent1 4 2 2 10" xfId="9861"/>
    <cellStyle name="20% - Accent1 4 2 2 10 2" xfId="9862"/>
    <cellStyle name="20% - Accent1 4 2 2 10 3" xfId="9863"/>
    <cellStyle name="20% - Accent1 4 2 2 11" xfId="9864"/>
    <cellStyle name="20% - Accent1 4 2 2 11 2" xfId="9865"/>
    <cellStyle name="20% - Accent1 4 2 2 12" xfId="9866"/>
    <cellStyle name="20% - Accent1 4 2 2 13" xfId="9867"/>
    <cellStyle name="20% - Accent1 4 2 2 2" xfId="152"/>
    <cellStyle name="20% - Accent1 4 2 2 2 10" xfId="9868"/>
    <cellStyle name="20% - Accent1 4 2 2 2 10 2" xfId="9869"/>
    <cellStyle name="20% - Accent1 4 2 2 2 11" xfId="9870"/>
    <cellStyle name="20% - Accent1 4 2 2 2 12" xfId="9871"/>
    <cellStyle name="20% - Accent1 4 2 2 2 2" xfId="153"/>
    <cellStyle name="20% - Accent1 4 2 2 2 2 10" xfId="9872"/>
    <cellStyle name="20% - Accent1 4 2 2 2 2 2" xfId="154"/>
    <cellStyle name="20% - Accent1 4 2 2 2 2 2 2" xfId="9873"/>
    <cellStyle name="20% - Accent1 4 2 2 2 2 2 2 2" xfId="9874"/>
    <cellStyle name="20% - Accent1 4 2 2 2 2 2 2 2 2" xfId="9875"/>
    <cellStyle name="20% - Accent1 4 2 2 2 2 2 2 2 3" xfId="9876"/>
    <cellStyle name="20% - Accent1 4 2 2 2 2 2 2 3" xfId="9877"/>
    <cellStyle name="20% - Accent1 4 2 2 2 2 2 2 3 2" xfId="9878"/>
    <cellStyle name="20% - Accent1 4 2 2 2 2 2 2 3 3" xfId="9879"/>
    <cellStyle name="20% - Accent1 4 2 2 2 2 2 2 4" xfId="9880"/>
    <cellStyle name="20% - Accent1 4 2 2 2 2 2 2 4 2" xfId="9881"/>
    <cellStyle name="20% - Accent1 4 2 2 2 2 2 2 5" xfId="9882"/>
    <cellStyle name="20% - Accent1 4 2 2 2 2 2 2 6" xfId="9883"/>
    <cellStyle name="20% - Accent1 4 2 2 2 2 2 3" xfId="9884"/>
    <cellStyle name="20% - Accent1 4 2 2 2 2 2 3 2" xfId="9885"/>
    <cellStyle name="20% - Accent1 4 2 2 2 2 2 3 2 2" xfId="9886"/>
    <cellStyle name="20% - Accent1 4 2 2 2 2 2 3 2 3" xfId="9887"/>
    <cellStyle name="20% - Accent1 4 2 2 2 2 2 3 3" xfId="9888"/>
    <cellStyle name="20% - Accent1 4 2 2 2 2 2 3 3 2" xfId="9889"/>
    <cellStyle name="20% - Accent1 4 2 2 2 2 2 3 3 3" xfId="9890"/>
    <cellStyle name="20% - Accent1 4 2 2 2 2 2 3 4" xfId="9891"/>
    <cellStyle name="20% - Accent1 4 2 2 2 2 2 3 4 2" xfId="9892"/>
    <cellStyle name="20% - Accent1 4 2 2 2 2 2 3 5" xfId="9893"/>
    <cellStyle name="20% - Accent1 4 2 2 2 2 2 3 6" xfId="9894"/>
    <cellStyle name="20% - Accent1 4 2 2 2 2 2 4" xfId="9895"/>
    <cellStyle name="20% - Accent1 4 2 2 2 2 2 4 2" xfId="9896"/>
    <cellStyle name="20% - Accent1 4 2 2 2 2 2 4 2 2" xfId="9897"/>
    <cellStyle name="20% - Accent1 4 2 2 2 2 2 4 2 3" xfId="9898"/>
    <cellStyle name="20% - Accent1 4 2 2 2 2 2 4 3" xfId="9899"/>
    <cellStyle name="20% - Accent1 4 2 2 2 2 2 4 3 2" xfId="9900"/>
    <cellStyle name="20% - Accent1 4 2 2 2 2 2 4 4" xfId="9901"/>
    <cellStyle name="20% - Accent1 4 2 2 2 2 2 4 5" xfId="9902"/>
    <cellStyle name="20% - Accent1 4 2 2 2 2 2 5" xfId="9903"/>
    <cellStyle name="20% - Accent1 4 2 2 2 2 2 5 2" xfId="9904"/>
    <cellStyle name="20% - Accent1 4 2 2 2 2 2 5 3" xfId="9905"/>
    <cellStyle name="20% - Accent1 4 2 2 2 2 2 6" xfId="9906"/>
    <cellStyle name="20% - Accent1 4 2 2 2 2 2 6 2" xfId="9907"/>
    <cellStyle name="20% - Accent1 4 2 2 2 2 2 6 3" xfId="9908"/>
    <cellStyle name="20% - Accent1 4 2 2 2 2 2 7" xfId="9909"/>
    <cellStyle name="20% - Accent1 4 2 2 2 2 2 7 2" xfId="9910"/>
    <cellStyle name="20% - Accent1 4 2 2 2 2 2 8" xfId="9911"/>
    <cellStyle name="20% - Accent1 4 2 2 2 2 2 9" xfId="9912"/>
    <cellStyle name="20% - Accent1 4 2 2 2 2 3" xfId="9913"/>
    <cellStyle name="20% - Accent1 4 2 2 2 2 3 2" xfId="9914"/>
    <cellStyle name="20% - Accent1 4 2 2 2 2 3 2 2" xfId="9915"/>
    <cellStyle name="20% - Accent1 4 2 2 2 2 3 2 3" xfId="9916"/>
    <cellStyle name="20% - Accent1 4 2 2 2 2 3 3" xfId="9917"/>
    <cellStyle name="20% - Accent1 4 2 2 2 2 3 3 2" xfId="9918"/>
    <cellStyle name="20% - Accent1 4 2 2 2 2 3 3 3" xfId="9919"/>
    <cellStyle name="20% - Accent1 4 2 2 2 2 3 4" xfId="9920"/>
    <cellStyle name="20% - Accent1 4 2 2 2 2 3 4 2" xfId="9921"/>
    <cellStyle name="20% - Accent1 4 2 2 2 2 3 5" xfId="9922"/>
    <cellStyle name="20% - Accent1 4 2 2 2 2 3 6" xfId="9923"/>
    <cellStyle name="20% - Accent1 4 2 2 2 2 4" xfId="9924"/>
    <cellStyle name="20% - Accent1 4 2 2 2 2 4 2" xfId="9925"/>
    <cellStyle name="20% - Accent1 4 2 2 2 2 4 2 2" xfId="9926"/>
    <cellStyle name="20% - Accent1 4 2 2 2 2 4 2 3" xfId="9927"/>
    <cellStyle name="20% - Accent1 4 2 2 2 2 4 3" xfId="9928"/>
    <cellStyle name="20% - Accent1 4 2 2 2 2 4 3 2" xfId="9929"/>
    <cellStyle name="20% - Accent1 4 2 2 2 2 4 3 3" xfId="9930"/>
    <cellStyle name="20% - Accent1 4 2 2 2 2 4 4" xfId="9931"/>
    <cellStyle name="20% - Accent1 4 2 2 2 2 4 4 2" xfId="9932"/>
    <cellStyle name="20% - Accent1 4 2 2 2 2 4 5" xfId="9933"/>
    <cellStyle name="20% - Accent1 4 2 2 2 2 4 6" xfId="9934"/>
    <cellStyle name="20% - Accent1 4 2 2 2 2 5" xfId="9935"/>
    <cellStyle name="20% - Accent1 4 2 2 2 2 5 2" xfId="9936"/>
    <cellStyle name="20% - Accent1 4 2 2 2 2 5 2 2" xfId="9937"/>
    <cellStyle name="20% - Accent1 4 2 2 2 2 5 2 3" xfId="9938"/>
    <cellStyle name="20% - Accent1 4 2 2 2 2 5 3" xfId="9939"/>
    <cellStyle name="20% - Accent1 4 2 2 2 2 5 3 2" xfId="9940"/>
    <cellStyle name="20% - Accent1 4 2 2 2 2 5 4" xfId="9941"/>
    <cellStyle name="20% - Accent1 4 2 2 2 2 5 5" xfId="9942"/>
    <cellStyle name="20% - Accent1 4 2 2 2 2 6" xfId="9943"/>
    <cellStyle name="20% - Accent1 4 2 2 2 2 6 2" xfId="9944"/>
    <cellStyle name="20% - Accent1 4 2 2 2 2 6 3" xfId="9945"/>
    <cellStyle name="20% - Accent1 4 2 2 2 2 7" xfId="9946"/>
    <cellStyle name="20% - Accent1 4 2 2 2 2 7 2" xfId="9947"/>
    <cellStyle name="20% - Accent1 4 2 2 2 2 7 3" xfId="9948"/>
    <cellStyle name="20% - Accent1 4 2 2 2 2 8" xfId="9949"/>
    <cellStyle name="20% - Accent1 4 2 2 2 2 8 2" xfId="9950"/>
    <cellStyle name="20% - Accent1 4 2 2 2 2 9" xfId="9951"/>
    <cellStyle name="20% - Accent1 4 2 2 2 3" xfId="155"/>
    <cellStyle name="20% - Accent1 4 2 2 2 3 2" xfId="9952"/>
    <cellStyle name="20% - Accent1 4 2 2 2 3 2 2" xfId="9953"/>
    <cellStyle name="20% - Accent1 4 2 2 2 3 2 2 2" xfId="9954"/>
    <cellStyle name="20% - Accent1 4 2 2 2 3 2 2 3" xfId="9955"/>
    <cellStyle name="20% - Accent1 4 2 2 2 3 2 3" xfId="9956"/>
    <cellStyle name="20% - Accent1 4 2 2 2 3 2 3 2" xfId="9957"/>
    <cellStyle name="20% - Accent1 4 2 2 2 3 2 3 3" xfId="9958"/>
    <cellStyle name="20% - Accent1 4 2 2 2 3 2 4" xfId="9959"/>
    <cellStyle name="20% - Accent1 4 2 2 2 3 2 4 2" xfId="9960"/>
    <cellStyle name="20% - Accent1 4 2 2 2 3 2 5" xfId="9961"/>
    <cellStyle name="20% - Accent1 4 2 2 2 3 2 6" xfId="9962"/>
    <cellStyle name="20% - Accent1 4 2 2 2 3 3" xfId="9963"/>
    <cellStyle name="20% - Accent1 4 2 2 2 3 3 2" xfId="9964"/>
    <cellStyle name="20% - Accent1 4 2 2 2 3 3 2 2" xfId="9965"/>
    <cellStyle name="20% - Accent1 4 2 2 2 3 3 2 3" xfId="9966"/>
    <cellStyle name="20% - Accent1 4 2 2 2 3 3 3" xfId="9967"/>
    <cellStyle name="20% - Accent1 4 2 2 2 3 3 3 2" xfId="9968"/>
    <cellStyle name="20% - Accent1 4 2 2 2 3 3 3 3" xfId="9969"/>
    <cellStyle name="20% - Accent1 4 2 2 2 3 3 4" xfId="9970"/>
    <cellStyle name="20% - Accent1 4 2 2 2 3 3 4 2" xfId="9971"/>
    <cellStyle name="20% - Accent1 4 2 2 2 3 3 5" xfId="9972"/>
    <cellStyle name="20% - Accent1 4 2 2 2 3 3 6" xfId="9973"/>
    <cellStyle name="20% - Accent1 4 2 2 2 3 4" xfId="9974"/>
    <cellStyle name="20% - Accent1 4 2 2 2 3 4 2" xfId="9975"/>
    <cellStyle name="20% - Accent1 4 2 2 2 3 4 2 2" xfId="9976"/>
    <cellStyle name="20% - Accent1 4 2 2 2 3 4 2 3" xfId="9977"/>
    <cellStyle name="20% - Accent1 4 2 2 2 3 4 3" xfId="9978"/>
    <cellStyle name="20% - Accent1 4 2 2 2 3 4 3 2" xfId="9979"/>
    <cellStyle name="20% - Accent1 4 2 2 2 3 4 4" xfId="9980"/>
    <cellStyle name="20% - Accent1 4 2 2 2 3 4 5" xfId="9981"/>
    <cellStyle name="20% - Accent1 4 2 2 2 3 5" xfId="9982"/>
    <cellStyle name="20% - Accent1 4 2 2 2 3 5 2" xfId="9983"/>
    <cellStyle name="20% - Accent1 4 2 2 2 3 5 3" xfId="9984"/>
    <cellStyle name="20% - Accent1 4 2 2 2 3 6" xfId="9985"/>
    <cellStyle name="20% - Accent1 4 2 2 2 3 6 2" xfId="9986"/>
    <cellStyle name="20% - Accent1 4 2 2 2 3 6 3" xfId="9987"/>
    <cellStyle name="20% - Accent1 4 2 2 2 3 7" xfId="9988"/>
    <cellStyle name="20% - Accent1 4 2 2 2 3 7 2" xfId="9989"/>
    <cellStyle name="20% - Accent1 4 2 2 2 3 8" xfId="9990"/>
    <cellStyle name="20% - Accent1 4 2 2 2 3 9" xfId="9991"/>
    <cellStyle name="20% - Accent1 4 2 2 2 4" xfId="9992"/>
    <cellStyle name="20% - Accent1 4 2 2 2 4 2" xfId="9993"/>
    <cellStyle name="20% - Accent1 4 2 2 2 4 2 2" xfId="9994"/>
    <cellStyle name="20% - Accent1 4 2 2 2 4 2 2 2" xfId="9995"/>
    <cellStyle name="20% - Accent1 4 2 2 2 4 2 2 3" xfId="9996"/>
    <cellStyle name="20% - Accent1 4 2 2 2 4 2 3" xfId="9997"/>
    <cellStyle name="20% - Accent1 4 2 2 2 4 2 3 2" xfId="9998"/>
    <cellStyle name="20% - Accent1 4 2 2 2 4 2 3 3" xfId="9999"/>
    <cellStyle name="20% - Accent1 4 2 2 2 4 2 4" xfId="10000"/>
    <cellStyle name="20% - Accent1 4 2 2 2 4 2 4 2" xfId="10001"/>
    <cellStyle name="20% - Accent1 4 2 2 2 4 2 5" xfId="10002"/>
    <cellStyle name="20% - Accent1 4 2 2 2 4 2 6" xfId="10003"/>
    <cellStyle name="20% - Accent1 4 2 2 2 4 3" xfId="10004"/>
    <cellStyle name="20% - Accent1 4 2 2 2 4 3 2" xfId="10005"/>
    <cellStyle name="20% - Accent1 4 2 2 2 4 3 2 2" xfId="10006"/>
    <cellStyle name="20% - Accent1 4 2 2 2 4 3 2 3" xfId="10007"/>
    <cellStyle name="20% - Accent1 4 2 2 2 4 3 3" xfId="10008"/>
    <cellStyle name="20% - Accent1 4 2 2 2 4 3 3 2" xfId="10009"/>
    <cellStyle name="20% - Accent1 4 2 2 2 4 3 3 3" xfId="10010"/>
    <cellStyle name="20% - Accent1 4 2 2 2 4 3 4" xfId="10011"/>
    <cellStyle name="20% - Accent1 4 2 2 2 4 3 4 2" xfId="10012"/>
    <cellStyle name="20% - Accent1 4 2 2 2 4 3 5" xfId="10013"/>
    <cellStyle name="20% - Accent1 4 2 2 2 4 3 6" xfId="10014"/>
    <cellStyle name="20% - Accent1 4 2 2 2 4 4" xfId="10015"/>
    <cellStyle name="20% - Accent1 4 2 2 2 4 4 2" xfId="10016"/>
    <cellStyle name="20% - Accent1 4 2 2 2 4 4 2 2" xfId="10017"/>
    <cellStyle name="20% - Accent1 4 2 2 2 4 4 2 3" xfId="10018"/>
    <cellStyle name="20% - Accent1 4 2 2 2 4 4 3" xfId="10019"/>
    <cellStyle name="20% - Accent1 4 2 2 2 4 4 3 2" xfId="10020"/>
    <cellStyle name="20% - Accent1 4 2 2 2 4 4 4" xfId="10021"/>
    <cellStyle name="20% - Accent1 4 2 2 2 4 4 5" xfId="10022"/>
    <cellStyle name="20% - Accent1 4 2 2 2 4 5" xfId="10023"/>
    <cellStyle name="20% - Accent1 4 2 2 2 4 5 2" xfId="10024"/>
    <cellStyle name="20% - Accent1 4 2 2 2 4 5 3" xfId="10025"/>
    <cellStyle name="20% - Accent1 4 2 2 2 4 6" xfId="10026"/>
    <cellStyle name="20% - Accent1 4 2 2 2 4 6 2" xfId="10027"/>
    <cellStyle name="20% - Accent1 4 2 2 2 4 6 3" xfId="10028"/>
    <cellStyle name="20% - Accent1 4 2 2 2 4 7" xfId="10029"/>
    <cellStyle name="20% - Accent1 4 2 2 2 4 7 2" xfId="10030"/>
    <cellStyle name="20% - Accent1 4 2 2 2 4 8" xfId="10031"/>
    <cellStyle name="20% - Accent1 4 2 2 2 4 9" xfId="10032"/>
    <cellStyle name="20% - Accent1 4 2 2 2 5" xfId="10033"/>
    <cellStyle name="20% - Accent1 4 2 2 2 5 2" xfId="10034"/>
    <cellStyle name="20% - Accent1 4 2 2 2 5 2 2" xfId="10035"/>
    <cellStyle name="20% - Accent1 4 2 2 2 5 2 3" xfId="10036"/>
    <cellStyle name="20% - Accent1 4 2 2 2 5 3" xfId="10037"/>
    <cellStyle name="20% - Accent1 4 2 2 2 5 3 2" xfId="10038"/>
    <cellStyle name="20% - Accent1 4 2 2 2 5 3 3" xfId="10039"/>
    <cellStyle name="20% - Accent1 4 2 2 2 5 4" xfId="10040"/>
    <cellStyle name="20% - Accent1 4 2 2 2 5 4 2" xfId="10041"/>
    <cellStyle name="20% - Accent1 4 2 2 2 5 5" xfId="10042"/>
    <cellStyle name="20% - Accent1 4 2 2 2 5 6" xfId="10043"/>
    <cellStyle name="20% - Accent1 4 2 2 2 6" xfId="10044"/>
    <cellStyle name="20% - Accent1 4 2 2 2 6 2" xfId="10045"/>
    <cellStyle name="20% - Accent1 4 2 2 2 6 2 2" xfId="10046"/>
    <cellStyle name="20% - Accent1 4 2 2 2 6 2 3" xfId="10047"/>
    <cellStyle name="20% - Accent1 4 2 2 2 6 3" xfId="10048"/>
    <cellStyle name="20% - Accent1 4 2 2 2 6 3 2" xfId="10049"/>
    <cellStyle name="20% - Accent1 4 2 2 2 6 3 3" xfId="10050"/>
    <cellStyle name="20% - Accent1 4 2 2 2 6 4" xfId="10051"/>
    <cellStyle name="20% - Accent1 4 2 2 2 6 4 2" xfId="10052"/>
    <cellStyle name="20% - Accent1 4 2 2 2 6 5" xfId="10053"/>
    <cellStyle name="20% - Accent1 4 2 2 2 6 6" xfId="10054"/>
    <cellStyle name="20% - Accent1 4 2 2 2 7" xfId="10055"/>
    <cellStyle name="20% - Accent1 4 2 2 2 7 2" xfId="10056"/>
    <cellStyle name="20% - Accent1 4 2 2 2 7 2 2" xfId="10057"/>
    <cellStyle name="20% - Accent1 4 2 2 2 7 2 3" xfId="10058"/>
    <cellStyle name="20% - Accent1 4 2 2 2 7 3" xfId="10059"/>
    <cellStyle name="20% - Accent1 4 2 2 2 7 3 2" xfId="10060"/>
    <cellStyle name="20% - Accent1 4 2 2 2 7 4" xfId="10061"/>
    <cellStyle name="20% - Accent1 4 2 2 2 7 5" xfId="10062"/>
    <cellStyle name="20% - Accent1 4 2 2 2 8" xfId="10063"/>
    <cellStyle name="20% - Accent1 4 2 2 2 8 2" xfId="10064"/>
    <cellStyle name="20% - Accent1 4 2 2 2 8 3" xfId="10065"/>
    <cellStyle name="20% - Accent1 4 2 2 2 9" xfId="10066"/>
    <cellStyle name="20% - Accent1 4 2 2 2 9 2" xfId="10067"/>
    <cellStyle name="20% - Accent1 4 2 2 2 9 3" xfId="10068"/>
    <cellStyle name="20% - Accent1 4 2 2 3" xfId="156"/>
    <cellStyle name="20% - Accent1 4 2 2 3 10" xfId="10069"/>
    <cellStyle name="20% - Accent1 4 2 2 3 2" xfId="157"/>
    <cellStyle name="20% - Accent1 4 2 2 3 2 2" xfId="10070"/>
    <cellStyle name="20% - Accent1 4 2 2 3 2 2 2" xfId="10071"/>
    <cellStyle name="20% - Accent1 4 2 2 3 2 2 2 2" xfId="10072"/>
    <cellStyle name="20% - Accent1 4 2 2 3 2 2 2 3" xfId="10073"/>
    <cellStyle name="20% - Accent1 4 2 2 3 2 2 3" xfId="10074"/>
    <cellStyle name="20% - Accent1 4 2 2 3 2 2 3 2" xfId="10075"/>
    <cellStyle name="20% - Accent1 4 2 2 3 2 2 3 3" xfId="10076"/>
    <cellStyle name="20% - Accent1 4 2 2 3 2 2 4" xfId="10077"/>
    <cellStyle name="20% - Accent1 4 2 2 3 2 2 4 2" xfId="10078"/>
    <cellStyle name="20% - Accent1 4 2 2 3 2 2 5" xfId="10079"/>
    <cellStyle name="20% - Accent1 4 2 2 3 2 2 6" xfId="10080"/>
    <cellStyle name="20% - Accent1 4 2 2 3 2 3" xfId="10081"/>
    <cellStyle name="20% - Accent1 4 2 2 3 2 3 2" xfId="10082"/>
    <cellStyle name="20% - Accent1 4 2 2 3 2 3 2 2" xfId="10083"/>
    <cellStyle name="20% - Accent1 4 2 2 3 2 3 2 3" xfId="10084"/>
    <cellStyle name="20% - Accent1 4 2 2 3 2 3 3" xfId="10085"/>
    <cellStyle name="20% - Accent1 4 2 2 3 2 3 3 2" xfId="10086"/>
    <cellStyle name="20% - Accent1 4 2 2 3 2 3 3 3" xfId="10087"/>
    <cellStyle name="20% - Accent1 4 2 2 3 2 3 4" xfId="10088"/>
    <cellStyle name="20% - Accent1 4 2 2 3 2 3 4 2" xfId="10089"/>
    <cellStyle name="20% - Accent1 4 2 2 3 2 3 5" xfId="10090"/>
    <cellStyle name="20% - Accent1 4 2 2 3 2 3 6" xfId="10091"/>
    <cellStyle name="20% - Accent1 4 2 2 3 2 4" xfId="10092"/>
    <cellStyle name="20% - Accent1 4 2 2 3 2 4 2" xfId="10093"/>
    <cellStyle name="20% - Accent1 4 2 2 3 2 4 2 2" xfId="10094"/>
    <cellStyle name="20% - Accent1 4 2 2 3 2 4 2 3" xfId="10095"/>
    <cellStyle name="20% - Accent1 4 2 2 3 2 4 3" xfId="10096"/>
    <cellStyle name="20% - Accent1 4 2 2 3 2 4 3 2" xfId="10097"/>
    <cellStyle name="20% - Accent1 4 2 2 3 2 4 4" xfId="10098"/>
    <cellStyle name="20% - Accent1 4 2 2 3 2 4 5" xfId="10099"/>
    <cellStyle name="20% - Accent1 4 2 2 3 2 5" xfId="10100"/>
    <cellStyle name="20% - Accent1 4 2 2 3 2 5 2" xfId="10101"/>
    <cellStyle name="20% - Accent1 4 2 2 3 2 5 3" xfId="10102"/>
    <cellStyle name="20% - Accent1 4 2 2 3 2 6" xfId="10103"/>
    <cellStyle name="20% - Accent1 4 2 2 3 2 6 2" xfId="10104"/>
    <cellStyle name="20% - Accent1 4 2 2 3 2 6 3" xfId="10105"/>
    <cellStyle name="20% - Accent1 4 2 2 3 2 7" xfId="10106"/>
    <cellStyle name="20% - Accent1 4 2 2 3 2 7 2" xfId="10107"/>
    <cellStyle name="20% - Accent1 4 2 2 3 2 8" xfId="10108"/>
    <cellStyle name="20% - Accent1 4 2 2 3 2 9" xfId="10109"/>
    <cellStyle name="20% - Accent1 4 2 2 3 3" xfId="10110"/>
    <cellStyle name="20% - Accent1 4 2 2 3 3 2" xfId="10111"/>
    <cellStyle name="20% - Accent1 4 2 2 3 3 2 2" xfId="10112"/>
    <cellStyle name="20% - Accent1 4 2 2 3 3 2 3" xfId="10113"/>
    <cellStyle name="20% - Accent1 4 2 2 3 3 3" xfId="10114"/>
    <cellStyle name="20% - Accent1 4 2 2 3 3 3 2" xfId="10115"/>
    <cellStyle name="20% - Accent1 4 2 2 3 3 3 3" xfId="10116"/>
    <cellStyle name="20% - Accent1 4 2 2 3 3 4" xfId="10117"/>
    <cellStyle name="20% - Accent1 4 2 2 3 3 4 2" xfId="10118"/>
    <cellStyle name="20% - Accent1 4 2 2 3 3 5" xfId="10119"/>
    <cellStyle name="20% - Accent1 4 2 2 3 3 6" xfId="10120"/>
    <cellStyle name="20% - Accent1 4 2 2 3 4" xfId="10121"/>
    <cellStyle name="20% - Accent1 4 2 2 3 4 2" xfId="10122"/>
    <cellStyle name="20% - Accent1 4 2 2 3 4 2 2" xfId="10123"/>
    <cellStyle name="20% - Accent1 4 2 2 3 4 2 3" xfId="10124"/>
    <cellStyle name="20% - Accent1 4 2 2 3 4 3" xfId="10125"/>
    <cellStyle name="20% - Accent1 4 2 2 3 4 3 2" xfId="10126"/>
    <cellStyle name="20% - Accent1 4 2 2 3 4 3 3" xfId="10127"/>
    <cellStyle name="20% - Accent1 4 2 2 3 4 4" xfId="10128"/>
    <cellStyle name="20% - Accent1 4 2 2 3 4 4 2" xfId="10129"/>
    <cellStyle name="20% - Accent1 4 2 2 3 4 5" xfId="10130"/>
    <cellStyle name="20% - Accent1 4 2 2 3 4 6" xfId="10131"/>
    <cellStyle name="20% - Accent1 4 2 2 3 5" xfId="10132"/>
    <cellStyle name="20% - Accent1 4 2 2 3 5 2" xfId="10133"/>
    <cellStyle name="20% - Accent1 4 2 2 3 5 2 2" xfId="10134"/>
    <cellStyle name="20% - Accent1 4 2 2 3 5 2 3" xfId="10135"/>
    <cellStyle name="20% - Accent1 4 2 2 3 5 3" xfId="10136"/>
    <cellStyle name="20% - Accent1 4 2 2 3 5 3 2" xfId="10137"/>
    <cellStyle name="20% - Accent1 4 2 2 3 5 4" xfId="10138"/>
    <cellStyle name="20% - Accent1 4 2 2 3 5 5" xfId="10139"/>
    <cellStyle name="20% - Accent1 4 2 2 3 6" xfId="10140"/>
    <cellStyle name="20% - Accent1 4 2 2 3 6 2" xfId="10141"/>
    <cellStyle name="20% - Accent1 4 2 2 3 6 3" xfId="10142"/>
    <cellStyle name="20% - Accent1 4 2 2 3 7" xfId="10143"/>
    <cellStyle name="20% - Accent1 4 2 2 3 7 2" xfId="10144"/>
    <cellStyle name="20% - Accent1 4 2 2 3 7 3" xfId="10145"/>
    <cellStyle name="20% - Accent1 4 2 2 3 8" xfId="10146"/>
    <cellStyle name="20% - Accent1 4 2 2 3 8 2" xfId="10147"/>
    <cellStyle name="20% - Accent1 4 2 2 3 9" xfId="10148"/>
    <cellStyle name="20% - Accent1 4 2 2 4" xfId="158"/>
    <cellStyle name="20% - Accent1 4 2 2 4 2" xfId="10149"/>
    <cellStyle name="20% - Accent1 4 2 2 4 2 2" xfId="10150"/>
    <cellStyle name="20% - Accent1 4 2 2 4 2 2 2" xfId="10151"/>
    <cellStyle name="20% - Accent1 4 2 2 4 2 2 3" xfId="10152"/>
    <cellStyle name="20% - Accent1 4 2 2 4 2 3" xfId="10153"/>
    <cellStyle name="20% - Accent1 4 2 2 4 2 3 2" xfId="10154"/>
    <cellStyle name="20% - Accent1 4 2 2 4 2 3 3" xfId="10155"/>
    <cellStyle name="20% - Accent1 4 2 2 4 2 4" xfId="10156"/>
    <cellStyle name="20% - Accent1 4 2 2 4 2 4 2" xfId="10157"/>
    <cellStyle name="20% - Accent1 4 2 2 4 2 5" xfId="10158"/>
    <cellStyle name="20% - Accent1 4 2 2 4 2 6" xfId="10159"/>
    <cellStyle name="20% - Accent1 4 2 2 4 3" xfId="10160"/>
    <cellStyle name="20% - Accent1 4 2 2 4 3 2" xfId="10161"/>
    <cellStyle name="20% - Accent1 4 2 2 4 3 2 2" xfId="10162"/>
    <cellStyle name="20% - Accent1 4 2 2 4 3 2 3" xfId="10163"/>
    <cellStyle name="20% - Accent1 4 2 2 4 3 3" xfId="10164"/>
    <cellStyle name="20% - Accent1 4 2 2 4 3 3 2" xfId="10165"/>
    <cellStyle name="20% - Accent1 4 2 2 4 3 3 3" xfId="10166"/>
    <cellStyle name="20% - Accent1 4 2 2 4 3 4" xfId="10167"/>
    <cellStyle name="20% - Accent1 4 2 2 4 3 4 2" xfId="10168"/>
    <cellStyle name="20% - Accent1 4 2 2 4 3 5" xfId="10169"/>
    <cellStyle name="20% - Accent1 4 2 2 4 3 6" xfId="10170"/>
    <cellStyle name="20% - Accent1 4 2 2 4 4" xfId="10171"/>
    <cellStyle name="20% - Accent1 4 2 2 4 4 2" xfId="10172"/>
    <cellStyle name="20% - Accent1 4 2 2 4 4 2 2" xfId="10173"/>
    <cellStyle name="20% - Accent1 4 2 2 4 4 2 3" xfId="10174"/>
    <cellStyle name="20% - Accent1 4 2 2 4 4 3" xfId="10175"/>
    <cellStyle name="20% - Accent1 4 2 2 4 4 3 2" xfId="10176"/>
    <cellStyle name="20% - Accent1 4 2 2 4 4 4" xfId="10177"/>
    <cellStyle name="20% - Accent1 4 2 2 4 4 5" xfId="10178"/>
    <cellStyle name="20% - Accent1 4 2 2 4 5" xfId="10179"/>
    <cellStyle name="20% - Accent1 4 2 2 4 5 2" xfId="10180"/>
    <cellStyle name="20% - Accent1 4 2 2 4 5 3" xfId="10181"/>
    <cellStyle name="20% - Accent1 4 2 2 4 6" xfId="10182"/>
    <cellStyle name="20% - Accent1 4 2 2 4 6 2" xfId="10183"/>
    <cellStyle name="20% - Accent1 4 2 2 4 6 3" xfId="10184"/>
    <cellStyle name="20% - Accent1 4 2 2 4 7" xfId="10185"/>
    <cellStyle name="20% - Accent1 4 2 2 4 7 2" xfId="10186"/>
    <cellStyle name="20% - Accent1 4 2 2 4 8" xfId="10187"/>
    <cellStyle name="20% - Accent1 4 2 2 4 9" xfId="10188"/>
    <cellStyle name="20% - Accent1 4 2 2 5" xfId="10189"/>
    <cellStyle name="20% - Accent1 4 2 2 5 2" xfId="10190"/>
    <cellStyle name="20% - Accent1 4 2 2 5 2 2" xfId="10191"/>
    <cellStyle name="20% - Accent1 4 2 2 5 2 2 2" xfId="10192"/>
    <cellStyle name="20% - Accent1 4 2 2 5 2 2 3" xfId="10193"/>
    <cellStyle name="20% - Accent1 4 2 2 5 2 3" xfId="10194"/>
    <cellStyle name="20% - Accent1 4 2 2 5 2 3 2" xfId="10195"/>
    <cellStyle name="20% - Accent1 4 2 2 5 2 3 3" xfId="10196"/>
    <cellStyle name="20% - Accent1 4 2 2 5 2 4" xfId="10197"/>
    <cellStyle name="20% - Accent1 4 2 2 5 2 4 2" xfId="10198"/>
    <cellStyle name="20% - Accent1 4 2 2 5 2 5" xfId="10199"/>
    <cellStyle name="20% - Accent1 4 2 2 5 2 6" xfId="10200"/>
    <cellStyle name="20% - Accent1 4 2 2 5 3" xfId="10201"/>
    <cellStyle name="20% - Accent1 4 2 2 5 3 2" xfId="10202"/>
    <cellStyle name="20% - Accent1 4 2 2 5 3 2 2" xfId="10203"/>
    <cellStyle name="20% - Accent1 4 2 2 5 3 2 3" xfId="10204"/>
    <cellStyle name="20% - Accent1 4 2 2 5 3 3" xfId="10205"/>
    <cellStyle name="20% - Accent1 4 2 2 5 3 3 2" xfId="10206"/>
    <cellStyle name="20% - Accent1 4 2 2 5 3 3 3" xfId="10207"/>
    <cellStyle name="20% - Accent1 4 2 2 5 3 4" xfId="10208"/>
    <cellStyle name="20% - Accent1 4 2 2 5 3 4 2" xfId="10209"/>
    <cellStyle name="20% - Accent1 4 2 2 5 3 5" xfId="10210"/>
    <cellStyle name="20% - Accent1 4 2 2 5 3 6" xfId="10211"/>
    <cellStyle name="20% - Accent1 4 2 2 5 4" xfId="10212"/>
    <cellStyle name="20% - Accent1 4 2 2 5 4 2" xfId="10213"/>
    <cellStyle name="20% - Accent1 4 2 2 5 4 2 2" xfId="10214"/>
    <cellStyle name="20% - Accent1 4 2 2 5 4 2 3" xfId="10215"/>
    <cellStyle name="20% - Accent1 4 2 2 5 4 3" xfId="10216"/>
    <cellStyle name="20% - Accent1 4 2 2 5 4 3 2" xfId="10217"/>
    <cellStyle name="20% - Accent1 4 2 2 5 4 4" xfId="10218"/>
    <cellStyle name="20% - Accent1 4 2 2 5 4 5" xfId="10219"/>
    <cellStyle name="20% - Accent1 4 2 2 5 5" xfId="10220"/>
    <cellStyle name="20% - Accent1 4 2 2 5 5 2" xfId="10221"/>
    <cellStyle name="20% - Accent1 4 2 2 5 5 3" xfId="10222"/>
    <cellStyle name="20% - Accent1 4 2 2 5 6" xfId="10223"/>
    <cellStyle name="20% - Accent1 4 2 2 5 6 2" xfId="10224"/>
    <cellStyle name="20% - Accent1 4 2 2 5 6 3" xfId="10225"/>
    <cellStyle name="20% - Accent1 4 2 2 5 7" xfId="10226"/>
    <cellStyle name="20% - Accent1 4 2 2 5 7 2" xfId="10227"/>
    <cellStyle name="20% - Accent1 4 2 2 5 8" xfId="10228"/>
    <cellStyle name="20% - Accent1 4 2 2 5 9" xfId="10229"/>
    <cellStyle name="20% - Accent1 4 2 2 6" xfId="10230"/>
    <cellStyle name="20% - Accent1 4 2 2 6 2" xfId="10231"/>
    <cellStyle name="20% - Accent1 4 2 2 6 2 2" xfId="10232"/>
    <cellStyle name="20% - Accent1 4 2 2 6 2 3" xfId="10233"/>
    <cellStyle name="20% - Accent1 4 2 2 6 3" xfId="10234"/>
    <cellStyle name="20% - Accent1 4 2 2 6 3 2" xfId="10235"/>
    <cellStyle name="20% - Accent1 4 2 2 6 3 3" xfId="10236"/>
    <cellStyle name="20% - Accent1 4 2 2 6 4" xfId="10237"/>
    <cellStyle name="20% - Accent1 4 2 2 6 4 2" xfId="10238"/>
    <cellStyle name="20% - Accent1 4 2 2 6 5" xfId="10239"/>
    <cellStyle name="20% - Accent1 4 2 2 6 6" xfId="10240"/>
    <cellStyle name="20% - Accent1 4 2 2 7" xfId="10241"/>
    <cellStyle name="20% - Accent1 4 2 2 7 2" xfId="10242"/>
    <cellStyle name="20% - Accent1 4 2 2 7 2 2" xfId="10243"/>
    <cellStyle name="20% - Accent1 4 2 2 7 2 3" xfId="10244"/>
    <cellStyle name="20% - Accent1 4 2 2 7 3" xfId="10245"/>
    <cellStyle name="20% - Accent1 4 2 2 7 3 2" xfId="10246"/>
    <cellStyle name="20% - Accent1 4 2 2 7 3 3" xfId="10247"/>
    <cellStyle name="20% - Accent1 4 2 2 7 4" xfId="10248"/>
    <cellStyle name="20% - Accent1 4 2 2 7 4 2" xfId="10249"/>
    <cellStyle name="20% - Accent1 4 2 2 7 5" xfId="10250"/>
    <cellStyle name="20% - Accent1 4 2 2 7 6" xfId="10251"/>
    <cellStyle name="20% - Accent1 4 2 2 8" xfId="10252"/>
    <cellStyle name="20% - Accent1 4 2 2 8 2" xfId="10253"/>
    <cellStyle name="20% - Accent1 4 2 2 8 2 2" xfId="10254"/>
    <cellStyle name="20% - Accent1 4 2 2 8 2 3" xfId="10255"/>
    <cellStyle name="20% - Accent1 4 2 2 8 3" xfId="10256"/>
    <cellStyle name="20% - Accent1 4 2 2 8 3 2" xfId="10257"/>
    <cellStyle name="20% - Accent1 4 2 2 8 4" xfId="10258"/>
    <cellStyle name="20% - Accent1 4 2 2 8 5" xfId="10259"/>
    <cellStyle name="20% - Accent1 4 2 2 9" xfId="10260"/>
    <cellStyle name="20% - Accent1 4 2 2 9 2" xfId="10261"/>
    <cellStyle name="20% - Accent1 4 2 2 9 3" xfId="10262"/>
    <cellStyle name="20% - Accent1 4 2 3" xfId="159"/>
    <cellStyle name="20% - Accent1 4 2 3 10" xfId="10263"/>
    <cellStyle name="20% - Accent1 4 2 3 10 2" xfId="10264"/>
    <cellStyle name="20% - Accent1 4 2 3 11" xfId="10265"/>
    <cellStyle name="20% - Accent1 4 2 3 12" xfId="10266"/>
    <cellStyle name="20% - Accent1 4 2 3 2" xfId="160"/>
    <cellStyle name="20% - Accent1 4 2 3 2 10" xfId="10267"/>
    <cellStyle name="20% - Accent1 4 2 3 2 2" xfId="161"/>
    <cellStyle name="20% - Accent1 4 2 3 2 2 2" xfId="10268"/>
    <cellStyle name="20% - Accent1 4 2 3 2 2 2 2" xfId="10269"/>
    <cellStyle name="20% - Accent1 4 2 3 2 2 2 2 2" xfId="10270"/>
    <cellStyle name="20% - Accent1 4 2 3 2 2 2 2 3" xfId="10271"/>
    <cellStyle name="20% - Accent1 4 2 3 2 2 2 3" xfId="10272"/>
    <cellStyle name="20% - Accent1 4 2 3 2 2 2 3 2" xfId="10273"/>
    <cellStyle name="20% - Accent1 4 2 3 2 2 2 3 3" xfId="10274"/>
    <cellStyle name="20% - Accent1 4 2 3 2 2 2 4" xfId="10275"/>
    <cellStyle name="20% - Accent1 4 2 3 2 2 2 4 2" xfId="10276"/>
    <cellStyle name="20% - Accent1 4 2 3 2 2 2 5" xfId="10277"/>
    <cellStyle name="20% - Accent1 4 2 3 2 2 2 6" xfId="10278"/>
    <cellStyle name="20% - Accent1 4 2 3 2 2 3" xfId="10279"/>
    <cellStyle name="20% - Accent1 4 2 3 2 2 3 2" xfId="10280"/>
    <cellStyle name="20% - Accent1 4 2 3 2 2 3 2 2" xfId="10281"/>
    <cellStyle name="20% - Accent1 4 2 3 2 2 3 2 3" xfId="10282"/>
    <cellStyle name="20% - Accent1 4 2 3 2 2 3 3" xfId="10283"/>
    <cellStyle name="20% - Accent1 4 2 3 2 2 3 3 2" xfId="10284"/>
    <cellStyle name="20% - Accent1 4 2 3 2 2 3 3 3" xfId="10285"/>
    <cellStyle name="20% - Accent1 4 2 3 2 2 3 4" xfId="10286"/>
    <cellStyle name="20% - Accent1 4 2 3 2 2 3 4 2" xfId="10287"/>
    <cellStyle name="20% - Accent1 4 2 3 2 2 3 5" xfId="10288"/>
    <cellStyle name="20% - Accent1 4 2 3 2 2 3 6" xfId="10289"/>
    <cellStyle name="20% - Accent1 4 2 3 2 2 4" xfId="10290"/>
    <cellStyle name="20% - Accent1 4 2 3 2 2 4 2" xfId="10291"/>
    <cellStyle name="20% - Accent1 4 2 3 2 2 4 2 2" xfId="10292"/>
    <cellStyle name="20% - Accent1 4 2 3 2 2 4 2 3" xfId="10293"/>
    <cellStyle name="20% - Accent1 4 2 3 2 2 4 3" xfId="10294"/>
    <cellStyle name="20% - Accent1 4 2 3 2 2 4 3 2" xfId="10295"/>
    <cellStyle name="20% - Accent1 4 2 3 2 2 4 4" xfId="10296"/>
    <cellStyle name="20% - Accent1 4 2 3 2 2 4 5" xfId="10297"/>
    <cellStyle name="20% - Accent1 4 2 3 2 2 5" xfId="10298"/>
    <cellStyle name="20% - Accent1 4 2 3 2 2 5 2" xfId="10299"/>
    <cellStyle name="20% - Accent1 4 2 3 2 2 5 3" xfId="10300"/>
    <cellStyle name="20% - Accent1 4 2 3 2 2 6" xfId="10301"/>
    <cellStyle name="20% - Accent1 4 2 3 2 2 6 2" xfId="10302"/>
    <cellStyle name="20% - Accent1 4 2 3 2 2 6 3" xfId="10303"/>
    <cellStyle name="20% - Accent1 4 2 3 2 2 7" xfId="10304"/>
    <cellStyle name="20% - Accent1 4 2 3 2 2 7 2" xfId="10305"/>
    <cellStyle name="20% - Accent1 4 2 3 2 2 8" xfId="10306"/>
    <cellStyle name="20% - Accent1 4 2 3 2 2 9" xfId="10307"/>
    <cellStyle name="20% - Accent1 4 2 3 2 3" xfId="10308"/>
    <cellStyle name="20% - Accent1 4 2 3 2 3 2" xfId="10309"/>
    <cellStyle name="20% - Accent1 4 2 3 2 3 2 2" xfId="10310"/>
    <cellStyle name="20% - Accent1 4 2 3 2 3 2 3" xfId="10311"/>
    <cellStyle name="20% - Accent1 4 2 3 2 3 3" xfId="10312"/>
    <cellStyle name="20% - Accent1 4 2 3 2 3 3 2" xfId="10313"/>
    <cellStyle name="20% - Accent1 4 2 3 2 3 3 3" xfId="10314"/>
    <cellStyle name="20% - Accent1 4 2 3 2 3 4" xfId="10315"/>
    <cellStyle name="20% - Accent1 4 2 3 2 3 4 2" xfId="10316"/>
    <cellStyle name="20% - Accent1 4 2 3 2 3 5" xfId="10317"/>
    <cellStyle name="20% - Accent1 4 2 3 2 3 6" xfId="10318"/>
    <cellStyle name="20% - Accent1 4 2 3 2 4" xfId="10319"/>
    <cellStyle name="20% - Accent1 4 2 3 2 4 2" xfId="10320"/>
    <cellStyle name="20% - Accent1 4 2 3 2 4 2 2" xfId="10321"/>
    <cellStyle name="20% - Accent1 4 2 3 2 4 2 3" xfId="10322"/>
    <cellStyle name="20% - Accent1 4 2 3 2 4 3" xfId="10323"/>
    <cellStyle name="20% - Accent1 4 2 3 2 4 3 2" xfId="10324"/>
    <cellStyle name="20% - Accent1 4 2 3 2 4 3 3" xfId="10325"/>
    <cellStyle name="20% - Accent1 4 2 3 2 4 4" xfId="10326"/>
    <cellStyle name="20% - Accent1 4 2 3 2 4 4 2" xfId="10327"/>
    <cellStyle name="20% - Accent1 4 2 3 2 4 5" xfId="10328"/>
    <cellStyle name="20% - Accent1 4 2 3 2 4 6" xfId="10329"/>
    <cellStyle name="20% - Accent1 4 2 3 2 5" xfId="10330"/>
    <cellStyle name="20% - Accent1 4 2 3 2 5 2" xfId="10331"/>
    <cellStyle name="20% - Accent1 4 2 3 2 5 2 2" xfId="10332"/>
    <cellStyle name="20% - Accent1 4 2 3 2 5 2 3" xfId="10333"/>
    <cellStyle name="20% - Accent1 4 2 3 2 5 3" xfId="10334"/>
    <cellStyle name="20% - Accent1 4 2 3 2 5 3 2" xfId="10335"/>
    <cellStyle name="20% - Accent1 4 2 3 2 5 4" xfId="10336"/>
    <cellStyle name="20% - Accent1 4 2 3 2 5 5" xfId="10337"/>
    <cellStyle name="20% - Accent1 4 2 3 2 6" xfId="10338"/>
    <cellStyle name="20% - Accent1 4 2 3 2 6 2" xfId="10339"/>
    <cellStyle name="20% - Accent1 4 2 3 2 6 3" xfId="10340"/>
    <cellStyle name="20% - Accent1 4 2 3 2 7" xfId="10341"/>
    <cellStyle name="20% - Accent1 4 2 3 2 7 2" xfId="10342"/>
    <cellStyle name="20% - Accent1 4 2 3 2 7 3" xfId="10343"/>
    <cellStyle name="20% - Accent1 4 2 3 2 8" xfId="10344"/>
    <cellStyle name="20% - Accent1 4 2 3 2 8 2" xfId="10345"/>
    <cellStyle name="20% - Accent1 4 2 3 2 9" xfId="10346"/>
    <cellStyle name="20% - Accent1 4 2 3 3" xfId="162"/>
    <cellStyle name="20% - Accent1 4 2 3 3 2" xfId="10347"/>
    <cellStyle name="20% - Accent1 4 2 3 3 2 2" xfId="10348"/>
    <cellStyle name="20% - Accent1 4 2 3 3 2 2 2" xfId="10349"/>
    <cellStyle name="20% - Accent1 4 2 3 3 2 2 3" xfId="10350"/>
    <cellStyle name="20% - Accent1 4 2 3 3 2 3" xfId="10351"/>
    <cellStyle name="20% - Accent1 4 2 3 3 2 3 2" xfId="10352"/>
    <cellStyle name="20% - Accent1 4 2 3 3 2 3 3" xfId="10353"/>
    <cellStyle name="20% - Accent1 4 2 3 3 2 4" xfId="10354"/>
    <cellStyle name="20% - Accent1 4 2 3 3 2 4 2" xfId="10355"/>
    <cellStyle name="20% - Accent1 4 2 3 3 2 5" xfId="10356"/>
    <cellStyle name="20% - Accent1 4 2 3 3 2 6" xfId="10357"/>
    <cellStyle name="20% - Accent1 4 2 3 3 3" xfId="10358"/>
    <cellStyle name="20% - Accent1 4 2 3 3 3 2" xfId="10359"/>
    <cellStyle name="20% - Accent1 4 2 3 3 3 2 2" xfId="10360"/>
    <cellStyle name="20% - Accent1 4 2 3 3 3 2 3" xfId="10361"/>
    <cellStyle name="20% - Accent1 4 2 3 3 3 3" xfId="10362"/>
    <cellStyle name="20% - Accent1 4 2 3 3 3 3 2" xfId="10363"/>
    <cellStyle name="20% - Accent1 4 2 3 3 3 3 3" xfId="10364"/>
    <cellStyle name="20% - Accent1 4 2 3 3 3 4" xfId="10365"/>
    <cellStyle name="20% - Accent1 4 2 3 3 3 4 2" xfId="10366"/>
    <cellStyle name="20% - Accent1 4 2 3 3 3 5" xfId="10367"/>
    <cellStyle name="20% - Accent1 4 2 3 3 3 6" xfId="10368"/>
    <cellStyle name="20% - Accent1 4 2 3 3 4" xfId="10369"/>
    <cellStyle name="20% - Accent1 4 2 3 3 4 2" xfId="10370"/>
    <cellStyle name="20% - Accent1 4 2 3 3 4 2 2" xfId="10371"/>
    <cellStyle name="20% - Accent1 4 2 3 3 4 2 3" xfId="10372"/>
    <cellStyle name="20% - Accent1 4 2 3 3 4 3" xfId="10373"/>
    <cellStyle name="20% - Accent1 4 2 3 3 4 3 2" xfId="10374"/>
    <cellStyle name="20% - Accent1 4 2 3 3 4 4" xfId="10375"/>
    <cellStyle name="20% - Accent1 4 2 3 3 4 5" xfId="10376"/>
    <cellStyle name="20% - Accent1 4 2 3 3 5" xfId="10377"/>
    <cellStyle name="20% - Accent1 4 2 3 3 5 2" xfId="10378"/>
    <cellStyle name="20% - Accent1 4 2 3 3 5 3" xfId="10379"/>
    <cellStyle name="20% - Accent1 4 2 3 3 6" xfId="10380"/>
    <cellStyle name="20% - Accent1 4 2 3 3 6 2" xfId="10381"/>
    <cellStyle name="20% - Accent1 4 2 3 3 6 3" xfId="10382"/>
    <cellStyle name="20% - Accent1 4 2 3 3 7" xfId="10383"/>
    <cellStyle name="20% - Accent1 4 2 3 3 7 2" xfId="10384"/>
    <cellStyle name="20% - Accent1 4 2 3 3 8" xfId="10385"/>
    <cellStyle name="20% - Accent1 4 2 3 3 9" xfId="10386"/>
    <cellStyle name="20% - Accent1 4 2 3 4" xfId="10387"/>
    <cellStyle name="20% - Accent1 4 2 3 4 2" xfId="10388"/>
    <cellStyle name="20% - Accent1 4 2 3 4 2 2" xfId="10389"/>
    <cellStyle name="20% - Accent1 4 2 3 4 2 2 2" xfId="10390"/>
    <cellStyle name="20% - Accent1 4 2 3 4 2 2 3" xfId="10391"/>
    <cellStyle name="20% - Accent1 4 2 3 4 2 3" xfId="10392"/>
    <cellStyle name="20% - Accent1 4 2 3 4 2 3 2" xfId="10393"/>
    <cellStyle name="20% - Accent1 4 2 3 4 2 3 3" xfId="10394"/>
    <cellStyle name="20% - Accent1 4 2 3 4 2 4" xfId="10395"/>
    <cellStyle name="20% - Accent1 4 2 3 4 2 4 2" xfId="10396"/>
    <cellStyle name="20% - Accent1 4 2 3 4 2 5" xfId="10397"/>
    <cellStyle name="20% - Accent1 4 2 3 4 2 6" xfId="10398"/>
    <cellStyle name="20% - Accent1 4 2 3 4 3" xfId="10399"/>
    <cellStyle name="20% - Accent1 4 2 3 4 3 2" xfId="10400"/>
    <cellStyle name="20% - Accent1 4 2 3 4 3 2 2" xfId="10401"/>
    <cellStyle name="20% - Accent1 4 2 3 4 3 2 3" xfId="10402"/>
    <cellStyle name="20% - Accent1 4 2 3 4 3 3" xfId="10403"/>
    <cellStyle name="20% - Accent1 4 2 3 4 3 3 2" xfId="10404"/>
    <cellStyle name="20% - Accent1 4 2 3 4 3 3 3" xfId="10405"/>
    <cellStyle name="20% - Accent1 4 2 3 4 3 4" xfId="10406"/>
    <cellStyle name="20% - Accent1 4 2 3 4 3 4 2" xfId="10407"/>
    <cellStyle name="20% - Accent1 4 2 3 4 3 5" xfId="10408"/>
    <cellStyle name="20% - Accent1 4 2 3 4 3 6" xfId="10409"/>
    <cellStyle name="20% - Accent1 4 2 3 4 4" xfId="10410"/>
    <cellStyle name="20% - Accent1 4 2 3 4 4 2" xfId="10411"/>
    <cellStyle name="20% - Accent1 4 2 3 4 4 2 2" xfId="10412"/>
    <cellStyle name="20% - Accent1 4 2 3 4 4 2 3" xfId="10413"/>
    <cellStyle name="20% - Accent1 4 2 3 4 4 3" xfId="10414"/>
    <cellStyle name="20% - Accent1 4 2 3 4 4 3 2" xfId="10415"/>
    <cellStyle name="20% - Accent1 4 2 3 4 4 4" xfId="10416"/>
    <cellStyle name="20% - Accent1 4 2 3 4 4 5" xfId="10417"/>
    <cellStyle name="20% - Accent1 4 2 3 4 5" xfId="10418"/>
    <cellStyle name="20% - Accent1 4 2 3 4 5 2" xfId="10419"/>
    <cellStyle name="20% - Accent1 4 2 3 4 5 3" xfId="10420"/>
    <cellStyle name="20% - Accent1 4 2 3 4 6" xfId="10421"/>
    <cellStyle name="20% - Accent1 4 2 3 4 6 2" xfId="10422"/>
    <cellStyle name="20% - Accent1 4 2 3 4 6 3" xfId="10423"/>
    <cellStyle name="20% - Accent1 4 2 3 4 7" xfId="10424"/>
    <cellStyle name="20% - Accent1 4 2 3 4 7 2" xfId="10425"/>
    <cellStyle name="20% - Accent1 4 2 3 4 8" xfId="10426"/>
    <cellStyle name="20% - Accent1 4 2 3 4 9" xfId="10427"/>
    <cellStyle name="20% - Accent1 4 2 3 5" xfId="10428"/>
    <cellStyle name="20% - Accent1 4 2 3 5 2" xfId="10429"/>
    <cellStyle name="20% - Accent1 4 2 3 5 2 2" xfId="10430"/>
    <cellStyle name="20% - Accent1 4 2 3 5 2 3" xfId="10431"/>
    <cellStyle name="20% - Accent1 4 2 3 5 3" xfId="10432"/>
    <cellStyle name="20% - Accent1 4 2 3 5 3 2" xfId="10433"/>
    <cellStyle name="20% - Accent1 4 2 3 5 3 3" xfId="10434"/>
    <cellStyle name="20% - Accent1 4 2 3 5 4" xfId="10435"/>
    <cellStyle name="20% - Accent1 4 2 3 5 4 2" xfId="10436"/>
    <cellStyle name="20% - Accent1 4 2 3 5 5" xfId="10437"/>
    <cellStyle name="20% - Accent1 4 2 3 5 6" xfId="10438"/>
    <cellStyle name="20% - Accent1 4 2 3 6" xfId="10439"/>
    <cellStyle name="20% - Accent1 4 2 3 6 2" xfId="10440"/>
    <cellStyle name="20% - Accent1 4 2 3 6 2 2" xfId="10441"/>
    <cellStyle name="20% - Accent1 4 2 3 6 2 3" xfId="10442"/>
    <cellStyle name="20% - Accent1 4 2 3 6 3" xfId="10443"/>
    <cellStyle name="20% - Accent1 4 2 3 6 3 2" xfId="10444"/>
    <cellStyle name="20% - Accent1 4 2 3 6 3 3" xfId="10445"/>
    <cellStyle name="20% - Accent1 4 2 3 6 4" xfId="10446"/>
    <cellStyle name="20% - Accent1 4 2 3 6 4 2" xfId="10447"/>
    <cellStyle name="20% - Accent1 4 2 3 6 5" xfId="10448"/>
    <cellStyle name="20% - Accent1 4 2 3 6 6" xfId="10449"/>
    <cellStyle name="20% - Accent1 4 2 3 7" xfId="10450"/>
    <cellStyle name="20% - Accent1 4 2 3 7 2" xfId="10451"/>
    <cellStyle name="20% - Accent1 4 2 3 7 2 2" xfId="10452"/>
    <cellStyle name="20% - Accent1 4 2 3 7 2 3" xfId="10453"/>
    <cellStyle name="20% - Accent1 4 2 3 7 3" xfId="10454"/>
    <cellStyle name="20% - Accent1 4 2 3 7 3 2" xfId="10455"/>
    <cellStyle name="20% - Accent1 4 2 3 7 4" xfId="10456"/>
    <cellStyle name="20% - Accent1 4 2 3 7 5" xfId="10457"/>
    <cellStyle name="20% - Accent1 4 2 3 8" xfId="10458"/>
    <cellStyle name="20% - Accent1 4 2 3 8 2" xfId="10459"/>
    <cellStyle name="20% - Accent1 4 2 3 8 3" xfId="10460"/>
    <cellStyle name="20% - Accent1 4 2 3 9" xfId="10461"/>
    <cellStyle name="20% - Accent1 4 2 3 9 2" xfId="10462"/>
    <cellStyle name="20% - Accent1 4 2 3 9 3" xfId="10463"/>
    <cellStyle name="20% - Accent1 4 2 4" xfId="163"/>
    <cellStyle name="20% - Accent1 4 2 4 10" xfId="10464"/>
    <cellStyle name="20% - Accent1 4 2 4 2" xfId="164"/>
    <cellStyle name="20% - Accent1 4 2 4 2 2" xfId="10465"/>
    <cellStyle name="20% - Accent1 4 2 4 2 2 2" xfId="10466"/>
    <cellStyle name="20% - Accent1 4 2 4 2 2 2 2" xfId="10467"/>
    <cellStyle name="20% - Accent1 4 2 4 2 2 2 3" xfId="10468"/>
    <cellStyle name="20% - Accent1 4 2 4 2 2 3" xfId="10469"/>
    <cellStyle name="20% - Accent1 4 2 4 2 2 3 2" xfId="10470"/>
    <cellStyle name="20% - Accent1 4 2 4 2 2 3 3" xfId="10471"/>
    <cellStyle name="20% - Accent1 4 2 4 2 2 4" xfId="10472"/>
    <cellStyle name="20% - Accent1 4 2 4 2 2 4 2" xfId="10473"/>
    <cellStyle name="20% - Accent1 4 2 4 2 2 5" xfId="10474"/>
    <cellStyle name="20% - Accent1 4 2 4 2 2 6" xfId="10475"/>
    <cellStyle name="20% - Accent1 4 2 4 2 3" xfId="10476"/>
    <cellStyle name="20% - Accent1 4 2 4 2 3 2" xfId="10477"/>
    <cellStyle name="20% - Accent1 4 2 4 2 3 2 2" xfId="10478"/>
    <cellStyle name="20% - Accent1 4 2 4 2 3 2 3" xfId="10479"/>
    <cellStyle name="20% - Accent1 4 2 4 2 3 3" xfId="10480"/>
    <cellStyle name="20% - Accent1 4 2 4 2 3 3 2" xfId="10481"/>
    <cellStyle name="20% - Accent1 4 2 4 2 3 3 3" xfId="10482"/>
    <cellStyle name="20% - Accent1 4 2 4 2 3 4" xfId="10483"/>
    <cellStyle name="20% - Accent1 4 2 4 2 3 4 2" xfId="10484"/>
    <cellStyle name="20% - Accent1 4 2 4 2 3 5" xfId="10485"/>
    <cellStyle name="20% - Accent1 4 2 4 2 3 6" xfId="10486"/>
    <cellStyle name="20% - Accent1 4 2 4 2 4" xfId="10487"/>
    <cellStyle name="20% - Accent1 4 2 4 2 4 2" xfId="10488"/>
    <cellStyle name="20% - Accent1 4 2 4 2 4 2 2" xfId="10489"/>
    <cellStyle name="20% - Accent1 4 2 4 2 4 2 3" xfId="10490"/>
    <cellStyle name="20% - Accent1 4 2 4 2 4 3" xfId="10491"/>
    <cellStyle name="20% - Accent1 4 2 4 2 4 3 2" xfId="10492"/>
    <cellStyle name="20% - Accent1 4 2 4 2 4 4" xfId="10493"/>
    <cellStyle name="20% - Accent1 4 2 4 2 4 5" xfId="10494"/>
    <cellStyle name="20% - Accent1 4 2 4 2 5" xfId="10495"/>
    <cellStyle name="20% - Accent1 4 2 4 2 5 2" xfId="10496"/>
    <cellStyle name="20% - Accent1 4 2 4 2 5 3" xfId="10497"/>
    <cellStyle name="20% - Accent1 4 2 4 2 6" xfId="10498"/>
    <cellStyle name="20% - Accent1 4 2 4 2 6 2" xfId="10499"/>
    <cellStyle name="20% - Accent1 4 2 4 2 6 3" xfId="10500"/>
    <cellStyle name="20% - Accent1 4 2 4 2 7" xfId="10501"/>
    <cellStyle name="20% - Accent1 4 2 4 2 7 2" xfId="10502"/>
    <cellStyle name="20% - Accent1 4 2 4 2 8" xfId="10503"/>
    <cellStyle name="20% - Accent1 4 2 4 2 9" xfId="10504"/>
    <cellStyle name="20% - Accent1 4 2 4 3" xfId="10505"/>
    <cellStyle name="20% - Accent1 4 2 4 3 2" xfId="10506"/>
    <cellStyle name="20% - Accent1 4 2 4 3 2 2" xfId="10507"/>
    <cellStyle name="20% - Accent1 4 2 4 3 2 3" xfId="10508"/>
    <cellStyle name="20% - Accent1 4 2 4 3 3" xfId="10509"/>
    <cellStyle name="20% - Accent1 4 2 4 3 3 2" xfId="10510"/>
    <cellStyle name="20% - Accent1 4 2 4 3 3 3" xfId="10511"/>
    <cellStyle name="20% - Accent1 4 2 4 3 4" xfId="10512"/>
    <cellStyle name="20% - Accent1 4 2 4 3 4 2" xfId="10513"/>
    <cellStyle name="20% - Accent1 4 2 4 3 5" xfId="10514"/>
    <cellStyle name="20% - Accent1 4 2 4 3 6" xfId="10515"/>
    <cellStyle name="20% - Accent1 4 2 4 4" xfId="10516"/>
    <cellStyle name="20% - Accent1 4 2 4 4 2" xfId="10517"/>
    <cellStyle name="20% - Accent1 4 2 4 4 2 2" xfId="10518"/>
    <cellStyle name="20% - Accent1 4 2 4 4 2 3" xfId="10519"/>
    <cellStyle name="20% - Accent1 4 2 4 4 3" xfId="10520"/>
    <cellStyle name="20% - Accent1 4 2 4 4 3 2" xfId="10521"/>
    <cellStyle name="20% - Accent1 4 2 4 4 3 3" xfId="10522"/>
    <cellStyle name="20% - Accent1 4 2 4 4 4" xfId="10523"/>
    <cellStyle name="20% - Accent1 4 2 4 4 4 2" xfId="10524"/>
    <cellStyle name="20% - Accent1 4 2 4 4 5" xfId="10525"/>
    <cellStyle name="20% - Accent1 4 2 4 4 6" xfId="10526"/>
    <cellStyle name="20% - Accent1 4 2 4 5" xfId="10527"/>
    <cellStyle name="20% - Accent1 4 2 4 5 2" xfId="10528"/>
    <cellStyle name="20% - Accent1 4 2 4 5 2 2" xfId="10529"/>
    <cellStyle name="20% - Accent1 4 2 4 5 2 3" xfId="10530"/>
    <cellStyle name="20% - Accent1 4 2 4 5 3" xfId="10531"/>
    <cellStyle name="20% - Accent1 4 2 4 5 3 2" xfId="10532"/>
    <cellStyle name="20% - Accent1 4 2 4 5 4" xfId="10533"/>
    <cellStyle name="20% - Accent1 4 2 4 5 5" xfId="10534"/>
    <cellStyle name="20% - Accent1 4 2 4 6" xfId="10535"/>
    <cellStyle name="20% - Accent1 4 2 4 6 2" xfId="10536"/>
    <cellStyle name="20% - Accent1 4 2 4 6 3" xfId="10537"/>
    <cellStyle name="20% - Accent1 4 2 4 7" xfId="10538"/>
    <cellStyle name="20% - Accent1 4 2 4 7 2" xfId="10539"/>
    <cellStyle name="20% - Accent1 4 2 4 7 3" xfId="10540"/>
    <cellStyle name="20% - Accent1 4 2 4 8" xfId="10541"/>
    <cellStyle name="20% - Accent1 4 2 4 8 2" xfId="10542"/>
    <cellStyle name="20% - Accent1 4 2 4 9" xfId="10543"/>
    <cellStyle name="20% - Accent1 4 2 5" xfId="165"/>
    <cellStyle name="20% - Accent1 4 2 5 2" xfId="10544"/>
    <cellStyle name="20% - Accent1 4 2 5 2 2" xfId="10545"/>
    <cellStyle name="20% - Accent1 4 2 5 2 2 2" xfId="10546"/>
    <cellStyle name="20% - Accent1 4 2 5 2 2 3" xfId="10547"/>
    <cellStyle name="20% - Accent1 4 2 5 2 3" xfId="10548"/>
    <cellStyle name="20% - Accent1 4 2 5 2 3 2" xfId="10549"/>
    <cellStyle name="20% - Accent1 4 2 5 2 3 3" xfId="10550"/>
    <cellStyle name="20% - Accent1 4 2 5 2 4" xfId="10551"/>
    <cellStyle name="20% - Accent1 4 2 5 2 4 2" xfId="10552"/>
    <cellStyle name="20% - Accent1 4 2 5 2 5" xfId="10553"/>
    <cellStyle name="20% - Accent1 4 2 5 2 6" xfId="10554"/>
    <cellStyle name="20% - Accent1 4 2 5 3" xfId="10555"/>
    <cellStyle name="20% - Accent1 4 2 5 3 2" xfId="10556"/>
    <cellStyle name="20% - Accent1 4 2 5 3 2 2" xfId="10557"/>
    <cellStyle name="20% - Accent1 4 2 5 3 2 3" xfId="10558"/>
    <cellStyle name="20% - Accent1 4 2 5 3 3" xfId="10559"/>
    <cellStyle name="20% - Accent1 4 2 5 3 3 2" xfId="10560"/>
    <cellStyle name="20% - Accent1 4 2 5 3 3 3" xfId="10561"/>
    <cellStyle name="20% - Accent1 4 2 5 3 4" xfId="10562"/>
    <cellStyle name="20% - Accent1 4 2 5 3 4 2" xfId="10563"/>
    <cellStyle name="20% - Accent1 4 2 5 3 5" xfId="10564"/>
    <cellStyle name="20% - Accent1 4 2 5 3 6" xfId="10565"/>
    <cellStyle name="20% - Accent1 4 2 5 4" xfId="10566"/>
    <cellStyle name="20% - Accent1 4 2 5 4 2" xfId="10567"/>
    <cellStyle name="20% - Accent1 4 2 5 4 2 2" xfId="10568"/>
    <cellStyle name="20% - Accent1 4 2 5 4 2 3" xfId="10569"/>
    <cellStyle name="20% - Accent1 4 2 5 4 3" xfId="10570"/>
    <cellStyle name="20% - Accent1 4 2 5 4 3 2" xfId="10571"/>
    <cellStyle name="20% - Accent1 4 2 5 4 4" xfId="10572"/>
    <cellStyle name="20% - Accent1 4 2 5 4 5" xfId="10573"/>
    <cellStyle name="20% - Accent1 4 2 5 5" xfId="10574"/>
    <cellStyle name="20% - Accent1 4 2 5 5 2" xfId="10575"/>
    <cellStyle name="20% - Accent1 4 2 5 5 3" xfId="10576"/>
    <cellStyle name="20% - Accent1 4 2 5 6" xfId="10577"/>
    <cellStyle name="20% - Accent1 4 2 5 6 2" xfId="10578"/>
    <cellStyle name="20% - Accent1 4 2 5 6 3" xfId="10579"/>
    <cellStyle name="20% - Accent1 4 2 5 7" xfId="10580"/>
    <cellStyle name="20% - Accent1 4 2 5 7 2" xfId="10581"/>
    <cellStyle name="20% - Accent1 4 2 5 8" xfId="10582"/>
    <cellStyle name="20% - Accent1 4 2 5 9" xfId="10583"/>
    <cellStyle name="20% - Accent1 4 2 6" xfId="10584"/>
    <cellStyle name="20% - Accent1 4 2 6 2" xfId="10585"/>
    <cellStyle name="20% - Accent1 4 2 6 2 2" xfId="10586"/>
    <cellStyle name="20% - Accent1 4 2 6 2 2 2" xfId="10587"/>
    <cellStyle name="20% - Accent1 4 2 6 2 2 3" xfId="10588"/>
    <cellStyle name="20% - Accent1 4 2 6 2 3" xfId="10589"/>
    <cellStyle name="20% - Accent1 4 2 6 2 3 2" xfId="10590"/>
    <cellStyle name="20% - Accent1 4 2 6 2 3 3" xfId="10591"/>
    <cellStyle name="20% - Accent1 4 2 6 2 4" xfId="10592"/>
    <cellStyle name="20% - Accent1 4 2 6 2 4 2" xfId="10593"/>
    <cellStyle name="20% - Accent1 4 2 6 2 5" xfId="10594"/>
    <cellStyle name="20% - Accent1 4 2 6 2 6" xfId="10595"/>
    <cellStyle name="20% - Accent1 4 2 6 3" xfId="10596"/>
    <cellStyle name="20% - Accent1 4 2 6 3 2" xfId="10597"/>
    <cellStyle name="20% - Accent1 4 2 6 3 2 2" xfId="10598"/>
    <cellStyle name="20% - Accent1 4 2 6 3 2 3" xfId="10599"/>
    <cellStyle name="20% - Accent1 4 2 6 3 3" xfId="10600"/>
    <cellStyle name="20% - Accent1 4 2 6 3 3 2" xfId="10601"/>
    <cellStyle name="20% - Accent1 4 2 6 3 3 3" xfId="10602"/>
    <cellStyle name="20% - Accent1 4 2 6 3 4" xfId="10603"/>
    <cellStyle name="20% - Accent1 4 2 6 3 4 2" xfId="10604"/>
    <cellStyle name="20% - Accent1 4 2 6 3 5" xfId="10605"/>
    <cellStyle name="20% - Accent1 4 2 6 3 6" xfId="10606"/>
    <cellStyle name="20% - Accent1 4 2 6 4" xfId="10607"/>
    <cellStyle name="20% - Accent1 4 2 6 4 2" xfId="10608"/>
    <cellStyle name="20% - Accent1 4 2 6 4 2 2" xfId="10609"/>
    <cellStyle name="20% - Accent1 4 2 6 4 2 3" xfId="10610"/>
    <cellStyle name="20% - Accent1 4 2 6 4 3" xfId="10611"/>
    <cellStyle name="20% - Accent1 4 2 6 4 3 2" xfId="10612"/>
    <cellStyle name="20% - Accent1 4 2 6 4 4" xfId="10613"/>
    <cellStyle name="20% - Accent1 4 2 6 4 5" xfId="10614"/>
    <cellStyle name="20% - Accent1 4 2 6 5" xfId="10615"/>
    <cellStyle name="20% - Accent1 4 2 6 5 2" xfId="10616"/>
    <cellStyle name="20% - Accent1 4 2 6 5 3" xfId="10617"/>
    <cellStyle name="20% - Accent1 4 2 6 6" xfId="10618"/>
    <cellStyle name="20% - Accent1 4 2 6 6 2" xfId="10619"/>
    <cellStyle name="20% - Accent1 4 2 6 6 3" xfId="10620"/>
    <cellStyle name="20% - Accent1 4 2 6 7" xfId="10621"/>
    <cellStyle name="20% - Accent1 4 2 6 7 2" xfId="10622"/>
    <cellStyle name="20% - Accent1 4 2 6 8" xfId="10623"/>
    <cellStyle name="20% - Accent1 4 2 6 9" xfId="10624"/>
    <cellStyle name="20% - Accent1 4 2 7" xfId="10625"/>
    <cellStyle name="20% - Accent1 4 2 7 2" xfId="10626"/>
    <cellStyle name="20% - Accent1 4 2 7 2 2" xfId="10627"/>
    <cellStyle name="20% - Accent1 4 2 7 2 3" xfId="10628"/>
    <cellStyle name="20% - Accent1 4 2 7 3" xfId="10629"/>
    <cellStyle name="20% - Accent1 4 2 7 3 2" xfId="10630"/>
    <cellStyle name="20% - Accent1 4 2 7 3 3" xfId="10631"/>
    <cellStyle name="20% - Accent1 4 2 7 4" xfId="10632"/>
    <cellStyle name="20% - Accent1 4 2 7 4 2" xfId="10633"/>
    <cellStyle name="20% - Accent1 4 2 7 5" xfId="10634"/>
    <cellStyle name="20% - Accent1 4 2 7 6" xfId="10635"/>
    <cellStyle name="20% - Accent1 4 2 8" xfId="10636"/>
    <cellStyle name="20% - Accent1 4 2 8 2" xfId="10637"/>
    <cellStyle name="20% - Accent1 4 2 8 2 2" xfId="10638"/>
    <cellStyle name="20% - Accent1 4 2 8 2 3" xfId="10639"/>
    <cellStyle name="20% - Accent1 4 2 8 3" xfId="10640"/>
    <cellStyle name="20% - Accent1 4 2 8 3 2" xfId="10641"/>
    <cellStyle name="20% - Accent1 4 2 8 3 3" xfId="10642"/>
    <cellStyle name="20% - Accent1 4 2 8 4" xfId="10643"/>
    <cellStyle name="20% - Accent1 4 2 8 4 2" xfId="10644"/>
    <cellStyle name="20% - Accent1 4 2 8 5" xfId="10645"/>
    <cellStyle name="20% - Accent1 4 2 8 6" xfId="10646"/>
    <cellStyle name="20% - Accent1 4 2 9" xfId="10647"/>
    <cellStyle name="20% - Accent1 4 2 9 2" xfId="10648"/>
    <cellStyle name="20% - Accent1 4 2 9 2 2" xfId="10649"/>
    <cellStyle name="20% - Accent1 4 2 9 2 3" xfId="10650"/>
    <cellStyle name="20% - Accent1 4 2 9 3" xfId="10651"/>
    <cellStyle name="20% - Accent1 4 2 9 3 2" xfId="10652"/>
    <cellStyle name="20% - Accent1 4 2 9 4" xfId="10653"/>
    <cellStyle name="20% - Accent1 4 2 9 5" xfId="10654"/>
    <cellStyle name="20% - Accent1 4 3" xfId="166"/>
    <cellStyle name="20% - Accent1 4 3 10" xfId="10655"/>
    <cellStyle name="20% - Accent1 4 3 10 2" xfId="10656"/>
    <cellStyle name="20% - Accent1 4 3 10 3" xfId="10657"/>
    <cellStyle name="20% - Accent1 4 3 11" xfId="10658"/>
    <cellStyle name="20% - Accent1 4 3 11 2" xfId="10659"/>
    <cellStyle name="20% - Accent1 4 3 12" xfId="10660"/>
    <cellStyle name="20% - Accent1 4 3 13" xfId="10661"/>
    <cellStyle name="20% - Accent1 4 3 14" xfId="10662"/>
    <cellStyle name="20% - Accent1 4 3 2" xfId="167"/>
    <cellStyle name="20% - Accent1 4 3 2 10" xfId="10663"/>
    <cellStyle name="20% - Accent1 4 3 2 10 2" xfId="10664"/>
    <cellStyle name="20% - Accent1 4 3 2 11" xfId="10665"/>
    <cellStyle name="20% - Accent1 4 3 2 12" xfId="10666"/>
    <cellStyle name="20% - Accent1 4 3 2 2" xfId="168"/>
    <cellStyle name="20% - Accent1 4 3 2 2 10" xfId="10667"/>
    <cellStyle name="20% - Accent1 4 3 2 2 2" xfId="169"/>
    <cellStyle name="20% - Accent1 4 3 2 2 2 2" xfId="10668"/>
    <cellStyle name="20% - Accent1 4 3 2 2 2 2 2" xfId="10669"/>
    <cellStyle name="20% - Accent1 4 3 2 2 2 2 2 2" xfId="10670"/>
    <cellStyle name="20% - Accent1 4 3 2 2 2 2 2 3" xfId="10671"/>
    <cellStyle name="20% - Accent1 4 3 2 2 2 2 3" xfId="10672"/>
    <cellStyle name="20% - Accent1 4 3 2 2 2 2 3 2" xfId="10673"/>
    <cellStyle name="20% - Accent1 4 3 2 2 2 2 3 3" xfId="10674"/>
    <cellStyle name="20% - Accent1 4 3 2 2 2 2 4" xfId="10675"/>
    <cellStyle name="20% - Accent1 4 3 2 2 2 2 4 2" xfId="10676"/>
    <cellStyle name="20% - Accent1 4 3 2 2 2 2 5" xfId="10677"/>
    <cellStyle name="20% - Accent1 4 3 2 2 2 2 6" xfId="10678"/>
    <cellStyle name="20% - Accent1 4 3 2 2 2 3" xfId="10679"/>
    <cellStyle name="20% - Accent1 4 3 2 2 2 3 2" xfId="10680"/>
    <cellStyle name="20% - Accent1 4 3 2 2 2 3 2 2" xfId="10681"/>
    <cellStyle name="20% - Accent1 4 3 2 2 2 3 2 3" xfId="10682"/>
    <cellStyle name="20% - Accent1 4 3 2 2 2 3 3" xfId="10683"/>
    <cellStyle name="20% - Accent1 4 3 2 2 2 3 3 2" xfId="10684"/>
    <cellStyle name="20% - Accent1 4 3 2 2 2 3 3 3" xfId="10685"/>
    <cellStyle name="20% - Accent1 4 3 2 2 2 3 4" xfId="10686"/>
    <cellStyle name="20% - Accent1 4 3 2 2 2 3 4 2" xfId="10687"/>
    <cellStyle name="20% - Accent1 4 3 2 2 2 3 5" xfId="10688"/>
    <cellStyle name="20% - Accent1 4 3 2 2 2 3 6" xfId="10689"/>
    <cellStyle name="20% - Accent1 4 3 2 2 2 4" xfId="10690"/>
    <cellStyle name="20% - Accent1 4 3 2 2 2 4 2" xfId="10691"/>
    <cellStyle name="20% - Accent1 4 3 2 2 2 4 2 2" xfId="10692"/>
    <cellStyle name="20% - Accent1 4 3 2 2 2 4 2 3" xfId="10693"/>
    <cellStyle name="20% - Accent1 4 3 2 2 2 4 3" xfId="10694"/>
    <cellStyle name="20% - Accent1 4 3 2 2 2 4 3 2" xfId="10695"/>
    <cellStyle name="20% - Accent1 4 3 2 2 2 4 4" xfId="10696"/>
    <cellStyle name="20% - Accent1 4 3 2 2 2 4 5" xfId="10697"/>
    <cellStyle name="20% - Accent1 4 3 2 2 2 5" xfId="10698"/>
    <cellStyle name="20% - Accent1 4 3 2 2 2 5 2" xfId="10699"/>
    <cellStyle name="20% - Accent1 4 3 2 2 2 5 3" xfId="10700"/>
    <cellStyle name="20% - Accent1 4 3 2 2 2 6" xfId="10701"/>
    <cellStyle name="20% - Accent1 4 3 2 2 2 6 2" xfId="10702"/>
    <cellStyle name="20% - Accent1 4 3 2 2 2 6 3" xfId="10703"/>
    <cellStyle name="20% - Accent1 4 3 2 2 2 7" xfId="10704"/>
    <cellStyle name="20% - Accent1 4 3 2 2 2 7 2" xfId="10705"/>
    <cellStyle name="20% - Accent1 4 3 2 2 2 8" xfId="10706"/>
    <cellStyle name="20% - Accent1 4 3 2 2 2 9" xfId="10707"/>
    <cellStyle name="20% - Accent1 4 3 2 2 3" xfId="10708"/>
    <cellStyle name="20% - Accent1 4 3 2 2 3 2" xfId="10709"/>
    <cellStyle name="20% - Accent1 4 3 2 2 3 2 2" xfId="10710"/>
    <cellStyle name="20% - Accent1 4 3 2 2 3 2 3" xfId="10711"/>
    <cellStyle name="20% - Accent1 4 3 2 2 3 3" xfId="10712"/>
    <cellStyle name="20% - Accent1 4 3 2 2 3 3 2" xfId="10713"/>
    <cellStyle name="20% - Accent1 4 3 2 2 3 3 3" xfId="10714"/>
    <cellStyle name="20% - Accent1 4 3 2 2 3 4" xfId="10715"/>
    <cellStyle name="20% - Accent1 4 3 2 2 3 4 2" xfId="10716"/>
    <cellStyle name="20% - Accent1 4 3 2 2 3 5" xfId="10717"/>
    <cellStyle name="20% - Accent1 4 3 2 2 3 6" xfId="10718"/>
    <cellStyle name="20% - Accent1 4 3 2 2 4" xfId="10719"/>
    <cellStyle name="20% - Accent1 4 3 2 2 4 2" xfId="10720"/>
    <cellStyle name="20% - Accent1 4 3 2 2 4 2 2" xfId="10721"/>
    <cellStyle name="20% - Accent1 4 3 2 2 4 2 3" xfId="10722"/>
    <cellStyle name="20% - Accent1 4 3 2 2 4 3" xfId="10723"/>
    <cellStyle name="20% - Accent1 4 3 2 2 4 3 2" xfId="10724"/>
    <cellStyle name="20% - Accent1 4 3 2 2 4 3 3" xfId="10725"/>
    <cellStyle name="20% - Accent1 4 3 2 2 4 4" xfId="10726"/>
    <cellStyle name="20% - Accent1 4 3 2 2 4 4 2" xfId="10727"/>
    <cellStyle name="20% - Accent1 4 3 2 2 4 5" xfId="10728"/>
    <cellStyle name="20% - Accent1 4 3 2 2 4 6" xfId="10729"/>
    <cellStyle name="20% - Accent1 4 3 2 2 5" xfId="10730"/>
    <cellStyle name="20% - Accent1 4 3 2 2 5 2" xfId="10731"/>
    <cellStyle name="20% - Accent1 4 3 2 2 5 2 2" xfId="10732"/>
    <cellStyle name="20% - Accent1 4 3 2 2 5 2 3" xfId="10733"/>
    <cellStyle name="20% - Accent1 4 3 2 2 5 3" xfId="10734"/>
    <cellStyle name="20% - Accent1 4 3 2 2 5 3 2" xfId="10735"/>
    <cellStyle name="20% - Accent1 4 3 2 2 5 4" xfId="10736"/>
    <cellStyle name="20% - Accent1 4 3 2 2 5 5" xfId="10737"/>
    <cellStyle name="20% - Accent1 4 3 2 2 6" xfId="10738"/>
    <cellStyle name="20% - Accent1 4 3 2 2 6 2" xfId="10739"/>
    <cellStyle name="20% - Accent1 4 3 2 2 6 3" xfId="10740"/>
    <cellStyle name="20% - Accent1 4 3 2 2 7" xfId="10741"/>
    <cellStyle name="20% - Accent1 4 3 2 2 7 2" xfId="10742"/>
    <cellStyle name="20% - Accent1 4 3 2 2 7 3" xfId="10743"/>
    <cellStyle name="20% - Accent1 4 3 2 2 8" xfId="10744"/>
    <cellStyle name="20% - Accent1 4 3 2 2 8 2" xfId="10745"/>
    <cellStyle name="20% - Accent1 4 3 2 2 9" xfId="10746"/>
    <cellStyle name="20% - Accent1 4 3 2 3" xfId="170"/>
    <cellStyle name="20% - Accent1 4 3 2 3 2" xfId="10747"/>
    <cellStyle name="20% - Accent1 4 3 2 3 2 2" xfId="10748"/>
    <cellStyle name="20% - Accent1 4 3 2 3 2 2 2" xfId="10749"/>
    <cellStyle name="20% - Accent1 4 3 2 3 2 2 3" xfId="10750"/>
    <cellStyle name="20% - Accent1 4 3 2 3 2 3" xfId="10751"/>
    <cellStyle name="20% - Accent1 4 3 2 3 2 3 2" xfId="10752"/>
    <cellStyle name="20% - Accent1 4 3 2 3 2 3 3" xfId="10753"/>
    <cellStyle name="20% - Accent1 4 3 2 3 2 4" xfId="10754"/>
    <cellStyle name="20% - Accent1 4 3 2 3 2 4 2" xfId="10755"/>
    <cellStyle name="20% - Accent1 4 3 2 3 2 5" xfId="10756"/>
    <cellStyle name="20% - Accent1 4 3 2 3 2 6" xfId="10757"/>
    <cellStyle name="20% - Accent1 4 3 2 3 3" xfId="10758"/>
    <cellStyle name="20% - Accent1 4 3 2 3 3 2" xfId="10759"/>
    <cellStyle name="20% - Accent1 4 3 2 3 3 2 2" xfId="10760"/>
    <cellStyle name="20% - Accent1 4 3 2 3 3 2 3" xfId="10761"/>
    <cellStyle name="20% - Accent1 4 3 2 3 3 3" xfId="10762"/>
    <cellStyle name="20% - Accent1 4 3 2 3 3 3 2" xfId="10763"/>
    <cellStyle name="20% - Accent1 4 3 2 3 3 3 3" xfId="10764"/>
    <cellStyle name="20% - Accent1 4 3 2 3 3 4" xfId="10765"/>
    <cellStyle name="20% - Accent1 4 3 2 3 3 4 2" xfId="10766"/>
    <cellStyle name="20% - Accent1 4 3 2 3 3 5" xfId="10767"/>
    <cellStyle name="20% - Accent1 4 3 2 3 3 6" xfId="10768"/>
    <cellStyle name="20% - Accent1 4 3 2 3 4" xfId="10769"/>
    <cellStyle name="20% - Accent1 4 3 2 3 4 2" xfId="10770"/>
    <cellStyle name="20% - Accent1 4 3 2 3 4 2 2" xfId="10771"/>
    <cellStyle name="20% - Accent1 4 3 2 3 4 2 3" xfId="10772"/>
    <cellStyle name="20% - Accent1 4 3 2 3 4 3" xfId="10773"/>
    <cellStyle name="20% - Accent1 4 3 2 3 4 3 2" xfId="10774"/>
    <cellStyle name="20% - Accent1 4 3 2 3 4 4" xfId="10775"/>
    <cellStyle name="20% - Accent1 4 3 2 3 4 5" xfId="10776"/>
    <cellStyle name="20% - Accent1 4 3 2 3 5" xfId="10777"/>
    <cellStyle name="20% - Accent1 4 3 2 3 5 2" xfId="10778"/>
    <cellStyle name="20% - Accent1 4 3 2 3 5 3" xfId="10779"/>
    <cellStyle name="20% - Accent1 4 3 2 3 6" xfId="10780"/>
    <cellStyle name="20% - Accent1 4 3 2 3 6 2" xfId="10781"/>
    <cellStyle name="20% - Accent1 4 3 2 3 6 3" xfId="10782"/>
    <cellStyle name="20% - Accent1 4 3 2 3 7" xfId="10783"/>
    <cellStyle name="20% - Accent1 4 3 2 3 7 2" xfId="10784"/>
    <cellStyle name="20% - Accent1 4 3 2 3 8" xfId="10785"/>
    <cellStyle name="20% - Accent1 4 3 2 3 9" xfId="10786"/>
    <cellStyle name="20% - Accent1 4 3 2 4" xfId="10787"/>
    <cellStyle name="20% - Accent1 4 3 2 4 2" xfId="10788"/>
    <cellStyle name="20% - Accent1 4 3 2 4 2 2" xfId="10789"/>
    <cellStyle name="20% - Accent1 4 3 2 4 2 2 2" xfId="10790"/>
    <cellStyle name="20% - Accent1 4 3 2 4 2 2 3" xfId="10791"/>
    <cellStyle name="20% - Accent1 4 3 2 4 2 3" xfId="10792"/>
    <cellStyle name="20% - Accent1 4 3 2 4 2 3 2" xfId="10793"/>
    <cellStyle name="20% - Accent1 4 3 2 4 2 3 3" xfId="10794"/>
    <cellStyle name="20% - Accent1 4 3 2 4 2 4" xfId="10795"/>
    <cellStyle name="20% - Accent1 4 3 2 4 2 4 2" xfId="10796"/>
    <cellStyle name="20% - Accent1 4 3 2 4 2 5" xfId="10797"/>
    <cellStyle name="20% - Accent1 4 3 2 4 2 6" xfId="10798"/>
    <cellStyle name="20% - Accent1 4 3 2 4 3" xfId="10799"/>
    <cellStyle name="20% - Accent1 4 3 2 4 3 2" xfId="10800"/>
    <cellStyle name="20% - Accent1 4 3 2 4 3 2 2" xfId="10801"/>
    <cellStyle name="20% - Accent1 4 3 2 4 3 2 3" xfId="10802"/>
    <cellStyle name="20% - Accent1 4 3 2 4 3 3" xfId="10803"/>
    <cellStyle name="20% - Accent1 4 3 2 4 3 3 2" xfId="10804"/>
    <cellStyle name="20% - Accent1 4 3 2 4 3 3 3" xfId="10805"/>
    <cellStyle name="20% - Accent1 4 3 2 4 3 4" xfId="10806"/>
    <cellStyle name="20% - Accent1 4 3 2 4 3 4 2" xfId="10807"/>
    <cellStyle name="20% - Accent1 4 3 2 4 3 5" xfId="10808"/>
    <cellStyle name="20% - Accent1 4 3 2 4 3 6" xfId="10809"/>
    <cellStyle name="20% - Accent1 4 3 2 4 4" xfId="10810"/>
    <cellStyle name="20% - Accent1 4 3 2 4 4 2" xfId="10811"/>
    <cellStyle name="20% - Accent1 4 3 2 4 4 2 2" xfId="10812"/>
    <cellStyle name="20% - Accent1 4 3 2 4 4 2 3" xfId="10813"/>
    <cellStyle name="20% - Accent1 4 3 2 4 4 3" xfId="10814"/>
    <cellStyle name="20% - Accent1 4 3 2 4 4 3 2" xfId="10815"/>
    <cellStyle name="20% - Accent1 4 3 2 4 4 4" xfId="10816"/>
    <cellStyle name="20% - Accent1 4 3 2 4 4 5" xfId="10817"/>
    <cellStyle name="20% - Accent1 4 3 2 4 5" xfId="10818"/>
    <cellStyle name="20% - Accent1 4 3 2 4 5 2" xfId="10819"/>
    <cellStyle name="20% - Accent1 4 3 2 4 5 3" xfId="10820"/>
    <cellStyle name="20% - Accent1 4 3 2 4 6" xfId="10821"/>
    <cellStyle name="20% - Accent1 4 3 2 4 6 2" xfId="10822"/>
    <cellStyle name="20% - Accent1 4 3 2 4 6 3" xfId="10823"/>
    <cellStyle name="20% - Accent1 4 3 2 4 7" xfId="10824"/>
    <cellStyle name="20% - Accent1 4 3 2 4 7 2" xfId="10825"/>
    <cellStyle name="20% - Accent1 4 3 2 4 8" xfId="10826"/>
    <cellStyle name="20% - Accent1 4 3 2 4 9" xfId="10827"/>
    <cellStyle name="20% - Accent1 4 3 2 5" xfId="10828"/>
    <cellStyle name="20% - Accent1 4 3 2 5 2" xfId="10829"/>
    <cellStyle name="20% - Accent1 4 3 2 5 2 2" xfId="10830"/>
    <cellStyle name="20% - Accent1 4 3 2 5 2 3" xfId="10831"/>
    <cellStyle name="20% - Accent1 4 3 2 5 3" xfId="10832"/>
    <cellStyle name="20% - Accent1 4 3 2 5 3 2" xfId="10833"/>
    <cellStyle name="20% - Accent1 4 3 2 5 3 3" xfId="10834"/>
    <cellStyle name="20% - Accent1 4 3 2 5 4" xfId="10835"/>
    <cellStyle name="20% - Accent1 4 3 2 5 4 2" xfId="10836"/>
    <cellStyle name="20% - Accent1 4 3 2 5 5" xfId="10837"/>
    <cellStyle name="20% - Accent1 4 3 2 5 6" xfId="10838"/>
    <cellStyle name="20% - Accent1 4 3 2 6" xfId="10839"/>
    <cellStyle name="20% - Accent1 4 3 2 6 2" xfId="10840"/>
    <cellStyle name="20% - Accent1 4 3 2 6 2 2" xfId="10841"/>
    <cellStyle name="20% - Accent1 4 3 2 6 2 3" xfId="10842"/>
    <cellStyle name="20% - Accent1 4 3 2 6 3" xfId="10843"/>
    <cellStyle name="20% - Accent1 4 3 2 6 3 2" xfId="10844"/>
    <cellStyle name="20% - Accent1 4 3 2 6 3 3" xfId="10845"/>
    <cellStyle name="20% - Accent1 4 3 2 6 4" xfId="10846"/>
    <cellStyle name="20% - Accent1 4 3 2 6 4 2" xfId="10847"/>
    <cellStyle name="20% - Accent1 4 3 2 6 5" xfId="10848"/>
    <cellStyle name="20% - Accent1 4 3 2 6 6" xfId="10849"/>
    <cellStyle name="20% - Accent1 4 3 2 7" xfId="10850"/>
    <cellStyle name="20% - Accent1 4 3 2 7 2" xfId="10851"/>
    <cellStyle name="20% - Accent1 4 3 2 7 2 2" xfId="10852"/>
    <cellStyle name="20% - Accent1 4 3 2 7 2 3" xfId="10853"/>
    <cellStyle name="20% - Accent1 4 3 2 7 3" xfId="10854"/>
    <cellStyle name="20% - Accent1 4 3 2 7 3 2" xfId="10855"/>
    <cellStyle name="20% - Accent1 4 3 2 7 4" xfId="10856"/>
    <cellStyle name="20% - Accent1 4 3 2 7 5" xfId="10857"/>
    <cellStyle name="20% - Accent1 4 3 2 8" xfId="10858"/>
    <cellStyle name="20% - Accent1 4 3 2 8 2" xfId="10859"/>
    <cellStyle name="20% - Accent1 4 3 2 8 3" xfId="10860"/>
    <cellStyle name="20% - Accent1 4 3 2 9" xfId="10861"/>
    <cellStyle name="20% - Accent1 4 3 2 9 2" xfId="10862"/>
    <cellStyle name="20% - Accent1 4 3 2 9 3" xfId="10863"/>
    <cellStyle name="20% - Accent1 4 3 3" xfId="171"/>
    <cellStyle name="20% - Accent1 4 3 3 10" xfId="10864"/>
    <cellStyle name="20% - Accent1 4 3 3 2" xfId="172"/>
    <cellStyle name="20% - Accent1 4 3 3 2 2" xfId="10865"/>
    <cellStyle name="20% - Accent1 4 3 3 2 2 2" xfId="10866"/>
    <cellStyle name="20% - Accent1 4 3 3 2 2 2 2" xfId="10867"/>
    <cellStyle name="20% - Accent1 4 3 3 2 2 2 3" xfId="10868"/>
    <cellStyle name="20% - Accent1 4 3 3 2 2 3" xfId="10869"/>
    <cellStyle name="20% - Accent1 4 3 3 2 2 3 2" xfId="10870"/>
    <cellStyle name="20% - Accent1 4 3 3 2 2 3 3" xfId="10871"/>
    <cellStyle name="20% - Accent1 4 3 3 2 2 4" xfId="10872"/>
    <cellStyle name="20% - Accent1 4 3 3 2 2 4 2" xfId="10873"/>
    <cellStyle name="20% - Accent1 4 3 3 2 2 5" xfId="10874"/>
    <cellStyle name="20% - Accent1 4 3 3 2 2 6" xfId="10875"/>
    <cellStyle name="20% - Accent1 4 3 3 2 3" xfId="10876"/>
    <cellStyle name="20% - Accent1 4 3 3 2 3 2" xfId="10877"/>
    <cellStyle name="20% - Accent1 4 3 3 2 3 2 2" xfId="10878"/>
    <cellStyle name="20% - Accent1 4 3 3 2 3 2 3" xfId="10879"/>
    <cellStyle name="20% - Accent1 4 3 3 2 3 3" xfId="10880"/>
    <cellStyle name="20% - Accent1 4 3 3 2 3 3 2" xfId="10881"/>
    <cellStyle name="20% - Accent1 4 3 3 2 3 3 3" xfId="10882"/>
    <cellStyle name="20% - Accent1 4 3 3 2 3 4" xfId="10883"/>
    <cellStyle name="20% - Accent1 4 3 3 2 3 4 2" xfId="10884"/>
    <cellStyle name="20% - Accent1 4 3 3 2 3 5" xfId="10885"/>
    <cellStyle name="20% - Accent1 4 3 3 2 3 6" xfId="10886"/>
    <cellStyle name="20% - Accent1 4 3 3 2 4" xfId="10887"/>
    <cellStyle name="20% - Accent1 4 3 3 2 4 2" xfId="10888"/>
    <cellStyle name="20% - Accent1 4 3 3 2 4 2 2" xfId="10889"/>
    <cellStyle name="20% - Accent1 4 3 3 2 4 2 3" xfId="10890"/>
    <cellStyle name="20% - Accent1 4 3 3 2 4 3" xfId="10891"/>
    <cellStyle name="20% - Accent1 4 3 3 2 4 3 2" xfId="10892"/>
    <cellStyle name="20% - Accent1 4 3 3 2 4 4" xfId="10893"/>
    <cellStyle name="20% - Accent1 4 3 3 2 4 5" xfId="10894"/>
    <cellStyle name="20% - Accent1 4 3 3 2 5" xfId="10895"/>
    <cellStyle name="20% - Accent1 4 3 3 2 5 2" xfId="10896"/>
    <cellStyle name="20% - Accent1 4 3 3 2 5 3" xfId="10897"/>
    <cellStyle name="20% - Accent1 4 3 3 2 6" xfId="10898"/>
    <cellStyle name="20% - Accent1 4 3 3 2 6 2" xfId="10899"/>
    <cellStyle name="20% - Accent1 4 3 3 2 6 3" xfId="10900"/>
    <cellStyle name="20% - Accent1 4 3 3 2 7" xfId="10901"/>
    <cellStyle name="20% - Accent1 4 3 3 2 7 2" xfId="10902"/>
    <cellStyle name="20% - Accent1 4 3 3 2 8" xfId="10903"/>
    <cellStyle name="20% - Accent1 4 3 3 2 9" xfId="10904"/>
    <cellStyle name="20% - Accent1 4 3 3 3" xfId="10905"/>
    <cellStyle name="20% - Accent1 4 3 3 3 2" xfId="10906"/>
    <cellStyle name="20% - Accent1 4 3 3 3 2 2" xfId="10907"/>
    <cellStyle name="20% - Accent1 4 3 3 3 2 3" xfId="10908"/>
    <cellStyle name="20% - Accent1 4 3 3 3 3" xfId="10909"/>
    <cellStyle name="20% - Accent1 4 3 3 3 3 2" xfId="10910"/>
    <cellStyle name="20% - Accent1 4 3 3 3 3 3" xfId="10911"/>
    <cellStyle name="20% - Accent1 4 3 3 3 4" xfId="10912"/>
    <cellStyle name="20% - Accent1 4 3 3 3 4 2" xfId="10913"/>
    <cellStyle name="20% - Accent1 4 3 3 3 5" xfId="10914"/>
    <cellStyle name="20% - Accent1 4 3 3 3 6" xfId="10915"/>
    <cellStyle name="20% - Accent1 4 3 3 4" xfId="10916"/>
    <cellStyle name="20% - Accent1 4 3 3 4 2" xfId="10917"/>
    <cellStyle name="20% - Accent1 4 3 3 4 2 2" xfId="10918"/>
    <cellStyle name="20% - Accent1 4 3 3 4 2 3" xfId="10919"/>
    <cellStyle name="20% - Accent1 4 3 3 4 3" xfId="10920"/>
    <cellStyle name="20% - Accent1 4 3 3 4 3 2" xfId="10921"/>
    <cellStyle name="20% - Accent1 4 3 3 4 3 3" xfId="10922"/>
    <cellStyle name="20% - Accent1 4 3 3 4 4" xfId="10923"/>
    <cellStyle name="20% - Accent1 4 3 3 4 4 2" xfId="10924"/>
    <cellStyle name="20% - Accent1 4 3 3 4 5" xfId="10925"/>
    <cellStyle name="20% - Accent1 4 3 3 4 6" xfId="10926"/>
    <cellStyle name="20% - Accent1 4 3 3 5" xfId="10927"/>
    <cellStyle name="20% - Accent1 4 3 3 5 2" xfId="10928"/>
    <cellStyle name="20% - Accent1 4 3 3 5 2 2" xfId="10929"/>
    <cellStyle name="20% - Accent1 4 3 3 5 2 3" xfId="10930"/>
    <cellStyle name="20% - Accent1 4 3 3 5 3" xfId="10931"/>
    <cellStyle name="20% - Accent1 4 3 3 5 3 2" xfId="10932"/>
    <cellStyle name="20% - Accent1 4 3 3 5 4" xfId="10933"/>
    <cellStyle name="20% - Accent1 4 3 3 5 5" xfId="10934"/>
    <cellStyle name="20% - Accent1 4 3 3 6" xfId="10935"/>
    <cellStyle name="20% - Accent1 4 3 3 6 2" xfId="10936"/>
    <cellStyle name="20% - Accent1 4 3 3 6 3" xfId="10937"/>
    <cellStyle name="20% - Accent1 4 3 3 7" xfId="10938"/>
    <cellStyle name="20% - Accent1 4 3 3 7 2" xfId="10939"/>
    <cellStyle name="20% - Accent1 4 3 3 7 3" xfId="10940"/>
    <cellStyle name="20% - Accent1 4 3 3 8" xfId="10941"/>
    <cellStyle name="20% - Accent1 4 3 3 8 2" xfId="10942"/>
    <cellStyle name="20% - Accent1 4 3 3 9" xfId="10943"/>
    <cellStyle name="20% - Accent1 4 3 4" xfId="173"/>
    <cellStyle name="20% - Accent1 4 3 4 2" xfId="10944"/>
    <cellStyle name="20% - Accent1 4 3 4 2 2" xfId="10945"/>
    <cellStyle name="20% - Accent1 4 3 4 2 2 2" xfId="10946"/>
    <cellStyle name="20% - Accent1 4 3 4 2 2 3" xfId="10947"/>
    <cellStyle name="20% - Accent1 4 3 4 2 3" xfId="10948"/>
    <cellStyle name="20% - Accent1 4 3 4 2 3 2" xfId="10949"/>
    <cellStyle name="20% - Accent1 4 3 4 2 3 3" xfId="10950"/>
    <cellStyle name="20% - Accent1 4 3 4 2 4" xfId="10951"/>
    <cellStyle name="20% - Accent1 4 3 4 2 4 2" xfId="10952"/>
    <cellStyle name="20% - Accent1 4 3 4 2 5" xfId="10953"/>
    <cellStyle name="20% - Accent1 4 3 4 2 6" xfId="10954"/>
    <cellStyle name="20% - Accent1 4 3 4 3" xfId="10955"/>
    <cellStyle name="20% - Accent1 4 3 4 3 2" xfId="10956"/>
    <cellStyle name="20% - Accent1 4 3 4 3 2 2" xfId="10957"/>
    <cellStyle name="20% - Accent1 4 3 4 3 2 3" xfId="10958"/>
    <cellStyle name="20% - Accent1 4 3 4 3 3" xfId="10959"/>
    <cellStyle name="20% - Accent1 4 3 4 3 3 2" xfId="10960"/>
    <cellStyle name="20% - Accent1 4 3 4 3 3 3" xfId="10961"/>
    <cellStyle name="20% - Accent1 4 3 4 3 4" xfId="10962"/>
    <cellStyle name="20% - Accent1 4 3 4 3 4 2" xfId="10963"/>
    <cellStyle name="20% - Accent1 4 3 4 3 5" xfId="10964"/>
    <cellStyle name="20% - Accent1 4 3 4 3 6" xfId="10965"/>
    <cellStyle name="20% - Accent1 4 3 4 4" xfId="10966"/>
    <cellStyle name="20% - Accent1 4 3 4 4 2" xfId="10967"/>
    <cellStyle name="20% - Accent1 4 3 4 4 2 2" xfId="10968"/>
    <cellStyle name="20% - Accent1 4 3 4 4 2 3" xfId="10969"/>
    <cellStyle name="20% - Accent1 4 3 4 4 3" xfId="10970"/>
    <cellStyle name="20% - Accent1 4 3 4 4 3 2" xfId="10971"/>
    <cellStyle name="20% - Accent1 4 3 4 4 4" xfId="10972"/>
    <cellStyle name="20% - Accent1 4 3 4 4 5" xfId="10973"/>
    <cellStyle name="20% - Accent1 4 3 4 5" xfId="10974"/>
    <cellStyle name="20% - Accent1 4 3 4 5 2" xfId="10975"/>
    <cellStyle name="20% - Accent1 4 3 4 5 3" xfId="10976"/>
    <cellStyle name="20% - Accent1 4 3 4 6" xfId="10977"/>
    <cellStyle name="20% - Accent1 4 3 4 6 2" xfId="10978"/>
    <cellStyle name="20% - Accent1 4 3 4 6 3" xfId="10979"/>
    <cellStyle name="20% - Accent1 4 3 4 7" xfId="10980"/>
    <cellStyle name="20% - Accent1 4 3 4 7 2" xfId="10981"/>
    <cellStyle name="20% - Accent1 4 3 4 8" xfId="10982"/>
    <cellStyle name="20% - Accent1 4 3 4 9" xfId="10983"/>
    <cellStyle name="20% - Accent1 4 3 5" xfId="10984"/>
    <cellStyle name="20% - Accent1 4 3 5 2" xfId="10985"/>
    <cellStyle name="20% - Accent1 4 3 5 2 2" xfId="10986"/>
    <cellStyle name="20% - Accent1 4 3 5 2 2 2" xfId="10987"/>
    <cellStyle name="20% - Accent1 4 3 5 2 2 3" xfId="10988"/>
    <cellStyle name="20% - Accent1 4 3 5 2 3" xfId="10989"/>
    <cellStyle name="20% - Accent1 4 3 5 2 3 2" xfId="10990"/>
    <cellStyle name="20% - Accent1 4 3 5 2 3 3" xfId="10991"/>
    <cellStyle name="20% - Accent1 4 3 5 2 4" xfId="10992"/>
    <cellStyle name="20% - Accent1 4 3 5 2 4 2" xfId="10993"/>
    <cellStyle name="20% - Accent1 4 3 5 2 5" xfId="10994"/>
    <cellStyle name="20% - Accent1 4 3 5 2 6" xfId="10995"/>
    <cellStyle name="20% - Accent1 4 3 5 3" xfId="10996"/>
    <cellStyle name="20% - Accent1 4 3 5 3 2" xfId="10997"/>
    <cellStyle name="20% - Accent1 4 3 5 3 2 2" xfId="10998"/>
    <cellStyle name="20% - Accent1 4 3 5 3 2 3" xfId="10999"/>
    <cellStyle name="20% - Accent1 4 3 5 3 3" xfId="11000"/>
    <cellStyle name="20% - Accent1 4 3 5 3 3 2" xfId="11001"/>
    <cellStyle name="20% - Accent1 4 3 5 3 3 3" xfId="11002"/>
    <cellStyle name="20% - Accent1 4 3 5 3 4" xfId="11003"/>
    <cellStyle name="20% - Accent1 4 3 5 3 4 2" xfId="11004"/>
    <cellStyle name="20% - Accent1 4 3 5 3 5" xfId="11005"/>
    <cellStyle name="20% - Accent1 4 3 5 3 6" xfId="11006"/>
    <cellStyle name="20% - Accent1 4 3 5 4" xfId="11007"/>
    <cellStyle name="20% - Accent1 4 3 5 4 2" xfId="11008"/>
    <cellStyle name="20% - Accent1 4 3 5 4 2 2" xfId="11009"/>
    <cellStyle name="20% - Accent1 4 3 5 4 2 3" xfId="11010"/>
    <cellStyle name="20% - Accent1 4 3 5 4 3" xfId="11011"/>
    <cellStyle name="20% - Accent1 4 3 5 4 3 2" xfId="11012"/>
    <cellStyle name="20% - Accent1 4 3 5 4 4" xfId="11013"/>
    <cellStyle name="20% - Accent1 4 3 5 4 5" xfId="11014"/>
    <cellStyle name="20% - Accent1 4 3 5 5" xfId="11015"/>
    <cellStyle name="20% - Accent1 4 3 5 5 2" xfId="11016"/>
    <cellStyle name="20% - Accent1 4 3 5 5 3" xfId="11017"/>
    <cellStyle name="20% - Accent1 4 3 5 6" xfId="11018"/>
    <cellStyle name="20% - Accent1 4 3 5 6 2" xfId="11019"/>
    <cellStyle name="20% - Accent1 4 3 5 6 3" xfId="11020"/>
    <cellStyle name="20% - Accent1 4 3 5 7" xfId="11021"/>
    <cellStyle name="20% - Accent1 4 3 5 7 2" xfId="11022"/>
    <cellStyle name="20% - Accent1 4 3 5 8" xfId="11023"/>
    <cellStyle name="20% - Accent1 4 3 5 9" xfId="11024"/>
    <cellStyle name="20% - Accent1 4 3 6" xfId="11025"/>
    <cellStyle name="20% - Accent1 4 3 6 2" xfId="11026"/>
    <cellStyle name="20% - Accent1 4 3 6 2 2" xfId="11027"/>
    <cellStyle name="20% - Accent1 4 3 6 2 3" xfId="11028"/>
    <cellStyle name="20% - Accent1 4 3 6 3" xfId="11029"/>
    <cellStyle name="20% - Accent1 4 3 6 3 2" xfId="11030"/>
    <cellStyle name="20% - Accent1 4 3 6 3 3" xfId="11031"/>
    <cellStyle name="20% - Accent1 4 3 6 4" xfId="11032"/>
    <cellStyle name="20% - Accent1 4 3 6 4 2" xfId="11033"/>
    <cellStyle name="20% - Accent1 4 3 6 5" xfId="11034"/>
    <cellStyle name="20% - Accent1 4 3 6 6" xfId="11035"/>
    <cellStyle name="20% - Accent1 4 3 7" xfId="11036"/>
    <cellStyle name="20% - Accent1 4 3 7 2" xfId="11037"/>
    <cellStyle name="20% - Accent1 4 3 7 2 2" xfId="11038"/>
    <cellStyle name="20% - Accent1 4 3 7 2 3" xfId="11039"/>
    <cellStyle name="20% - Accent1 4 3 7 3" xfId="11040"/>
    <cellStyle name="20% - Accent1 4 3 7 3 2" xfId="11041"/>
    <cellStyle name="20% - Accent1 4 3 7 3 3" xfId="11042"/>
    <cellStyle name="20% - Accent1 4 3 7 4" xfId="11043"/>
    <cellStyle name="20% - Accent1 4 3 7 4 2" xfId="11044"/>
    <cellStyle name="20% - Accent1 4 3 7 5" xfId="11045"/>
    <cellStyle name="20% - Accent1 4 3 7 6" xfId="11046"/>
    <cellStyle name="20% - Accent1 4 3 8" xfId="11047"/>
    <cellStyle name="20% - Accent1 4 3 8 2" xfId="11048"/>
    <cellStyle name="20% - Accent1 4 3 8 2 2" xfId="11049"/>
    <cellStyle name="20% - Accent1 4 3 8 2 3" xfId="11050"/>
    <cellStyle name="20% - Accent1 4 3 8 3" xfId="11051"/>
    <cellStyle name="20% - Accent1 4 3 8 3 2" xfId="11052"/>
    <cellStyle name="20% - Accent1 4 3 8 4" xfId="11053"/>
    <cellStyle name="20% - Accent1 4 3 8 5" xfId="11054"/>
    <cellStyle name="20% - Accent1 4 3 9" xfId="11055"/>
    <cellStyle name="20% - Accent1 4 3 9 2" xfId="11056"/>
    <cellStyle name="20% - Accent1 4 3 9 3" xfId="11057"/>
    <cellStyle name="20% - Accent1 4 4" xfId="174"/>
    <cellStyle name="20% - Accent1 4 4 10" xfId="11058"/>
    <cellStyle name="20% - Accent1 4 4 10 2" xfId="11059"/>
    <cellStyle name="20% - Accent1 4 4 11" xfId="11060"/>
    <cellStyle name="20% - Accent1 4 4 12" xfId="11061"/>
    <cellStyle name="20% - Accent1 4 4 2" xfId="175"/>
    <cellStyle name="20% - Accent1 4 4 2 10" xfId="11062"/>
    <cellStyle name="20% - Accent1 4 4 2 2" xfId="176"/>
    <cellStyle name="20% - Accent1 4 4 2 2 2" xfId="11063"/>
    <cellStyle name="20% - Accent1 4 4 2 2 2 2" xfId="11064"/>
    <cellStyle name="20% - Accent1 4 4 2 2 2 2 2" xfId="11065"/>
    <cellStyle name="20% - Accent1 4 4 2 2 2 2 3" xfId="11066"/>
    <cellStyle name="20% - Accent1 4 4 2 2 2 3" xfId="11067"/>
    <cellStyle name="20% - Accent1 4 4 2 2 2 3 2" xfId="11068"/>
    <cellStyle name="20% - Accent1 4 4 2 2 2 3 3" xfId="11069"/>
    <cellStyle name="20% - Accent1 4 4 2 2 2 4" xfId="11070"/>
    <cellStyle name="20% - Accent1 4 4 2 2 2 4 2" xfId="11071"/>
    <cellStyle name="20% - Accent1 4 4 2 2 2 5" xfId="11072"/>
    <cellStyle name="20% - Accent1 4 4 2 2 2 6" xfId="11073"/>
    <cellStyle name="20% - Accent1 4 4 2 2 3" xfId="11074"/>
    <cellStyle name="20% - Accent1 4 4 2 2 3 2" xfId="11075"/>
    <cellStyle name="20% - Accent1 4 4 2 2 3 2 2" xfId="11076"/>
    <cellStyle name="20% - Accent1 4 4 2 2 3 2 3" xfId="11077"/>
    <cellStyle name="20% - Accent1 4 4 2 2 3 3" xfId="11078"/>
    <cellStyle name="20% - Accent1 4 4 2 2 3 3 2" xfId="11079"/>
    <cellStyle name="20% - Accent1 4 4 2 2 3 3 3" xfId="11080"/>
    <cellStyle name="20% - Accent1 4 4 2 2 3 4" xfId="11081"/>
    <cellStyle name="20% - Accent1 4 4 2 2 3 4 2" xfId="11082"/>
    <cellStyle name="20% - Accent1 4 4 2 2 3 5" xfId="11083"/>
    <cellStyle name="20% - Accent1 4 4 2 2 3 6" xfId="11084"/>
    <cellStyle name="20% - Accent1 4 4 2 2 4" xfId="11085"/>
    <cellStyle name="20% - Accent1 4 4 2 2 4 2" xfId="11086"/>
    <cellStyle name="20% - Accent1 4 4 2 2 4 2 2" xfId="11087"/>
    <cellStyle name="20% - Accent1 4 4 2 2 4 2 3" xfId="11088"/>
    <cellStyle name="20% - Accent1 4 4 2 2 4 3" xfId="11089"/>
    <cellStyle name="20% - Accent1 4 4 2 2 4 3 2" xfId="11090"/>
    <cellStyle name="20% - Accent1 4 4 2 2 4 4" xfId="11091"/>
    <cellStyle name="20% - Accent1 4 4 2 2 4 5" xfId="11092"/>
    <cellStyle name="20% - Accent1 4 4 2 2 5" xfId="11093"/>
    <cellStyle name="20% - Accent1 4 4 2 2 5 2" xfId="11094"/>
    <cellStyle name="20% - Accent1 4 4 2 2 5 3" xfId="11095"/>
    <cellStyle name="20% - Accent1 4 4 2 2 6" xfId="11096"/>
    <cellStyle name="20% - Accent1 4 4 2 2 6 2" xfId="11097"/>
    <cellStyle name="20% - Accent1 4 4 2 2 6 3" xfId="11098"/>
    <cellStyle name="20% - Accent1 4 4 2 2 7" xfId="11099"/>
    <cellStyle name="20% - Accent1 4 4 2 2 7 2" xfId="11100"/>
    <cellStyle name="20% - Accent1 4 4 2 2 8" xfId="11101"/>
    <cellStyle name="20% - Accent1 4 4 2 2 9" xfId="11102"/>
    <cellStyle name="20% - Accent1 4 4 2 3" xfId="11103"/>
    <cellStyle name="20% - Accent1 4 4 2 3 2" xfId="11104"/>
    <cellStyle name="20% - Accent1 4 4 2 3 2 2" xfId="11105"/>
    <cellStyle name="20% - Accent1 4 4 2 3 2 3" xfId="11106"/>
    <cellStyle name="20% - Accent1 4 4 2 3 3" xfId="11107"/>
    <cellStyle name="20% - Accent1 4 4 2 3 3 2" xfId="11108"/>
    <cellStyle name="20% - Accent1 4 4 2 3 3 3" xfId="11109"/>
    <cellStyle name="20% - Accent1 4 4 2 3 4" xfId="11110"/>
    <cellStyle name="20% - Accent1 4 4 2 3 4 2" xfId="11111"/>
    <cellStyle name="20% - Accent1 4 4 2 3 5" xfId="11112"/>
    <cellStyle name="20% - Accent1 4 4 2 3 6" xfId="11113"/>
    <cellStyle name="20% - Accent1 4 4 2 4" xfId="11114"/>
    <cellStyle name="20% - Accent1 4 4 2 4 2" xfId="11115"/>
    <cellStyle name="20% - Accent1 4 4 2 4 2 2" xfId="11116"/>
    <cellStyle name="20% - Accent1 4 4 2 4 2 3" xfId="11117"/>
    <cellStyle name="20% - Accent1 4 4 2 4 3" xfId="11118"/>
    <cellStyle name="20% - Accent1 4 4 2 4 3 2" xfId="11119"/>
    <cellStyle name="20% - Accent1 4 4 2 4 3 3" xfId="11120"/>
    <cellStyle name="20% - Accent1 4 4 2 4 4" xfId="11121"/>
    <cellStyle name="20% - Accent1 4 4 2 4 4 2" xfId="11122"/>
    <cellStyle name="20% - Accent1 4 4 2 4 5" xfId="11123"/>
    <cellStyle name="20% - Accent1 4 4 2 4 6" xfId="11124"/>
    <cellStyle name="20% - Accent1 4 4 2 5" xfId="11125"/>
    <cellStyle name="20% - Accent1 4 4 2 5 2" xfId="11126"/>
    <cellStyle name="20% - Accent1 4 4 2 5 2 2" xfId="11127"/>
    <cellStyle name="20% - Accent1 4 4 2 5 2 3" xfId="11128"/>
    <cellStyle name="20% - Accent1 4 4 2 5 3" xfId="11129"/>
    <cellStyle name="20% - Accent1 4 4 2 5 3 2" xfId="11130"/>
    <cellStyle name="20% - Accent1 4 4 2 5 4" xfId="11131"/>
    <cellStyle name="20% - Accent1 4 4 2 5 5" xfId="11132"/>
    <cellStyle name="20% - Accent1 4 4 2 6" xfId="11133"/>
    <cellStyle name="20% - Accent1 4 4 2 6 2" xfId="11134"/>
    <cellStyle name="20% - Accent1 4 4 2 6 3" xfId="11135"/>
    <cellStyle name="20% - Accent1 4 4 2 7" xfId="11136"/>
    <cellStyle name="20% - Accent1 4 4 2 7 2" xfId="11137"/>
    <cellStyle name="20% - Accent1 4 4 2 7 3" xfId="11138"/>
    <cellStyle name="20% - Accent1 4 4 2 8" xfId="11139"/>
    <cellStyle name="20% - Accent1 4 4 2 8 2" xfId="11140"/>
    <cellStyle name="20% - Accent1 4 4 2 9" xfId="11141"/>
    <cellStyle name="20% - Accent1 4 4 3" xfId="177"/>
    <cellStyle name="20% - Accent1 4 4 3 2" xfId="11142"/>
    <cellStyle name="20% - Accent1 4 4 3 2 2" xfId="11143"/>
    <cellStyle name="20% - Accent1 4 4 3 2 2 2" xfId="11144"/>
    <cellStyle name="20% - Accent1 4 4 3 2 2 3" xfId="11145"/>
    <cellStyle name="20% - Accent1 4 4 3 2 3" xfId="11146"/>
    <cellStyle name="20% - Accent1 4 4 3 2 3 2" xfId="11147"/>
    <cellStyle name="20% - Accent1 4 4 3 2 3 3" xfId="11148"/>
    <cellStyle name="20% - Accent1 4 4 3 2 4" xfId="11149"/>
    <cellStyle name="20% - Accent1 4 4 3 2 4 2" xfId="11150"/>
    <cellStyle name="20% - Accent1 4 4 3 2 5" xfId="11151"/>
    <cellStyle name="20% - Accent1 4 4 3 2 6" xfId="11152"/>
    <cellStyle name="20% - Accent1 4 4 3 3" xfId="11153"/>
    <cellStyle name="20% - Accent1 4 4 3 3 2" xfId="11154"/>
    <cellStyle name="20% - Accent1 4 4 3 3 2 2" xfId="11155"/>
    <cellStyle name="20% - Accent1 4 4 3 3 2 3" xfId="11156"/>
    <cellStyle name="20% - Accent1 4 4 3 3 3" xfId="11157"/>
    <cellStyle name="20% - Accent1 4 4 3 3 3 2" xfId="11158"/>
    <cellStyle name="20% - Accent1 4 4 3 3 3 3" xfId="11159"/>
    <cellStyle name="20% - Accent1 4 4 3 3 4" xfId="11160"/>
    <cellStyle name="20% - Accent1 4 4 3 3 4 2" xfId="11161"/>
    <cellStyle name="20% - Accent1 4 4 3 3 5" xfId="11162"/>
    <cellStyle name="20% - Accent1 4 4 3 3 6" xfId="11163"/>
    <cellStyle name="20% - Accent1 4 4 3 4" xfId="11164"/>
    <cellStyle name="20% - Accent1 4 4 3 4 2" xfId="11165"/>
    <cellStyle name="20% - Accent1 4 4 3 4 2 2" xfId="11166"/>
    <cellStyle name="20% - Accent1 4 4 3 4 2 3" xfId="11167"/>
    <cellStyle name="20% - Accent1 4 4 3 4 3" xfId="11168"/>
    <cellStyle name="20% - Accent1 4 4 3 4 3 2" xfId="11169"/>
    <cellStyle name="20% - Accent1 4 4 3 4 4" xfId="11170"/>
    <cellStyle name="20% - Accent1 4 4 3 4 5" xfId="11171"/>
    <cellStyle name="20% - Accent1 4 4 3 5" xfId="11172"/>
    <cellStyle name="20% - Accent1 4 4 3 5 2" xfId="11173"/>
    <cellStyle name="20% - Accent1 4 4 3 5 3" xfId="11174"/>
    <cellStyle name="20% - Accent1 4 4 3 6" xfId="11175"/>
    <cellStyle name="20% - Accent1 4 4 3 6 2" xfId="11176"/>
    <cellStyle name="20% - Accent1 4 4 3 6 3" xfId="11177"/>
    <cellStyle name="20% - Accent1 4 4 3 7" xfId="11178"/>
    <cellStyle name="20% - Accent1 4 4 3 7 2" xfId="11179"/>
    <cellStyle name="20% - Accent1 4 4 3 8" xfId="11180"/>
    <cellStyle name="20% - Accent1 4 4 3 9" xfId="11181"/>
    <cellStyle name="20% - Accent1 4 4 4" xfId="11182"/>
    <cellStyle name="20% - Accent1 4 4 4 2" xfId="11183"/>
    <cellStyle name="20% - Accent1 4 4 4 2 2" xfId="11184"/>
    <cellStyle name="20% - Accent1 4 4 4 2 2 2" xfId="11185"/>
    <cellStyle name="20% - Accent1 4 4 4 2 2 3" xfId="11186"/>
    <cellStyle name="20% - Accent1 4 4 4 2 3" xfId="11187"/>
    <cellStyle name="20% - Accent1 4 4 4 2 3 2" xfId="11188"/>
    <cellStyle name="20% - Accent1 4 4 4 2 3 3" xfId="11189"/>
    <cellStyle name="20% - Accent1 4 4 4 2 4" xfId="11190"/>
    <cellStyle name="20% - Accent1 4 4 4 2 4 2" xfId="11191"/>
    <cellStyle name="20% - Accent1 4 4 4 2 5" xfId="11192"/>
    <cellStyle name="20% - Accent1 4 4 4 2 6" xfId="11193"/>
    <cellStyle name="20% - Accent1 4 4 4 3" xfId="11194"/>
    <cellStyle name="20% - Accent1 4 4 4 3 2" xfId="11195"/>
    <cellStyle name="20% - Accent1 4 4 4 3 2 2" xfId="11196"/>
    <cellStyle name="20% - Accent1 4 4 4 3 2 3" xfId="11197"/>
    <cellStyle name="20% - Accent1 4 4 4 3 3" xfId="11198"/>
    <cellStyle name="20% - Accent1 4 4 4 3 3 2" xfId="11199"/>
    <cellStyle name="20% - Accent1 4 4 4 3 3 3" xfId="11200"/>
    <cellStyle name="20% - Accent1 4 4 4 3 4" xfId="11201"/>
    <cellStyle name="20% - Accent1 4 4 4 3 4 2" xfId="11202"/>
    <cellStyle name="20% - Accent1 4 4 4 3 5" xfId="11203"/>
    <cellStyle name="20% - Accent1 4 4 4 3 6" xfId="11204"/>
    <cellStyle name="20% - Accent1 4 4 4 4" xfId="11205"/>
    <cellStyle name="20% - Accent1 4 4 4 4 2" xfId="11206"/>
    <cellStyle name="20% - Accent1 4 4 4 4 2 2" xfId="11207"/>
    <cellStyle name="20% - Accent1 4 4 4 4 2 3" xfId="11208"/>
    <cellStyle name="20% - Accent1 4 4 4 4 3" xfId="11209"/>
    <cellStyle name="20% - Accent1 4 4 4 4 3 2" xfId="11210"/>
    <cellStyle name="20% - Accent1 4 4 4 4 4" xfId="11211"/>
    <cellStyle name="20% - Accent1 4 4 4 4 5" xfId="11212"/>
    <cellStyle name="20% - Accent1 4 4 4 5" xfId="11213"/>
    <cellStyle name="20% - Accent1 4 4 4 5 2" xfId="11214"/>
    <cellStyle name="20% - Accent1 4 4 4 5 3" xfId="11215"/>
    <cellStyle name="20% - Accent1 4 4 4 6" xfId="11216"/>
    <cellStyle name="20% - Accent1 4 4 4 6 2" xfId="11217"/>
    <cellStyle name="20% - Accent1 4 4 4 6 3" xfId="11218"/>
    <cellStyle name="20% - Accent1 4 4 4 7" xfId="11219"/>
    <cellStyle name="20% - Accent1 4 4 4 7 2" xfId="11220"/>
    <cellStyle name="20% - Accent1 4 4 4 8" xfId="11221"/>
    <cellStyle name="20% - Accent1 4 4 4 9" xfId="11222"/>
    <cellStyle name="20% - Accent1 4 4 5" xfId="11223"/>
    <cellStyle name="20% - Accent1 4 4 5 2" xfId="11224"/>
    <cellStyle name="20% - Accent1 4 4 5 2 2" xfId="11225"/>
    <cellStyle name="20% - Accent1 4 4 5 2 3" xfId="11226"/>
    <cellStyle name="20% - Accent1 4 4 5 3" xfId="11227"/>
    <cellStyle name="20% - Accent1 4 4 5 3 2" xfId="11228"/>
    <cellStyle name="20% - Accent1 4 4 5 3 3" xfId="11229"/>
    <cellStyle name="20% - Accent1 4 4 5 4" xfId="11230"/>
    <cellStyle name="20% - Accent1 4 4 5 4 2" xfId="11231"/>
    <cellStyle name="20% - Accent1 4 4 5 5" xfId="11232"/>
    <cellStyle name="20% - Accent1 4 4 5 6" xfId="11233"/>
    <cellStyle name="20% - Accent1 4 4 6" xfId="11234"/>
    <cellStyle name="20% - Accent1 4 4 6 2" xfId="11235"/>
    <cellStyle name="20% - Accent1 4 4 6 2 2" xfId="11236"/>
    <cellStyle name="20% - Accent1 4 4 6 2 3" xfId="11237"/>
    <cellStyle name="20% - Accent1 4 4 6 3" xfId="11238"/>
    <cellStyle name="20% - Accent1 4 4 6 3 2" xfId="11239"/>
    <cellStyle name="20% - Accent1 4 4 6 3 3" xfId="11240"/>
    <cellStyle name="20% - Accent1 4 4 6 4" xfId="11241"/>
    <cellStyle name="20% - Accent1 4 4 6 4 2" xfId="11242"/>
    <cellStyle name="20% - Accent1 4 4 6 5" xfId="11243"/>
    <cellStyle name="20% - Accent1 4 4 6 6" xfId="11244"/>
    <cellStyle name="20% - Accent1 4 4 7" xfId="11245"/>
    <cellStyle name="20% - Accent1 4 4 7 2" xfId="11246"/>
    <cellStyle name="20% - Accent1 4 4 7 2 2" xfId="11247"/>
    <cellStyle name="20% - Accent1 4 4 7 2 3" xfId="11248"/>
    <cellStyle name="20% - Accent1 4 4 7 3" xfId="11249"/>
    <cellStyle name="20% - Accent1 4 4 7 3 2" xfId="11250"/>
    <cellStyle name="20% - Accent1 4 4 7 4" xfId="11251"/>
    <cellStyle name="20% - Accent1 4 4 7 5" xfId="11252"/>
    <cellStyle name="20% - Accent1 4 4 8" xfId="11253"/>
    <cellStyle name="20% - Accent1 4 4 8 2" xfId="11254"/>
    <cellStyle name="20% - Accent1 4 4 8 3" xfId="11255"/>
    <cellStyle name="20% - Accent1 4 4 9" xfId="11256"/>
    <cellStyle name="20% - Accent1 4 4 9 2" xfId="11257"/>
    <cellStyle name="20% - Accent1 4 4 9 3" xfId="11258"/>
    <cellStyle name="20% - Accent1 4 5" xfId="178"/>
    <cellStyle name="20% - Accent1 4 5 10" xfId="11259"/>
    <cellStyle name="20% - Accent1 4 5 2" xfId="179"/>
    <cellStyle name="20% - Accent1 4 5 2 2" xfId="11260"/>
    <cellStyle name="20% - Accent1 4 5 2 2 2" xfId="11261"/>
    <cellStyle name="20% - Accent1 4 5 2 2 2 2" xfId="11262"/>
    <cellStyle name="20% - Accent1 4 5 2 2 2 3" xfId="11263"/>
    <cellStyle name="20% - Accent1 4 5 2 2 3" xfId="11264"/>
    <cellStyle name="20% - Accent1 4 5 2 2 3 2" xfId="11265"/>
    <cellStyle name="20% - Accent1 4 5 2 2 3 3" xfId="11266"/>
    <cellStyle name="20% - Accent1 4 5 2 2 4" xfId="11267"/>
    <cellStyle name="20% - Accent1 4 5 2 2 4 2" xfId="11268"/>
    <cellStyle name="20% - Accent1 4 5 2 2 5" xfId="11269"/>
    <cellStyle name="20% - Accent1 4 5 2 2 6" xfId="11270"/>
    <cellStyle name="20% - Accent1 4 5 2 3" xfId="11271"/>
    <cellStyle name="20% - Accent1 4 5 2 3 2" xfId="11272"/>
    <cellStyle name="20% - Accent1 4 5 2 3 2 2" xfId="11273"/>
    <cellStyle name="20% - Accent1 4 5 2 3 2 3" xfId="11274"/>
    <cellStyle name="20% - Accent1 4 5 2 3 3" xfId="11275"/>
    <cellStyle name="20% - Accent1 4 5 2 3 3 2" xfId="11276"/>
    <cellStyle name="20% - Accent1 4 5 2 3 3 3" xfId="11277"/>
    <cellStyle name="20% - Accent1 4 5 2 3 4" xfId="11278"/>
    <cellStyle name="20% - Accent1 4 5 2 3 4 2" xfId="11279"/>
    <cellStyle name="20% - Accent1 4 5 2 3 5" xfId="11280"/>
    <cellStyle name="20% - Accent1 4 5 2 3 6" xfId="11281"/>
    <cellStyle name="20% - Accent1 4 5 2 4" xfId="11282"/>
    <cellStyle name="20% - Accent1 4 5 2 4 2" xfId="11283"/>
    <cellStyle name="20% - Accent1 4 5 2 4 2 2" xfId="11284"/>
    <cellStyle name="20% - Accent1 4 5 2 4 2 3" xfId="11285"/>
    <cellStyle name="20% - Accent1 4 5 2 4 3" xfId="11286"/>
    <cellStyle name="20% - Accent1 4 5 2 4 3 2" xfId="11287"/>
    <cellStyle name="20% - Accent1 4 5 2 4 4" xfId="11288"/>
    <cellStyle name="20% - Accent1 4 5 2 4 5" xfId="11289"/>
    <cellStyle name="20% - Accent1 4 5 2 5" xfId="11290"/>
    <cellStyle name="20% - Accent1 4 5 2 5 2" xfId="11291"/>
    <cellStyle name="20% - Accent1 4 5 2 5 3" xfId="11292"/>
    <cellStyle name="20% - Accent1 4 5 2 6" xfId="11293"/>
    <cellStyle name="20% - Accent1 4 5 2 6 2" xfId="11294"/>
    <cellStyle name="20% - Accent1 4 5 2 6 3" xfId="11295"/>
    <cellStyle name="20% - Accent1 4 5 2 7" xfId="11296"/>
    <cellStyle name="20% - Accent1 4 5 2 7 2" xfId="11297"/>
    <cellStyle name="20% - Accent1 4 5 2 8" xfId="11298"/>
    <cellStyle name="20% - Accent1 4 5 2 9" xfId="11299"/>
    <cellStyle name="20% - Accent1 4 5 3" xfId="11300"/>
    <cellStyle name="20% - Accent1 4 5 3 2" xfId="11301"/>
    <cellStyle name="20% - Accent1 4 5 3 2 2" xfId="11302"/>
    <cellStyle name="20% - Accent1 4 5 3 2 3" xfId="11303"/>
    <cellStyle name="20% - Accent1 4 5 3 3" xfId="11304"/>
    <cellStyle name="20% - Accent1 4 5 3 3 2" xfId="11305"/>
    <cellStyle name="20% - Accent1 4 5 3 3 3" xfId="11306"/>
    <cellStyle name="20% - Accent1 4 5 3 4" xfId="11307"/>
    <cellStyle name="20% - Accent1 4 5 3 4 2" xfId="11308"/>
    <cellStyle name="20% - Accent1 4 5 3 5" xfId="11309"/>
    <cellStyle name="20% - Accent1 4 5 3 6" xfId="11310"/>
    <cellStyle name="20% - Accent1 4 5 4" xfId="11311"/>
    <cellStyle name="20% - Accent1 4 5 4 2" xfId="11312"/>
    <cellStyle name="20% - Accent1 4 5 4 2 2" xfId="11313"/>
    <cellStyle name="20% - Accent1 4 5 4 2 3" xfId="11314"/>
    <cellStyle name="20% - Accent1 4 5 4 3" xfId="11315"/>
    <cellStyle name="20% - Accent1 4 5 4 3 2" xfId="11316"/>
    <cellStyle name="20% - Accent1 4 5 4 3 3" xfId="11317"/>
    <cellStyle name="20% - Accent1 4 5 4 4" xfId="11318"/>
    <cellStyle name="20% - Accent1 4 5 4 4 2" xfId="11319"/>
    <cellStyle name="20% - Accent1 4 5 4 5" xfId="11320"/>
    <cellStyle name="20% - Accent1 4 5 4 6" xfId="11321"/>
    <cellStyle name="20% - Accent1 4 5 5" xfId="11322"/>
    <cellStyle name="20% - Accent1 4 5 5 2" xfId="11323"/>
    <cellStyle name="20% - Accent1 4 5 5 2 2" xfId="11324"/>
    <cellStyle name="20% - Accent1 4 5 5 2 3" xfId="11325"/>
    <cellStyle name="20% - Accent1 4 5 5 3" xfId="11326"/>
    <cellStyle name="20% - Accent1 4 5 5 3 2" xfId="11327"/>
    <cellStyle name="20% - Accent1 4 5 5 4" xfId="11328"/>
    <cellStyle name="20% - Accent1 4 5 5 5" xfId="11329"/>
    <cellStyle name="20% - Accent1 4 5 6" xfId="11330"/>
    <cellStyle name="20% - Accent1 4 5 6 2" xfId="11331"/>
    <cellStyle name="20% - Accent1 4 5 6 3" xfId="11332"/>
    <cellStyle name="20% - Accent1 4 5 7" xfId="11333"/>
    <cellStyle name="20% - Accent1 4 5 7 2" xfId="11334"/>
    <cellStyle name="20% - Accent1 4 5 7 3" xfId="11335"/>
    <cellStyle name="20% - Accent1 4 5 8" xfId="11336"/>
    <cellStyle name="20% - Accent1 4 5 8 2" xfId="11337"/>
    <cellStyle name="20% - Accent1 4 5 9" xfId="11338"/>
    <cellStyle name="20% - Accent1 4 6" xfId="180"/>
    <cellStyle name="20% - Accent1 4 6 2" xfId="11339"/>
    <cellStyle name="20% - Accent1 4 6 2 2" xfId="11340"/>
    <cellStyle name="20% - Accent1 4 6 2 2 2" xfId="11341"/>
    <cellStyle name="20% - Accent1 4 6 2 2 3" xfId="11342"/>
    <cellStyle name="20% - Accent1 4 6 2 3" xfId="11343"/>
    <cellStyle name="20% - Accent1 4 6 2 3 2" xfId="11344"/>
    <cellStyle name="20% - Accent1 4 6 2 3 3" xfId="11345"/>
    <cellStyle name="20% - Accent1 4 6 2 4" xfId="11346"/>
    <cellStyle name="20% - Accent1 4 6 2 4 2" xfId="11347"/>
    <cellStyle name="20% - Accent1 4 6 2 5" xfId="11348"/>
    <cellStyle name="20% - Accent1 4 6 2 6" xfId="11349"/>
    <cellStyle name="20% - Accent1 4 6 3" xfId="11350"/>
    <cellStyle name="20% - Accent1 4 6 3 2" xfId="11351"/>
    <cellStyle name="20% - Accent1 4 6 3 2 2" xfId="11352"/>
    <cellStyle name="20% - Accent1 4 6 3 2 3" xfId="11353"/>
    <cellStyle name="20% - Accent1 4 6 3 3" xfId="11354"/>
    <cellStyle name="20% - Accent1 4 6 3 3 2" xfId="11355"/>
    <cellStyle name="20% - Accent1 4 6 3 3 3" xfId="11356"/>
    <cellStyle name="20% - Accent1 4 6 3 4" xfId="11357"/>
    <cellStyle name="20% - Accent1 4 6 3 4 2" xfId="11358"/>
    <cellStyle name="20% - Accent1 4 6 3 5" xfId="11359"/>
    <cellStyle name="20% - Accent1 4 6 3 6" xfId="11360"/>
    <cellStyle name="20% - Accent1 4 6 4" xfId="11361"/>
    <cellStyle name="20% - Accent1 4 6 4 2" xfId="11362"/>
    <cellStyle name="20% - Accent1 4 6 4 2 2" xfId="11363"/>
    <cellStyle name="20% - Accent1 4 6 4 2 3" xfId="11364"/>
    <cellStyle name="20% - Accent1 4 6 4 3" xfId="11365"/>
    <cellStyle name="20% - Accent1 4 6 4 3 2" xfId="11366"/>
    <cellStyle name="20% - Accent1 4 6 4 4" xfId="11367"/>
    <cellStyle name="20% - Accent1 4 6 4 5" xfId="11368"/>
    <cellStyle name="20% - Accent1 4 6 5" xfId="11369"/>
    <cellStyle name="20% - Accent1 4 6 5 2" xfId="11370"/>
    <cellStyle name="20% - Accent1 4 6 5 3" xfId="11371"/>
    <cellStyle name="20% - Accent1 4 6 6" xfId="11372"/>
    <cellStyle name="20% - Accent1 4 6 6 2" xfId="11373"/>
    <cellStyle name="20% - Accent1 4 6 6 3" xfId="11374"/>
    <cellStyle name="20% - Accent1 4 6 7" xfId="11375"/>
    <cellStyle name="20% - Accent1 4 6 7 2" xfId="11376"/>
    <cellStyle name="20% - Accent1 4 6 8" xfId="11377"/>
    <cellStyle name="20% - Accent1 4 6 9" xfId="11378"/>
    <cellStyle name="20% - Accent1 4 7" xfId="8842"/>
    <cellStyle name="20% - Accent1 4 7 2" xfId="11379"/>
    <cellStyle name="20% - Accent1 4 7 2 2" xfId="11380"/>
    <cellStyle name="20% - Accent1 4 7 2 2 2" xfId="11381"/>
    <cellStyle name="20% - Accent1 4 7 2 2 3" xfId="11382"/>
    <cellStyle name="20% - Accent1 4 7 2 3" xfId="11383"/>
    <cellStyle name="20% - Accent1 4 7 2 3 2" xfId="11384"/>
    <cellStyle name="20% - Accent1 4 7 2 3 3" xfId="11385"/>
    <cellStyle name="20% - Accent1 4 7 2 4" xfId="11386"/>
    <cellStyle name="20% - Accent1 4 7 2 4 2" xfId="11387"/>
    <cellStyle name="20% - Accent1 4 7 2 5" xfId="11388"/>
    <cellStyle name="20% - Accent1 4 7 2 6" xfId="11389"/>
    <cellStyle name="20% - Accent1 4 7 3" xfId="11390"/>
    <cellStyle name="20% - Accent1 4 7 3 2" xfId="11391"/>
    <cellStyle name="20% - Accent1 4 7 3 2 2" xfId="11392"/>
    <cellStyle name="20% - Accent1 4 7 3 2 3" xfId="11393"/>
    <cellStyle name="20% - Accent1 4 7 3 3" xfId="11394"/>
    <cellStyle name="20% - Accent1 4 7 3 3 2" xfId="11395"/>
    <cellStyle name="20% - Accent1 4 7 3 3 3" xfId="11396"/>
    <cellStyle name="20% - Accent1 4 7 3 4" xfId="11397"/>
    <cellStyle name="20% - Accent1 4 7 3 4 2" xfId="11398"/>
    <cellStyle name="20% - Accent1 4 7 3 5" xfId="11399"/>
    <cellStyle name="20% - Accent1 4 7 3 6" xfId="11400"/>
    <cellStyle name="20% - Accent1 4 7 4" xfId="11401"/>
    <cellStyle name="20% - Accent1 4 7 4 2" xfId="11402"/>
    <cellStyle name="20% - Accent1 4 7 4 2 2" xfId="11403"/>
    <cellStyle name="20% - Accent1 4 7 4 2 3" xfId="11404"/>
    <cellStyle name="20% - Accent1 4 7 4 3" xfId="11405"/>
    <cellStyle name="20% - Accent1 4 7 4 3 2" xfId="11406"/>
    <cellStyle name="20% - Accent1 4 7 4 4" xfId="11407"/>
    <cellStyle name="20% - Accent1 4 7 4 5" xfId="11408"/>
    <cellStyle name="20% - Accent1 4 7 5" xfId="11409"/>
    <cellStyle name="20% - Accent1 4 7 5 2" xfId="11410"/>
    <cellStyle name="20% - Accent1 4 7 5 3" xfId="11411"/>
    <cellStyle name="20% - Accent1 4 7 6" xfId="11412"/>
    <cellStyle name="20% - Accent1 4 7 6 2" xfId="11413"/>
    <cellStyle name="20% - Accent1 4 7 6 3" xfId="11414"/>
    <cellStyle name="20% - Accent1 4 7 7" xfId="11415"/>
    <cellStyle name="20% - Accent1 4 7 7 2" xfId="11416"/>
    <cellStyle name="20% - Accent1 4 7 8" xfId="11417"/>
    <cellStyle name="20% - Accent1 4 7 9" xfId="11418"/>
    <cellStyle name="20% - Accent1 4 8" xfId="11419"/>
    <cellStyle name="20% - Accent1 4 8 2" xfId="11420"/>
    <cellStyle name="20% - Accent1 4 8 2 2" xfId="11421"/>
    <cellStyle name="20% - Accent1 4 8 2 3" xfId="11422"/>
    <cellStyle name="20% - Accent1 4 8 3" xfId="11423"/>
    <cellStyle name="20% - Accent1 4 8 3 2" xfId="11424"/>
    <cellStyle name="20% - Accent1 4 8 3 3" xfId="11425"/>
    <cellStyle name="20% - Accent1 4 8 4" xfId="11426"/>
    <cellStyle name="20% - Accent1 4 8 4 2" xfId="11427"/>
    <cellStyle name="20% - Accent1 4 8 5" xfId="11428"/>
    <cellStyle name="20% - Accent1 4 8 6" xfId="11429"/>
    <cellStyle name="20% - Accent1 4 9" xfId="11430"/>
    <cellStyle name="20% - Accent1 4 9 2" xfId="11431"/>
    <cellStyle name="20% - Accent1 4 9 2 2" xfId="11432"/>
    <cellStyle name="20% - Accent1 4 9 2 3" xfId="11433"/>
    <cellStyle name="20% - Accent1 4 9 3" xfId="11434"/>
    <cellStyle name="20% - Accent1 4 9 3 2" xfId="11435"/>
    <cellStyle name="20% - Accent1 4 9 3 3" xfId="11436"/>
    <cellStyle name="20% - Accent1 4 9 4" xfId="11437"/>
    <cellStyle name="20% - Accent1 4 9 4 2" xfId="11438"/>
    <cellStyle name="20% - Accent1 4 9 5" xfId="11439"/>
    <cellStyle name="20% - Accent1 4 9 6" xfId="11440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44"/>
    <cellStyle name="20% - Accent2 15" xfId="11441"/>
    <cellStyle name="20% - Accent2 16" xfId="11442"/>
    <cellStyle name="20% - Accent2 17" xfId="11443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4"/>
    <cellStyle name="20% - Accent2 4 10 2" xfId="11445"/>
    <cellStyle name="20% - Accent2 4 10 2 2" xfId="11446"/>
    <cellStyle name="20% - Accent2 4 10 2 3" xfId="11447"/>
    <cellStyle name="20% - Accent2 4 10 3" xfId="11448"/>
    <cellStyle name="20% - Accent2 4 10 3 2" xfId="11449"/>
    <cellStyle name="20% - Accent2 4 10 4" xfId="11450"/>
    <cellStyle name="20% - Accent2 4 10 5" xfId="11451"/>
    <cellStyle name="20% - Accent2 4 11" xfId="11452"/>
    <cellStyle name="20% - Accent2 4 11 2" xfId="11453"/>
    <cellStyle name="20% - Accent2 4 11 3" xfId="11454"/>
    <cellStyle name="20% - Accent2 4 12" xfId="11455"/>
    <cellStyle name="20% - Accent2 4 12 2" xfId="11456"/>
    <cellStyle name="20% - Accent2 4 12 3" xfId="11457"/>
    <cellStyle name="20% - Accent2 4 13" xfId="11458"/>
    <cellStyle name="20% - Accent2 4 13 2" xfId="11459"/>
    <cellStyle name="20% - Accent2 4 14" xfId="11460"/>
    <cellStyle name="20% - Accent2 4 15" xfId="11461"/>
    <cellStyle name="20% - Accent2 4 16" xfId="11462"/>
    <cellStyle name="20% - Accent2 4 2" xfId="367"/>
    <cellStyle name="20% - Accent2 4 2 10" xfId="11463"/>
    <cellStyle name="20% - Accent2 4 2 10 2" xfId="11464"/>
    <cellStyle name="20% - Accent2 4 2 10 3" xfId="11465"/>
    <cellStyle name="20% - Accent2 4 2 11" xfId="11466"/>
    <cellStyle name="20% - Accent2 4 2 11 2" xfId="11467"/>
    <cellStyle name="20% - Accent2 4 2 11 3" xfId="11468"/>
    <cellStyle name="20% - Accent2 4 2 12" xfId="11469"/>
    <cellStyle name="20% - Accent2 4 2 12 2" xfId="11470"/>
    <cellStyle name="20% - Accent2 4 2 13" xfId="11471"/>
    <cellStyle name="20% - Accent2 4 2 14" xfId="11472"/>
    <cellStyle name="20% - Accent2 4 2 15" xfId="11473"/>
    <cellStyle name="20% - Accent2 4 2 2" xfId="368"/>
    <cellStyle name="20% - Accent2 4 2 2 10" xfId="11474"/>
    <cellStyle name="20% - Accent2 4 2 2 10 2" xfId="11475"/>
    <cellStyle name="20% - Accent2 4 2 2 10 3" xfId="11476"/>
    <cellStyle name="20% - Accent2 4 2 2 11" xfId="11477"/>
    <cellStyle name="20% - Accent2 4 2 2 11 2" xfId="11478"/>
    <cellStyle name="20% - Accent2 4 2 2 12" xfId="11479"/>
    <cellStyle name="20% - Accent2 4 2 2 13" xfId="11480"/>
    <cellStyle name="20% - Accent2 4 2 2 2" xfId="369"/>
    <cellStyle name="20% - Accent2 4 2 2 2 10" xfId="11481"/>
    <cellStyle name="20% - Accent2 4 2 2 2 10 2" xfId="11482"/>
    <cellStyle name="20% - Accent2 4 2 2 2 11" xfId="11483"/>
    <cellStyle name="20% - Accent2 4 2 2 2 12" xfId="11484"/>
    <cellStyle name="20% - Accent2 4 2 2 2 2" xfId="370"/>
    <cellStyle name="20% - Accent2 4 2 2 2 2 10" xfId="11485"/>
    <cellStyle name="20% - Accent2 4 2 2 2 2 2" xfId="371"/>
    <cellStyle name="20% - Accent2 4 2 2 2 2 2 2" xfId="11486"/>
    <cellStyle name="20% - Accent2 4 2 2 2 2 2 2 2" xfId="11487"/>
    <cellStyle name="20% - Accent2 4 2 2 2 2 2 2 2 2" xfId="11488"/>
    <cellStyle name="20% - Accent2 4 2 2 2 2 2 2 2 3" xfId="11489"/>
    <cellStyle name="20% - Accent2 4 2 2 2 2 2 2 3" xfId="11490"/>
    <cellStyle name="20% - Accent2 4 2 2 2 2 2 2 3 2" xfId="11491"/>
    <cellStyle name="20% - Accent2 4 2 2 2 2 2 2 3 3" xfId="11492"/>
    <cellStyle name="20% - Accent2 4 2 2 2 2 2 2 4" xfId="11493"/>
    <cellStyle name="20% - Accent2 4 2 2 2 2 2 2 4 2" xfId="11494"/>
    <cellStyle name="20% - Accent2 4 2 2 2 2 2 2 5" xfId="11495"/>
    <cellStyle name="20% - Accent2 4 2 2 2 2 2 2 6" xfId="11496"/>
    <cellStyle name="20% - Accent2 4 2 2 2 2 2 3" xfId="11497"/>
    <cellStyle name="20% - Accent2 4 2 2 2 2 2 3 2" xfId="11498"/>
    <cellStyle name="20% - Accent2 4 2 2 2 2 2 3 2 2" xfId="11499"/>
    <cellStyle name="20% - Accent2 4 2 2 2 2 2 3 2 3" xfId="11500"/>
    <cellStyle name="20% - Accent2 4 2 2 2 2 2 3 3" xfId="11501"/>
    <cellStyle name="20% - Accent2 4 2 2 2 2 2 3 3 2" xfId="11502"/>
    <cellStyle name="20% - Accent2 4 2 2 2 2 2 3 3 3" xfId="11503"/>
    <cellStyle name="20% - Accent2 4 2 2 2 2 2 3 4" xfId="11504"/>
    <cellStyle name="20% - Accent2 4 2 2 2 2 2 3 4 2" xfId="11505"/>
    <cellStyle name="20% - Accent2 4 2 2 2 2 2 3 5" xfId="11506"/>
    <cellStyle name="20% - Accent2 4 2 2 2 2 2 3 6" xfId="11507"/>
    <cellStyle name="20% - Accent2 4 2 2 2 2 2 4" xfId="11508"/>
    <cellStyle name="20% - Accent2 4 2 2 2 2 2 4 2" xfId="11509"/>
    <cellStyle name="20% - Accent2 4 2 2 2 2 2 4 2 2" xfId="11510"/>
    <cellStyle name="20% - Accent2 4 2 2 2 2 2 4 2 3" xfId="11511"/>
    <cellStyle name="20% - Accent2 4 2 2 2 2 2 4 3" xfId="11512"/>
    <cellStyle name="20% - Accent2 4 2 2 2 2 2 4 3 2" xfId="11513"/>
    <cellStyle name="20% - Accent2 4 2 2 2 2 2 4 4" xfId="11514"/>
    <cellStyle name="20% - Accent2 4 2 2 2 2 2 4 5" xfId="11515"/>
    <cellStyle name="20% - Accent2 4 2 2 2 2 2 5" xfId="11516"/>
    <cellStyle name="20% - Accent2 4 2 2 2 2 2 5 2" xfId="11517"/>
    <cellStyle name="20% - Accent2 4 2 2 2 2 2 5 3" xfId="11518"/>
    <cellStyle name="20% - Accent2 4 2 2 2 2 2 6" xfId="11519"/>
    <cellStyle name="20% - Accent2 4 2 2 2 2 2 6 2" xfId="11520"/>
    <cellStyle name="20% - Accent2 4 2 2 2 2 2 6 3" xfId="11521"/>
    <cellStyle name="20% - Accent2 4 2 2 2 2 2 7" xfId="11522"/>
    <cellStyle name="20% - Accent2 4 2 2 2 2 2 7 2" xfId="11523"/>
    <cellStyle name="20% - Accent2 4 2 2 2 2 2 8" xfId="11524"/>
    <cellStyle name="20% - Accent2 4 2 2 2 2 2 9" xfId="11525"/>
    <cellStyle name="20% - Accent2 4 2 2 2 2 3" xfId="11526"/>
    <cellStyle name="20% - Accent2 4 2 2 2 2 3 2" xfId="11527"/>
    <cellStyle name="20% - Accent2 4 2 2 2 2 3 2 2" xfId="11528"/>
    <cellStyle name="20% - Accent2 4 2 2 2 2 3 2 3" xfId="11529"/>
    <cellStyle name="20% - Accent2 4 2 2 2 2 3 3" xfId="11530"/>
    <cellStyle name="20% - Accent2 4 2 2 2 2 3 3 2" xfId="11531"/>
    <cellStyle name="20% - Accent2 4 2 2 2 2 3 3 3" xfId="11532"/>
    <cellStyle name="20% - Accent2 4 2 2 2 2 3 4" xfId="11533"/>
    <cellStyle name="20% - Accent2 4 2 2 2 2 3 4 2" xfId="11534"/>
    <cellStyle name="20% - Accent2 4 2 2 2 2 3 5" xfId="11535"/>
    <cellStyle name="20% - Accent2 4 2 2 2 2 3 6" xfId="11536"/>
    <cellStyle name="20% - Accent2 4 2 2 2 2 4" xfId="11537"/>
    <cellStyle name="20% - Accent2 4 2 2 2 2 4 2" xfId="11538"/>
    <cellStyle name="20% - Accent2 4 2 2 2 2 4 2 2" xfId="11539"/>
    <cellStyle name="20% - Accent2 4 2 2 2 2 4 2 3" xfId="11540"/>
    <cellStyle name="20% - Accent2 4 2 2 2 2 4 3" xfId="11541"/>
    <cellStyle name="20% - Accent2 4 2 2 2 2 4 3 2" xfId="11542"/>
    <cellStyle name="20% - Accent2 4 2 2 2 2 4 3 3" xfId="11543"/>
    <cellStyle name="20% - Accent2 4 2 2 2 2 4 4" xfId="11544"/>
    <cellStyle name="20% - Accent2 4 2 2 2 2 4 4 2" xfId="11545"/>
    <cellStyle name="20% - Accent2 4 2 2 2 2 4 5" xfId="11546"/>
    <cellStyle name="20% - Accent2 4 2 2 2 2 4 6" xfId="11547"/>
    <cellStyle name="20% - Accent2 4 2 2 2 2 5" xfId="11548"/>
    <cellStyle name="20% - Accent2 4 2 2 2 2 5 2" xfId="11549"/>
    <cellStyle name="20% - Accent2 4 2 2 2 2 5 2 2" xfId="11550"/>
    <cellStyle name="20% - Accent2 4 2 2 2 2 5 2 3" xfId="11551"/>
    <cellStyle name="20% - Accent2 4 2 2 2 2 5 3" xfId="11552"/>
    <cellStyle name="20% - Accent2 4 2 2 2 2 5 3 2" xfId="11553"/>
    <cellStyle name="20% - Accent2 4 2 2 2 2 5 4" xfId="11554"/>
    <cellStyle name="20% - Accent2 4 2 2 2 2 5 5" xfId="11555"/>
    <cellStyle name="20% - Accent2 4 2 2 2 2 6" xfId="11556"/>
    <cellStyle name="20% - Accent2 4 2 2 2 2 6 2" xfId="11557"/>
    <cellStyle name="20% - Accent2 4 2 2 2 2 6 3" xfId="11558"/>
    <cellStyle name="20% - Accent2 4 2 2 2 2 7" xfId="11559"/>
    <cellStyle name="20% - Accent2 4 2 2 2 2 7 2" xfId="11560"/>
    <cellStyle name="20% - Accent2 4 2 2 2 2 7 3" xfId="11561"/>
    <cellStyle name="20% - Accent2 4 2 2 2 2 8" xfId="11562"/>
    <cellStyle name="20% - Accent2 4 2 2 2 2 8 2" xfId="11563"/>
    <cellStyle name="20% - Accent2 4 2 2 2 2 9" xfId="11564"/>
    <cellStyle name="20% - Accent2 4 2 2 2 3" xfId="372"/>
    <cellStyle name="20% - Accent2 4 2 2 2 3 2" xfId="11565"/>
    <cellStyle name="20% - Accent2 4 2 2 2 3 2 2" xfId="11566"/>
    <cellStyle name="20% - Accent2 4 2 2 2 3 2 2 2" xfId="11567"/>
    <cellStyle name="20% - Accent2 4 2 2 2 3 2 2 3" xfId="11568"/>
    <cellStyle name="20% - Accent2 4 2 2 2 3 2 3" xfId="11569"/>
    <cellStyle name="20% - Accent2 4 2 2 2 3 2 3 2" xfId="11570"/>
    <cellStyle name="20% - Accent2 4 2 2 2 3 2 3 3" xfId="11571"/>
    <cellStyle name="20% - Accent2 4 2 2 2 3 2 4" xfId="11572"/>
    <cellStyle name="20% - Accent2 4 2 2 2 3 2 4 2" xfId="11573"/>
    <cellStyle name="20% - Accent2 4 2 2 2 3 2 5" xfId="11574"/>
    <cellStyle name="20% - Accent2 4 2 2 2 3 2 6" xfId="11575"/>
    <cellStyle name="20% - Accent2 4 2 2 2 3 3" xfId="11576"/>
    <cellStyle name="20% - Accent2 4 2 2 2 3 3 2" xfId="11577"/>
    <cellStyle name="20% - Accent2 4 2 2 2 3 3 2 2" xfId="11578"/>
    <cellStyle name="20% - Accent2 4 2 2 2 3 3 2 3" xfId="11579"/>
    <cellStyle name="20% - Accent2 4 2 2 2 3 3 3" xfId="11580"/>
    <cellStyle name="20% - Accent2 4 2 2 2 3 3 3 2" xfId="11581"/>
    <cellStyle name="20% - Accent2 4 2 2 2 3 3 3 3" xfId="11582"/>
    <cellStyle name="20% - Accent2 4 2 2 2 3 3 4" xfId="11583"/>
    <cellStyle name="20% - Accent2 4 2 2 2 3 3 4 2" xfId="11584"/>
    <cellStyle name="20% - Accent2 4 2 2 2 3 3 5" xfId="11585"/>
    <cellStyle name="20% - Accent2 4 2 2 2 3 3 6" xfId="11586"/>
    <cellStyle name="20% - Accent2 4 2 2 2 3 4" xfId="11587"/>
    <cellStyle name="20% - Accent2 4 2 2 2 3 4 2" xfId="11588"/>
    <cellStyle name="20% - Accent2 4 2 2 2 3 4 2 2" xfId="11589"/>
    <cellStyle name="20% - Accent2 4 2 2 2 3 4 2 3" xfId="11590"/>
    <cellStyle name="20% - Accent2 4 2 2 2 3 4 3" xfId="11591"/>
    <cellStyle name="20% - Accent2 4 2 2 2 3 4 3 2" xfId="11592"/>
    <cellStyle name="20% - Accent2 4 2 2 2 3 4 4" xfId="11593"/>
    <cellStyle name="20% - Accent2 4 2 2 2 3 4 5" xfId="11594"/>
    <cellStyle name="20% - Accent2 4 2 2 2 3 5" xfId="11595"/>
    <cellStyle name="20% - Accent2 4 2 2 2 3 5 2" xfId="11596"/>
    <cellStyle name="20% - Accent2 4 2 2 2 3 5 3" xfId="11597"/>
    <cellStyle name="20% - Accent2 4 2 2 2 3 6" xfId="11598"/>
    <cellStyle name="20% - Accent2 4 2 2 2 3 6 2" xfId="11599"/>
    <cellStyle name="20% - Accent2 4 2 2 2 3 6 3" xfId="11600"/>
    <cellStyle name="20% - Accent2 4 2 2 2 3 7" xfId="11601"/>
    <cellStyle name="20% - Accent2 4 2 2 2 3 7 2" xfId="11602"/>
    <cellStyle name="20% - Accent2 4 2 2 2 3 8" xfId="11603"/>
    <cellStyle name="20% - Accent2 4 2 2 2 3 9" xfId="11604"/>
    <cellStyle name="20% - Accent2 4 2 2 2 4" xfId="11605"/>
    <cellStyle name="20% - Accent2 4 2 2 2 4 2" xfId="11606"/>
    <cellStyle name="20% - Accent2 4 2 2 2 4 2 2" xfId="11607"/>
    <cellStyle name="20% - Accent2 4 2 2 2 4 2 2 2" xfId="11608"/>
    <cellStyle name="20% - Accent2 4 2 2 2 4 2 2 3" xfId="11609"/>
    <cellStyle name="20% - Accent2 4 2 2 2 4 2 3" xfId="11610"/>
    <cellStyle name="20% - Accent2 4 2 2 2 4 2 3 2" xfId="11611"/>
    <cellStyle name="20% - Accent2 4 2 2 2 4 2 3 3" xfId="11612"/>
    <cellStyle name="20% - Accent2 4 2 2 2 4 2 4" xfId="11613"/>
    <cellStyle name="20% - Accent2 4 2 2 2 4 2 4 2" xfId="11614"/>
    <cellStyle name="20% - Accent2 4 2 2 2 4 2 5" xfId="11615"/>
    <cellStyle name="20% - Accent2 4 2 2 2 4 2 6" xfId="11616"/>
    <cellStyle name="20% - Accent2 4 2 2 2 4 3" xfId="11617"/>
    <cellStyle name="20% - Accent2 4 2 2 2 4 3 2" xfId="11618"/>
    <cellStyle name="20% - Accent2 4 2 2 2 4 3 2 2" xfId="11619"/>
    <cellStyle name="20% - Accent2 4 2 2 2 4 3 2 3" xfId="11620"/>
    <cellStyle name="20% - Accent2 4 2 2 2 4 3 3" xfId="11621"/>
    <cellStyle name="20% - Accent2 4 2 2 2 4 3 3 2" xfId="11622"/>
    <cellStyle name="20% - Accent2 4 2 2 2 4 3 3 3" xfId="11623"/>
    <cellStyle name="20% - Accent2 4 2 2 2 4 3 4" xfId="11624"/>
    <cellStyle name="20% - Accent2 4 2 2 2 4 3 4 2" xfId="11625"/>
    <cellStyle name="20% - Accent2 4 2 2 2 4 3 5" xfId="11626"/>
    <cellStyle name="20% - Accent2 4 2 2 2 4 3 6" xfId="11627"/>
    <cellStyle name="20% - Accent2 4 2 2 2 4 4" xfId="11628"/>
    <cellStyle name="20% - Accent2 4 2 2 2 4 4 2" xfId="11629"/>
    <cellStyle name="20% - Accent2 4 2 2 2 4 4 2 2" xfId="11630"/>
    <cellStyle name="20% - Accent2 4 2 2 2 4 4 2 3" xfId="11631"/>
    <cellStyle name="20% - Accent2 4 2 2 2 4 4 3" xfId="11632"/>
    <cellStyle name="20% - Accent2 4 2 2 2 4 4 3 2" xfId="11633"/>
    <cellStyle name="20% - Accent2 4 2 2 2 4 4 4" xfId="11634"/>
    <cellStyle name="20% - Accent2 4 2 2 2 4 4 5" xfId="11635"/>
    <cellStyle name="20% - Accent2 4 2 2 2 4 5" xfId="11636"/>
    <cellStyle name="20% - Accent2 4 2 2 2 4 5 2" xfId="11637"/>
    <cellStyle name="20% - Accent2 4 2 2 2 4 5 3" xfId="11638"/>
    <cellStyle name="20% - Accent2 4 2 2 2 4 6" xfId="11639"/>
    <cellStyle name="20% - Accent2 4 2 2 2 4 6 2" xfId="11640"/>
    <cellStyle name="20% - Accent2 4 2 2 2 4 6 3" xfId="11641"/>
    <cellStyle name="20% - Accent2 4 2 2 2 4 7" xfId="11642"/>
    <cellStyle name="20% - Accent2 4 2 2 2 4 7 2" xfId="11643"/>
    <cellStyle name="20% - Accent2 4 2 2 2 4 8" xfId="11644"/>
    <cellStyle name="20% - Accent2 4 2 2 2 4 9" xfId="11645"/>
    <cellStyle name="20% - Accent2 4 2 2 2 5" xfId="11646"/>
    <cellStyle name="20% - Accent2 4 2 2 2 5 2" xfId="11647"/>
    <cellStyle name="20% - Accent2 4 2 2 2 5 2 2" xfId="11648"/>
    <cellStyle name="20% - Accent2 4 2 2 2 5 2 3" xfId="11649"/>
    <cellStyle name="20% - Accent2 4 2 2 2 5 3" xfId="11650"/>
    <cellStyle name="20% - Accent2 4 2 2 2 5 3 2" xfId="11651"/>
    <cellStyle name="20% - Accent2 4 2 2 2 5 3 3" xfId="11652"/>
    <cellStyle name="20% - Accent2 4 2 2 2 5 4" xfId="11653"/>
    <cellStyle name="20% - Accent2 4 2 2 2 5 4 2" xfId="11654"/>
    <cellStyle name="20% - Accent2 4 2 2 2 5 5" xfId="11655"/>
    <cellStyle name="20% - Accent2 4 2 2 2 5 6" xfId="11656"/>
    <cellStyle name="20% - Accent2 4 2 2 2 6" xfId="11657"/>
    <cellStyle name="20% - Accent2 4 2 2 2 6 2" xfId="11658"/>
    <cellStyle name="20% - Accent2 4 2 2 2 6 2 2" xfId="11659"/>
    <cellStyle name="20% - Accent2 4 2 2 2 6 2 3" xfId="11660"/>
    <cellStyle name="20% - Accent2 4 2 2 2 6 3" xfId="11661"/>
    <cellStyle name="20% - Accent2 4 2 2 2 6 3 2" xfId="11662"/>
    <cellStyle name="20% - Accent2 4 2 2 2 6 3 3" xfId="11663"/>
    <cellStyle name="20% - Accent2 4 2 2 2 6 4" xfId="11664"/>
    <cellStyle name="20% - Accent2 4 2 2 2 6 4 2" xfId="11665"/>
    <cellStyle name="20% - Accent2 4 2 2 2 6 5" xfId="11666"/>
    <cellStyle name="20% - Accent2 4 2 2 2 6 6" xfId="11667"/>
    <cellStyle name="20% - Accent2 4 2 2 2 7" xfId="11668"/>
    <cellStyle name="20% - Accent2 4 2 2 2 7 2" xfId="11669"/>
    <cellStyle name="20% - Accent2 4 2 2 2 7 2 2" xfId="11670"/>
    <cellStyle name="20% - Accent2 4 2 2 2 7 2 3" xfId="11671"/>
    <cellStyle name="20% - Accent2 4 2 2 2 7 3" xfId="11672"/>
    <cellStyle name="20% - Accent2 4 2 2 2 7 3 2" xfId="11673"/>
    <cellStyle name="20% - Accent2 4 2 2 2 7 4" xfId="11674"/>
    <cellStyle name="20% - Accent2 4 2 2 2 7 5" xfId="11675"/>
    <cellStyle name="20% - Accent2 4 2 2 2 8" xfId="11676"/>
    <cellStyle name="20% - Accent2 4 2 2 2 8 2" xfId="11677"/>
    <cellStyle name="20% - Accent2 4 2 2 2 8 3" xfId="11678"/>
    <cellStyle name="20% - Accent2 4 2 2 2 9" xfId="11679"/>
    <cellStyle name="20% - Accent2 4 2 2 2 9 2" xfId="11680"/>
    <cellStyle name="20% - Accent2 4 2 2 2 9 3" xfId="11681"/>
    <cellStyle name="20% - Accent2 4 2 2 3" xfId="373"/>
    <cellStyle name="20% - Accent2 4 2 2 3 10" xfId="11682"/>
    <cellStyle name="20% - Accent2 4 2 2 3 2" xfId="374"/>
    <cellStyle name="20% - Accent2 4 2 2 3 2 2" xfId="11683"/>
    <cellStyle name="20% - Accent2 4 2 2 3 2 2 2" xfId="11684"/>
    <cellStyle name="20% - Accent2 4 2 2 3 2 2 2 2" xfId="11685"/>
    <cellStyle name="20% - Accent2 4 2 2 3 2 2 2 3" xfId="11686"/>
    <cellStyle name="20% - Accent2 4 2 2 3 2 2 3" xfId="11687"/>
    <cellStyle name="20% - Accent2 4 2 2 3 2 2 3 2" xfId="11688"/>
    <cellStyle name="20% - Accent2 4 2 2 3 2 2 3 3" xfId="11689"/>
    <cellStyle name="20% - Accent2 4 2 2 3 2 2 4" xfId="11690"/>
    <cellStyle name="20% - Accent2 4 2 2 3 2 2 4 2" xfId="11691"/>
    <cellStyle name="20% - Accent2 4 2 2 3 2 2 5" xfId="11692"/>
    <cellStyle name="20% - Accent2 4 2 2 3 2 2 6" xfId="11693"/>
    <cellStyle name="20% - Accent2 4 2 2 3 2 3" xfId="11694"/>
    <cellStyle name="20% - Accent2 4 2 2 3 2 3 2" xfId="11695"/>
    <cellStyle name="20% - Accent2 4 2 2 3 2 3 2 2" xfId="11696"/>
    <cellStyle name="20% - Accent2 4 2 2 3 2 3 2 3" xfId="11697"/>
    <cellStyle name="20% - Accent2 4 2 2 3 2 3 3" xfId="11698"/>
    <cellStyle name="20% - Accent2 4 2 2 3 2 3 3 2" xfId="11699"/>
    <cellStyle name="20% - Accent2 4 2 2 3 2 3 3 3" xfId="11700"/>
    <cellStyle name="20% - Accent2 4 2 2 3 2 3 4" xfId="11701"/>
    <cellStyle name="20% - Accent2 4 2 2 3 2 3 4 2" xfId="11702"/>
    <cellStyle name="20% - Accent2 4 2 2 3 2 3 5" xfId="11703"/>
    <cellStyle name="20% - Accent2 4 2 2 3 2 3 6" xfId="11704"/>
    <cellStyle name="20% - Accent2 4 2 2 3 2 4" xfId="11705"/>
    <cellStyle name="20% - Accent2 4 2 2 3 2 4 2" xfId="11706"/>
    <cellStyle name="20% - Accent2 4 2 2 3 2 4 2 2" xfId="11707"/>
    <cellStyle name="20% - Accent2 4 2 2 3 2 4 2 3" xfId="11708"/>
    <cellStyle name="20% - Accent2 4 2 2 3 2 4 3" xfId="11709"/>
    <cellStyle name="20% - Accent2 4 2 2 3 2 4 3 2" xfId="11710"/>
    <cellStyle name="20% - Accent2 4 2 2 3 2 4 4" xfId="11711"/>
    <cellStyle name="20% - Accent2 4 2 2 3 2 4 5" xfId="11712"/>
    <cellStyle name="20% - Accent2 4 2 2 3 2 5" xfId="11713"/>
    <cellStyle name="20% - Accent2 4 2 2 3 2 5 2" xfId="11714"/>
    <cellStyle name="20% - Accent2 4 2 2 3 2 5 3" xfId="11715"/>
    <cellStyle name="20% - Accent2 4 2 2 3 2 6" xfId="11716"/>
    <cellStyle name="20% - Accent2 4 2 2 3 2 6 2" xfId="11717"/>
    <cellStyle name="20% - Accent2 4 2 2 3 2 6 3" xfId="11718"/>
    <cellStyle name="20% - Accent2 4 2 2 3 2 7" xfId="11719"/>
    <cellStyle name="20% - Accent2 4 2 2 3 2 7 2" xfId="11720"/>
    <cellStyle name="20% - Accent2 4 2 2 3 2 8" xfId="11721"/>
    <cellStyle name="20% - Accent2 4 2 2 3 2 9" xfId="11722"/>
    <cellStyle name="20% - Accent2 4 2 2 3 3" xfId="11723"/>
    <cellStyle name="20% - Accent2 4 2 2 3 3 2" xfId="11724"/>
    <cellStyle name="20% - Accent2 4 2 2 3 3 2 2" xfId="11725"/>
    <cellStyle name="20% - Accent2 4 2 2 3 3 2 3" xfId="11726"/>
    <cellStyle name="20% - Accent2 4 2 2 3 3 3" xfId="11727"/>
    <cellStyle name="20% - Accent2 4 2 2 3 3 3 2" xfId="11728"/>
    <cellStyle name="20% - Accent2 4 2 2 3 3 3 3" xfId="11729"/>
    <cellStyle name="20% - Accent2 4 2 2 3 3 4" xfId="11730"/>
    <cellStyle name="20% - Accent2 4 2 2 3 3 4 2" xfId="11731"/>
    <cellStyle name="20% - Accent2 4 2 2 3 3 5" xfId="11732"/>
    <cellStyle name="20% - Accent2 4 2 2 3 3 6" xfId="11733"/>
    <cellStyle name="20% - Accent2 4 2 2 3 4" xfId="11734"/>
    <cellStyle name="20% - Accent2 4 2 2 3 4 2" xfId="11735"/>
    <cellStyle name="20% - Accent2 4 2 2 3 4 2 2" xfId="11736"/>
    <cellStyle name="20% - Accent2 4 2 2 3 4 2 3" xfId="11737"/>
    <cellStyle name="20% - Accent2 4 2 2 3 4 3" xfId="11738"/>
    <cellStyle name="20% - Accent2 4 2 2 3 4 3 2" xfId="11739"/>
    <cellStyle name="20% - Accent2 4 2 2 3 4 3 3" xfId="11740"/>
    <cellStyle name="20% - Accent2 4 2 2 3 4 4" xfId="11741"/>
    <cellStyle name="20% - Accent2 4 2 2 3 4 4 2" xfId="11742"/>
    <cellStyle name="20% - Accent2 4 2 2 3 4 5" xfId="11743"/>
    <cellStyle name="20% - Accent2 4 2 2 3 4 6" xfId="11744"/>
    <cellStyle name="20% - Accent2 4 2 2 3 5" xfId="11745"/>
    <cellStyle name="20% - Accent2 4 2 2 3 5 2" xfId="11746"/>
    <cellStyle name="20% - Accent2 4 2 2 3 5 2 2" xfId="11747"/>
    <cellStyle name="20% - Accent2 4 2 2 3 5 2 3" xfId="11748"/>
    <cellStyle name="20% - Accent2 4 2 2 3 5 3" xfId="11749"/>
    <cellStyle name="20% - Accent2 4 2 2 3 5 3 2" xfId="11750"/>
    <cellStyle name="20% - Accent2 4 2 2 3 5 4" xfId="11751"/>
    <cellStyle name="20% - Accent2 4 2 2 3 5 5" xfId="11752"/>
    <cellStyle name="20% - Accent2 4 2 2 3 6" xfId="11753"/>
    <cellStyle name="20% - Accent2 4 2 2 3 6 2" xfId="11754"/>
    <cellStyle name="20% - Accent2 4 2 2 3 6 3" xfId="11755"/>
    <cellStyle name="20% - Accent2 4 2 2 3 7" xfId="11756"/>
    <cellStyle name="20% - Accent2 4 2 2 3 7 2" xfId="11757"/>
    <cellStyle name="20% - Accent2 4 2 2 3 7 3" xfId="11758"/>
    <cellStyle name="20% - Accent2 4 2 2 3 8" xfId="11759"/>
    <cellStyle name="20% - Accent2 4 2 2 3 8 2" xfId="11760"/>
    <cellStyle name="20% - Accent2 4 2 2 3 9" xfId="11761"/>
    <cellStyle name="20% - Accent2 4 2 2 4" xfId="375"/>
    <cellStyle name="20% - Accent2 4 2 2 4 2" xfId="11762"/>
    <cellStyle name="20% - Accent2 4 2 2 4 2 2" xfId="11763"/>
    <cellStyle name="20% - Accent2 4 2 2 4 2 2 2" xfId="11764"/>
    <cellStyle name="20% - Accent2 4 2 2 4 2 2 3" xfId="11765"/>
    <cellStyle name="20% - Accent2 4 2 2 4 2 3" xfId="11766"/>
    <cellStyle name="20% - Accent2 4 2 2 4 2 3 2" xfId="11767"/>
    <cellStyle name="20% - Accent2 4 2 2 4 2 3 3" xfId="11768"/>
    <cellStyle name="20% - Accent2 4 2 2 4 2 4" xfId="11769"/>
    <cellStyle name="20% - Accent2 4 2 2 4 2 4 2" xfId="11770"/>
    <cellStyle name="20% - Accent2 4 2 2 4 2 5" xfId="11771"/>
    <cellStyle name="20% - Accent2 4 2 2 4 2 6" xfId="11772"/>
    <cellStyle name="20% - Accent2 4 2 2 4 3" xfId="11773"/>
    <cellStyle name="20% - Accent2 4 2 2 4 3 2" xfId="11774"/>
    <cellStyle name="20% - Accent2 4 2 2 4 3 2 2" xfId="11775"/>
    <cellStyle name="20% - Accent2 4 2 2 4 3 2 3" xfId="11776"/>
    <cellStyle name="20% - Accent2 4 2 2 4 3 3" xfId="11777"/>
    <cellStyle name="20% - Accent2 4 2 2 4 3 3 2" xfId="11778"/>
    <cellStyle name="20% - Accent2 4 2 2 4 3 3 3" xfId="11779"/>
    <cellStyle name="20% - Accent2 4 2 2 4 3 4" xfId="11780"/>
    <cellStyle name="20% - Accent2 4 2 2 4 3 4 2" xfId="11781"/>
    <cellStyle name="20% - Accent2 4 2 2 4 3 5" xfId="11782"/>
    <cellStyle name="20% - Accent2 4 2 2 4 3 6" xfId="11783"/>
    <cellStyle name="20% - Accent2 4 2 2 4 4" xfId="11784"/>
    <cellStyle name="20% - Accent2 4 2 2 4 4 2" xfId="11785"/>
    <cellStyle name="20% - Accent2 4 2 2 4 4 2 2" xfId="11786"/>
    <cellStyle name="20% - Accent2 4 2 2 4 4 2 3" xfId="11787"/>
    <cellStyle name="20% - Accent2 4 2 2 4 4 3" xfId="11788"/>
    <cellStyle name="20% - Accent2 4 2 2 4 4 3 2" xfId="11789"/>
    <cellStyle name="20% - Accent2 4 2 2 4 4 4" xfId="11790"/>
    <cellStyle name="20% - Accent2 4 2 2 4 4 5" xfId="11791"/>
    <cellStyle name="20% - Accent2 4 2 2 4 5" xfId="11792"/>
    <cellStyle name="20% - Accent2 4 2 2 4 5 2" xfId="11793"/>
    <cellStyle name="20% - Accent2 4 2 2 4 5 3" xfId="11794"/>
    <cellStyle name="20% - Accent2 4 2 2 4 6" xfId="11795"/>
    <cellStyle name="20% - Accent2 4 2 2 4 6 2" xfId="11796"/>
    <cellStyle name="20% - Accent2 4 2 2 4 6 3" xfId="11797"/>
    <cellStyle name="20% - Accent2 4 2 2 4 7" xfId="11798"/>
    <cellStyle name="20% - Accent2 4 2 2 4 7 2" xfId="11799"/>
    <cellStyle name="20% - Accent2 4 2 2 4 8" xfId="11800"/>
    <cellStyle name="20% - Accent2 4 2 2 4 9" xfId="11801"/>
    <cellStyle name="20% - Accent2 4 2 2 5" xfId="11802"/>
    <cellStyle name="20% - Accent2 4 2 2 5 2" xfId="11803"/>
    <cellStyle name="20% - Accent2 4 2 2 5 2 2" xfId="11804"/>
    <cellStyle name="20% - Accent2 4 2 2 5 2 2 2" xfId="11805"/>
    <cellStyle name="20% - Accent2 4 2 2 5 2 2 3" xfId="11806"/>
    <cellStyle name="20% - Accent2 4 2 2 5 2 3" xfId="11807"/>
    <cellStyle name="20% - Accent2 4 2 2 5 2 3 2" xfId="11808"/>
    <cellStyle name="20% - Accent2 4 2 2 5 2 3 3" xfId="11809"/>
    <cellStyle name="20% - Accent2 4 2 2 5 2 4" xfId="11810"/>
    <cellStyle name="20% - Accent2 4 2 2 5 2 4 2" xfId="11811"/>
    <cellStyle name="20% - Accent2 4 2 2 5 2 5" xfId="11812"/>
    <cellStyle name="20% - Accent2 4 2 2 5 2 6" xfId="11813"/>
    <cellStyle name="20% - Accent2 4 2 2 5 3" xfId="11814"/>
    <cellStyle name="20% - Accent2 4 2 2 5 3 2" xfId="11815"/>
    <cellStyle name="20% - Accent2 4 2 2 5 3 2 2" xfId="11816"/>
    <cellStyle name="20% - Accent2 4 2 2 5 3 2 3" xfId="11817"/>
    <cellStyle name="20% - Accent2 4 2 2 5 3 3" xfId="11818"/>
    <cellStyle name="20% - Accent2 4 2 2 5 3 3 2" xfId="11819"/>
    <cellStyle name="20% - Accent2 4 2 2 5 3 3 3" xfId="11820"/>
    <cellStyle name="20% - Accent2 4 2 2 5 3 4" xfId="11821"/>
    <cellStyle name="20% - Accent2 4 2 2 5 3 4 2" xfId="11822"/>
    <cellStyle name="20% - Accent2 4 2 2 5 3 5" xfId="11823"/>
    <cellStyle name="20% - Accent2 4 2 2 5 3 6" xfId="11824"/>
    <cellStyle name="20% - Accent2 4 2 2 5 4" xfId="11825"/>
    <cellStyle name="20% - Accent2 4 2 2 5 4 2" xfId="11826"/>
    <cellStyle name="20% - Accent2 4 2 2 5 4 2 2" xfId="11827"/>
    <cellStyle name="20% - Accent2 4 2 2 5 4 2 3" xfId="11828"/>
    <cellStyle name="20% - Accent2 4 2 2 5 4 3" xfId="11829"/>
    <cellStyle name="20% - Accent2 4 2 2 5 4 3 2" xfId="11830"/>
    <cellStyle name="20% - Accent2 4 2 2 5 4 4" xfId="11831"/>
    <cellStyle name="20% - Accent2 4 2 2 5 4 5" xfId="11832"/>
    <cellStyle name="20% - Accent2 4 2 2 5 5" xfId="11833"/>
    <cellStyle name="20% - Accent2 4 2 2 5 5 2" xfId="11834"/>
    <cellStyle name="20% - Accent2 4 2 2 5 5 3" xfId="11835"/>
    <cellStyle name="20% - Accent2 4 2 2 5 6" xfId="11836"/>
    <cellStyle name="20% - Accent2 4 2 2 5 6 2" xfId="11837"/>
    <cellStyle name="20% - Accent2 4 2 2 5 6 3" xfId="11838"/>
    <cellStyle name="20% - Accent2 4 2 2 5 7" xfId="11839"/>
    <cellStyle name="20% - Accent2 4 2 2 5 7 2" xfId="11840"/>
    <cellStyle name="20% - Accent2 4 2 2 5 8" xfId="11841"/>
    <cellStyle name="20% - Accent2 4 2 2 5 9" xfId="11842"/>
    <cellStyle name="20% - Accent2 4 2 2 6" xfId="11843"/>
    <cellStyle name="20% - Accent2 4 2 2 6 2" xfId="11844"/>
    <cellStyle name="20% - Accent2 4 2 2 6 2 2" xfId="11845"/>
    <cellStyle name="20% - Accent2 4 2 2 6 2 3" xfId="11846"/>
    <cellStyle name="20% - Accent2 4 2 2 6 3" xfId="11847"/>
    <cellStyle name="20% - Accent2 4 2 2 6 3 2" xfId="11848"/>
    <cellStyle name="20% - Accent2 4 2 2 6 3 3" xfId="11849"/>
    <cellStyle name="20% - Accent2 4 2 2 6 4" xfId="11850"/>
    <cellStyle name="20% - Accent2 4 2 2 6 4 2" xfId="11851"/>
    <cellStyle name="20% - Accent2 4 2 2 6 5" xfId="11852"/>
    <cellStyle name="20% - Accent2 4 2 2 6 6" xfId="11853"/>
    <cellStyle name="20% - Accent2 4 2 2 7" xfId="11854"/>
    <cellStyle name="20% - Accent2 4 2 2 7 2" xfId="11855"/>
    <cellStyle name="20% - Accent2 4 2 2 7 2 2" xfId="11856"/>
    <cellStyle name="20% - Accent2 4 2 2 7 2 3" xfId="11857"/>
    <cellStyle name="20% - Accent2 4 2 2 7 3" xfId="11858"/>
    <cellStyle name="20% - Accent2 4 2 2 7 3 2" xfId="11859"/>
    <cellStyle name="20% - Accent2 4 2 2 7 3 3" xfId="11860"/>
    <cellStyle name="20% - Accent2 4 2 2 7 4" xfId="11861"/>
    <cellStyle name="20% - Accent2 4 2 2 7 4 2" xfId="11862"/>
    <cellStyle name="20% - Accent2 4 2 2 7 5" xfId="11863"/>
    <cellStyle name="20% - Accent2 4 2 2 7 6" xfId="11864"/>
    <cellStyle name="20% - Accent2 4 2 2 8" xfId="11865"/>
    <cellStyle name="20% - Accent2 4 2 2 8 2" xfId="11866"/>
    <cellStyle name="20% - Accent2 4 2 2 8 2 2" xfId="11867"/>
    <cellStyle name="20% - Accent2 4 2 2 8 2 3" xfId="11868"/>
    <cellStyle name="20% - Accent2 4 2 2 8 3" xfId="11869"/>
    <cellStyle name="20% - Accent2 4 2 2 8 3 2" xfId="11870"/>
    <cellStyle name="20% - Accent2 4 2 2 8 4" xfId="11871"/>
    <cellStyle name="20% - Accent2 4 2 2 8 5" xfId="11872"/>
    <cellStyle name="20% - Accent2 4 2 2 9" xfId="11873"/>
    <cellStyle name="20% - Accent2 4 2 2 9 2" xfId="11874"/>
    <cellStyle name="20% - Accent2 4 2 2 9 3" xfId="11875"/>
    <cellStyle name="20% - Accent2 4 2 3" xfId="376"/>
    <cellStyle name="20% - Accent2 4 2 3 10" xfId="11876"/>
    <cellStyle name="20% - Accent2 4 2 3 10 2" xfId="11877"/>
    <cellStyle name="20% - Accent2 4 2 3 11" xfId="11878"/>
    <cellStyle name="20% - Accent2 4 2 3 12" xfId="11879"/>
    <cellStyle name="20% - Accent2 4 2 3 2" xfId="377"/>
    <cellStyle name="20% - Accent2 4 2 3 2 10" xfId="11880"/>
    <cellStyle name="20% - Accent2 4 2 3 2 2" xfId="378"/>
    <cellStyle name="20% - Accent2 4 2 3 2 2 2" xfId="11881"/>
    <cellStyle name="20% - Accent2 4 2 3 2 2 2 2" xfId="11882"/>
    <cellStyle name="20% - Accent2 4 2 3 2 2 2 2 2" xfId="11883"/>
    <cellStyle name="20% - Accent2 4 2 3 2 2 2 2 3" xfId="11884"/>
    <cellStyle name="20% - Accent2 4 2 3 2 2 2 3" xfId="11885"/>
    <cellStyle name="20% - Accent2 4 2 3 2 2 2 3 2" xfId="11886"/>
    <cellStyle name="20% - Accent2 4 2 3 2 2 2 3 3" xfId="11887"/>
    <cellStyle name="20% - Accent2 4 2 3 2 2 2 4" xfId="11888"/>
    <cellStyle name="20% - Accent2 4 2 3 2 2 2 4 2" xfId="11889"/>
    <cellStyle name="20% - Accent2 4 2 3 2 2 2 5" xfId="11890"/>
    <cellStyle name="20% - Accent2 4 2 3 2 2 2 6" xfId="11891"/>
    <cellStyle name="20% - Accent2 4 2 3 2 2 3" xfId="11892"/>
    <cellStyle name="20% - Accent2 4 2 3 2 2 3 2" xfId="11893"/>
    <cellStyle name="20% - Accent2 4 2 3 2 2 3 2 2" xfId="11894"/>
    <cellStyle name="20% - Accent2 4 2 3 2 2 3 2 3" xfId="11895"/>
    <cellStyle name="20% - Accent2 4 2 3 2 2 3 3" xfId="11896"/>
    <cellStyle name="20% - Accent2 4 2 3 2 2 3 3 2" xfId="11897"/>
    <cellStyle name="20% - Accent2 4 2 3 2 2 3 3 3" xfId="11898"/>
    <cellStyle name="20% - Accent2 4 2 3 2 2 3 4" xfId="11899"/>
    <cellStyle name="20% - Accent2 4 2 3 2 2 3 4 2" xfId="11900"/>
    <cellStyle name="20% - Accent2 4 2 3 2 2 3 5" xfId="11901"/>
    <cellStyle name="20% - Accent2 4 2 3 2 2 3 6" xfId="11902"/>
    <cellStyle name="20% - Accent2 4 2 3 2 2 4" xfId="11903"/>
    <cellStyle name="20% - Accent2 4 2 3 2 2 4 2" xfId="11904"/>
    <cellStyle name="20% - Accent2 4 2 3 2 2 4 2 2" xfId="11905"/>
    <cellStyle name="20% - Accent2 4 2 3 2 2 4 2 3" xfId="11906"/>
    <cellStyle name="20% - Accent2 4 2 3 2 2 4 3" xfId="11907"/>
    <cellStyle name="20% - Accent2 4 2 3 2 2 4 3 2" xfId="11908"/>
    <cellStyle name="20% - Accent2 4 2 3 2 2 4 4" xfId="11909"/>
    <cellStyle name="20% - Accent2 4 2 3 2 2 4 5" xfId="11910"/>
    <cellStyle name="20% - Accent2 4 2 3 2 2 5" xfId="11911"/>
    <cellStyle name="20% - Accent2 4 2 3 2 2 5 2" xfId="11912"/>
    <cellStyle name="20% - Accent2 4 2 3 2 2 5 3" xfId="11913"/>
    <cellStyle name="20% - Accent2 4 2 3 2 2 6" xfId="11914"/>
    <cellStyle name="20% - Accent2 4 2 3 2 2 6 2" xfId="11915"/>
    <cellStyle name="20% - Accent2 4 2 3 2 2 6 3" xfId="11916"/>
    <cellStyle name="20% - Accent2 4 2 3 2 2 7" xfId="11917"/>
    <cellStyle name="20% - Accent2 4 2 3 2 2 7 2" xfId="11918"/>
    <cellStyle name="20% - Accent2 4 2 3 2 2 8" xfId="11919"/>
    <cellStyle name="20% - Accent2 4 2 3 2 2 9" xfId="11920"/>
    <cellStyle name="20% - Accent2 4 2 3 2 3" xfId="11921"/>
    <cellStyle name="20% - Accent2 4 2 3 2 3 2" xfId="11922"/>
    <cellStyle name="20% - Accent2 4 2 3 2 3 2 2" xfId="11923"/>
    <cellStyle name="20% - Accent2 4 2 3 2 3 2 3" xfId="11924"/>
    <cellStyle name="20% - Accent2 4 2 3 2 3 3" xfId="11925"/>
    <cellStyle name="20% - Accent2 4 2 3 2 3 3 2" xfId="11926"/>
    <cellStyle name="20% - Accent2 4 2 3 2 3 3 3" xfId="11927"/>
    <cellStyle name="20% - Accent2 4 2 3 2 3 4" xfId="11928"/>
    <cellStyle name="20% - Accent2 4 2 3 2 3 4 2" xfId="11929"/>
    <cellStyle name="20% - Accent2 4 2 3 2 3 5" xfId="11930"/>
    <cellStyle name="20% - Accent2 4 2 3 2 3 6" xfId="11931"/>
    <cellStyle name="20% - Accent2 4 2 3 2 4" xfId="11932"/>
    <cellStyle name="20% - Accent2 4 2 3 2 4 2" xfId="11933"/>
    <cellStyle name="20% - Accent2 4 2 3 2 4 2 2" xfId="11934"/>
    <cellStyle name="20% - Accent2 4 2 3 2 4 2 3" xfId="11935"/>
    <cellStyle name="20% - Accent2 4 2 3 2 4 3" xfId="11936"/>
    <cellStyle name="20% - Accent2 4 2 3 2 4 3 2" xfId="11937"/>
    <cellStyle name="20% - Accent2 4 2 3 2 4 3 3" xfId="11938"/>
    <cellStyle name="20% - Accent2 4 2 3 2 4 4" xfId="11939"/>
    <cellStyle name="20% - Accent2 4 2 3 2 4 4 2" xfId="11940"/>
    <cellStyle name="20% - Accent2 4 2 3 2 4 5" xfId="11941"/>
    <cellStyle name="20% - Accent2 4 2 3 2 4 6" xfId="11942"/>
    <cellStyle name="20% - Accent2 4 2 3 2 5" xfId="11943"/>
    <cellStyle name="20% - Accent2 4 2 3 2 5 2" xfId="11944"/>
    <cellStyle name="20% - Accent2 4 2 3 2 5 2 2" xfId="11945"/>
    <cellStyle name="20% - Accent2 4 2 3 2 5 2 3" xfId="11946"/>
    <cellStyle name="20% - Accent2 4 2 3 2 5 3" xfId="11947"/>
    <cellStyle name="20% - Accent2 4 2 3 2 5 3 2" xfId="11948"/>
    <cellStyle name="20% - Accent2 4 2 3 2 5 4" xfId="11949"/>
    <cellStyle name="20% - Accent2 4 2 3 2 5 5" xfId="11950"/>
    <cellStyle name="20% - Accent2 4 2 3 2 6" xfId="11951"/>
    <cellStyle name="20% - Accent2 4 2 3 2 6 2" xfId="11952"/>
    <cellStyle name="20% - Accent2 4 2 3 2 6 3" xfId="11953"/>
    <cellStyle name="20% - Accent2 4 2 3 2 7" xfId="11954"/>
    <cellStyle name="20% - Accent2 4 2 3 2 7 2" xfId="11955"/>
    <cellStyle name="20% - Accent2 4 2 3 2 7 3" xfId="11956"/>
    <cellStyle name="20% - Accent2 4 2 3 2 8" xfId="11957"/>
    <cellStyle name="20% - Accent2 4 2 3 2 8 2" xfId="11958"/>
    <cellStyle name="20% - Accent2 4 2 3 2 9" xfId="11959"/>
    <cellStyle name="20% - Accent2 4 2 3 3" xfId="379"/>
    <cellStyle name="20% - Accent2 4 2 3 3 2" xfId="11960"/>
    <cellStyle name="20% - Accent2 4 2 3 3 2 2" xfId="11961"/>
    <cellStyle name="20% - Accent2 4 2 3 3 2 2 2" xfId="11962"/>
    <cellStyle name="20% - Accent2 4 2 3 3 2 2 3" xfId="11963"/>
    <cellStyle name="20% - Accent2 4 2 3 3 2 3" xfId="11964"/>
    <cellStyle name="20% - Accent2 4 2 3 3 2 3 2" xfId="11965"/>
    <cellStyle name="20% - Accent2 4 2 3 3 2 3 3" xfId="11966"/>
    <cellStyle name="20% - Accent2 4 2 3 3 2 4" xfId="11967"/>
    <cellStyle name="20% - Accent2 4 2 3 3 2 4 2" xfId="11968"/>
    <cellStyle name="20% - Accent2 4 2 3 3 2 5" xfId="11969"/>
    <cellStyle name="20% - Accent2 4 2 3 3 2 6" xfId="11970"/>
    <cellStyle name="20% - Accent2 4 2 3 3 3" xfId="11971"/>
    <cellStyle name="20% - Accent2 4 2 3 3 3 2" xfId="11972"/>
    <cellStyle name="20% - Accent2 4 2 3 3 3 2 2" xfId="11973"/>
    <cellStyle name="20% - Accent2 4 2 3 3 3 2 3" xfId="11974"/>
    <cellStyle name="20% - Accent2 4 2 3 3 3 3" xfId="11975"/>
    <cellStyle name="20% - Accent2 4 2 3 3 3 3 2" xfId="11976"/>
    <cellStyle name="20% - Accent2 4 2 3 3 3 3 3" xfId="11977"/>
    <cellStyle name="20% - Accent2 4 2 3 3 3 4" xfId="11978"/>
    <cellStyle name="20% - Accent2 4 2 3 3 3 4 2" xfId="11979"/>
    <cellStyle name="20% - Accent2 4 2 3 3 3 5" xfId="11980"/>
    <cellStyle name="20% - Accent2 4 2 3 3 3 6" xfId="11981"/>
    <cellStyle name="20% - Accent2 4 2 3 3 4" xfId="11982"/>
    <cellStyle name="20% - Accent2 4 2 3 3 4 2" xfId="11983"/>
    <cellStyle name="20% - Accent2 4 2 3 3 4 2 2" xfId="11984"/>
    <cellStyle name="20% - Accent2 4 2 3 3 4 2 3" xfId="11985"/>
    <cellStyle name="20% - Accent2 4 2 3 3 4 3" xfId="11986"/>
    <cellStyle name="20% - Accent2 4 2 3 3 4 3 2" xfId="11987"/>
    <cellStyle name="20% - Accent2 4 2 3 3 4 4" xfId="11988"/>
    <cellStyle name="20% - Accent2 4 2 3 3 4 5" xfId="11989"/>
    <cellStyle name="20% - Accent2 4 2 3 3 5" xfId="11990"/>
    <cellStyle name="20% - Accent2 4 2 3 3 5 2" xfId="11991"/>
    <cellStyle name="20% - Accent2 4 2 3 3 5 3" xfId="11992"/>
    <cellStyle name="20% - Accent2 4 2 3 3 6" xfId="11993"/>
    <cellStyle name="20% - Accent2 4 2 3 3 6 2" xfId="11994"/>
    <cellStyle name="20% - Accent2 4 2 3 3 6 3" xfId="11995"/>
    <cellStyle name="20% - Accent2 4 2 3 3 7" xfId="11996"/>
    <cellStyle name="20% - Accent2 4 2 3 3 7 2" xfId="11997"/>
    <cellStyle name="20% - Accent2 4 2 3 3 8" xfId="11998"/>
    <cellStyle name="20% - Accent2 4 2 3 3 9" xfId="11999"/>
    <cellStyle name="20% - Accent2 4 2 3 4" xfId="12000"/>
    <cellStyle name="20% - Accent2 4 2 3 4 2" xfId="12001"/>
    <cellStyle name="20% - Accent2 4 2 3 4 2 2" xfId="12002"/>
    <cellStyle name="20% - Accent2 4 2 3 4 2 2 2" xfId="12003"/>
    <cellStyle name="20% - Accent2 4 2 3 4 2 2 3" xfId="12004"/>
    <cellStyle name="20% - Accent2 4 2 3 4 2 3" xfId="12005"/>
    <cellStyle name="20% - Accent2 4 2 3 4 2 3 2" xfId="12006"/>
    <cellStyle name="20% - Accent2 4 2 3 4 2 3 3" xfId="12007"/>
    <cellStyle name="20% - Accent2 4 2 3 4 2 4" xfId="12008"/>
    <cellStyle name="20% - Accent2 4 2 3 4 2 4 2" xfId="12009"/>
    <cellStyle name="20% - Accent2 4 2 3 4 2 5" xfId="12010"/>
    <cellStyle name="20% - Accent2 4 2 3 4 2 6" xfId="12011"/>
    <cellStyle name="20% - Accent2 4 2 3 4 3" xfId="12012"/>
    <cellStyle name="20% - Accent2 4 2 3 4 3 2" xfId="12013"/>
    <cellStyle name="20% - Accent2 4 2 3 4 3 2 2" xfId="12014"/>
    <cellStyle name="20% - Accent2 4 2 3 4 3 2 3" xfId="12015"/>
    <cellStyle name="20% - Accent2 4 2 3 4 3 3" xfId="12016"/>
    <cellStyle name="20% - Accent2 4 2 3 4 3 3 2" xfId="12017"/>
    <cellStyle name="20% - Accent2 4 2 3 4 3 3 3" xfId="12018"/>
    <cellStyle name="20% - Accent2 4 2 3 4 3 4" xfId="12019"/>
    <cellStyle name="20% - Accent2 4 2 3 4 3 4 2" xfId="12020"/>
    <cellStyle name="20% - Accent2 4 2 3 4 3 5" xfId="12021"/>
    <cellStyle name="20% - Accent2 4 2 3 4 3 6" xfId="12022"/>
    <cellStyle name="20% - Accent2 4 2 3 4 4" xfId="12023"/>
    <cellStyle name="20% - Accent2 4 2 3 4 4 2" xfId="12024"/>
    <cellStyle name="20% - Accent2 4 2 3 4 4 2 2" xfId="12025"/>
    <cellStyle name="20% - Accent2 4 2 3 4 4 2 3" xfId="12026"/>
    <cellStyle name="20% - Accent2 4 2 3 4 4 3" xfId="12027"/>
    <cellStyle name="20% - Accent2 4 2 3 4 4 3 2" xfId="12028"/>
    <cellStyle name="20% - Accent2 4 2 3 4 4 4" xfId="12029"/>
    <cellStyle name="20% - Accent2 4 2 3 4 4 5" xfId="12030"/>
    <cellStyle name="20% - Accent2 4 2 3 4 5" xfId="12031"/>
    <cellStyle name="20% - Accent2 4 2 3 4 5 2" xfId="12032"/>
    <cellStyle name="20% - Accent2 4 2 3 4 5 3" xfId="12033"/>
    <cellStyle name="20% - Accent2 4 2 3 4 6" xfId="12034"/>
    <cellStyle name="20% - Accent2 4 2 3 4 6 2" xfId="12035"/>
    <cellStyle name="20% - Accent2 4 2 3 4 6 3" xfId="12036"/>
    <cellStyle name="20% - Accent2 4 2 3 4 7" xfId="12037"/>
    <cellStyle name="20% - Accent2 4 2 3 4 7 2" xfId="12038"/>
    <cellStyle name="20% - Accent2 4 2 3 4 8" xfId="12039"/>
    <cellStyle name="20% - Accent2 4 2 3 4 9" xfId="12040"/>
    <cellStyle name="20% - Accent2 4 2 3 5" xfId="12041"/>
    <cellStyle name="20% - Accent2 4 2 3 5 2" xfId="12042"/>
    <cellStyle name="20% - Accent2 4 2 3 5 2 2" xfId="12043"/>
    <cellStyle name="20% - Accent2 4 2 3 5 2 3" xfId="12044"/>
    <cellStyle name="20% - Accent2 4 2 3 5 3" xfId="12045"/>
    <cellStyle name="20% - Accent2 4 2 3 5 3 2" xfId="12046"/>
    <cellStyle name="20% - Accent2 4 2 3 5 3 3" xfId="12047"/>
    <cellStyle name="20% - Accent2 4 2 3 5 4" xfId="12048"/>
    <cellStyle name="20% - Accent2 4 2 3 5 4 2" xfId="12049"/>
    <cellStyle name="20% - Accent2 4 2 3 5 5" xfId="12050"/>
    <cellStyle name="20% - Accent2 4 2 3 5 6" xfId="12051"/>
    <cellStyle name="20% - Accent2 4 2 3 6" xfId="12052"/>
    <cellStyle name="20% - Accent2 4 2 3 6 2" xfId="12053"/>
    <cellStyle name="20% - Accent2 4 2 3 6 2 2" xfId="12054"/>
    <cellStyle name="20% - Accent2 4 2 3 6 2 3" xfId="12055"/>
    <cellStyle name="20% - Accent2 4 2 3 6 3" xfId="12056"/>
    <cellStyle name="20% - Accent2 4 2 3 6 3 2" xfId="12057"/>
    <cellStyle name="20% - Accent2 4 2 3 6 3 3" xfId="12058"/>
    <cellStyle name="20% - Accent2 4 2 3 6 4" xfId="12059"/>
    <cellStyle name="20% - Accent2 4 2 3 6 4 2" xfId="12060"/>
    <cellStyle name="20% - Accent2 4 2 3 6 5" xfId="12061"/>
    <cellStyle name="20% - Accent2 4 2 3 6 6" xfId="12062"/>
    <cellStyle name="20% - Accent2 4 2 3 7" xfId="12063"/>
    <cellStyle name="20% - Accent2 4 2 3 7 2" xfId="12064"/>
    <cellStyle name="20% - Accent2 4 2 3 7 2 2" xfId="12065"/>
    <cellStyle name="20% - Accent2 4 2 3 7 2 3" xfId="12066"/>
    <cellStyle name="20% - Accent2 4 2 3 7 3" xfId="12067"/>
    <cellStyle name="20% - Accent2 4 2 3 7 3 2" xfId="12068"/>
    <cellStyle name="20% - Accent2 4 2 3 7 4" xfId="12069"/>
    <cellStyle name="20% - Accent2 4 2 3 7 5" xfId="12070"/>
    <cellStyle name="20% - Accent2 4 2 3 8" xfId="12071"/>
    <cellStyle name="20% - Accent2 4 2 3 8 2" xfId="12072"/>
    <cellStyle name="20% - Accent2 4 2 3 8 3" xfId="12073"/>
    <cellStyle name="20% - Accent2 4 2 3 9" xfId="12074"/>
    <cellStyle name="20% - Accent2 4 2 3 9 2" xfId="12075"/>
    <cellStyle name="20% - Accent2 4 2 3 9 3" xfId="12076"/>
    <cellStyle name="20% - Accent2 4 2 4" xfId="380"/>
    <cellStyle name="20% - Accent2 4 2 4 10" xfId="12077"/>
    <cellStyle name="20% - Accent2 4 2 4 2" xfId="381"/>
    <cellStyle name="20% - Accent2 4 2 4 2 2" xfId="12078"/>
    <cellStyle name="20% - Accent2 4 2 4 2 2 2" xfId="12079"/>
    <cellStyle name="20% - Accent2 4 2 4 2 2 2 2" xfId="12080"/>
    <cellStyle name="20% - Accent2 4 2 4 2 2 2 3" xfId="12081"/>
    <cellStyle name="20% - Accent2 4 2 4 2 2 3" xfId="12082"/>
    <cellStyle name="20% - Accent2 4 2 4 2 2 3 2" xfId="12083"/>
    <cellStyle name="20% - Accent2 4 2 4 2 2 3 3" xfId="12084"/>
    <cellStyle name="20% - Accent2 4 2 4 2 2 4" xfId="12085"/>
    <cellStyle name="20% - Accent2 4 2 4 2 2 4 2" xfId="12086"/>
    <cellStyle name="20% - Accent2 4 2 4 2 2 5" xfId="12087"/>
    <cellStyle name="20% - Accent2 4 2 4 2 2 6" xfId="12088"/>
    <cellStyle name="20% - Accent2 4 2 4 2 3" xfId="12089"/>
    <cellStyle name="20% - Accent2 4 2 4 2 3 2" xfId="12090"/>
    <cellStyle name="20% - Accent2 4 2 4 2 3 2 2" xfId="12091"/>
    <cellStyle name="20% - Accent2 4 2 4 2 3 2 3" xfId="12092"/>
    <cellStyle name="20% - Accent2 4 2 4 2 3 3" xfId="12093"/>
    <cellStyle name="20% - Accent2 4 2 4 2 3 3 2" xfId="12094"/>
    <cellStyle name="20% - Accent2 4 2 4 2 3 3 3" xfId="12095"/>
    <cellStyle name="20% - Accent2 4 2 4 2 3 4" xfId="12096"/>
    <cellStyle name="20% - Accent2 4 2 4 2 3 4 2" xfId="12097"/>
    <cellStyle name="20% - Accent2 4 2 4 2 3 5" xfId="12098"/>
    <cellStyle name="20% - Accent2 4 2 4 2 3 6" xfId="12099"/>
    <cellStyle name="20% - Accent2 4 2 4 2 4" xfId="12100"/>
    <cellStyle name="20% - Accent2 4 2 4 2 4 2" xfId="12101"/>
    <cellStyle name="20% - Accent2 4 2 4 2 4 2 2" xfId="12102"/>
    <cellStyle name="20% - Accent2 4 2 4 2 4 2 3" xfId="12103"/>
    <cellStyle name="20% - Accent2 4 2 4 2 4 3" xfId="12104"/>
    <cellStyle name="20% - Accent2 4 2 4 2 4 3 2" xfId="12105"/>
    <cellStyle name="20% - Accent2 4 2 4 2 4 4" xfId="12106"/>
    <cellStyle name="20% - Accent2 4 2 4 2 4 5" xfId="12107"/>
    <cellStyle name="20% - Accent2 4 2 4 2 5" xfId="12108"/>
    <cellStyle name="20% - Accent2 4 2 4 2 5 2" xfId="12109"/>
    <cellStyle name="20% - Accent2 4 2 4 2 5 3" xfId="12110"/>
    <cellStyle name="20% - Accent2 4 2 4 2 6" xfId="12111"/>
    <cellStyle name="20% - Accent2 4 2 4 2 6 2" xfId="12112"/>
    <cellStyle name="20% - Accent2 4 2 4 2 6 3" xfId="12113"/>
    <cellStyle name="20% - Accent2 4 2 4 2 7" xfId="12114"/>
    <cellStyle name="20% - Accent2 4 2 4 2 7 2" xfId="12115"/>
    <cellStyle name="20% - Accent2 4 2 4 2 8" xfId="12116"/>
    <cellStyle name="20% - Accent2 4 2 4 2 9" xfId="12117"/>
    <cellStyle name="20% - Accent2 4 2 4 3" xfId="12118"/>
    <cellStyle name="20% - Accent2 4 2 4 3 2" xfId="12119"/>
    <cellStyle name="20% - Accent2 4 2 4 3 2 2" xfId="12120"/>
    <cellStyle name="20% - Accent2 4 2 4 3 2 3" xfId="12121"/>
    <cellStyle name="20% - Accent2 4 2 4 3 3" xfId="12122"/>
    <cellStyle name="20% - Accent2 4 2 4 3 3 2" xfId="12123"/>
    <cellStyle name="20% - Accent2 4 2 4 3 3 3" xfId="12124"/>
    <cellStyle name="20% - Accent2 4 2 4 3 4" xfId="12125"/>
    <cellStyle name="20% - Accent2 4 2 4 3 4 2" xfId="12126"/>
    <cellStyle name="20% - Accent2 4 2 4 3 5" xfId="12127"/>
    <cellStyle name="20% - Accent2 4 2 4 3 6" xfId="12128"/>
    <cellStyle name="20% - Accent2 4 2 4 4" xfId="12129"/>
    <cellStyle name="20% - Accent2 4 2 4 4 2" xfId="12130"/>
    <cellStyle name="20% - Accent2 4 2 4 4 2 2" xfId="12131"/>
    <cellStyle name="20% - Accent2 4 2 4 4 2 3" xfId="12132"/>
    <cellStyle name="20% - Accent2 4 2 4 4 3" xfId="12133"/>
    <cellStyle name="20% - Accent2 4 2 4 4 3 2" xfId="12134"/>
    <cellStyle name="20% - Accent2 4 2 4 4 3 3" xfId="12135"/>
    <cellStyle name="20% - Accent2 4 2 4 4 4" xfId="12136"/>
    <cellStyle name="20% - Accent2 4 2 4 4 4 2" xfId="12137"/>
    <cellStyle name="20% - Accent2 4 2 4 4 5" xfId="12138"/>
    <cellStyle name="20% - Accent2 4 2 4 4 6" xfId="12139"/>
    <cellStyle name="20% - Accent2 4 2 4 5" xfId="12140"/>
    <cellStyle name="20% - Accent2 4 2 4 5 2" xfId="12141"/>
    <cellStyle name="20% - Accent2 4 2 4 5 2 2" xfId="12142"/>
    <cellStyle name="20% - Accent2 4 2 4 5 2 3" xfId="12143"/>
    <cellStyle name="20% - Accent2 4 2 4 5 3" xfId="12144"/>
    <cellStyle name="20% - Accent2 4 2 4 5 3 2" xfId="12145"/>
    <cellStyle name="20% - Accent2 4 2 4 5 4" xfId="12146"/>
    <cellStyle name="20% - Accent2 4 2 4 5 5" xfId="12147"/>
    <cellStyle name="20% - Accent2 4 2 4 6" xfId="12148"/>
    <cellStyle name="20% - Accent2 4 2 4 6 2" xfId="12149"/>
    <cellStyle name="20% - Accent2 4 2 4 6 3" xfId="12150"/>
    <cellStyle name="20% - Accent2 4 2 4 7" xfId="12151"/>
    <cellStyle name="20% - Accent2 4 2 4 7 2" xfId="12152"/>
    <cellStyle name="20% - Accent2 4 2 4 7 3" xfId="12153"/>
    <cellStyle name="20% - Accent2 4 2 4 8" xfId="12154"/>
    <cellStyle name="20% - Accent2 4 2 4 8 2" xfId="12155"/>
    <cellStyle name="20% - Accent2 4 2 4 9" xfId="12156"/>
    <cellStyle name="20% - Accent2 4 2 5" xfId="382"/>
    <cellStyle name="20% - Accent2 4 2 5 2" xfId="12157"/>
    <cellStyle name="20% - Accent2 4 2 5 2 2" xfId="12158"/>
    <cellStyle name="20% - Accent2 4 2 5 2 2 2" xfId="12159"/>
    <cellStyle name="20% - Accent2 4 2 5 2 2 3" xfId="12160"/>
    <cellStyle name="20% - Accent2 4 2 5 2 3" xfId="12161"/>
    <cellStyle name="20% - Accent2 4 2 5 2 3 2" xfId="12162"/>
    <cellStyle name="20% - Accent2 4 2 5 2 3 3" xfId="12163"/>
    <cellStyle name="20% - Accent2 4 2 5 2 4" xfId="12164"/>
    <cellStyle name="20% - Accent2 4 2 5 2 4 2" xfId="12165"/>
    <cellStyle name="20% - Accent2 4 2 5 2 5" xfId="12166"/>
    <cellStyle name="20% - Accent2 4 2 5 2 6" xfId="12167"/>
    <cellStyle name="20% - Accent2 4 2 5 3" xfId="12168"/>
    <cellStyle name="20% - Accent2 4 2 5 3 2" xfId="12169"/>
    <cellStyle name="20% - Accent2 4 2 5 3 2 2" xfId="12170"/>
    <cellStyle name="20% - Accent2 4 2 5 3 2 3" xfId="12171"/>
    <cellStyle name="20% - Accent2 4 2 5 3 3" xfId="12172"/>
    <cellStyle name="20% - Accent2 4 2 5 3 3 2" xfId="12173"/>
    <cellStyle name="20% - Accent2 4 2 5 3 3 3" xfId="12174"/>
    <cellStyle name="20% - Accent2 4 2 5 3 4" xfId="12175"/>
    <cellStyle name="20% - Accent2 4 2 5 3 4 2" xfId="12176"/>
    <cellStyle name="20% - Accent2 4 2 5 3 5" xfId="12177"/>
    <cellStyle name="20% - Accent2 4 2 5 3 6" xfId="12178"/>
    <cellStyle name="20% - Accent2 4 2 5 4" xfId="12179"/>
    <cellStyle name="20% - Accent2 4 2 5 4 2" xfId="12180"/>
    <cellStyle name="20% - Accent2 4 2 5 4 2 2" xfId="12181"/>
    <cellStyle name="20% - Accent2 4 2 5 4 2 3" xfId="12182"/>
    <cellStyle name="20% - Accent2 4 2 5 4 3" xfId="12183"/>
    <cellStyle name="20% - Accent2 4 2 5 4 3 2" xfId="12184"/>
    <cellStyle name="20% - Accent2 4 2 5 4 4" xfId="12185"/>
    <cellStyle name="20% - Accent2 4 2 5 4 5" xfId="12186"/>
    <cellStyle name="20% - Accent2 4 2 5 5" xfId="12187"/>
    <cellStyle name="20% - Accent2 4 2 5 5 2" xfId="12188"/>
    <cellStyle name="20% - Accent2 4 2 5 5 3" xfId="12189"/>
    <cellStyle name="20% - Accent2 4 2 5 6" xfId="12190"/>
    <cellStyle name="20% - Accent2 4 2 5 6 2" xfId="12191"/>
    <cellStyle name="20% - Accent2 4 2 5 6 3" xfId="12192"/>
    <cellStyle name="20% - Accent2 4 2 5 7" xfId="12193"/>
    <cellStyle name="20% - Accent2 4 2 5 7 2" xfId="12194"/>
    <cellStyle name="20% - Accent2 4 2 5 8" xfId="12195"/>
    <cellStyle name="20% - Accent2 4 2 5 9" xfId="12196"/>
    <cellStyle name="20% - Accent2 4 2 6" xfId="12197"/>
    <cellStyle name="20% - Accent2 4 2 6 2" xfId="12198"/>
    <cellStyle name="20% - Accent2 4 2 6 2 2" xfId="12199"/>
    <cellStyle name="20% - Accent2 4 2 6 2 2 2" xfId="12200"/>
    <cellStyle name="20% - Accent2 4 2 6 2 2 3" xfId="12201"/>
    <cellStyle name="20% - Accent2 4 2 6 2 3" xfId="12202"/>
    <cellStyle name="20% - Accent2 4 2 6 2 3 2" xfId="12203"/>
    <cellStyle name="20% - Accent2 4 2 6 2 3 3" xfId="12204"/>
    <cellStyle name="20% - Accent2 4 2 6 2 4" xfId="12205"/>
    <cellStyle name="20% - Accent2 4 2 6 2 4 2" xfId="12206"/>
    <cellStyle name="20% - Accent2 4 2 6 2 5" xfId="12207"/>
    <cellStyle name="20% - Accent2 4 2 6 2 6" xfId="12208"/>
    <cellStyle name="20% - Accent2 4 2 6 3" xfId="12209"/>
    <cellStyle name="20% - Accent2 4 2 6 3 2" xfId="12210"/>
    <cellStyle name="20% - Accent2 4 2 6 3 2 2" xfId="12211"/>
    <cellStyle name="20% - Accent2 4 2 6 3 2 3" xfId="12212"/>
    <cellStyle name="20% - Accent2 4 2 6 3 3" xfId="12213"/>
    <cellStyle name="20% - Accent2 4 2 6 3 3 2" xfId="12214"/>
    <cellStyle name="20% - Accent2 4 2 6 3 3 3" xfId="12215"/>
    <cellStyle name="20% - Accent2 4 2 6 3 4" xfId="12216"/>
    <cellStyle name="20% - Accent2 4 2 6 3 4 2" xfId="12217"/>
    <cellStyle name="20% - Accent2 4 2 6 3 5" xfId="12218"/>
    <cellStyle name="20% - Accent2 4 2 6 3 6" xfId="12219"/>
    <cellStyle name="20% - Accent2 4 2 6 4" xfId="12220"/>
    <cellStyle name="20% - Accent2 4 2 6 4 2" xfId="12221"/>
    <cellStyle name="20% - Accent2 4 2 6 4 2 2" xfId="12222"/>
    <cellStyle name="20% - Accent2 4 2 6 4 2 3" xfId="12223"/>
    <cellStyle name="20% - Accent2 4 2 6 4 3" xfId="12224"/>
    <cellStyle name="20% - Accent2 4 2 6 4 3 2" xfId="12225"/>
    <cellStyle name="20% - Accent2 4 2 6 4 4" xfId="12226"/>
    <cellStyle name="20% - Accent2 4 2 6 4 5" xfId="12227"/>
    <cellStyle name="20% - Accent2 4 2 6 5" xfId="12228"/>
    <cellStyle name="20% - Accent2 4 2 6 5 2" xfId="12229"/>
    <cellStyle name="20% - Accent2 4 2 6 5 3" xfId="12230"/>
    <cellStyle name="20% - Accent2 4 2 6 6" xfId="12231"/>
    <cellStyle name="20% - Accent2 4 2 6 6 2" xfId="12232"/>
    <cellStyle name="20% - Accent2 4 2 6 6 3" xfId="12233"/>
    <cellStyle name="20% - Accent2 4 2 6 7" xfId="12234"/>
    <cellStyle name="20% - Accent2 4 2 6 7 2" xfId="12235"/>
    <cellStyle name="20% - Accent2 4 2 6 8" xfId="12236"/>
    <cellStyle name="20% - Accent2 4 2 6 9" xfId="12237"/>
    <cellStyle name="20% - Accent2 4 2 7" xfId="12238"/>
    <cellStyle name="20% - Accent2 4 2 7 2" xfId="12239"/>
    <cellStyle name="20% - Accent2 4 2 7 2 2" xfId="12240"/>
    <cellStyle name="20% - Accent2 4 2 7 2 3" xfId="12241"/>
    <cellStyle name="20% - Accent2 4 2 7 3" xfId="12242"/>
    <cellStyle name="20% - Accent2 4 2 7 3 2" xfId="12243"/>
    <cellStyle name="20% - Accent2 4 2 7 3 3" xfId="12244"/>
    <cellStyle name="20% - Accent2 4 2 7 4" xfId="12245"/>
    <cellStyle name="20% - Accent2 4 2 7 4 2" xfId="12246"/>
    <cellStyle name="20% - Accent2 4 2 7 5" xfId="12247"/>
    <cellStyle name="20% - Accent2 4 2 7 6" xfId="12248"/>
    <cellStyle name="20% - Accent2 4 2 8" xfId="12249"/>
    <cellStyle name="20% - Accent2 4 2 8 2" xfId="12250"/>
    <cellStyle name="20% - Accent2 4 2 8 2 2" xfId="12251"/>
    <cellStyle name="20% - Accent2 4 2 8 2 3" xfId="12252"/>
    <cellStyle name="20% - Accent2 4 2 8 3" xfId="12253"/>
    <cellStyle name="20% - Accent2 4 2 8 3 2" xfId="12254"/>
    <cellStyle name="20% - Accent2 4 2 8 3 3" xfId="12255"/>
    <cellStyle name="20% - Accent2 4 2 8 4" xfId="12256"/>
    <cellStyle name="20% - Accent2 4 2 8 4 2" xfId="12257"/>
    <cellStyle name="20% - Accent2 4 2 8 5" xfId="12258"/>
    <cellStyle name="20% - Accent2 4 2 8 6" xfId="12259"/>
    <cellStyle name="20% - Accent2 4 2 9" xfId="12260"/>
    <cellStyle name="20% - Accent2 4 2 9 2" xfId="12261"/>
    <cellStyle name="20% - Accent2 4 2 9 2 2" xfId="12262"/>
    <cellStyle name="20% - Accent2 4 2 9 2 3" xfId="12263"/>
    <cellStyle name="20% - Accent2 4 2 9 3" xfId="12264"/>
    <cellStyle name="20% - Accent2 4 2 9 3 2" xfId="12265"/>
    <cellStyle name="20% - Accent2 4 2 9 4" xfId="12266"/>
    <cellStyle name="20% - Accent2 4 2 9 5" xfId="12267"/>
    <cellStyle name="20% - Accent2 4 3" xfId="383"/>
    <cellStyle name="20% - Accent2 4 3 10" xfId="12268"/>
    <cellStyle name="20% - Accent2 4 3 10 2" xfId="12269"/>
    <cellStyle name="20% - Accent2 4 3 10 3" xfId="12270"/>
    <cellStyle name="20% - Accent2 4 3 11" xfId="12271"/>
    <cellStyle name="20% - Accent2 4 3 11 2" xfId="12272"/>
    <cellStyle name="20% - Accent2 4 3 12" xfId="12273"/>
    <cellStyle name="20% - Accent2 4 3 13" xfId="12274"/>
    <cellStyle name="20% - Accent2 4 3 14" xfId="12275"/>
    <cellStyle name="20% - Accent2 4 3 2" xfId="384"/>
    <cellStyle name="20% - Accent2 4 3 2 10" xfId="12276"/>
    <cellStyle name="20% - Accent2 4 3 2 10 2" xfId="12277"/>
    <cellStyle name="20% - Accent2 4 3 2 11" xfId="12278"/>
    <cellStyle name="20% - Accent2 4 3 2 12" xfId="12279"/>
    <cellStyle name="20% - Accent2 4 3 2 2" xfId="385"/>
    <cellStyle name="20% - Accent2 4 3 2 2 10" xfId="12280"/>
    <cellStyle name="20% - Accent2 4 3 2 2 2" xfId="386"/>
    <cellStyle name="20% - Accent2 4 3 2 2 2 2" xfId="12281"/>
    <cellStyle name="20% - Accent2 4 3 2 2 2 2 2" xfId="12282"/>
    <cellStyle name="20% - Accent2 4 3 2 2 2 2 2 2" xfId="12283"/>
    <cellStyle name="20% - Accent2 4 3 2 2 2 2 2 3" xfId="12284"/>
    <cellStyle name="20% - Accent2 4 3 2 2 2 2 3" xfId="12285"/>
    <cellStyle name="20% - Accent2 4 3 2 2 2 2 3 2" xfId="12286"/>
    <cellStyle name="20% - Accent2 4 3 2 2 2 2 3 3" xfId="12287"/>
    <cellStyle name="20% - Accent2 4 3 2 2 2 2 4" xfId="12288"/>
    <cellStyle name="20% - Accent2 4 3 2 2 2 2 4 2" xfId="12289"/>
    <cellStyle name="20% - Accent2 4 3 2 2 2 2 5" xfId="12290"/>
    <cellStyle name="20% - Accent2 4 3 2 2 2 2 6" xfId="12291"/>
    <cellStyle name="20% - Accent2 4 3 2 2 2 3" xfId="12292"/>
    <cellStyle name="20% - Accent2 4 3 2 2 2 3 2" xfId="12293"/>
    <cellStyle name="20% - Accent2 4 3 2 2 2 3 2 2" xfId="12294"/>
    <cellStyle name="20% - Accent2 4 3 2 2 2 3 2 3" xfId="12295"/>
    <cellStyle name="20% - Accent2 4 3 2 2 2 3 3" xfId="12296"/>
    <cellStyle name="20% - Accent2 4 3 2 2 2 3 3 2" xfId="12297"/>
    <cellStyle name="20% - Accent2 4 3 2 2 2 3 3 3" xfId="12298"/>
    <cellStyle name="20% - Accent2 4 3 2 2 2 3 4" xfId="12299"/>
    <cellStyle name="20% - Accent2 4 3 2 2 2 3 4 2" xfId="12300"/>
    <cellStyle name="20% - Accent2 4 3 2 2 2 3 5" xfId="12301"/>
    <cellStyle name="20% - Accent2 4 3 2 2 2 3 6" xfId="12302"/>
    <cellStyle name="20% - Accent2 4 3 2 2 2 4" xfId="12303"/>
    <cellStyle name="20% - Accent2 4 3 2 2 2 4 2" xfId="12304"/>
    <cellStyle name="20% - Accent2 4 3 2 2 2 4 2 2" xfId="12305"/>
    <cellStyle name="20% - Accent2 4 3 2 2 2 4 2 3" xfId="12306"/>
    <cellStyle name="20% - Accent2 4 3 2 2 2 4 3" xfId="12307"/>
    <cellStyle name="20% - Accent2 4 3 2 2 2 4 3 2" xfId="12308"/>
    <cellStyle name="20% - Accent2 4 3 2 2 2 4 4" xfId="12309"/>
    <cellStyle name="20% - Accent2 4 3 2 2 2 4 5" xfId="12310"/>
    <cellStyle name="20% - Accent2 4 3 2 2 2 5" xfId="12311"/>
    <cellStyle name="20% - Accent2 4 3 2 2 2 5 2" xfId="12312"/>
    <cellStyle name="20% - Accent2 4 3 2 2 2 5 3" xfId="12313"/>
    <cellStyle name="20% - Accent2 4 3 2 2 2 6" xfId="12314"/>
    <cellStyle name="20% - Accent2 4 3 2 2 2 6 2" xfId="12315"/>
    <cellStyle name="20% - Accent2 4 3 2 2 2 6 3" xfId="12316"/>
    <cellStyle name="20% - Accent2 4 3 2 2 2 7" xfId="12317"/>
    <cellStyle name="20% - Accent2 4 3 2 2 2 7 2" xfId="12318"/>
    <cellStyle name="20% - Accent2 4 3 2 2 2 8" xfId="12319"/>
    <cellStyle name="20% - Accent2 4 3 2 2 2 9" xfId="12320"/>
    <cellStyle name="20% - Accent2 4 3 2 2 3" xfId="12321"/>
    <cellStyle name="20% - Accent2 4 3 2 2 3 2" xfId="12322"/>
    <cellStyle name="20% - Accent2 4 3 2 2 3 2 2" xfId="12323"/>
    <cellStyle name="20% - Accent2 4 3 2 2 3 2 3" xfId="12324"/>
    <cellStyle name="20% - Accent2 4 3 2 2 3 3" xfId="12325"/>
    <cellStyle name="20% - Accent2 4 3 2 2 3 3 2" xfId="12326"/>
    <cellStyle name="20% - Accent2 4 3 2 2 3 3 3" xfId="12327"/>
    <cellStyle name="20% - Accent2 4 3 2 2 3 4" xfId="12328"/>
    <cellStyle name="20% - Accent2 4 3 2 2 3 4 2" xfId="12329"/>
    <cellStyle name="20% - Accent2 4 3 2 2 3 5" xfId="12330"/>
    <cellStyle name="20% - Accent2 4 3 2 2 3 6" xfId="12331"/>
    <cellStyle name="20% - Accent2 4 3 2 2 4" xfId="12332"/>
    <cellStyle name="20% - Accent2 4 3 2 2 4 2" xfId="12333"/>
    <cellStyle name="20% - Accent2 4 3 2 2 4 2 2" xfId="12334"/>
    <cellStyle name="20% - Accent2 4 3 2 2 4 2 3" xfId="12335"/>
    <cellStyle name="20% - Accent2 4 3 2 2 4 3" xfId="12336"/>
    <cellStyle name="20% - Accent2 4 3 2 2 4 3 2" xfId="12337"/>
    <cellStyle name="20% - Accent2 4 3 2 2 4 3 3" xfId="12338"/>
    <cellStyle name="20% - Accent2 4 3 2 2 4 4" xfId="12339"/>
    <cellStyle name="20% - Accent2 4 3 2 2 4 4 2" xfId="12340"/>
    <cellStyle name="20% - Accent2 4 3 2 2 4 5" xfId="12341"/>
    <cellStyle name="20% - Accent2 4 3 2 2 4 6" xfId="12342"/>
    <cellStyle name="20% - Accent2 4 3 2 2 5" xfId="12343"/>
    <cellStyle name="20% - Accent2 4 3 2 2 5 2" xfId="12344"/>
    <cellStyle name="20% - Accent2 4 3 2 2 5 2 2" xfId="12345"/>
    <cellStyle name="20% - Accent2 4 3 2 2 5 2 3" xfId="12346"/>
    <cellStyle name="20% - Accent2 4 3 2 2 5 3" xfId="12347"/>
    <cellStyle name="20% - Accent2 4 3 2 2 5 3 2" xfId="12348"/>
    <cellStyle name="20% - Accent2 4 3 2 2 5 4" xfId="12349"/>
    <cellStyle name="20% - Accent2 4 3 2 2 5 5" xfId="12350"/>
    <cellStyle name="20% - Accent2 4 3 2 2 6" xfId="12351"/>
    <cellStyle name="20% - Accent2 4 3 2 2 6 2" xfId="12352"/>
    <cellStyle name="20% - Accent2 4 3 2 2 6 3" xfId="12353"/>
    <cellStyle name="20% - Accent2 4 3 2 2 7" xfId="12354"/>
    <cellStyle name="20% - Accent2 4 3 2 2 7 2" xfId="12355"/>
    <cellStyle name="20% - Accent2 4 3 2 2 7 3" xfId="12356"/>
    <cellStyle name="20% - Accent2 4 3 2 2 8" xfId="12357"/>
    <cellStyle name="20% - Accent2 4 3 2 2 8 2" xfId="12358"/>
    <cellStyle name="20% - Accent2 4 3 2 2 9" xfId="12359"/>
    <cellStyle name="20% - Accent2 4 3 2 3" xfId="387"/>
    <cellStyle name="20% - Accent2 4 3 2 3 2" xfId="12360"/>
    <cellStyle name="20% - Accent2 4 3 2 3 2 2" xfId="12361"/>
    <cellStyle name="20% - Accent2 4 3 2 3 2 2 2" xfId="12362"/>
    <cellStyle name="20% - Accent2 4 3 2 3 2 2 3" xfId="12363"/>
    <cellStyle name="20% - Accent2 4 3 2 3 2 3" xfId="12364"/>
    <cellStyle name="20% - Accent2 4 3 2 3 2 3 2" xfId="12365"/>
    <cellStyle name="20% - Accent2 4 3 2 3 2 3 3" xfId="12366"/>
    <cellStyle name="20% - Accent2 4 3 2 3 2 4" xfId="12367"/>
    <cellStyle name="20% - Accent2 4 3 2 3 2 4 2" xfId="12368"/>
    <cellStyle name="20% - Accent2 4 3 2 3 2 5" xfId="12369"/>
    <cellStyle name="20% - Accent2 4 3 2 3 2 6" xfId="12370"/>
    <cellStyle name="20% - Accent2 4 3 2 3 3" xfId="12371"/>
    <cellStyle name="20% - Accent2 4 3 2 3 3 2" xfId="12372"/>
    <cellStyle name="20% - Accent2 4 3 2 3 3 2 2" xfId="12373"/>
    <cellStyle name="20% - Accent2 4 3 2 3 3 2 3" xfId="12374"/>
    <cellStyle name="20% - Accent2 4 3 2 3 3 3" xfId="12375"/>
    <cellStyle name="20% - Accent2 4 3 2 3 3 3 2" xfId="12376"/>
    <cellStyle name="20% - Accent2 4 3 2 3 3 3 3" xfId="12377"/>
    <cellStyle name="20% - Accent2 4 3 2 3 3 4" xfId="12378"/>
    <cellStyle name="20% - Accent2 4 3 2 3 3 4 2" xfId="12379"/>
    <cellStyle name="20% - Accent2 4 3 2 3 3 5" xfId="12380"/>
    <cellStyle name="20% - Accent2 4 3 2 3 3 6" xfId="12381"/>
    <cellStyle name="20% - Accent2 4 3 2 3 4" xfId="12382"/>
    <cellStyle name="20% - Accent2 4 3 2 3 4 2" xfId="12383"/>
    <cellStyle name="20% - Accent2 4 3 2 3 4 2 2" xfId="12384"/>
    <cellStyle name="20% - Accent2 4 3 2 3 4 2 3" xfId="12385"/>
    <cellStyle name="20% - Accent2 4 3 2 3 4 3" xfId="12386"/>
    <cellStyle name="20% - Accent2 4 3 2 3 4 3 2" xfId="12387"/>
    <cellStyle name="20% - Accent2 4 3 2 3 4 4" xfId="12388"/>
    <cellStyle name="20% - Accent2 4 3 2 3 4 5" xfId="12389"/>
    <cellStyle name="20% - Accent2 4 3 2 3 5" xfId="12390"/>
    <cellStyle name="20% - Accent2 4 3 2 3 5 2" xfId="12391"/>
    <cellStyle name="20% - Accent2 4 3 2 3 5 3" xfId="12392"/>
    <cellStyle name="20% - Accent2 4 3 2 3 6" xfId="12393"/>
    <cellStyle name="20% - Accent2 4 3 2 3 6 2" xfId="12394"/>
    <cellStyle name="20% - Accent2 4 3 2 3 6 3" xfId="12395"/>
    <cellStyle name="20% - Accent2 4 3 2 3 7" xfId="12396"/>
    <cellStyle name="20% - Accent2 4 3 2 3 7 2" xfId="12397"/>
    <cellStyle name="20% - Accent2 4 3 2 3 8" xfId="12398"/>
    <cellStyle name="20% - Accent2 4 3 2 3 9" xfId="12399"/>
    <cellStyle name="20% - Accent2 4 3 2 4" xfId="12400"/>
    <cellStyle name="20% - Accent2 4 3 2 4 2" xfId="12401"/>
    <cellStyle name="20% - Accent2 4 3 2 4 2 2" xfId="12402"/>
    <cellStyle name="20% - Accent2 4 3 2 4 2 2 2" xfId="12403"/>
    <cellStyle name="20% - Accent2 4 3 2 4 2 2 3" xfId="12404"/>
    <cellStyle name="20% - Accent2 4 3 2 4 2 3" xfId="12405"/>
    <cellStyle name="20% - Accent2 4 3 2 4 2 3 2" xfId="12406"/>
    <cellStyle name="20% - Accent2 4 3 2 4 2 3 3" xfId="12407"/>
    <cellStyle name="20% - Accent2 4 3 2 4 2 4" xfId="12408"/>
    <cellStyle name="20% - Accent2 4 3 2 4 2 4 2" xfId="12409"/>
    <cellStyle name="20% - Accent2 4 3 2 4 2 5" xfId="12410"/>
    <cellStyle name="20% - Accent2 4 3 2 4 2 6" xfId="12411"/>
    <cellStyle name="20% - Accent2 4 3 2 4 3" xfId="12412"/>
    <cellStyle name="20% - Accent2 4 3 2 4 3 2" xfId="12413"/>
    <cellStyle name="20% - Accent2 4 3 2 4 3 2 2" xfId="12414"/>
    <cellStyle name="20% - Accent2 4 3 2 4 3 2 3" xfId="12415"/>
    <cellStyle name="20% - Accent2 4 3 2 4 3 3" xfId="12416"/>
    <cellStyle name="20% - Accent2 4 3 2 4 3 3 2" xfId="12417"/>
    <cellStyle name="20% - Accent2 4 3 2 4 3 3 3" xfId="12418"/>
    <cellStyle name="20% - Accent2 4 3 2 4 3 4" xfId="12419"/>
    <cellStyle name="20% - Accent2 4 3 2 4 3 4 2" xfId="12420"/>
    <cellStyle name="20% - Accent2 4 3 2 4 3 5" xfId="12421"/>
    <cellStyle name="20% - Accent2 4 3 2 4 3 6" xfId="12422"/>
    <cellStyle name="20% - Accent2 4 3 2 4 4" xfId="12423"/>
    <cellStyle name="20% - Accent2 4 3 2 4 4 2" xfId="12424"/>
    <cellStyle name="20% - Accent2 4 3 2 4 4 2 2" xfId="12425"/>
    <cellStyle name="20% - Accent2 4 3 2 4 4 2 3" xfId="12426"/>
    <cellStyle name="20% - Accent2 4 3 2 4 4 3" xfId="12427"/>
    <cellStyle name="20% - Accent2 4 3 2 4 4 3 2" xfId="12428"/>
    <cellStyle name="20% - Accent2 4 3 2 4 4 4" xfId="12429"/>
    <cellStyle name="20% - Accent2 4 3 2 4 4 5" xfId="12430"/>
    <cellStyle name="20% - Accent2 4 3 2 4 5" xfId="12431"/>
    <cellStyle name="20% - Accent2 4 3 2 4 5 2" xfId="12432"/>
    <cellStyle name="20% - Accent2 4 3 2 4 5 3" xfId="12433"/>
    <cellStyle name="20% - Accent2 4 3 2 4 6" xfId="12434"/>
    <cellStyle name="20% - Accent2 4 3 2 4 6 2" xfId="12435"/>
    <cellStyle name="20% - Accent2 4 3 2 4 6 3" xfId="12436"/>
    <cellStyle name="20% - Accent2 4 3 2 4 7" xfId="12437"/>
    <cellStyle name="20% - Accent2 4 3 2 4 7 2" xfId="12438"/>
    <cellStyle name="20% - Accent2 4 3 2 4 8" xfId="12439"/>
    <cellStyle name="20% - Accent2 4 3 2 4 9" xfId="12440"/>
    <cellStyle name="20% - Accent2 4 3 2 5" xfId="12441"/>
    <cellStyle name="20% - Accent2 4 3 2 5 2" xfId="12442"/>
    <cellStyle name="20% - Accent2 4 3 2 5 2 2" xfId="12443"/>
    <cellStyle name="20% - Accent2 4 3 2 5 2 3" xfId="12444"/>
    <cellStyle name="20% - Accent2 4 3 2 5 3" xfId="12445"/>
    <cellStyle name="20% - Accent2 4 3 2 5 3 2" xfId="12446"/>
    <cellStyle name="20% - Accent2 4 3 2 5 3 3" xfId="12447"/>
    <cellStyle name="20% - Accent2 4 3 2 5 4" xfId="12448"/>
    <cellStyle name="20% - Accent2 4 3 2 5 4 2" xfId="12449"/>
    <cellStyle name="20% - Accent2 4 3 2 5 5" xfId="12450"/>
    <cellStyle name="20% - Accent2 4 3 2 5 6" xfId="12451"/>
    <cellStyle name="20% - Accent2 4 3 2 6" xfId="12452"/>
    <cellStyle name="20% - Accent2 4 3 2 6 2" xfId="12453"/>
    <cellStyle name="20% - Accent2 4 3 2 6 2 2" xfId="12454"/>
    <cellStyle name="20% - Accent2 4 3 2 6 2 3" xfId="12455"/>
    <cellStyle name="20% - Accent2 4 3 2 6 3" xfId="12456"/>
    <cellStyle name="20% - Accent2 4 3 2 6 3 2" xfId="12457"/>
    <cellStyle name="20% - Accent2 4 3 2 6 3 3" xfId="12458"/>
    <cellStyle name="20% - Accent2 4 3 2 6 4" xfId="12459"/>
    <cellStyle name="20% - Accent2 4 3 2 6 4 2" xfId="12460"/>
    <cellStyle name="20% - Accent2 4 3 2 6 5" xfId="12461"/>
    <cellStyle name="20% - Accent2 4 3 2 6 6" xfId="12462"/>
    <cellStyle name="20% - Accent2 4 3 2 7" xfId="12463"/>
    <cellStyle name="20% - Accent2 4 3 2 7 2" xfId="12464"/>
    <cellStyle name="20% - Accent2 4 3 2 7 2 2" xfId="12465"/>
    <cellStyle name="20% - Accent2 4 3 2 7 2 3" xfId="12466"/>
    <cellStyle name="20% - Accent2 4 3 2 7 3" xfId="12467"/>
    <cellStyle name="20% - Accent2 4 3 2 7 3 2" xfId="12468"/>
    <cellStyle name="20% - Accent2 4 3 2 7 4" xfId="12469"/>
    <cellStyle name="20% - Accent2 4 3 2 7 5" xfId="12470"/>
    <cellStyle name="20% - Accent2 4 3 2 8" xfId="12471"/>
    <cellStyle name="20% - Accent2 4 3 2 8 2" xfId="12472"/>
    <cellStyle name="20% - Accent2 4 3 2 8 3" xfId="12473"/>
    <cellStyle name="20% - Accent2 4 3 2 9" xfId="12474"/>
    <cellStyle name="20% - Accent2 4 3 2 9 2" xfId="12475"/>
    <cellStyle name="20% - Accent2 4 3 2 9 3" xfId="12476"/>
    <cellStyle name="20% - Accent2 4 3 3" xfId="388"/>
    <cellStyle name="20% - Accent2 4 3 3 10" xfId="12477"/>
    <cellStyle name="20% - Accent2 4 3 3 2" xfId="389"/>
    <cellStyle name="20% - Accent2 4 3 3 2 2" xfId="12478"/>
    <cellStyle name="20% - Accent2 4 3 3 2 2 2" xfId="12479"/>
    <cellStyle name="20% - Accent2 4 3 3 2 2 2 2" xfId="12480"/>
    <cellStyle name="20% - Accent2 4 3 3 2 2 2 3" xfId="12481"/>
    <cellStyle name="20% - Accent2 4 3 3 2 2 3" xfId="12482"/>
    <cellStyle name="20% - Accent2 4 3 3 2 2 3 2" xfId="12483"/>
    <cellStyle name="20% - Accent2 4 3 3 2 2 3 3" xfId="12484"/>
    <cellStyle name="20% - Accent2 4 3 3 2 2 4" xfId="12485"/>
    <cellStyle name="20% - Accent2 4 3 3 2 2 4 2" xfId="12486"/>
    <cellStyle name="20% - Accent2 4 3 3 2 2 5" xfId="12487"/>
    <cellStyle name="20% - Accent2 4 3 3 2 2 6" xfId="12488"/>
    <cellStyle name="20% - Accent2 4 3 3 2 3" xfId="12489"/>
    <cellStyle name="20% - Accent2 4 3 3 2 3 2" xfId="12490"/>
    <cellStyle name="20% - Accent2 4 3 3 2 3 2 2" xfId="12491"/>
    <cellStyle name="20% - Accent2 4 3 3 2 3 2 3" xfId="12492"/>
    <cellStyle name="20% - Accent2 4 3 3 2 3 3" xfId="12493"/>
    <cellStyle name="20% - Accent2 4 3 3 2 3 3 2" xfId="12494"/>
    <cellStyle name="20% - Accent2 4 3 3 2 3 3 3" xfId="12495"/>
    <cellStyle name="20% - Accent2 4 3 3 2 3 4" xfId="12496"/>
    <cellStyle name="20% - Accent2 4 3 3 2 3 4 2" xfId="12497"/>
    <cellStyle name="20% - Accent2 4 3 3 2 3 5" xfId="12498"/>
    <cellStyle name="20% - Accent2 4 3 3 2 3 6" xfId="12499"/>
    <cellStyle name="20% - Accent2 4 3 3 2 4" xfId="12500"/>
    <cellStyle name="20% - Accent2 4 3 3 2 4 2" xfId="12501"/>
    <cellStyle name="20% - Accent2 4 3 3 2 4 2 2" xfId="12502"/>
    <cellStyle name="20% - Accent2 4 3 3 2 4 2 3" xfId="12503"/>
    <cellStyle name="20% - Accent2 4 3 3 2 4 3" xfId="12504"/>
    <cellStyle name="20% - Accent2 4 3 3 2 4 3 2" xfId="12505"/>
    <cellStyle name="20% - Accent2 4 3 3 2 4 4" xfId="12506"/>
    <cellStyle name="20% - Accent2 4 3 3 2 4 5" xfId="12507"/>
    <cellStyle name="20% - Accent2 4 3 3 2 5" xfId="12508"/>
    <cellStyle name="20% - Accent2 4 3 3 2 5 2" xfId="12509"/>
    <cellStyle name="20% - Accent2 4 3 3 2 5 3" xfId="12510"/>
    <cellStyle name="20% - Accent2 4 3 3 2 6" xfId="12511"/>
    <cellStyle name="20% - Accent2 4 3 3 2 6 2" xfId="12512"/>
    <cellStyle name="20% - Accent2 4 3 3 2 6 3" xfId="12513"/>
    <cellStyle name="20% - Accent2 4 3 3 2 7" xfId="12514"/>
    <cellStyle name="20% - Accent2 4 3 3 2 7 2" xfId="12515"/>
    <cellStyle name="20% - Accent2 4 3 3 2 8" xfId="12516"/>
    <cellStyle name="20% - Accent2 4 3 3 2 9" xfId="12517"/>
    <cellStyle name="20% - Accent2 4 3 3 3" xfId="12518"/>
    <cellStyle name="20% - Accent2 4 3 3 3 2" xfId="12519"/>
    <cellStyle name="20% - Accent2 4 3 3 3 2 2" xfId="12520"/>
    <cellStyle name="20% - Accent2 4 3 3 3 2 3" xfId="12521"/>
    <cellStyle name="20% - Accent2 4 3 3 3 3" xfId="12522"/>
    <cellStyle name="20% - Accent2 4 3 3 3 3 2" xfId="12523"/>
    <cellStyle name="20% - Accent2 4 3 3 3 3 3" xfId="12524"/>
    <cellStyle name="20% - Accent2 4 3 3 3 4" xfId="12525"/>
    <cellStyle name="20% - Accent2 4 3 3 3 4 2" xfId="12526"/>
    <cellStyle name="20% - Accent2 4 3 3 3 5" xfId="12527"/>
    <cellStyle name="20% - Accent2 4 3 3 3 6" xfId="12528"/>
    <cellStyle name="20% - Accent2 4 3 3 4" xfId="12529"/>
    <cellStyle name="20% - Accent2 4 3 3 4 2" xfId="12530"/>
    <cellStyle name="20% - Accent2 4 3 3 4 2 2" xfId="12531"/>
    <cellStyle name="20% - Accent2 4 3 3 4 2 3" xfId="12532"/>
    <cellStyle name="20% - Accent2 4 3 3 4 3" xfId="12533"/>
    <cellStyle name="20% - Accent2 4 3 3 4 3 2" xfId="12534"/>
    <cellStyle name="20% - Accent2 4 3 3 4 3 3" xfId="12535"/>
    <cellStyle name="20% - Accent2 4 3 3 4 4" xfId="12536"/>
    <cellStyle name="20% - Accent2 4 3 3 4 4 2" xfId="12537"/>
    <cellStyle name="20% - Accent2 4 3 3 4 5" xfId="12538"/>
    <cellStyle name="20% - Accent2 4 3 3 4 6" xfId="12539"/>
    <cellStyle name="20% - Accent2 4 3 3 5" xfId="12540"/>
    <cellStyle name="20% - Accent2 4 3 3 5 2" xfId="12541"/>
    <cellStyle name="20% - Accent2 4 3 3 5 2 2" xfId="12542"/>
    <cellStyle name="20% - Accent2 4 3 3 5 2 3" xfId="12543"/>
    <cellStyle name="20% - Accent2 4 3 3 5 3" xfId="12544"/>
    <cellStyle name="20% - Accent2 4 3 3 5 3 2" xfId="12545"/>
    <cellStyle name="20% - Accent2 4 3 3 5 4" xfId="12546"/>
    <cellStyle name="20% - Accent2 4 3 3 5 5" xfId="12547"/>
    <cellStyle name="20% - Accent2 4 3 3 6" xfId="12548"/>
    <cellStyle name="20% - Accent2 4 3 3 6 2" xfId="12549"/>
    <cellStyle name="20% - Accent2 4 3 3 6 3" xfId="12550"/>
    <cellStyle name="20% - Accent2 4 3 3 7" xfId="12551"/>
    <cellStyle name="20% - Accent2 4 3 3 7 2" xfId="12552"/>
    <cellStyle name="20% - Accent2 4 3 3 7 3" xfId="12553"/>
    <cellStyle name="20% - Accent2 4 3 3 8" xfId="12554"/>
    <cellStyle name="20% - Accent2 4 3 3 8 2" xfId="12555"/>
    <cellStyle name="20% - Accent2 4 3 3 9" xfId="12556"/>
    <cellStyle name="20% - Accent2 4 3 4" xfId="390"/>
    <cellStyle name="20% - Accent2 4 3 4 2" xfId="12557"/>
    <cellStyle name="20% - Accent2 4 3 4 2 2" xfId="12558"/>
    <cellStyle name="20% - Accent2 4 3 4 2 2 2" xfId="12559"/>
    <cellStyle name="20% - Accent2 4 3 4 2 2 3" xfId="12560"/>
    <cellStyle name="20% - Accent2 4 3 4 2 3" xfId="12561"/>
    <cellStyle name="20% - Accent2 4 3 4 2 3 2" xfId="12562"/>
    <cellStyle name="20% - Accent2 4 3 4 2 3 3" xfId="12563"/>
    <cellStyle name="20% - Accent2 4 3 4 2 4" xfId="12564"/>
    <cellStyle name="20% - Accent2 4 3 4 2 4 2" xfId="12565"/>
    <cellStyle name="20% - Accent2 4 3 4 2 5" xfId="12566"/>
    <cellStyle name="20% - Accent2 4 3 4 2 6" xfId="12567"/>
    <cellStyle name="20% - Accent2 4 3 4 3" xfId="12568"/>
    <cellStyle name="20% - Accent2 4 3 4 3 2" xfId="12569"/>
    <cellStyle name="20% - Accent2 4 3 4 3 2 2" xfId="12570"/>
    <cellStyle name="20% - Accent2 4 3 4 3 2 3" xfId="12571"/>
    <cellStyle name="20% - Accent2 4 3 4 3 3" xfId="12572"/>
    <cellStyle name="20% - Accent2 4 3 4 3 3 2" xfId="12573"/>
    <cellStyle name="20% - Accent2 4 3 4 3 3 3" xfId="12574"/>
    <cellStyle name="20% - Accent2 4 3 4 3 4" xfId="12575"/>
    <cellStyle name="20% - Accent2 4 3 4 3 4 2" xfId="12576"/>
    <cellStyle name="20% - Accent2 4 3 4 3 5" xfId="12577"/>
    <cellStyle name="20% - Accent2 4 3 4 3 6" xfId="12578"/>
    <cellStyle name="20% - Accent2 4 3 4 4" xfId="12579"/>
    <cellStyle name="20% - Accent2 4 3 4 4 2" xfId="12580"/>
    <cellStyle name="20% - Accent2 4 3 4 4 2 2" xfId="12581"/>
    <cellStyle name="20% - Accent2 4 3 4 4 2 3" xfId="12582"/>
    <cellStyle name="20% - Accent2 4 3 4 4 3" xfId="12583"/>
    <cellStyle name="20% - Accent2 4 3 4 4 3 2" xfId="12584"/>
    <cellStyle name="20% - Accent2 4 3 4 4 4" xfId="12585"/>
    <cellStyle name="20% - Accent2 4 3 4 4 5" xfId="12586"/>
    <cellStyle name="20% - Accent2 4 3 4 5" xfId="12587"/>
    <cellStyle name="20% - Accent2 4 3 4 5 2" xfId="12588"/>
    <cellStyle name="20% - Accent2 4 3 4 5 3" xfId="12589"/>
    <cellStyle name="20% - Accent2 4 3 4 6" xfId="12590"/>
    <cellStyle name="20% - Accent2 4 3 4 6 2" xfId="12591"/>
    <cellStyle name="20% - Accent2 4 3 4 6 3" xfId="12592"/>
    <cellStyle name="20% - Accent2 4 3 4 7" xfId="12593"/>
    <cellStyle name="20% - Accent2 4 3 4 7 2" xfId="12594"/>
    <cellStyle name="20% - Accent2 4 3 4 8" xfId="12595"/>
    <cellStyle name="20% - Accent2 4 3 4 9" xfId="12596"/>
    <cellStyle name="20% - Accent2 4 3 5" xfId="12597"/>
    <cellStyle name="20% - Accent2 4 3 5 2" xfId="12598"/>
    <cellStyle name="20% - Accent2 4 3 5 2 2" xfId="12599"/>
    <cellStyle name="20% - Accent2 4 3 5 2 2 2" xfId="12600"/>
    <cellStyle name="20% - Accent2 4 3 5 2 2 3" xfId="12601"/>
    <cellStyle name="20% - Accent2 4 3 5 2 3" xfId="12602"/>
    <cellStyle name="20% - Accent2 4 3 5 2 3 2" xfId="12603"/>
    <cellStyle name="20% - Accent2 4 3 5 2 3 3" xfId="12604"/>
    <cellStyle name="20% - Accent2 4 3 5 2 4" xfId="12605"/>
    <cellStyle name="20% - Accent2 4 3 5 2 4 2" xfId="12606"/>
    <cellStyle name="20% - Accent2 4 3 5 2 5" xfId="12607"/>
    <cellStyle name="20% - Accent2 4 3 5 2 6" xfId="12608"/>
    <cellStyle name="20% - Accent2 4 3 5 3" xfId="12609"/>
    <cellStyle name="20% - Accent2 4 3 5 3 2" xfId="12610"/>
    <cellStyle name="20% - Accent2 4 3 5 3 2 2" xfId="12611"/>
    <cellStyle name="20% - Accent2 4 3 5 3 2 3" xfId="12612"/>
    <cellStyle name="20% - Accent2 4 3 5 3 3" xfId="12613"/>
    <cellStyle name="20% - Accent2 4 3 5 3 3 2" xfId="12614"/>
    <cellStyle name="20% - Accent2 4 3 5 3 3 3" xfId="12615"/>
    <cellStyle name="20% - Accent2 4 3 5 3 4" xfId="12616"/>
    <cellStyle name="20% - Accent2 4 3 5 3 4 2" xfId="12617"/>
    <cellStyle name="20% - Accent2 4 3 5 3 5" xfId="12618"/>
    <cellStyle name="20% - Accent2 4 3 5 3 6" xfId="12619"/>
    <cellStyle name="20% - Accent2 4 3 5 4" xfId="12620"/>
    <cellStyle name="20% - Accent2 4 3 5 4 2" xfId="12621"/>
    <cellStyle name="20% - Accent2 4 3 5 4 2 2" xfId="12622"/>
    <cellStyle name="20% - Accent2 4 3 5 4 2 3" xfId="12623"/>
    <cellStyle name="20% - Accent2 4 3 5 4 3" xfId="12624"/>
    <cellStyle name="20% - Accent2 4 3 5 4 3 2" xfId="12625"/>
    <cellStyle name="20% - Accent2 4 3 5 4 4" xfId="12626"/>
    <cellStyle name="20% - Accent2 4 3 5 4 5" xfId="12627"/>
    <cellStyle name="20% - Accent2 4 3 5 5" xfId="12628"/>
    <cellStyle name="20% - Accent2 4 3 5 5 2" xfId="12629"/>
    <cellStyle name="20% - Accent2 4 3 5 5 3" xfId="12630"/>
    <cellStyle name="20% - Accent2 4 3 5 6" xfId="12631"/>
    <cellStyle name="20% - Accent2 4 3 5 6 2" xfId="12632"/>
    <cellStyle name="20% - Accent2 4 3 5 6 3" xfId="12633"/>
    <cellStyle name="20% - Accent2 4 3 5 7" xfId="12634"/>
    <cellStyle name="20% - Accent2 4 3 5 7 2" xfId="12635"/>
    <cellStyle name="20% - Accent2 4 3 5 8" xfId="12636"/>
    <cellStyle name="20% - Accent2 4 3 5 9" xfId="12637"/>
    <cellStyle name="20% - Accent2 4 3 6" xfId="12638"/>
    <cellStyle name="20% - Accent2 4 3 6 2" xfId="12639"/>
    <cellStyle name="20% - Accent2 4 3 6 2 2" xfId="12640"/>
    <cellStyle name="20% - Accent2 4 3 6 2 3" xfId="12641"/>
    <cellStyle name="20% - Accent2 4 3 6 3" xfId="12642"/>
    <cellStyle name="20% - Accent2 4 3 6 3 2" xfId="12643"/>
    <cellStyle name="20% - Accent2 4 3 6 3 3" xfId="12644"/>
    <cellStyle name="20% - Accent2 4 3 6 4" xfId="12645"/>
    <cellStyle name="20% - Accent2 4 3 6 4 2" xfId="12646"/>
    <cellStyle name="20% - Accent2 4 3 6 5" xfId="12647"/>
    <cellStyle name="20% - Accent2 4 3 6 6" xfId="12648"/>
    <cellStyle name="20% - Accent2 4 3 7" xfId="12649"/>
    <cellStyle name="20% - Accent2 4 3 7 2" xfId="12650"/>
    <cellStyle name="20% - Accent2 4 3 7 2 2" xfId="12651"/>
    <cellStyle name="20% - Accent2 4 3 7 2 3" xfId="12652"/>
    <cellStyle name="20% - Accent2 4 3 7 3" xfId="12653"/>
    <cellStyle name="20% - Accent2 4 3 7 3 2" xfId="12654"/>
    <cellStyle name="20% - Accent2 4 3 7 3 3" xfId="12655"/>
    <cellStyle name="20% - Accent2 4 3 7 4" xfId="12656"/>
    <cellStyle name="20% - Accent2 4 3 7 4 2" xfId="12657"/>
    <cellStyle name="20% - Accent2 4 3 7 5" xfId="12658"/>
    <cellStyle name="20% - Accent2 4 3 7 6" xfId="12659"/>
    <cellStyle name="20% - Accent2 4 3 8" xfId="12660"/>
    <cellStyle name="20% - Accent2 4 3 8 2" xfId="12661"/>
    <cellStyle name="20% - Accent2 4 3 8 2 2" xfId="12662"/>
    <cellStyle name="20% - Accent2 4 3 8 2 3" xfId="12663"/>
    <cellStyle name="20% - Accent2 4 3 8 3" xfId="12664"/>
    <cellStyle name="20% - Accent2 4 3 8 3 2" xfId="12665"/>
    <cellStyle name="20% - Accent2 4 3 8 4" xfId="12666"/>
    <cellStyle name="20% - Accent2 4 3 8 5" xfId="12667"/>
    <cellStyle name="20% - Accent2 4 3 9" xfId="12668"/>
    <cellStyle name="20% - Accent2 4 3 9 2" xfId="12669"/>
    <cellStyle name="20% - Accent2 4 3 9 3" xfId="12670"/>
    <cellStyle name="20% - Accent2 4 4" xfId="391"/>
    <cellStyle name="20% - Accent2 4 4 10" xfId="12671"/>
    <cellStyle name="20% - Accent2 4 4 10 2" xfId="12672"/>
    <cellStyle name="20% - Accent2 4 4 11" xfId="12673"/>
    <cellStyle name="20% - Accent2 4 4 12" xfId="12674"/>
    <cellStyle name="20% - Accent2 4 4 2" xfId="392"/>
    <cellStyle name="20% - Accent2 4 4 2 10" xfId="12675"/>
    <cellStyle name="20% - Accent2 4 4 2 2" xfId="393"/>
    <cellStyle name="20% - Accent2 4 4 2 2 2" xfId="12676"/>
    <cellStyle name="20% - Accent2 4 4 2 2 2 2" xfId="12677"/>
    <cellStyle name="20% - Accent2 4 4 2 2 2 2 2" xfId="12678"/>
    <cellStyle name="20% - Accent2 4 4 2 2 2 2 3" xfId="12679"/>
    <cellStyle name="20% - Accent2 4 4 2 2 2 3" xfId="12680"/>
    <cellStyle name="20% - Accent2 4 4 2 2 2 3 2" xfId="12681"/>
    <cellStyle name="20% - Accent2 4 4 2 2 2 3 3" xfId="12682"/>
    <cellStyle name="20% - Accent2 4 4 2 2 2 4" xfId="12683"/>
    <cellStyle name="20% - Accent2 4 4 2 2 2 4 2" xfId="12684"/>
    <cellStyle name="20% - Accent2 4 4 2 2 2 5" xfId="12685"/>
    <cellStyle name="20% - Accent2 4 4 2 2 2 6" xfId="12686"/>
    <cellStyle name="20% - Accent2 4 4 2 2 3" xfId="12687"/>
    <cellStyle name="20% - Accent2 4 4 2 2 3 2" xfId="12688"/>
    <cellStyle name="20% - Accent2 4 4 2 2 3 2 2" xfId="12689"/>
    <cellStyle name="20% - Accent2 4 4 2 2 3 2 3" xfId="12690"/>
    <cellStyle name="20% - Accent2 4 4 2 2 3 3" xfId="12691"/>
    <cellStyle name="20% - Accent2 4 4 2 2 3 3 2" xfId="12692"/>
    <cellStyle name="20% - Accent2 4 4 2 2 3 3 3" xfId="12693"/>
    <cellStyle name="20% - Accent2 4 4 2 2 3 4" xfId="12694"/>
    <cellStyle name="20% - Accent2 4 4 2 2 3 4 2" xfId="12695"/>
    <cellStyle name="20% - Accent2 4 4 2 2 3 5" xfId="12696"/>
    <cellStyle name="20% - Accent2 4 4 2 2 3 6" xfId="12697"/>
    <cellStyle name="20% - Accent2 4 4 2 2 4" xfId="12698"/>
    <cellStyle name="20% - Accent2 4 4 2 2 4 2" xfId="12699"/>
    <cellStyle name="20% - Accent2 4 4 2 2 4 2 2" xfId="12700"/>
    <cellStyle name="20% - Accent2 4 4 2 2 4 2 3" xfId="12701"/>
    <cellStyle name="20% - Accent2 4 4 2 2 4 3" xfId="12702"/>
    <cellStyle name="20% - Accent2 4 4 2 2 4 3 2" xfId="12703"/>
    <cellStyle name="20% - Accent2 4 4 2 2 4 4" xfId="12704"/>
    <cellStyle name="20% - Accent2 4 4 2 2 4 5" xfId="12705"/>
    <cellStyle name="20% - Accent2 4 4 2 2 5" xfId="12706"/>
    <cellStyle name="20% - Accent2 4 4 2 2 5 2" xfId="12707"/>
    <cellStyle name="20% - Accent2 4 4 2 2 5 3" xfId="12708"/>
    <cellStyle name="20% - Accent2 4 4 2 2 6" xfId="12709"/>
    <cellStyle name="20% - Accent2 4 4 2 2 6 2" xfId="12710"/>
    <cellStyle name="20% - Accent2 4 4 2 2 6 3" xfId="12711"/>
    <cellStyle name="20% - Accent2 4 4 2 2 7" xfId="12712"/>
    <cellStyle name="20% - Accent2 4 4 2 2 7 2" xfId="12713"/>
    <cellStyle name="20% - Accent2 4 4 2 2 8" xfId="12714"/>
    <cellStyle name="20% - Accent2 4 4 2 2 9" xfId="12715"/>
    <cellStyle name="20% - Accent2 4 4 2 3" xfId="12716"/>
    <cellStyle name="20% - Accent2 4 4 2 3 2" xfId="12717"/>
    <cellStyle name="20% - Accent2 4 4 2 3 2 2" xfId="12718"/>
    <cellStyle name="20% - Accent2 4 4 2 3 2 3" xfId="12719"/>
    <cellStyle name="20% - Accent2 4 4 2 3 3" xfId="12720"/>
    <cellStyle name="20% - Accent2 4 4 2 3 3 2" xfId="12721"/>
    <cellStyle name="20% - Accent2 4 4 2 3 3 3" xfId="12722"/>
    <cellStyle name="20% - Accent2 4 4 2 3 4" xfId="12723"/>
    <cellStyle name="20% - Accent2 4 4 2 3 4 2" xfId="12724"/>
    <cellStyle name="20% - Accent2 4 4 2 3 5" xfId="12725"/>
    <cellStyle name="20% - Accent2 4 4 2 3 6" xfId="12726"/>
    <cellStyle name="20% - Accent2 4 4 2 4" xfId="12727"/>
    <cellStyle name="20% - Accent2 4 4 2 4 2" xfId="12728"/>
    <cellStyle name="20% - Accent2 4 4 2 4 2 2" xfId="12729"/>
    <cellStyle name="20% - Accent2 4 4 2 4 2 3" xfId="12730"/>
    <cellStyle name="20% - Accent2 4 4 2 4 3" xfId="12731"/>
    <cellStyle name="20% - Accent2 4 4 2 4 3 2" xfId="12732"/>
    <cellStyle name="20% - Accent2 4 4 2 4 3 3" xfId="12733"/>
    <cellStyle name="20% - Accent2 4 4 2 4 4" xfId="12734"/>
    <cellStyle name="20% - Accent2 4 4 2 4 4 2" xfId="12735"/>
    <cellStyle name="20% - Accent2 4 4 2 4 5" xfId="12736"/>
    <cellStyle name="20% - Accent2 4 4 2 4 6" xfId="12737"/>
    <cellStyle name="20% - Accent2 4 4 2 5" xfId="12738"/>
    <cellStyle name="20% - Accent2 4 4 2 5 2" xfId="12739"/>
    <cellStyle name="20% - Accent2 4 4 2 5 2 2" xfId="12740"/>
    <cellStyle name="20% - Accent2 4 4 2 5 2 3" xfId="12741"/>
    <cellStyle name="20% - Accent2 4 4 2 5 3" xfId="12742"/>
    <cellStyle name="20% - Accent2 4 4 2 5 3 2" xfId="12743"/>
    <cellStyle name="20% - Accent2 4 4 2 5 4" xfId="12744"/>
    <cellStyle name="20% - Accent2 4 4 2 5 5" xfId="12745"/>
    <cellStyle name="20% - Accent2 4 4 2 6" xfId="12746"/>
    <cellStyle name="20% - Accent2 4 4 2 6 2" xfId="12747"/>
    <cellStyle name="20% - Accent2 4 4 2 6 3" xfId="12748"/>
    <cellStyle name="20% - Accent2 4 4 2 7" xfId="12749"/>
    <cellStyle name="20% - Accent2 4 4 2 7 2" xfId="12750"/>
    <cellStyle name="20% - Accent2 4 4 2 7 3" xfId="12751"/>
    <cellStyle name="20% - Accent2 4 4 2 8" xfId="12752"/>
    <cellStyle name="20% - Accent2 4 4 2 8 2" xfId="12753"/>
    <cellStyle name="20% - Accent2 4 4 2 9" xfId="12754"/>
    <cellStyle name="20% - Accent2 4 4 3" xfId="394"/>
    <cellStyle name="20% - Accent2 4 4 3 2" xfId="12755"/>
    <cellStyle name="20% - Accent2 4 4 3 2 2" xfId="12756"/>
    <cellStyle name="20% - Accent2 4 4 3 2 2 2" xfId="12757"/>
    <cellStyle name="20% - Accent2 4 4 3 2 2 3" xfId="12758"/>
    <cellStyle name="20% - Accent2 4 4 3 2 3" xfId="12759"/>
    <cellStyle name="20% - Accent2 4 4 3 2 3 2" xfId="12760"/>
    <cellStyle name="20% - Accent2 4 4 3 2 3 3" xfId="12761"/>
    <cellStyle name="20% - Accent2 4 4 3 2 4" xfId="12762"/>
    <cellStyle name="20% - Accent2 4 4 3 2 4 2" xfId="12763"/>
    <cellStyle name="20% - Accent2 4 4 3 2 5" xfId="12764"/>
    <cellStyle name="20% - Accent2 4 4 3 2 6" xfId="12765"/>
    <cellStyle name="20% - Accent2 4 4 3 3" xfId="12766"/>
    <cellStyle name="20% - Accent2 4 4 3 3 2" xfId="12767"/>
    <cellStyle name="20% - Accent2 4 4 3 3 2 2" xfId="12768"/>
    <cellStyle name="20% - Accent2 4 4 3 3 2 3" xfId="12769"/>
    <cellStyle name="20% - Accent2 4 4 3 3 3" xfId="12770"/>
    <cellStyle name="20% - Accent2 4 4 3 3 3 2" xfId="12771"/>
    <cellStyle name="20% - Accent2 4 4 3 3 3 3" xfId="12772"/>
    <cellStyle name="20% - Accent2 4 4 3 3 4" xfId="12773"/>
    <cellStyle name="20% - Accent2 4 4 3 3 4 2" xfId="12774"/>
    <cellStyle name="20% - Accent2 4 4 3 3 5" xfId="12775"/>
    <cellStyle name="20% - Accent2 4 4 3 3 6" xfId="12776"/>
    <cellStyle name="20% - Accent2 4 4 3 4" xfId="12777"/>
    <cellStyle name="20% - Accent2 4 4 3 4 2" xfId="12778"/>
    <cellStyle name="20% - Accent2 4 4 3 4 2 2" xfId="12779"/>
    <cellStyle name="20% - Accent2 4 4 3 4 2 3" xfId="12780"/>
    <cellStyle name="20% - Accent2 4 4 3 4 3" xfId="12781"/>
    <cellStyle name="20% - Accent2 4 4 3 4 3 2" xfId="12782"/>
    <cellStyle name="20% - Accent2 4 4 3 4 4" xfId="12783"/>
    <cellStyle name="20% - Accent2 4 4 3 4 5" xfId="12784"/>
    <cellStyle name="20% - Accent2 4 4 3 5" xfId="12785"/>
    <cellStyle name="20% - Accent2 4 4 3 5 2" xfId="12786"/>
    <cellStyle name="20% - Accent2 4 4 3 5 3" xfId="12787"/>
    <cellStyle name="20% - Accent2 4 4 3 6" xfId="12788"/>
    <cellStyle name="20% - Accent2 4 4 3 6 2" xfId="12789"/>
    <cellStyle name="20% - Accent2 4 4 3 6 3" xfId="12790"/>
    <cellStyle name="20% - Accent2 4 4 3 7" xfId="12791"/>
    <cellStyle name="20% - Accent2 4 4 3 7 2" xfId="12792"/>
    <cellStyle name="20% - Accent2 4 4 3 8" xfId="12793"/>
    <cellStyle name="20% - Accent2 4 4 3 9" xfId="12794"/>
    <cellStyle name="20% - Accent2 4 4 4" xfId="12795"/>
    <cellStyle name="20% - Accent2 4 4 4 2" xfId="12796"/>
    <cellStyle name="20% - Accent2 4 4 4 2 2" xfId="12797"/>
    <cellStyle name="20% - Accent2 4 4 4 2 2 2" xfId="12798"/>
    <cellStyle name="20% - Accent2 4 4 4 2 2 3" xfId="12799"/>
    <cellStyle name="20% - Accent2 4 4 4 2 3" xfId="12800"/>
    <cellStyle name="20% - Accent2 4 4 4 2 3 2" xfId="12801"/>
    <cellStyle name="20% - Accent2 4 4 4 2 3 3" xfId="12802"/>
    <cellStyle name="20% - Accent2 4 4 4 2 4" xfId="12803"/>
    <cellStyle name="20% - Accent2 4 4 4 2 4 2" xfId="12804"/>
    <cellStyle name="20% - Accent2 4 4 4 2 5" xfId="12805"/>
    <cellStyle name="20% - Accent2 4 4 4 2 6" xfId="12806"/>
    <cellStyle name="20% - Accent2 4 4 4 3" xfId="12807"/>
    <cellStyle name="20% - Accent2 4 4 4 3 2" xfId="12808"/>
    <cellStyle name="20% - Accent2 4 4 4 3 2 2" xfId="12809"/>
    <cellStyle name="20% - Accent2 4 4 4 3 2 3" xfId="12810"/>
    <cellStyle name="20% - Accent2 4 4 4 3 3" xfId="12811"/>
    <cellStyle name="20% - Accent2 4 4 4 3 3 2" xfId="12812"/>
    <cellStyle name="20% - Accent2 4 4 4 3 3 3" xfId="12813"/>
    <cellStyle name="20% - Accent2 4 4 4 3 4" xfId="12814"/>
    <cellStyle name="20% - Accent2 4 4 4 3 4 2" xfId="12815"/>
    <cellStyle name="20% - Accent2 4 4 4 3 5" xfId="12816"/>
    <cellStyle name="20% - Accent2 4 4 4 3 6" xfId="12817"/>
    <cellStyle name="20% - Accent2 4 4 4 4" xfId="12818"/>
    <cellStyle name="20% - Accent2 4 4 4 4 2" xfId="12819"/>
    <cellStyle name="20% - Accent2 4 4 4 4 2 2" xfId="12820"/>
    <cellStyle name="20% - Accent2 4 4 4 4 2 3" xfId="12821"/>
    <cellStyle name="20% - Accent2 4 4 4 4 3" xfId="12822"/>
    <cellStyle name="20% - Accent2 4 4 4 4 3 2" xfId="12823"/>
    <cellStyle name="20% - Accent2 4 4 4 4 4" xfId="12824"/>
    <cellStyle name="20% - Accent2 4 4 4 4 5" xfId="12825"/>
    <cellStyle name="20% - Accent2 4 4 4 5" xfId="12826"/>
    <cellStyle name="20% - Accent2 4 4 4 5 2" xfId="12827"/>
    <cellStyle name="20% - Accent2 4 4 4 5 3" xfId="12828"/>
    <cellStyle name="20% - Accent2 4 4 4 6" xfId="12829"/>
    <cellStyle name="20% - Accent2 4 4 4 6 2" xfId="12830"/>
    <cellStyle name="20% - Accent2 4 4 4 6 3" xfId="12831"/>
    <cellStyle name="20% - Accent2 4 4 4 7" xfId="12832"/>
    <cellStyle name="20% - Accent2 4 4 4 7 2" xfId="12833"/>
    <cellStyle name="20% - Accent2 4 4 4 8" xfId="12834"/>
    <cellStyle name="20% - Accent2 4 4 4 9" xfId="12835"/>
    <cellStyle name="20% - Accent2 4 4 5" xfId="12836"/>
    <cellStyle name="20% - Accent2 4 4 5 2" xfId="12837"/>
    <cellStyle name="20% - Accent2 4 4 5 2 2" xfId="12838"/>
    <cellStyle name="20% - Accent2 4 4 5 2 3" xfId="12839"/>
    <cellStyle name="20% - Accent2 4 4 5 3" xfId="12840"/>
    <cellStyle name="20% - Accent2 4 4 5 3 2" xfId="12841"/>
    <cellStyle name="20% - Accent2 4 4 5 3 3" xfId="12842"/>
    <cellStyle name="20% - Accent2 4 4 5 4" xfId="12843"/>
    <cellStyle name="20% - Accent2 4 4 5 4 2" xfId="12844"/>
    <cellStyle name="20% - Accent2 4 4 5 5" xfId="12845"/>
    <cellStyle name="20% - Accent2 4 4 5 6" xfId="12846"/>
    <cellStyle name="20% - Accent2 4 4 6" xfId="12847"/>
    <cellStyle name="20% - Accent2 4 4 6 2" xfId="12848"/>
    <cellStyle name="20% - Accent2 4 4 6 2 2" xfId="12849"/>
    <cellStyle name="20% - Accent2 4 4 6 2 3" xfId="12850"/>
    <cellStyle name="20% - Accent2 4 4 6 3" xfId="12851"/>
    <cellStyle name="20% - Accent2 4 4 6 3 2" xfId="12852"/>
    <cellStyle name="20% - Accent2 4 4 6 3 3" xfId="12853"/>
    <cellStyle name="20% - Accent2 4 4 6 4" xfId="12854"/>
    <cellStyle name="20% - Accent2 4 4 6 4 2" xfId="12855"/>
    <cellStyle name="20% - Accent2 4 4 6 5" xfId="12856"/>
    <cellStyle name="20% - Accent2 4 4 6 6" xfId="12857"/>
    <cellStyle name="20% - Accent2 4 4 7" xfId="12858"/>
    <cellStyle name="20% - Accent2 4 4 7 2" xfId="12859"/>
    <cellStyle name="20% - Accent2 4 4 7 2 2" xfId="12860"/>
    <cellStyle name="20% - Accent2 4 4 7 2 3" xfId="12861"/>
    <cellStyle name="20% - Accent2 4 4 7 3" xfId="12862"/>
    <cellStyle name="20% - Accent2 4 4 7 3 2" xfId="12863"/>
    <cellStyle name="20% - Accent2 4 4 7 4" xfId="12864"/>
    <cellStyle name="20% - Accent2 4 4 7 5" xfId="12865"/>
    <cellStyle name="20% - Accent2 4 4 8" xfId="12866"/>
    <cellStyle name="20% - Accent2 4 4 8 2" xfId="12867"/>
    <cellStyle name="20% - Accent2 4 4 8 3" xfId="12868"/>
    <cellStyle name="20% - Accent2 4 4 9" xfId="12869"/>
    <cellStyle name="20% - Accent2 4 4 9 2" xfId="12870"/>
    <cellStyle name="20% - Accent2 4 4 9 3" xfId="12871"/>
    <cellStyle name="20% - Accent2 4 5" xfId="395"/>
    <cellStyle name="20% - Accent2 4 5 10" xfId="12872"/>
    <cellStyle name="20% - Accent2 4 5 2" xfId="396"/>
    <cellStyle name="20% - Accent2 4 5 2 2" xfId="12873"/>
    <cellStyle name="20% - Accent2 4 5 2 2 2" xfId="12874"/>
    <cellStyle name="20% - Accent2 4 5 2 2 2 2" xfId="12875"/>
    <cellStyle name="20% - Accent2 4 5 2 2 2 3" xfId="12876"/>
    <cellStyle name="20% - Accent2 4 5 2 2 3" xfId="12877"/>
    <cellStyle name="20% - Accent2 4 5 2 2 3 2" xfId="12878"/>
    <cellStyle name="20% - Accent2 4 5 2 2 3 3" xfId="12879"/>
    <cellStyle name="20% - Accent2 4 5 2 2 4" xfId="12880"/>
    <cellStyle name="20% - Accent2 4 5 2 2 4 2" xfId="12881"/>
    <cellStyle name="20% - Accent2 4 5 2 2 5" xfId="12882"/>
    <cellStyle name="20% - Accent2 4 5 2 2 6" xfId="12883"/>
    <cellStyle name="20% - Accent2 4 5 2 3" xfId="12884"/>
    <cellStyle name="20% - Accent2 4 5 2 3 2" xfId="12885"/>
    <cellStyle name="20% - Accent2 4 5 2 3 2 2" xfId="12886"/>
    <cellStyle name="20% - Accent2 4 5 2 3 2 3" xfId="12887"/>
    <cellStyle name="20% - Accent2 4 5 2 3 3" xfId="12888"/>
    <cellStyle name="20% - Accent2 4 5 2 3 3 2" xfId="12889"/>
    <cellStyle name="20% - Accent2 4 5 2 3 3 3" xfId="12890"/>
    <cellStyle name="20% - Accent2 4 5 2 3 4" xfId="12891"/>
    <cellStyle name="20% - Accent2 4 5 2 3 4 2" xfId="12892"/>
    <cellStyle name="20% - Accent2 4 5 2 3 5" xfId="12893"/>
    <cellStyle name="20% - Accent2 4 5 2 3 6" xfId="12894"/>
    <cellStyle name="20% - Accent2 4 5 2 4" xfId="12895"/>
    <cellStyle name="20% - Accent2 4 5 2 4 2" xfId="12896"/>
    <cellStyle name="20% - Accent2 4 5 2 4 2 2" xfId="12897"/>
    <cellStyle name="20% - Accent2 4 5 2 4 2 3" xfId="12898"/>
    <cellStyle name="20% - Accent2 4 5 2 4 3" xfId="12899"/>
    <cellStyle name="20% - Accent2 4 5 2 4 3 2" xfId="12900"/>
    <cellStyle name="20% - Accent2 4 5 2 4 4" xfId="12901"/>
    <cellStyle name="20% - Accent2 4 5 2 4 5" xfId="12902"/>
    <cellStyle name="20% - Accent2 4 5 2 5" xfId="12903"/>
    <cellStyle name="20% - Accent2 4 5 2 5 2" xfId="12904"/>
    <cellStyle name="20% - Accent2 4 5 2 5 3" xfId="12905"/>
    <cellStyle name="20% - Accent2 4 5 2 6" xfId="12906"/>
    <cellStyle name="20% - Accent2 4 5 2 6 2" xfId="12907"/>
    <cellStyle name="20% - Accent2 4 5 2 6 3" xfId="12908"/>
    <cellStyle name="20% - Accent2 4 5 2 7" xfId="12909"/>
    <cellStyle name="20% - Accent2 4 5 2 7 2" xfId="12910"/>
    <cellStyle name="20% - Accent2 4 5 2 8" xfId="12911"/>
    <cellStyle name="20% - Accent2 4 5 2 9" xfId="12912"/>
    <cellStyle name="20% - Accent2 4 5 3" xfId="12913"/>
    <cellStyle name="20% - Accent2 4 5 3 2" xfId="12914"/>
    <cellStyle name="20% - Accent2 4 5 3 2 2" xfId="12915"/>
    <cellStyle name="20% - Accent2 4 5 3 2 3" xfId="12916"/>
    <cellStyle name="20% - Accent2 4 5 3 3" xfId="12917"/>
    <cellStyle name="20% - Accent2 4 5 3 3 2" xfId="12918"/>
    <cellStyle name="20% - Accent2 4 5 3 3 3" xfId="12919"/>
    <cellStyle name="20% - Accent2 4 5 3 4" xfId="12920"/>
    <cellStyle name="20% - Accent2 4 5 3 4 2" xfId="12921"/>
    <cellStyle name="20% - Accent2 4 5 3 5" xfId="12922"/>
    <cellStyle name="20% - Accent2 4 5 3 6" xfId="12923"/>
    <cellStyle name="20% - Accent2 4 5 4" xfId="12924"/>
    <cellStyle name="20% - Accent2 4 5 4 2" xfId="12925"/>
    <cellStyle name="20% - Accent2 4 5 4 2 2" xfId="12926"/>
    <cellStyle name="20% - Accent2 4 5 4 2 3" xfId="12927"/>
    <cellStyle name="20% - Accent2 4 5 4 3" xfId="12928"/>
    <cellStyle name="20% - Accent2 4 5 4 3 2" xfId="12929"/>
    <cellStyle name="20% - Accent2 4 5 4 3 3" xfId="12930"/>
    <cellStyle name="20% - Accent2 4 5 4 4" xfId="12931"/>
    <cellStyle name="20% - Accent2 4 5 4 4 2" xfId="12932"/>
    <cellStyle name="20% - Accent2 4 5 4 5" xfId="12933"/>
    <cellStyle name="20% - Accent2 4 5 4 6" xfId="12934"/>
    <cellStyle name="20% - Accent2 4 5 5" xfId="12935"/>
    <cellStyle name="20% - Accent2 4 5 5 2" xfId="12936"/>
    <cellStyle name="20% - Accent2 4 5 5 2 2" xfId="12937"/>
    <cellStyle name="20% - Accent2 4 5 5 2 3" xfId="12938"/>
    <cellStyle name="20% - Accent2 4 5 5 3" xfId="12939"/>
    <cellStyle name="20% - Accent2 4 5 5 3 2" xfId="12940"/>
    <cellStyle name="20% - Accent2 4 5 5 4" xfId="12941"/>
    <cellStyle name="20% - Accent2 4 5 5 5" xfId="12942"/>
    <cellStyle name="20% - Accent2 4 5 6" xfId="12943"/>
    <cellStyle name="20% - Accent2 4 5 6 2" xfId="12944"/>
    <cellStyle name="20% - Accent2 4 5 6 3" xfId="12945"/>
    <cellStyle name="20% - Accent2 4 5 7" xfId="12946"/>
    <cellStyle name="20% - Accent2 4 5 7 2" xfId="12947"/>
    <cellStyle name="20% - Accent2 4 5 7 3" xfId="12948"/>
    <cellStyle name="20% - Accent2 4 5 8" xfId="12949"/>
    <cellStyle name="20% - Accent2 4 5 8 2" xfId="12950"/>
    <cellStyle name="20% - Accent2 4 5 9" xfId="12951"/>
    <cellStyle name="20% - Accent2 4 6" xfId="397"/>
    <cellStyle name="20% - Accent2 4 6 2" xfId="12952"/>
    <cellStyle name="20% - Accent2 4 6 2 2" xfId="12953"/>
    <cellStyle name="20% - Accent2 4 6 2 2 2" xfId="12954"/>
    <cellStyle name="20% - Accent2 4 6 2 2 3" xfId="12955"/>
    <cellStyle name="20% - Accent2 4 6 2 3" xfId="12956"/>
    <cellStyle name="20% - Accent2 4 6 2 3 2" xfId="12957"/>
    <cellStyle name="20% - Accent2 4 6 2 3 3" xfId="12958"/>
    <cellStyle name="20% - Accent2 4 6 2 4" xfId="12959"/>
    <cellStyle name="20% - Accent2 4 6 2 4 2" xfId="12960"/>
    <cellStyle name="20% - Accent2 4 6 2 5" xfId="12961"/>
    <cellStyle name="20% - Accent2 4 6 2 6" xfId="12962"/>
    <cellStyle name="20% - Accent2 4 6 3" xfId="12963"/>
    <cellStyle name="20% - Accent2 4 6 3 2" xfId="12964"/>
    <cellStyle name="20% - Accent2 4 6 3 2 2" xfId="12965"/>
    <cellStyle name="20% - Accent2 4 6 3 2 3" xfId="12966"/>
    <cellStyle name="20% - Accent2 4 6 3 3" xfId="12967"/>
    <cellStyle name="20% - Accent2 4 6 3 3 2" xfId="12968"/>
    <cellStyle name="20% - Accent2 4 6 3 3 3" xfId="12969"/>
    <cellStyle name="20% - Accent2 4 6 3 4" xfId="12970"/>
    <cellStyle name="20% - Accent2 4 6 3 4 2" xfId="12971"/>
    <cellStyle name="20% - Accent2 4 6 3 5" xfId="12972"/>
    <cellStyle name="20% - Accent2 4 6 3 6" xfId="12973"/>
    <cellStyle name="20% - Accent2 4 6 4" xfId="12974"/>
    <cellStyle name="20% - Accent2 4 6 4 2" xfId="12975"/>
    <cellStyle name="20% - Accent2 4 6 4 2 2" xfId="12976"/>
    <cellStyle name="20% - Accent2 4 6 4 2 3" xfId="12977"/>
    <cellStyle name="20% - Accent2 4 6 4 3" xfId="12978"/>
    <cellStyle name="20% - Accent2 4 6 4 3 2" xfId="12979"/>
    <cellStyle name="20% - Accent2 4 6 4 4" xfId="12980"/>
    <cellStyle name="20% - Accent2 4 6 4 5" xfId="12981"/>
    <cellStyle name="20% - Accent2 4 6 5" xfId="12982"/>
    <cellStyle name="20% - Accent2 4 6 5 2" xfId="12983"/>
    <cellStyle name="20% - Accent2 4 6 5 3" xfId="12984"/>
    <cellStyle name="20% - Accent2 4 6 6" xfId="12985"/>
    <cellStyle name="20% - Accent2 4 6 6 2" xfId="12986"/>
    <cellStyle name="20% - Accent2 4 6 6 3" xfId="12987"/>
    <cellStyle name="20% - Accent2 4 6 7" xfId="12988"/>
    <cellStyle name="20% - Accent2 4 6 7 2" xfId="12989"/>
    <cellStyle name="20% - Accent2 4 6 8" xfId="12990"/>
    <cellStyle name="20% - Accent2 4 6 9" xfId="12991"/>
    <cellStyle name="20% - Accent2 4 7" xfId="8853"/>
    <cellStyle name="20% - Accent2 4 7 2" xfId="12992"/>
    <cellStyle name="20% - Accent2 4 7 2 2" xfId="12993"/>
    <cellStyle name="20% - Accent2 4 7 2 2 2" xfId="12994"/>
    <cellStyle name="20% - Accent2 4 7 2 2 3" xfId="12995"/>
    <cellStyle name="20% - Accent2 4 7 2 3" xfId="12996"/>
    <cellStyle name="20% - Accent2 4 7 2 3 2" xfId="12997"/>
    <cellStyle name="20% - Accent2 4 7 2 3 3" xfId="12998"/>
    <cellStyle name="20% - Accent2 4 7 2 4" xfId="12999"/>
    <cellStyle name="20% - Accent2 4 7 2 4 2" xfId="13000"/>
    <cellStyle name="20% - Accent2 4 7 2 5" xfId="13001"/>
    <cellStyle name="20% - Accent2 4 7 2 6" xfId="13002"/>
    <cellStyle name="20% - Accent2 4 7 3" xfId="13003"/>
    <cellStyle name="20% - Accent2 4 7 3 2" xfId="13004"/>
    <cellStyle name="20% - Accent2 4 7 3 2 2" xfId="13005"/>
    <cellStyle name="20% - Accent2 4 7 3 2 3" xfId="13006"/>
    <cellStyle name="20% - Accent2 4 7 3 3" xfId="13007"/>
    <cellStyle name="20% - Accent2 4 7 3 3 2" xfId="13008"/>
    <cellStyle name="20% - Accent2 4 7 3 3 3" xfId="13009"/>
    <cellStyle name="20% - Accent2 4 7 3 4" xfId="13010"/>
    <cellStyle name="20% - Accent2 4 7 3 4 2" xfId="13011"/>
    <cellStyle name="20% - Accent2 4 7 3 5" xfId="13012"/>
    <cellStyle name="20% - Accent2 4 7 3 6" xfId="13013"/>
    <cellStyle name="20% - Accent2 4 7 4" xfId="13014"/>
    <cellStyle name="20% - Accent2 4 7 4 2" xfId="13015"/>
    <cellStyle name="20% - Accent2 4 7 4 2 2" xfId="13016"/>
    <cellStyle name="20% - Accent2 4 7 4 2 3" xfId="13017"/>
    <cellStyle name="20% - Accent2 4 7 4 3" xfId="13018"/>
    <cellStyle name="20% - Accent2 4 7 4 3 2" xfId="13019"/>
    <cellStyle name="20% - Accent2 4 7 4 4" xfId="13020"/>
    <cellStyle name="20% - Accent2 4 7 4 5" xfId="13021"/>
    <cellStyle name="20% - Accent2 4 7 5" xfId="13022"/>
    <cellStyle name="20% - Accent2 4 7 5 2" xfId="13023"/>
    <cellStyle name="20% - Accent2 4 7 5 3" xfId="13024"/>
    <cellStyle name="20% - Accent2 4 7 6" xfId="13025"/>
    <cellStyle name="20% - Accent2 4 7 6 2" xfId="13026"/>
    <cellStyle name="20% - Accent2 4 7 6 3" xfId="13027"/>
    <cellStyle name="20% - Accent2 4 7 7" xfId="13028"/>
    <cellStyle name="20% - Accent2 4 7 7 2" xfId="13029"/>
    <cellStyle name="20% - Accent2 4 7 8" xfId="13030"/>
    <cellStyle name="20% - Accent2 4 7 9" xfId="13031"/>
    <cellStyle name="20% - Accent2 4 8" xfId="13032"/>
    <cellStyle name="20% - Accent2 4 8 2" xfId="13033"/>
    <cellStyle name="20% - Accent2 4 8 2 2" xfId="13034"/>
    <cellStyle name="20% - Accent2 4 8 2 3" xfId="13035"/>
    <cellStyle name="20% - Accent2 4 8 3" xfId="13036"/>
    <cellStyle name="20% - Accent2 4 8 3 2" xfId="13037"/>
    <cellStyle name="20% - Accent2 4 8 3 3" xfId="13038"/>
    <cellStyle name="20% - Accent2 4 8 4" xfId="13039"/>
    <cellStyle name="20% - Accent2 4 8 4 2" xfId="13040"/>
    <cellStyle name="20% - Accent2 4 8 5" xfId="13041"/>
    <cellStyle name="20% - Accent2 4 8 6" xfId="13042"/>
    <cellStyle name="20% - Accent2 4 9" xfId="13043"/>
    <cellStyle name="20% - Accent2 4 9 2" xfId="13044"/>
    <cellStyle name="20% - Accent2 4 9 2 2" xfId="13045"/>
    <cellStyle name="20% - Accent2 4 9 2 3" xfId="13046"/>
    <cellStyle name="20% - Accent2 4 9 3" xfId="13047"/>
    <cellStyle name="20% - Accent2 4 9 3 2" xfId="13048"/>
    <cellStyle name="20% - Accent2 4 9 3 3" xfId="13049"/>
    <cellStyle name="20% - Accent2 4 9 4" xfId="13050"/>
    <cellStyle name="20% - Accent2 4 9 4 2" xfId="13051"/>
    <cellStyle name="20% - Accent2 4 9 5" xfId="13052"/>
    <cellStyle name="20% - Accent2 4 9 6" xfId="13053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55"/>
    <cellStyle name="20% - Accent3 15" xfId="13054"/>
    <cellStyle name="20% - Accent3 16" xfId="13055"/>
    <cellStyle name="20% - Accent3 17" xfId="13056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7"/>
    <cellStyle name="20% - Accent3 4 10 2" xfId="13058"/>
    <cellStyle name="20% - Accent3 4 10 2 2" xfId="13059"/>
    <cellStyle name="20% - Accent3 4 10 2 3" xfId="13060"/>
    <cellStyle name="20% - Accent3 4 10 3" xfId="13061"/>
    <cellStyle name="20% - Accent3 4 10 3 2" xfId="13062"/>
    <cellStyle name="20% - Accent3 4 10 4" xfId="13063"/>
    <cellStyle name="20% - Accent3 4 10 5" xfId="13064"/>
    <cellStyle name="20% - Accent3 4 11" xfId="13065"/>
    <cellStyle name="20% - Accent3 4 11 2" xfId="13066"/>
    <cellStyle name="20% - Accent3 4 11 3" xfId="13067"/>
    <cellStyle name="20% - Accent3 4 12" xfId="13068"/>
    <cellStyle name="20% - Accent3 4 12 2" xfId="13069"/>
    <cellStyle name="20% - Accent3 4 12 3" xfId="13070"/>
    <cellStyle name="20% - Accent3 4 13" xfId="13071"/>
    <cellStyle name="20% - Accent3 4 13 2" xfId="13072"/>
    <cellStyle name="20% - Accent3 4 14" xfId="13073"/>
    <cellStyle name="20% - Accent3 4 15" xfId="13074"/>
    <cellStyle name="20% - Accent3 4 16" xfId="13075"/>
    <cellStyle name="20% - Accent3 4 2" xfId="584"/>
    <cellStyle name="20% - Accent3 4 2 10" xfId="13076"/>
    <cellStyle name="20% - Accent3 4 2 10 2" xfId="13077"/>
    <cellStyle name="20% - Accent3 4 2 10 3" xfId="13078"/>
    <cellStyle name="20% - Accent3 4 2 11" xfId="13079"/>
    <cellStyle name="20% - Accent3 4 2 11 2" xfId="13080"/>
    <cellStyle name="20% - Accent3 4 2 11 3" xfId="13081"/>
    <cellStyle name="20% - Accent3 4 2 12" xfId="13082"/>
    <cellStyle name="20% - Accent3 4 2 12 2" xfId="13083"/>
    <cellStyle name="20% - Accent3 4 2 13" xfId="13084"/>
    <cellStyle name="20% - Accent3 4 2 14" xfId="13085"/>
    <cellStyle name="20% - Accent3 4 2 15" xfId="13086"/>
    <cellStyle name="20% - Accent3 4 2 2" xfId="585"/>
    <cellStyle name="20% - Accent3 4 2 2 10" xfId="13087"/>
    <cellStyle name="20% - Accent3 4 2 2 10 2" xfId="13088"/>
    <cellStyle name="20% - Accent3 4 2 2 10 3" xfId="13089"/>
    <cellStyle name="20% - Accent3 4 2 2 11" xfId="13090"/>
    <cellStyle name="20% - Accent3 4 2 2 11 2" xfId="13091"/>
    <cellStyle name="20% - Accent3 4 2 2 12" xfId="13092"/>
    <cellStyle name="20% - Accent3 4 2 2 13" xfId="13093"/>
    <cellStyle name="20% - Accent3 4 2 2 2" xfId="586"/>
    <cellStyle name="20% - Accent3 4 2 2 2 10" xfId="13094"/>
    <cellStyle name="20% - Accent3 4 2 2 2 10 2" xfId="13095"/>
    <cellStyle name="20% - Accent3 4 2 2 2 11" xfId="13096"/>
    <cellStyle name="20% - Accent3 4 2 2 2 12" xfId="13097"/>
    <cellStyle name="20% - Accent3 4 2 2 2 2" xfId="587"/>
    <cellStyle name="20% - Accent3 4 2 2 2 2 10" xfId="13098"/>
    <cellStyle name="20% - Accent3 4 2 2 2 2 2" xfId="588"/>
    <cellStyle name="20% - Accent3 4 2 2 2 2 2 2" xfId="13099"/>
    <cellStyle name="20% - Accent3 4 2 2 2 2 2 2 2" xfId="13100"/>
    <cellStyle name="20% - Accent3 4 2 2 2 2 2 2 2 2" xfId="13101"/>
    <cellStyle name="20% - Accent3 4 2 2 2 2 2 2 2 3" xfId="13102"/>
    <cellStyle name="20% - Accent3 4 2 2 2 2 2 2 3" xfId="13103"/>
    <cellStyle name="20% - Accent3 4 2 2 2 2 2 2 3 2" xfId="13104"/>
    <cellStyle name="20% - Accent3 4 2 2 2 2 2 2 3 3" xfId="13105"/>
    <cellStyle name="20% - Accent3 4 2 2 2 2 2 2 4" xfId="13106"/>
    <cellStyle name="20% - Accent3 4 2 2 2 2 2 2 4 2" xfId="13107"/>
    <cellStyle name="20% - Accent3 4 2 2 2 2 2 2 5" xfId="13108"/>
    <cellStyle name="20% - Accent3 4 2 2 2 2 2 2 6" xfId="13109"/>
    <cellStyle name="20% - Accent3 4 2 2 2 2 2 3" xfId="13110"/>
    <cellStyle name="20% - Accent3 4 2 2 2 2 2 3 2" xfId="13111"/>
    <cellStyle name="20% - Accent3 4 2 2 2 2 2 3 2 2" xfId="13112"/>
    <cellStyle name="20% - Accent3 4 2 2 2 2 2 3 2 3" xfId="13113"/>
    <cellStyle name="20% - Accent3 4 2 2 2 2 2 3 3" xfId="13114"/>
    <cellStyle name="20% - Accent3 4 2 2 2 2 2 3 3 2" xfId="13115"/>
    <cellStyle name="20% - Accent3 4 2 2 2 2 2 3 3 3" xfId="13116"/>
    <cellStyle name="20% - Accent3 4 2 2 2 2 2 3 4" xfId="13117"/>
    <cellStyle name="20% - Accent3 4 2 2 2 2 2 3 4 2" xfId="13118"/>
    <cellStyle name="20% - Accent3 4 2 2 2 2 2 3 5" xfId="13119"/>
    <cellStyle name="20% - Accent3 4 2 2 2 2 2 3 6" xfId="13120"/>
    <cellStyle name="20% - Accent3 4 2 2 2 2 2 4" xfId="13121"/>
    <cellStyle name="20% - Accent3 4 2 2 2 2 2 4 2" xfId="13122"/>
    <cellStyle name="20% - Accent3 4 2 2 2 2 2 4 2 2" xfId="13123"/>
    <cellStyle name="20% - Accent3 4 2 2 2 2 2 4 2 3" xfId="13124"/>
    <cellStyle name="20% - Accent3 4 2 2 2 2 2 4 3" xfId="13125"/>
    <cellStyle name="20% - Accent3 4 2 2 2 2 2 4 3 2" xfId="13126"/>
    <cellStyle name="20% - Accent3 4 2 2 2 2 2 4 4" xfId="13127"/>
    <cellStyle name="20% - Accent3 4 2 2 2 2 2 4 5" xfId="13128"/>
    <cellStyle name="20% - Accent3 4 2 2 2 2 2 5" xfId="13129"/>
    <cellStyle name="20% - Accent3 4 2 2 2 2 2 5 2" xfId="13130"/>
    <cellStyle name="20% - Accent3 4 2 2 2 2 2 5 3" xfId="13131"/>
    <cellStyle name="20% - Accent3 4 2 2 2 2 2 6" xfId="13132"/>
    <cellStyle name="20% - Accent3 4 2 2 2 2 2 6 2" xfId="13133"/>
    <cellStyle name="20% - Accent3 4 2 2 2 2 2 6 3" xfId="13134"/>
    <cellStyle name="20% - Accent3 4 2 2 2 2 2 7" xfId="13135"/>
    <cellStyle name="20% - Accent3 4 2 2 2 2 2 7 2" xfId="13136"/>
    <cellStyle name="20% - Accent3 4 2 2 2 2 2 8" xfId="13137"/>
    <cellStyle name="20% - Accent3 4 2 2 2 2 2 9" xfId="13138"/>
    <cellStyle name="20% - Accent3 4 2 2 2 2 3" xfId="13139"/>
    <cellStyle name="20% - Accent3 4 2 2 2 2 3 2" xfId="13140"/>
    <cellStyle name="20% - Accent3 4 2 2 2 2 3 2 2" xfId="13141"/>
    <cellStyle name="20% - Accent3 4 2 2 2 2 3 2 3" xfId="13142"/>
    <cellStyle name="20% - Accent3 4 2 2 2 2 3 3" xfId="13143"/>
    <cellStyle name="20% - Accent3 4 2 2 2 2 3 3 2" xfId="13144"/>
    <cellStyle name="20% - Accent3 4 2 2 2 2 3 3 3" xfId="13145"/>
    <cellStyle name="20% - Accent3 4 2 2 2 2 3 4" xfId="13146"/>
    <cellStyle name="20% - Accent3 4 2 2 2 2 3 4 2" xfId="13147"/>
    <cellStyle name="20% - Accent3 4 2 2 2 2 3 5" xfId="13148"/>
    <cellStyle name="20% - Accent3 4 2 2 2 2 3 6" xfId="13149"/>
    <cellStyle name="20% - Accent3 4 2 2 2 2 4" xfId="13150"/>
    <cellStyle name="20% - Accent3 4 2 2 2 2 4 2" xfId="13151"/>
    <cellStyle name="20% - Accent3 4 2 2 2 2 4 2 2" xfId="13152"/>
    <cellStyle name="20% - Accent3 4 2 2 2 2 4 2 3" xfId="13153"/>
    <cellStyle name="20% - Accent3 4 2 2 2 2 4 3" xfId="13154"/>
    <cellStyle name="20% - Accent3 4 2 2 2 2 4 3 2" xfId="13155"/>
    <cellStyle name="20% - Accent3 4 2 2 2 2 4 3 3" xfId="13156"/>
    <cellStyle name="20% - Accent3 4 2 2 2 2 4 4" xfId="13157"/>
    <cellStyle name="20% - Accent3 4 2 2 2 2 4 4 2" xfId="13158"/>
    <cellStyle name="20% - Accent3 4 2 2 2 2 4 5" xfId="13159"/>
    <cellStyle name="20% - Accent3 4 2 2 2 2 4 6" xfId="13160"/>
    <cellStyle name="20% - Accent3 4 2 2 2 2 5" xfId="13161"/>
    <cellStyle name="20% - Accent3 4 2 2 2 2 5 2" xfId="13162"/>
    <cellStyle name="20% - Accent3 4 2 2 2 2 5 2 2" xfId="13163"/>
    <cellStyle name="20% - Accent3 4 2 2 2 2 5 2 3" xfId="13164"/>
    <cellStyle name="20% - Accent3 4 2 2 2 2 5 3" xfId="13165"/>
    <cellStyle name="20% - Accent3 4 2 2 2 2 5 3 2" xfId="13166"/>
    <cellStyle name="20% - Accent3 4 2 2 2 2 5 4" xfId="13167"/>
    <cellStyle name="20% - Accent3 4 2 2 2 2 5 5" xfId="13168"/>
    <cellStyle name="20% - Accent3 4 2 2 2 2 6" xfId="13169"/>
    <cellStyle name="20% - Accent3 4 2 2 2 2 6 2" xfId="13170"/>
    <cellStyle name="20% - Accent3 4 2 2 2 2 6 3" xfId="13171"/>
    <cellStyle name="20% - Accent3 4 2 2 2 2 7" xfId="13172"/>
    <cellStyle name="20% - Accent3 4 2 2 2 2 7 2" xfId="13173"/>
    <cellStyle name="20% - Accent3 4 2 2 2 2 7 3" xfId="13174"/>
    <cellStyle name="20% - Accent3 4 2 2 2 2 8" xfId="13175"/>
    <cellStyle name="20% - Accent3 4 2 2 2 2 8 2" xfId="13176"/>
    <cellStyle name="20% - Accent3 4 2 2 2 2 9" xfId="13177"/>
    <cellStyle name="20% - Accent3 4 2 2 2 3" xfId="589"/>
    <cellStyle name="20% - Accent3 4 2 2 2 3 2" xfId="13178"/>
    <cellStyle name="20% - Accent3 4 2 2 2 3 2 2" xfId="13179"/>
    <cellStyle name="20% - Accent3 4 2 2 2 3 2 2 2" xfId="13180"/>
    <cellStyle name="20% - Accent3 4 2 2 2 3 2 2 3" xfId="13181"/>
    <cellStyle name="20% - Accent3 4 2 2 2 3 2 3" xfId="13182"/>
    <cellStyle name="20% - Accent3 4 2 2 2 3 2 3 2" xfId="13183"/>
    <cellStyle name="20% - Accent3 4 2 2 2 3 2 3 3" xfId="13184"/>
    <cellStyle name="20% - Accent3 4 2 2 2 3 2 4" xfId="13185"/>
    <cellStyle name="20% - Accent3 4 2 2 2 3 2 4 2" xfId="13186"/>
    <cellStyle name="20% - Accent3 4 2 2 2 3 2 5" xfId="13187"/>
    <cellStyle name="20% - Accent3 4 2 2 2 3 2 6" xfId="13188"/>
    <cellStyle name="20% - Accent3 4 2 2 2 3 3" xfId="13189"/>
    <cellStyle name="20% - Accent3 4 2 2 2 3 3 2" xfId="13190"/>
    <cellStyle name="20% - Accent3 4 2 2 2 3 3 2 2" xfId="13191"/>
    <cellStyle name="20% - Accent3 4 2 2 2 3 3 2 3" xfId="13192"/>
    <cellStyle name="20% - Accent3 4 2 2 2 3 3 3" xfId="13193"/>
    <cellStyle name="20% - Accent3 4 2 2 2 3 3 3 2" xfId="13194"/>
    <cellStyle name="20% - Accent3 4 2 2 2 3 3 3 3" xfId="13195"/>
    <cellStyle name="20% - Accent3 4 2 2 2 3 3 4" xfId="13196"/>
    <cellStyle name="20% - Accent3 4 2 2 2 3 3 4 2" xfId="13197"/>
    <cellStyle name="20% - Accent3 4 2 2 2 3 3 5" xfId="13198"/>
    <cellStyle name="20% - Accent3 4 2 2 2 3 3 6" xfId="13199"/>
    <cellStyle name="20% - Accent3 4 2 2 2 3 4" xfId="13200"/>
    <cellStyle name="20% - Accent3 4 2 2 2 3 4 2" xfId="13201"/>
    <cellStyle name="20% - Accent3 4 2 2 2 3 4 2 2" xfId="13202"/>
    <cellStyle name="20% - Accent3 4 2 2 2 3 4 2 3" xfId="13203"/>
    <cellStyle name="20% - Accent3 4 2 2 2 3 4 3" xfId="13204"/>
    <cellStyle name="20% - Accent3 4 2 2 2 3 4 3 2" xfId="13205"/>
    <cellStyle name="20% - Accent3 4 2 2 2 3 4 4" xfId="13206"/>
    <cellStyle name="20% - Accent3 4 2 2 2 3 4 5" xfId="13207"/>
    <cellStyle name="20% - Accent3 4 2 2 2 3 5" xfId="13208"/>
    <cellStyle name="20% - Accent3 4 2 2 2 3 5 2" xfId="13209"/>
    <cellStyle name="20% - Accent3 4 2 2 2 3 5 3" xfId="13210"/>
    <cellStyle name="20% - Accent3 4 2 2 2 3 6" xfId="13211"/>
    <cellStyle name="20% - Accent3 4 2 2 2 3 6 2" xfId="13212"/>
    <cellStyle name="20% - Accent3 4 2 2 2 3 6 3" xfId="13213"/>
    <cellStyle name="20% - Accent3 4 2 2 2 3 7" xfId="13214"/>
    <cellStyle name="20% - Accent3 4 2 2 2 3 7 2" xfId="13215"/>
    <cellStyle name="20% - Accent3 4 2 2 2 3 8" xfId="13216"/>
    <cellStyle name="20% - Accent3 4 2 2 2 3 9" xfId="13217"/>
    <cellStyle name="20% - Accent3 4 2 2 2 4" xfId="13218"/>
    <cellStyle name="20% - Accent3 4 2 2 2 4 2" xfId="13219"/>
    <cellStyle name="20% - Accent3 4 2 2 2 4 2 2" xfId="13220"/>
    <cellStyle name="20% - Accent3 4 2 2 2 4 2 2 2" xfId="13221"/>
    <cellStyle name="20% - Accent3 4 2 2 2 4 2 2 3" xfId="13222"/>
    <cellStyle name="20% - Accent3 4 2 2 2 4 2 3" xfId="13223"/>
    <cellStyle name="20% - Accent3 4 2 2 2 4 2 3 2" xfId="13224"/>
    <cellStyle name="20% - Accent3 4 2 2 2 4 2 3 3" xfId="13225"/>
    <cellStyle name="20% - Accent3 4 2 2 2 4 2 4" xfId="13226"/>
    <cellStyle name="20% - Accent3 4 2 2 2 4 2 4 2" xfId="13227"/>
    <cellStyle name="20% - Accent3 4 2 2 2 4 2 5" xfId="13228"/>
    <cellStyle name="20% - Accent3 4 2 2 2 4 2 6" xfId="13229"/>
    <cellStyle name="20% - Accent3 4 2 2 2 4 3" xfId="13230"/>
    <cellStyle name="20% - Accent3 4 2 2 2 4 3 2" xfId="13231"/>
    <cellStyle name="20% - Accent3 4 2 2 2 4 3 2 2" xfId="13232"/>
    <cellStyle name="20% - Accent3 4 2 2 2 4 3 2 3" xfId="13233"/>
    <cellStyle name="20% - Accent3 4 2 2 2 4 3 3" xfId="13234"/>
    <cellStyle name="20% - Accent3 4 2 2 2 4 3 3 2" xfId="13235"/>
    <cellStyle name="20% - Accent3 4 2 2 2 4 3 3 3" xfId="13236"/>
    <cellStyle name="20% - Accent3 4 2 2 2 4 3 4" xfId="13237"/>
    <cellStyle name="20% - Accent3 4 2 2 2 4 3 4 2" xfId="13238"/>
    <cellStyle name="20% - Accent3 4 2 2 2 4 3 5" xfId="13239"/>
    <cellStyle name="20% - Accent3 4 2 2 2 4 3 6" xfId="13240"/>
    <cellStyle name="20% - Accent3 4 2 2 2 4 4" xfId="13241"/>
    <cellStyle name="20% - Accent3 4 2 2 2 4 4 2" xfId="13242"/>
    <cellStyle name="20% - Accent3 4 2 2 2 4 4 2 2" xfId="13243"/>
    <cellStyle name="20% - Accent3 4 2 2 2 4 4 2 3" xfId="13244"/>
    <cellStyle name="20% - Accent3 4 2 2 2 4 4 3" xfId="13245"/>
    <cellStyle name="20% - Accent3 4 2 2 2 4 4 3 2" xfId="13246"/>
    <cellStyle name="20% - Accent3 4 2 2 2 4 4 4" xfId="13247"/>
    <cellStyle name="20% - Accent3 4 2 2 2 4 4 5" xfId="13248"/>
    <cellStyle name="20% - Accent3 4 2 2 2 4 5" xfId="13249"/>
    <cellStyle name="20% - Accent3 4 2 2 2 4 5 2" xfId="13250"/>
    <cellStyle name="20% - Accent3 4 2 2 2 4 5 3" xfId="13251"/>
    <cellStyle name="20% - Accent3 4 2 2 2 4 6" xfId="13252"/>
    <cellStyle name="20% - Accent3 4 2 2 2 4 6 2" xfId="13253"/>
    <cellStyle name="20% - Accent3 4 2 2 2 4 6 3" xfId="13254"/>
    <cellStyle name="20% - Accent3 4 2 2 2 4 7" xfId="13255"/>
    <cellStyle name="20% - Accent3 4 2 2 2 4 7 2" xfId="13256"/>
    <cellStyle name="20% - Accent3 4 2 2 2 4 8" xfId="13257"/>
    <cellStyle name="20% - Accent3 4 2 2 2 4 9" xfId="13258"/>
    <cellStyle name="20% - Accent3 4 2 2 2 5" xfId="13259"/>
    <cellStyle name="20% - Accent3 4 2 2 2 5 2" xfId="13260"/>
    <cellStyle name="20% - Accent3 4 2 2 2 5 2 2" xfId="13261"/>
    <cellStyle name="20% - Accent3 4 2 2 2 5 2 3" xfId="13262"/>
    <cellStyle name="20% - Accent3 4 2 2 2 5 3" xfId="13263"/>
    <cellStyle name="20% - Accent3 4 2 2 2 5 3 2" xfId="13264"/>
    <cellStyle name="20% - Accent3 4 2 2 2 5 3 3" xfId="13265"/>
    <cellStyle name="20% - Accent3 4 2 2 2 5 4" xfId="13266"/>
    <cellStyle name="20% - Accent3 4 2 2 2 5 4 2" xfId="13267"/>
    <cellStyle name="20% - Accent3 4 2 2 2 5 5" xfId="13268"/>
    <cellStyle name="20% - Accent3 4 2 2 2 5 6" xfId="13269"/>
    <cellStyle name="20% - Accent3 4 2 2 2 6" xfId="13270"/>
    <cellStyle name="20% - Accent3 4 2 2 2 6 2" xfId="13271"/>
    <cellStyle name="20% - Accent3 4 2 2 2 6 2 2" xfId="13272"/>
    <cellStyle name="20% - Accent3 4 2 2 2 6 2 3" xfId="13273"/>
    <cellStyle name="20% - Accent3 4 2 2 2 6 3" xfId="13274"/>
    <cellStyle name="20% - Accent3 4 2 2 2 6 3 2" xfId="13275"/>
    <cellStyle name="20% - Accent3 4 2 2 2 6 3 3" xfId="13276"/>
    <cellStyle name="20% - Accent3 4 2 2 2 6 4" xfId="13277"/>
    <cellStyle name="20% - Accent3 4 2 2 2 6 4 2" xfId="13278"/>
    <cellStyle name="20% - Accent3 4 2 2 2 6 5" xfId="13279"/>
    <cellStyle name="20% - Accent3 4 2 2 2 6 6" xfId="13280"/>
    <cellStyle name="20% - Accent3 4 2 2 2 7" xfId="13281"/>
    <cellStyle name="20% - Accent3 4 2 2 2 7 2" xfId="13282"/>
    <cellStyle name="20% - Accent3 4 2 2 2 7 2 2" xfId="13283"/>
    <cellStyle name="20% - Accent3 4 2 2 2 7 2 3" xfId="13284"/>
    <cellStyle name="20% - Accent3 4 2 2 2 7 3" xfId="13285"/>
    <cellStyle name="20% - Accent3 4 2 2 2 7 3 2" xfId="13286"/>
    <cellStyle name="20% - Accent3 4 2 2 2 7 4" xfId="13287"/>
    <cellStyle name="20% - Accent3 4 2 2 2 7 5" xfId="13288"/>
    <cellStyle name="20% - Accent3 4 2 2 2 8" xfId="13289"/>
    <cellStyle name="20% - Accent3 4 2 2 2 8 2" xfId="13290"/>
    <cellStyle name="20% - Accent3 4 2 2 2 8 3" xfId="13291"/>
    <cellStyle name="20% - Accent3 4 2 2 2 9" xfId="13292"/>
    <cellStyle name="20% - Accent3 4 2 2 2 9 2" xfId="13293"/>
    <cellStyle name="20% - Accent3 4 2 2 2 9 3" xfId="13294"/>
    <cellStyle name="20% - Accent3 4 2 2 3" xfId="590"/>
    <cellStyle name="20% - Accent3 4 2 2 3 10" xfId="13295"/>
    <cellStyle name="20% - Accent3 4 2 2 3 2" xfId="591"/>
    <cellStyle name="20% - Accent3 4 2 2 3 2 2" xfId="13296"/>
    <cellStyle name="20% - Accent3 4 2 2 3 2 2 2" xfId="13297"/>
    <cellStyle name="20% - Accent3 4 2 2 3 2 2 2 2" xfId="13298"/>
    <cellStyle name="20% - Accent3 4 2 2 3 2 2 2 3" xfId="13299"/>
    <cellStyle name="20% - Accent3 4 2 2 3 2 2 3" xfId="13300"/>
    <cellStyle name="20% - Accent3 4 2 2 3 2 2 3 2" xfId="13301"/>
    <cellStyle name="20% - Accent3 4 2 2 3 2 2 3 3" xfId="13302"/>
    <cellStyle name="20% - Accent3 4 2 2 3 2 2 4" xfId="13303"/>
    <cellStyle name="20% - Accent3 4 2 2 3 2 2 4 2" xfId="13304"/>
    <cellStyle name="20% - Accent3 4 2 2 3 2 2 5" xfId="13305"/>
    <cellStyle name="20% - Accent3 4 2 2 3 2 2 6" xfId="13306"/>
    <cellStyle name="20% - Accent3 4 2 2 3 2 3" xfId="13307"/>
    <cellStyle name="20% - Accent3 4 2 2 3 2 3 2" xfId="13308"/>
    <cellStyle name="20% - Accent3 4 2 2 3 2 3 2 2" xfId="13309"/>
    <cellStyle name="20% - Accent3 4 2 2 3 2 3 2 3" xfId="13310"/>
    <cellStyle name="20% - Accent3 4 2 2 3 2 3 3" xfId="13311"/>
    <cellStyle name="20% - Accent3 4 2 2 3 2 3 3 2" xfId="13312"/>
    <cellStyle name="20% - Accent3 4 2 2 3 2 3 3 3" xfId="13313"/>
    <cellStyle name="20% - Accent3 4 2 2 3 2 3 4" xfId="13314"/>
    <cellStyle name="20% - Accent3 4 2 2 3 2 3 4 2" xfId="13315"/>
    <cellStyle name="20% - Accent3 4 2 2 3 2 3 5" xfId="13316"/>
    <cellStyle name="20% - Accent3 4 2 2 3 2 3 6" xfId="13317"/>
    <cellStyle name="20% - Accent3 4 2 2 3 2 4" xfId="13318"/>
    <cellStyle name="20% - Accent3 4 2 2 3 2 4 2" xfId="13319"/>
    <cellStyle name="20% - Accent3 4 2 2 3 2 4 2 2" xfId="13320"/>
    <cellStyle name="20% - Accent3 4 2 2 3 2 4 2 3" xfId="13321"/>
    <cellStyle name="20% - Accent3 4 2 2 3 2 4 3" xfId="13322"/>
    <cellStyle name="20% - Accent3 4 2 2 3 2 4 3 2" xfId="13323"/>
    <cellStyle name="20% - Accent3 4 2 2 3 2 4 4" xfId="13324"/>
    <cellStyle name="20% - Accent3 4 2 2 3 2 4 5" xfId="13325"/>
    <cellStyle name="20% - Accent3 4 2 2 3 2 5" xfId="13326"/>
    <cellStyle name="20% - Accent3 4 2 2 3 2 5 2" xfId="13327"/>
    <cellStyle name="20% - Accent3 4 2 2 3 2 5 3" xfId="13328"/>
    <cellStyle name="20% - Accent3 4 2 2 3 2 6" xfId="13329"/>
    <cellStyle name="20% - Accent3 4 2 2 3 2 6 2" xfId="13330"/>
    <cellStyle name="20% - Accent3 4 2 2 3 2 6 3" xfId="13331"/>
    <cellStyle name="20% - Accent3 4 2 2 3 2 7" xfId="13332"/>
    <cellStyle name="20% - Accent3 4 2 2 3 2 7 2" xfId="13333"/>
    <cellStyle name="20% - Accent3 4 2 2 3 2 8" xfId="13334"/>
    <cellStyle name="20% - Accent3 4 2 2 3 2 9" xfId="13335"/>
    <cellStyle name="20% - Accent3 4 2 2 3 3" xfId="13336"/>
    <cellStyle name="20% - Accent3 4 2 2 3 3 2" xfId="13337"/>
    <cellStyle name="20% - Accent3 4 2 2 3 3 2 2" xfId="13338"/>
    <cellStyle name="20% - Accent3 4 2 2 3 3 2 3" xfId="13339"/>
    <cellStyle name="20% - Accent3 4 2 2 3 3 3" xfId="13340"/>
    <cellStyle name="20% - Accent3 4 2 2 3 3 3 2" xfId="13341"/>
    <cellStyle name="20% - Accent3 4 2 2 3 3 3 3" xfId="13342"/>
    <cellStyle name="20% - Accent3 4 2 2 3 3 4" xfId="13343"/>
    <cellStyle name="20% - Accent3 4 2 2 3 3 4 2" xfId="13344"/>
    <cellStyle name="20% - Accent3 4 2 2 3 3 5" xfId="13345"/>
    <cellStyle name="20% - Accent3 4 2 2 3 3 6" xfId="13346"/>
    <cellStyle name="20% - Accent3 4 2 2 3 4" xfId="13347"/>
    <cellStyle name="20% - Accent3 4 2 2 3 4 2" xfId="13348"/>
    <cellStyle name="20% - Accent3 4 2 2 3 4 2 2" xfId="13349"/>
    <cellStyle name="20% - Accent3 4 2 2 3 4 2 3" xfId="13350"/>
    <cellStyle name="20% - Accent3 4 2 2 3 4 3" xfId="13351"/>
    <cellStyle name="20% - Accent3 4 2 2 3 4 3 2" xfId="13352"/>
    <cellStyle name="20% - Accent3 4 2 2 3 4 3 3" xfId="13353"/>
    <cellStyle name="20% - Accent3 4 2 2 3 4 4" xfId="13354"/>
    <cellStyle name="20% - Accent3 4 2 2 3 4 4 2" xfId="13355"/>
    <cellStyle name="20% - Accent3 4 2 2 3 4 5" xfId="13356"/>
    <cellStyle name="20% - Accent3 4 2 2 3 4 6" xfId="13357"/>
    <cellStyle name="20% - Accent3 4 2 2 3 5" xfId="13358"/>
    <cellStyle name="20% - Accent3 4 2 2 3 5 2" xfId="13359"/>
    <cellStyle name="20% - Accent3 4 2 2 3 5 2 2" xfId="13360"/>
    <cellStyle name="20% - Accent3 4 2 2 3 5 2 3" xfId="13361"/>
    <cellStyle name="20% - Accent3 4 2 2 3 5 3" xfId="13362"/>
    <cellStyle name="20% - Accent3 4 2 2 3 5 3 2" xfId="13363"/>
    <cellStyle name="20% - Accent3 4 2 2 3 5 4" xfId="13364"/>
    <cellStyle name="20% - Accent3 4 2 2 3 5 5" xfId="13365"/>
    <cellStyle name="20% - Accent3 4 2 2 3 6" xfId="13366"/>
    <cellStyle name="20% - Accent3 4 2 2 3 6 2" xfId="13367"/>
    <cellStyle name="20% - Accent3 4 2 2 3 6 3" xfId="13368"/>
    <cellStyle name="20% - Accent3 4 2 2 3 7" xfId="13369"/>
    <cellStyle name="20% - Accent3 4 2 2 3 7 2" xfId="13370"/>
    <cellStyle name="20% - Accent3 4 2 2 3 7 3" xfId="13371"/>
    <cellStyle name="20% - Accent3 4 2 2 3 8" xfId="13372"/>
    <cellStyle name="20% - Accent3 4 2 2 3 8 2" xfId="13373"/>
    <cellStyle name="20% - Accent3 4 2 2 3 9" xfId="13374"/>
    <cellStyle name="20% - Accent3 4 2 2 4" xfId="592"/>
    <cellStyle name="20% - Accent3 4 2 2 4 2" xfId="13375"/>
    <cellStyle name="20% - Accent3 4 2 2 4 2 2" xfId="13376"/>
    <cellStyle name="20% - Accent3 4 2 2 4 2 2 2" xfId="13377"/>
    <cellStyle name="20% - Accent3 4 2 2 4 2 2 3" xfId="13378"/>
    <cellStyle name="20% - Accent3 4 2 2 4 2 3" xfId="13379"/>
    <cellStyle name="20% - Accent3 4 2 2 4 2 3 2" xfId="13380"/>
    <cellStyle name="20% - Accent3 4 2 2 4 2 3 3" xfId="13381"/>
    <cellStyle name="20% - Accent3 4 2 2 4 2 4" xfId="13382"/>
    <cellStyle name="20% - Accent3 4 2 2 4 2 4 2" xfId="13383"/>
    <cellStyle name="20% - Accent3 4 2 2 4 2 5" xfId="13384"/>
    <cellStyle name="20% - Accent3 4 2 2 4 2 6" xfId="13385"/>
    <cellStyle name="20% - Accent3 4 2 2 4 3" xfId="13386"/>
    <cellStyle name="20% - Accent3 4 2 2 4 3 2" xfId="13387"/>
    <cellStyle name="20% - Accent3 4 2 2 4 3 2 2" xfId="13388"/>
    <cellStyle name="20% - Accent3 4 2 2 4 3 2 3" xfId="13389"/>
    <cellStyle name="20% - Accent3 4 2 2 4 3 3" xfId="13390"/>
    <cellStyle name="20% - Accent3 4 2 2 4 3 3 2" xfId="13391"/>
    <cellStyle name="20% - Accent3 4 2 2 4 3 3 3" xfId="13392"/>
    <cellStyle name="20% - Accent3 4 2 2 4 3 4" xfId="13393"/>
    <cellStyle name="20% - Accent3 4 2 2 4 3 4 2" xfId="13394"/>
    <cellStyle name="20% - Accent3 4 2 2 4 3 5" xfId="13395"/>
    <cellStyle name="20% - Accent3 4 2 2 4 3 6" xfId="13396"/>
    <cellStyle name="20% - Accent3 4 2 2 4 4" xfId="13397"/>
    <cellStyle name="20% - Accent3 4 2 2 4 4 2" xfId="13398"/>
    <cellStyle name="20% - Accent3 4 2 2 4 4 2 2" xfId="13399"/>
    <cellStyle name="20% - Accent3 4 2 2 4 4 2 3" xfId="13400"/>
    <cellStyle name="20% - Accent3 4 2 2 4 4 3" xfId="13401"/>
    <cellStyle name="20% - Accent3 4 2 2 4 4 3 2" xfId="13402"/>
    <cellStyle name="20% - Accent3 4 2 2 4 4 4" xfId="13403"/>
    <cellStyle name="20% - Accent3 4 2 2 4 4 5" xfId="13404"/>
    <cellStyle name="20% - Accent3 4 2 2 4 5" xfId="13405"/>
    <cellStyle name="20% - Accent3 4 2 2 4 5 2" xfId="13406"/>
    <cellStyle name="20% - Accent3 4 2 2 4 5 3" xfId="13407"/>
    <cellStyle name="20% - Accent3 4 2 2 4 6" xfId="13408"/>
    <cellStyle name="20% - Accent3 4 2 2 4 6 2" xfId="13409"/>
    <cellStyle name="20% - Accent3 4 2 2 4 6 3" xfId="13410"/>
    <cellStyle name="20% - Accent3 4 2 2 4 7" xfId="13411"/>
    <cellStyle name="20% - Accent3 4 2 2 4 7 2" xfId="13412"/>
    <cellStyle name="20% - Accent3 4 2 2 4 8" xfId="13413"/>
    <cellStyle name="20% - Accent3 4 2 2 4 9" xfId="13414"/>
    <cellStyle name="20% - Accent3 4 2 2 5" xfId="13415"/>
    <cellStyle name="20% - Accent3 4 2 2 5 2" xfId="13416"/>
    <cellStyle name="20% - Accent3 4 2 2 5 2 2" xfId="13417"/>
    <cellStyle name="20% - Accent3 4 2 2 5 2 2 2" xfId="13418"/>
    <cellStyle name="20% - Accent3 4 2 2 5 2 2 3" xfId="13419"/>
    <cellStyle name="20% - Accent3 4 2 2 5 2 3" xfId="13420"/>
    <cellStyle name="20% - Accent3 4 2 2 5 2 3 2" xfId="13421"/>
    <cellStyle name="20% - Accent3 4 2 2 5 2 3 3" xfId="13422"/>
    <cellStyle name="20% - Accent3 4 2 2 5 2 4" xfId="13423"/>
    <cellStyle name="20% - Accent3 4 2 2 5 2 4 2" xfId="13424"/>
    <cellStyle name="20% - Accent3 4 2 2 5 2 5" xfId="13425"/>
    <cellStyle name="20% - Accent3 4 2 2 5 2 6" xfId="13426"/>
    <cellStyle name="20% - Accent3 4 2 2 5 3" xfId="13427"/>
    <cellStyle name="20% - Accent3 4 2 2 5 3 2" xfId="13428"/>
    <cellStyle name="20% - Accent3 4 2 2 5 3 2 2" xfId="13429"/>
    <cellStyle name="20% - Accent3 4 2 2 5 3 2 3" xfId="13430"/>
    <cellStyle name="20% - Accent3 4 2 2 5 3 3" xfId="13431"/>
    <cellStyle name="20% - Accent3 4 2 2 5 3 3 2" xfId="13432"/>
    <cellStyle name="20% - Accent3 4 2 2 5 3 3 3" xfId="13433"/>
    <cellStyle name="20% - Accent3 4 2 2 5 3 4" xfId="13434"/>
    <cellStyle name="20% - Accent3 4 2 2 5 3 4 2" xfId="13435"/>
    <cellStyle name="20% - Accent3 4 2 2 5 3 5" xfId="13436"/>
    <cellStyle name="20% - Accent3 4 2 2 5 3 6" xfId="13437"/>
    <cellStyle name="20% - Accent3 4 2 2 5 4" xfId="13438"/>
    <cellStyle name="20% - Accent3 4 2 2 5 4 2" xfId="13439"/>
    <cellStyle name="20% - Accent3 4 2 2 5 4 2 2" xfId="13440"/>
    <cellStyle name="20% - Accent3 4 2 2 5 4 2 3" xfId="13441"/>
    <cellStyle name="20% - Accent3 4 2 2 5 4 3" xfId="13442"/>
    <cellStyle name="20% - Accent3 4 2 2 5 4 3 2" xfId="13443"/>
    <cellStyle name="20% - Accent3 4 2 2 5 4 4" xfId="13444"/>
    <cellStyle name="20% - Accent3 4 2 2 5 4 5" xfId="13445"/>
    <cellStyle name="20% - Accent3 4 2 2 5 5" xfId="13446"/>
    <cellStyle name="20% - Accent3 4 2 2 5 5 2" xfId="13447"/>
    <cellStyle name="20% - Accent3 4 2 2 5 5 3" xfId="13448"/>
    <cellStyle name="20% - Accent3 4 2 2 5 6" xfId="13449"/>
    <cellStyle name="20% - Accent3 4 2 2 5 6 2" xfId="13450"/>
    <cellStyle name="20% - Accent3 4 2 2 5 6 3" xfId="13451"/>
    <cellStyle name="20% - Accent3 4 2 2 5 7" xfId="13452"/>
    <cellStyle name="20% - Accent3 4 2 2 5 7 2" xfId="13453"/>
    <cellStyle name="20% - Accent3 4 2 2 5 8" xfId="13454"/>
    <cellStyle name="20% - Accent3 4 2 2 5 9" xfId="13455"/>
    <cellStyle name="20% - Accent3 4 2 2 6" xfId="13456"/>
    <cellStyle name="20% - Accent3 4 2 2 6 2" xfId="13457"/>
    <cellStyle name="20% - Accent3 4 2 2 6 2 2" xfId="13458"/>
    <cellStyle name="20% - Accent3 4 2 2 6 2 3" xfId="13459"/>
    <cellStyle name="20% - Accent3 4 2 2 6 3" xfId="13460"/>
    <cellStyle name="20% - Accent3 4 2 2 6 3 2" xfId="13461"/>
    <cellStyle name="20% - Accent3 4 2 2 6 3 3" xfId="13462"/>
    <cellStyle name="20% - Accent3 4 2 2 6 4" xfId="13463"/>
    <cellStyle name="20% - Accent3 4 2 2 6 4 2" xfId="13464"/>
    <cellStyle name="20% - Accent3 4 2 2 6 5" xfId="13465"/>
    <cellStyle name="20% - Accent3 4 2 2 6 6" xfId="13466"/>
    <cellStyle name="20% - Accent3 4 2 2 7" xfId="13467"/>
    <cellStyle name="20% - Accent3 4 2 2 7 2" xfId="13468"/>
    <cellStyle name="20% - Accent3 4 2 2 7 2 2" xfId="13469"/>
    <cellStyle name="20% - Accent3 4 2 2 7 2 3" xfId="13470"/>
    <cellStyle name="20% - Accent3 4 2 2 7 3" xfId="13471"/>
    <cellStyle name="20% - Accent3 4 2 2 7 3 2" xfId="13472"/>
    <cellStyle name="20% - Accent3 4 2 2 7 3 3" xfId="13473"/>
    <cellStyle name="20% - Accent3 4 2 2 7 4" xfId="13474"/>
    <cellStyle name="20% - Accent3 4 2 2 7 4 2" xfId="13475"/>
    <cellStyle name="20% - Accent3 4 2 2 7 5" xfId="13476"/>
    <cellStyle name="20% - Accent3 4 2 2 7 6" xfId="13477"/>
    <cellStyle name="20% - Accent3 4 2 2 8" xfId="13478"/>
    <cellStyle name="20% - Accent3 4 2 2 8 2" xfId="13479"/>
    <cellStyle name="20% - Accent3 4 2 2 8 2 2" xfId="13480"/>
    <cellStyle name="20% - Accent3 4 2 2 8 2 3" xfId="13481"/>
    <cellStyle name="20% - Accent3 4 2 2 8 3" xfId="13482"/>
    <cellStyle name="20% - Accent3 4 2 2 8 3 2" xfId="13483"/>
    <cellStyle name="20% - Accent3 4 2 2 8 4" xfId="13484"/>
    <cellStyle name="20% - Accent3 4 2 2 8 5" xfId="13485"/>
    <cellStyle name="20% - Accent3 4 2 2 9" xfId="13486"/>
    <cellStyle name="20% - Accent3 4 2 2 9 2" xfId="13487"/>
    <cellStyle name="20% - Accent3 4 2 2 9 3" xfId="13488"/>
    <cellStyle name="20% - Accent3 4 2 3" xfId="593"/>
    <cellStyle name="20% - Accent3 4 2 3 10" xfId="13489"/>
    <cellStyle name="20% - Accent3 4 2 3 10 2" xfId="13490"/>
    <cellStyle name="20% - Accent3 4 2 3 11" xfId="13491"/>
    <cellStyle name="20% - Accent3 4 2 3 12" xfId="13492"/>
    <cellStyle name="20% - Accent3 4 2 3 2" xfId="594"/>
    <cellStyle name="20% - Accent3 4 2 3 2 10" xfId="13493"/>
    <cellStyle name="20% - Accent3 4 2 3 2 2" xfId="595"/>
    <cellStyle name="20% - Accent3 4 2 3 2 2 2" xfId="13494"/>
    <cellStyle name="20% - Accent3 4 2 3 2 2 2 2" xfId="13495"/>
    <cellStyle name="20% - Accent3 4 2 3 2 2 2 2 2" xfId="13496"/>
    <cellStyle name="20% - Accent3 4 2 3 2 2 2 2 3" xfId="13497"/>
    <cellStyle name="20% - Accent3 4 2 3 2 2 2 3" xfId="13498"/>
    <cellStyle name="20% - Accent3 4 2 3 2 2 2 3 2" xfId="13499"/>
    <cellStyle name="20% - Accent3 4 2 3 2 2 2 3 3" xfId="13500"/>
    <cellStyle name="20% - Accent3 4 2 3 2 2 2 4" xfId="13501"/>
    <cellStyle name="20% - Accent3 4 2 3 2 2 2 4 2" xfId="13502"/>
    <cellStyle name="20% - Accent3 4 2 3 2 2 2 5" xfId="13503"/>
    <cellStyle name="20% - Accent3 4 2 3 2 2 2 6" xfId="13504"/>
    <cellStyle name="20% - Accent3 4 2 3 2 2 3" xfId="13505"/>
    <cellStyle name="20% - Accent3 4 2 3 2 2 3 2" xfId="13506"/>
    <cellStyle name="20% - Accent3 4 2 3 2 2 3 2 2" xfId="13507"/>
    <cellStyle name="20% - Accent3 4 2 3 2 2 3 2 3" xfId="13508"/>
    <cellStyle name="20% - Accent3 4 2 3 2 2 3 3" xfId="13509"/>
    <cellStyle name="20% - Accent3 4 2 3 2 2 3 3 2" xfId="13510"/>
    <cellStyle name="20% - Accent3 4 2 3 2 2 3 3 3" xfId="13511"/>
    <cellStyle name="20% - Accent3 4 2 3 2 2 3 4" xfId="13512"/>
    <cellStyle name="20% - Accent3 4 2 3 2 2 3 4 2" xfId="13513"/>
    <cellStyle name="20% - Accent3 4 2 3 2 2 3 5" xfId="13514"/>
    <cellStyle name="20% - Accent3 4 2 3 2 2 3 6" xfId="13515"/>
    <cellStyle name="20% - Accent3 4 2 3 2 2 4" xfId="13516"/>
    <cellStyle name="20% - Accent3 4 2 3 2 2 4 2" xfId="13517"/>
    <cellStyle name="20% - Accent3 4 2 3 2 2 4 2 2" xfId="13518"/>
    <cellStyle name="20% - Accent3 4 2 3 2 2 4 2 3" xfId="13519"/>
    <cellStyle name="20% - Accent3 4 2 3 2 2 4 3" xfId="13520"/>
    <cellStyle name="20% - Accent3 4 2 3 2 2 4 3 2" xfId="13521"/>
    <cellStyle name="20% - Accent3 4 2 3 2 2 4 4" xfId="13522"/>
    <cellStyle name="20% - Accent3 4 2 3 2 2 4 5" xfId="13523"/>
    <cellStyle name="20% - Accent3 4 2 3 2 2 5" xfId="13524"/>
    <cellStyle name="20% - Accent3 4 2 3 2 2 5 2" xfId="13525"/>
    <cellStyle name="20% - Accent3 4 2 3 2 2 5 3" xfId="13526"/>
    <cellStyle name="20% - Accent3 4 2 3 2 2 6" xfId="13527"/>
    <cellStyle name="20% - Accent3 4 2 3 2 2 6 2" xfId="13528"/>
    <cellStyle name="20% - Accent3 4 2 3 2 2 6 3" xfId="13529"/>
    <cellStyle name="20% - Accent3 4 2 3 2 2 7" xfId="13530"/>
    <cellStyle name="20% - Accent3 4 2 3 2 2 7 2" xfId="13531"/>
    <cellStyle name="20% - Accent3 4 2 3 2 2 8" xfId="13532"/>
    <cellStyle name="20% - Accent3 4 2 3 2 2 9" xfId="13533"/>
    <cellStyle name="20% - Accent3 4 2 3 2 3" xfId="13534"/>
    <cellStyle name="20% - Accent3 4 2 3 2 3 2" xfId="13535"/>
    <cellStyle name="20% - Accent3 4 2 3 2 3 2 2" xfId="13536"/>
    <cellStyle name="20% - Accent3 4 2 3 2 3 2 3" xfId="13537"/>
    <cellStyle name="20% - Accent3 4 2 3 2 3 3" xfId="13538"/>
    <cellStyle name="20% - Accent3 4 2 3 2 3 3 2" xfId="13539"/>
    <cellStyle name="20% - Accent3 4 2 3 2 3 3 3" xfId="13540"/>
    <cellStyle name="20% - Accent3 4 2 3 2 3 4" xfId="13541"/>
    <cellStyle name="20% - Accent3 4 2 3 2 3 4 2" xfId="13542"/>
    <cellStyle name="20% - Accent3 4 2 3 2 3 5" xfId="13543"/>
    <cellStyle name="20% - Accent3 4 2 3 2 3 6" xfId="13544"/>
    <cellStyle name="20% - Accent3 4 2 3 2 4" xfId="13545"/>
    <cellStyle name="20% - Accent3 4 2 3 2 4 2" xfId="13546"/>
    <cellStyle name="20% - Accent3 4 2 3 2 4 2 2" xfId="13547"/>
    <cellStyle name="20% - Accent3 4 2 3 2 4 2 3" xfId="13548"/>
    <cellStyle name="20% - Accent3 4 2 3 2 4 3" xfId="13549"/>
    <cellStyle name="20% - Accent3 4 2 3 2 4 3 2" xfId="13550"/>
    <cellStyle name="20% - Accent3 4 2 3 2 4 3 3" xfId="13551"/>
    <cellStyle name="20% - Accent3 4 2 3 2 4 4" xfId="13552"/>
    <cellStyle name="20% - Accent3 4 2 3 2 4 4 2" xfId="13553"/>
    <cellStyle name="20% - Accent3 4 2 3 2 4 5" xfId="13554"/>
    <cellStyle name="20% - Accent3 4 2 3 2 4 6" xfId="13555"/>
    <cellStyle name="20% - Accent3 4 2 3 2 5" xfId="13556"/>
    <cellStyle name="20% - Accent3 4 2 3 2 5 2" xfId="13557"/>
    <cellStyle name="20% - Accent3 4 2 3 2 5 2 2" xfId="13558"/>
    <cellStyle name="20% - Accent3 4 2 3 2 5 2 3" xfId="13559"/>
    <cellStyle name="20% - Accent3 4 2 3 2 5 3" xfId="13560"/>
    <cellStyle name="20% - Accent3 4 2 3 2 5 3 2" xfId="13561"/>
    <cellStyle name="20% - Accent3 4 2 3 2 5 4" xfId="13562"/>
    <cellStyle name="20% - Accent3 4 2 3 2 5 5" xfId="13563"/>
    <cellStyle name="20% - Accent3 4 2 3 2 6" xfId="13564"/>
    <cellStyle name="20% - Accent3 4 2 3 2 6 2" xfId="13565"/>
    <cellStyle name="20% - Accent3 4 2 3 2 6 3" xfId="13566"/>
    <cellStyle name="20% - Accent3 4 2 3 2 7" xfId="13567"/>
    <cellStyle name="20% - Accent3 4 2 3 2 7 2" xfId="13568"/>
    <cellStyle name="20% - Accent3 4 2 3 2 7 3" xfId="13569"/>
    <cellStyle name="20% - Accent3 4 2 3 2 8" xfId="13570"/>
    <cellStyle name="20% - Accent3 4 2 3 2 8 2" xfId="13571"/>
    <cellStyle name="20% - Accent3 4 2 3 2 9" xfId="13572"/>
    <cellStyle name="20% - Accent3 4 2 3 3" xfId="596"/>
    <cellStyle name="20% - Accent3 4 2 3 3 2" xfId="13573"/>
    <cellStyle name="20% - Accent3 4 2 3 3 2 2" xfId="13574"/>
    <cellStyle name="20% - Accent3 4 2 3 3 2 2 2" xfId="13575"/>
    <cellStyle name="20% - Accent3 4 2 3 3 2 2 3" xfId="13576"/>
    <cellStyle name="20% - Accent3 4 2 3 3 2 3" xfId="13577"/>
    <cellStyle name="20% - Accent3 4 2 3 3 2 3 2" xfId="13578"/>
    <cellStyle name="20% - Accent3 4 2 3 3 2 3 3" xfId="13579"/>
    <cellStyle name="20% - Accent3 4 2 3 3 2 4" xfId="13580"/>
    <cellStyle name="20% - Accent3 4 2 3 3 2 4 2" xfId="13581"/>
    <cellStyle name="20% - Accent3 4 2 3 3 2 5" xfId="13582"/>
    <cellStyle name="20% - Accent3 4 2 3 3 2 6" xfId="13583"/>
    <cellStyle name="20% - Accent3 4 2 3 3 3" xfId="13584"/>
    <cellStyle name="20% - Accent3 4 2 3 3 3 2" xfId="13585"/>
    <cellStyle name="20% - Accent3 4 2 3 3 3 2 2" xfId="13586"/>
    <cellStyle name="20% - Accent3 4 2 3 3 3 2 3" xfId="13587"/>
    <cellStyle name="20% - Accent3 4 2 3 3 3 3" xfId="13588"/>
    <cellStyle name="20% - Accent3 4 2 3 3 3 3 2" xfId="13589"/>
    <cellStyle name="20% - Accent3 4 2 3 3 3 3 3" xfId="13590"/>
    <cellStyle name="20% - Accent3 4 2 3 3 3 4" xfId="13591"/>
    <cellStyle name="20% - Accent3 4 2 3 3 3 4 2" xfId="13592"/>
    <cellStyle name="20% - Accent3 4 2 3 3 3 5" xfId="13593"/>
    <cellStyle name="20% - Accent3 4 2 3 3 3 6" xfId="13594"/>
    <cellStyle name="20% - Accent3 4 2 3 3 4" xfId="13595"/>
    <cellStyle name="20% - Accent3 4 2 3 3 4 2" xfId="13596"/>
    <cellStyle name="20% - Accent3 4 2 3 3 4 2 2" xfId="13597"/>
    <cellStyle name="20% - Accent3 4 2 3 3 4 2 3" xfId="13598"/>
    <cellStyle name="20% - Accent3 4 2 3 3 4 3" xfId="13599"/>
    <cellStyle name="20% - Accent3 4 2 3 3 4 3 2" xfId="13600"/>
    <cellStyle name="20% - Accent3 4 2 3 3 4 4" xfId="13601"/>
    <cellStyle name="20% - Accent3 4 2 3 3 4 5" xfId="13602"/>
    <cellStyle name="20% - Accent3 4 2 3 3 5" xfId="13603"/>
    <cellStyle name="20% - Accent3 4 2 3 3 5 2" xfId="13604"/>
    <cellStyle name="20% - Accent3 4 2 3 3 5 3" xfId="13605"/>
    <cellStyle name="20% - Accent3 4 2 3 3 6" xfId="13606"/>
    <cellStyle name="20% - Accent3 4 2 3 3 6 2" xfId="13607"/>
    <cellStyle name="20% - Accent3 4 2 3 3 6 3" xfId="13608"/>
    <cellStyle name="20% - Accent3 4 2 3 3 7" xfId="13609"/>
    <cellStyle name="20% - Accent3 4 2 3 3 7 2" xfId="13610"/>
    <cellStyle name="20% - Accent3 4 2 3 3 8" xfId="13611"/>
    <cellStyle name="20% - Accent3 4 2 3 3 9" xfId="13612"/>
    <cellStyle name="20% - Accent3 4 2 3 4" xfId="13613"/>
    <cellStyle name="20% - Accent3 4 2 3 4 2" xfId="13614"/>
    <cellStyle name="20% - Accent3 4 2 3 4 2 2" xfId="13615"/>
    <cellStyle name="20% - Accent3 4 2 3 4 2 2 2" xfId="13616"/>
    <cellStyle name="20% - Accent3 4 2 3 4 2 2 3" xfId="13617"/>
    <cellStyle name="20% - Accent3 4 2 3 4 2 3" xfId="13618"/>
    <cellStyle name="20% - Accent3 4 2 3 4 2 3 2" xfId="13619"/>
    <cellStyle name="20% - Accent3 4 2 3 4 2 3 3" xfId="13620"/>
    <cellStyle name="20% - Accent3 4 2 3 4 2 4" xfId="13621"/>
    <cellStyle name="20% - Accent3 4 2 3 4 2 4 2" xfId="13622"/>
    <cellStyle name="20% - Accent3 4 2 3 4 2 5" xfId="13623"/>
    <cellStyle name="20% - Accent3 4 2 3 4 2 6" xfId="13624"/>
    <cellStyle name="20% - Accent3 4 2 3 4 3" xfId="13625"/>
    <cellStyle name="20% - Accent3 4 2 3 4 3 2" xfId="13626"/>
    <cellStyle name="20% - Accent3 4 2 3 4 3 2 2" xfId="13627"/>
    <cellStyle name="20% - Accent3 4 2 3 4 3 2 3" xfId="13628"/>
    <cellStyle name="20% - Accent3 4 2 3 4 3 3" xfId="13629"/>
    <cellStyle name="20% - Accent3 4 2 3 4 3 3 2" xfId="13630"/>
    <cellStyle name="20% - Accent3 4 2 3 4 3 3 3" xfId="13631"/>
    <cellStyle name="20% - Accent3 4 2 3 4 3 4" xfId="13632"/>
    <cellStyle name="20% - Accent3 4 2 3 4 3 4 2" xfId="13633"/>
    <cellStyle name="20% - Accent3 4 2 3 4 3 5" xfId="13634"/>
    <cellStyle name="20% - Accent3 4 2 3 4 3 6" xfId="13635"/>
    <cellStyle name="20% - Accent3 4 2 3 4 4" xfId="13636"/>
    <cellStyle name="20% - Accent3 4 2 3 4 4 2" xfId="13637"/>
    <cellStyle name="20% - Accent3 4 2 3 4 4 2 2" xfId="13638"/>
    <cellStyle name="20% - Accent3 4 2 3 4 4 2 3" xfId="13639"/>
    <cellStyle name="20% - Accent3 4 2 3 4 4 3" xfId="13640"/>
    <cellStyle name="20% - Accent3 4 2 3 4 4 3 2" xfId="13641"/>
    <cellStyle name="20% - Accent3 4 2 3 4 4 4" xfId="13642"/>
    <cellStyle name="20% - Accent3 4 2 3 4 4 5" xfId="13643"/>
    <cellStyle name="20% - Accent3 4 2 3 4 5" xfId="13644"/>
    <cellStyle name="20% - Accent3 4 2 3 4 5 2" xfId="13645"/>
    <cellStyle name="20% - Accent3 4 2 3 4 5 3" xfId="13646"/>
    <cellStyle name="20% - Accent3 4 2 3 4 6" xfId="13647"/>
    <cellStyle name="20% - Accent3 4 2 3 4 6 2" xfId="13648"/>
    <cellStyle name="20% - Accent3 4 2 3 4 6 3" xfId="13649"/>
    <cellStyle name="20% - Accent3 4 2 3 4 7" xfId="13650"/>
    <cellStyle name="20% - Accent3 4 2 3 4 7 2" xfId="13651"/>
    <cellStyle name="20% - Accent3 4 2 3 4 8" xfId="13652"/>
    <cellStyle name="20% - Accent3 4 2 3 4 9" xfId="13653"/>
    <cellStyle name="20% - Accent3 4 2 3 5" xfId="13654"/>
    <cellStyle name="20% - Accent3 4 2 3 5 2" xfId="13655"/>
    <cellStyle name="20% - Accent3 4 2 3 5 2 2" xfId="13656"/>
    <cellStyle name="20% - Accent3 4 2 3 5 2 3" xfId="13657"/>
    <cellStyle name="20% - Accent3 4 2 3 5 3" xfId="13658"/>
    <cellStyle name="20% - Accent3 4 2 3 5 3 2" xfId="13659"/>
    <cellStyle name="20% - Accent3 4 2 3 5 3 3" xfId="13660"/>
    <cellStyle name="20% - Accent3 4 2 3 5 4" xfId="13661"/>
    <cellStyle name="20% - Accent3 4 2 3 5 4 2" xfId="13662"/>
    <cellStyle name="20% - Accent3 4 2 3 5 5" xfId="13663"/>
    <cellStyle name="20% - Accent3 4 2 3 5 6" xfId="13664"/>
    <cellStyle name="20% - Accent3 4 2 3 6" xfId="13665"/>
    <cellStyle name="20% - Accent3 4 2 3 6 2" xfId="13666"/>
    <cellStyle name="20% - Accent3 4 2 3 6 2 2" xfId="13667"/>
    <cellStyle name="20% - Accent3 4 2 3 6 2 3" xfId="13668"/>
    <cellStyle name="20% - Accent3 4 2 3 6 3" xfId="13669"/>
    <cellStyle name="20% - Accent3 4 2 3 6 3 2" xfId="13670"/>
    <cellStyle name="20% - Accent3 4 2 3 6 3 3" xfId="13671"/>
    <cellStyle name="20% - Accent3 4 2 3 6 4" xfId="13672"/>
    <cellStyle name="20% - Accent3 4 2 3 6 4 2" xfId="13673"/>
    <cellStyle name="20% - Accent3 4 2 3 6 5" xfId="13674"/>
    <cellStyle name="20% - Accent3 4 2 3 6 6" xfId="13675"/>
    <cellStyle name="20% - Accent3 4 2 3 7" xfId="13676"/>
    <cellStyle name="20% - Accent3 4 2 3 7 2" xfId="13677"/>
    <cellStyle name="20% - Accent3 4 2 3 7 2 2" xfId="13678"/>
    <cellStyle name="20% - Accent3 4 2 3 7 2 3" xfId="13679"/>
    <cellStyle name="20% - Accent3 4 2 3 7 3" xfId="13680"/>
    <cellStyle name="20% - Accent3 4 2 3 7 3 2" xfId="13681"/>
    <cellStyle name="20% - Accent3 4 2 3 7 4" xfId="13682"/>
    <cellStyle name="20% - Accent3 4 2 3 7 5" xfId="13683"/>
    <cellStyle name="20% - Accent3 4 2 3 8" xfId="13684"/>
    <cellStyle name="20% - Accent3 4 2 3 8 2" xfId="13685"/>
    <cellStyle name="20% - Accent3 4 2 3 8 3" xfId="13686"/>
    <cellStyle name="20% - Accent3 4 2 3 9" xfId="13687"/>
    <cellStyle name="20% - Accent3 4 2 3 9 2" xfId="13688"/>
    <cellStyle name="20% - Accent3 4 2 3 9 3" xfId="13689"/>
    <cellStyle name="20% - Accent3 4 2 4" xfId="597"/>
    <cellStyle name="20% - Accent3 4 2 4 10" xfId="13690"/>
    <cellStyle name="20% - Accent3 4 2 4 2" xfId="598"/>
    <cellStyle name="20% - Accent3 4 2 4 2 2" xfId="13691"/>
    <cellStyle name="20% - Accent3 4 2 4 2 2 2" xfId="13692"/>
    <cellStyle name="20% - Accent3 4 2 4 2 2 2 2" xfId="13693"/>
    <cellStyle name="20% - Accent3 4 2 4 2 2 2 3" xfId="13694"/>
    <cellStyle name="20% - Accent3 4 2 4 2 2 3" xfId="13695"/>
    <cellStyle name="20% - Accent3 4 2 4 2 2 3 2" xfId="13696"/>
    <cellStyle name="20% - Accent3 4 2 4 2 2 3 3" xfId="13697"/>
    <cellStyle name="20% - Accent3 4 2 4 2 2 4" xfId="13698"/>
    <cellStyle name="20% - Accent3 4 2 4 2 2 4 2" xfId="13699"/>
    <cellStyle name="20% - Accent3 4 2 4 2 2 5" xfId="13700"/>
    <cellStyle name="20% - Accent3 4 2 4 2 2 6" xfId="13701"/>
    <cellStyle name="20% - Accent3 4 2 4 2 3" xfId="13702"/>
    <cellStyle name="20% - Accent3 4 2 4 2 3 2" xfId="13703"/>
    <cellStyle name="20% - Accent3 4 2 4 2 3 2 2" xfId="13704"/>
    <cellStyle name="20% - Accent3 4 2 4 2 3 2 3" xfId="13705"/>
    <cellStyle name="20% - Accent3 4 2 4 2 3 3" xfId="13706"/>
    <cellStyle name="20% - Accent3 4 2 4 2 3 3 2" xfId="13707"/>
    <cellStyle name="20% - Accent3 4 2 4 2 3 3 3" xfId="13708"/>
    <cellStyle name="20% - Accent3 4 2 4 2 3 4" xfId="13709"/>
    <cellStyle name="20% - Accent3 4 2 4 2 3 4 2" xfId="13710"/>
    <cellStyle name="20% - Accent3 4 2 4 2 3 5" xfId="13711"/>
    <cellStyle name="20% - Accent3 4 2 4 2 3 6" xfId="13712"/>
    <cellStyle name="20% - Accent3 4 2 4 2 4" xfId="13713"/>
    <cellStyle name="20% - Accent3 4 2 4 2 4 2" xfId="13714"/>
    <cellStyle name="20% - Accent3 4 2 4 2 4 2 2" xfId="13715"/>
    <cellStyle name="20% - Accent3 4 2 4 2 4 2 3" xfId="13716"/>
    <cellStyle name="20% - Accent3 4 2 4 2 4 3" xfId="13717"/>
    <cellStyle name="20% - Accent3 4 2 4 2 4 3 2" xfId="13718"/>
    <cellStyle name="20% - Accent3 4 2 4 2 4 4" xfId="13719"/>
    <cellStyle name="20% - Accent3 4 2 4 2 4 5" xfId="13720"/>
    <cellStyle name="20% - Accent3 4 2 4 2 5" xfId="13721"/>
    <cellStyle name="20% - Accent3 4 2 4 2 5 2" xfId="13722"/>
    <cellStyle name="20% - Accent3 4 2 4 2 5 3" xfId="13723"/>
    <cellStyle name="20% - Accent3 4 2 4 2 6" xfId="13724"/>
    <cellStyle name="20% - Accent3 4 2 4 2 6 2" xfId="13725"/>
    <cellStyle name="20% - Accent3 4 2 4 2 6 3" xfId="13726"/>
    <cellStyle name="20% - Accent3 4 2 4 2 7" xfId="13727"/>
    <cellStyle name="20% - Accent3 4 2 4 2 7 2" xfId="13728"/>
    <cellStyle name="20% - Accent3 4 2 4 2 8" xfId="13729"/>
    <cellStyle name="20% - Accent3 4 2 4 2 9" xfId="13730"/>
    <cellStyle name="20% - Accent3 4 2 4 3" xfId="13731"/>
    <cellStyle name="20% - Accent3 4 2 4 3 2" xfId="13732"/>
    <cellStyle name="20% - Accent3 4 2 4 3 2 2" xfId="13733"/>
    <cellStyle name="20% - Accent3 4 2 4 3 2 3" xfId="13734"/>
    <cellStyle name="20% - Accent3 4 2 4 3 3" xfId="13735"/>
    <cellStyle name="20% - Accent3 4 2 4 3 3 2" xfId="13736"/>
    <cellStyle name="20% - Accent3 4 2 4 3 3 3" xfId="13737"/>
    <cellStyle name="20% - Accent3 4 2 4 3 4" xfId="13738"/>
    <cellStyle name="20% - Accent3 4 2 4 3 4 2" xfId="13739"/>
    <cellStyle name="20% - Accent3 4 2 4 3 5" xfId="13740"/>
    <cellStyle name="20% - Accent3 4 2 4 3 6" xfId="13741"/>
    <cellStyle name="20% - Accent3 4 2 4 4" xfId="13742"/>
    <cellStyle name="20% - Accent3 4 2 4 4 2" xfId="13743"/>
    <cellStyle name="20% - Accent3 4 2 4 4 2 2" xfId="13744"/>
    <cellStyle name="20% - Accent3 4 2 4 4 2 3" xfId="13745"/>
    <cellStyle name="20% - Accent3 4 2 4 4 3" xfId="13746"/>
    <cellStyle name="20% - Accent3 4 2 4 4 3 2" xfId="13747"/>
    <cellStyle name="20% - Accent3 4 2 4 4 3 3" xfId="13748"/>
    <cellStyle name="20% - Accent3 4 2 4 4 4" xfId="13749"/>
    <cellStyle name="20% - Accent3 4 2 4 4 4 2" xfId="13750"/>
    <cellStyle name="20% - Accent3 4 2 4 4 5" xfId="13751"/>
    <cellStyle name="20% - Accent3 4 2 4 4 6" xfId="13752"/>
    <cellStyle name="20% - Accent3 4 2 4 5" xfId="13753"/>
    <cellStyle name="20% - Accent3 4 2 4 5 2" xfId="13754"/>
    <cellStyle name="20% - Accent3 4 2 4 5 2 2" xfId="13755"/>
    <cellStyle name="20% - Accent3 4 2 4 5 2 3" xfId="13756"/>
    <cellStyle name="20% - Accent3 4 2 4 5 3" xfId="13757"/>
    <cellStyle name="20% - Accent3 4 2 4 5 3 2" xfId="13758"/>
    <cellStyle name="20% - Accent3 4 2 4 5 4" xfId="13759"/>
    <cellStyle name="20% - Accent3 4 2 4 5 5" xfId="13760"/>
    <cellStyle name="20% - Accent3 4 2 4 6" xfId="13761"/>
    <cellStyle name="20% - Accent3 4 2 4 6 2" xfId="13762"/>
    <cellStyle name="20% - Accent3 4 2 4 6 3" xfId="13763"/>
    <cellStyle name="20% - Accent3 4 2 4 7" xfId="13764"/>
    <cellStyle name="20% - Accent3 4 2 4 7 2" xfId="13765"/>
    <cellStyle name="20% - Accent3 4 2 4 7 3" xfId="13766"/>
    <cellStyle name="20% - Accent3 4 2 4 8" xfId="13767"/>
    <cellStyle name="20% - Accent3 4 2 4 8 2" xfId="13768"/>
    <cellStyle name="20% - Accent3 4 2 4 9" xfId="13769"/>
    <cellStyle name="20% - Accent3 4 2 5" xfId="599"/>
    <cellStyle name="20% - Accent3 4 2 5 2" xfId="13770"/>
    <cellStyle name="20% - Accent3 4 2 5 2 2" xfId="13771"/>
    <cellStyle name="20% - Accent3 4 2 5 2 2 2" xfId="13772"/>
    <cellStyle name="20% - Accent3 4 2 5 2 2 3" xfId="13773"/>
    <cellStyle name="20% - Accent3 4 2 5 2 3" xfId="13774"/>
    <cellStyle name="20% - Accent3 4 2 5 2 3 2" xfId="13775"/>
    <cellStyle name="20% - Accent3 4 2 5 2 3 3" xfId="13776"/>
    <cellStyle name="20% - Accent3 4 2 5 2 4" xfId="13777"/>
    <cellStyle name="20% - Accent3 4 2 5 2 4 2" xfId="13778"/>
    <cellStyle name="20% - Accent3 4 2 5 2 5" xfId="13779"/>
    <cellStyle name="20% - Accent3 4 2 5 2 6" xfId="13780"/>
    <cellStyle name="20% - Accent3 4 2 5 3" xfId="13781"/>
    <cellStyle name="20% - Accent3 4 2 5 3 2" xfId="13782"/>
    <cellStyle name="20% - Accent3 4 2 5 3 2 2" xfId="13783"/>
    <cellStyle name="20% - Accent3 4 2 5 3 2 3" xfId="13784"/>
    <cellStyle name="20% - Accent3 4 2 5 3 3" xfId="13785"/>
    <cellStyle name="20% - Accent3 4 2 5 3 3 2" xfId="13786"/>
    <cellStyle name="20% - Accent3 4 2 5 3 3 3" xfId="13787"/>
    <cellStyle name="20% - Accent3 4 2 5 3 4" xfId="13788"/>
    <cellStyle name="20% - Accent3 4 2 5 3 4 2" xfId="13789"/>
    <cellStyle name="20% - Accent3 4 2 5 3 5" xfId="13790"/>
    <cellStyle name="20% - Accent3 4 2 5 3 6" xfId="13791"/>
    <cellStyle name="20% - Accent3 4 2 5 4" xfId="13792"/>
    <cellStyle name="20% - Accent3 4 2 5 4 2" xfId="13793"/>
    <cellStyle name="20% - Accent3 4 2 5 4 2 2" xfId="13794"/>
    <cellStyle name="20% - Accent3 4 2 5 4 2 3" xfId="13795"/>
    <cellStyle name="20% - Accent3 4 2 5 4 3" xfId="13796"/>
    <cellStyle name="20% - Accent3 4 2 5 4 3 2" xfId="13797"/>
    <cellStyle name="20% - Accent3 4 2 5 4 4" xfId="13798"/>
    <cellStyle name="20% - Accent3 4 2 5 4 5" xfId="13799"/>
    <cellStyle name="20% - Accent3 4 2 5 5" xfId="13800"/>
    <cellStyle name="20% - Accent3 4 2 5 5 2" xfId="13801"/>
    <cellStyle name="20% - Accent3 4 2 5 5 3" xfId="13802"/>
    <cellStyle name="20% - Accent3 4 2 5 6" xfId="13803"/>
    <cellStyle name="20% - Accent3 4 2 5 6 2" xfId="13804"/>
    <cellStyle name="20% - Accent3 4 2 5 6 3" xfId="13805"/>
    <cellStyle name="20% - Accent3 4 2 5 7" xfId="13806"/>
    <cellStyle name="20% - Accent3 4 2 5 7 2" xfId="13807"/>
    <cellStyle name="20% - Accent3 4 2 5 8" xfId="13808"/>
    <cellStyle name="20% - Accent3 4 2 5 9" xfId="13809"/>
    <cellStyle name="20% - Accent3 4 2 6" xfId="13810"/>
    <cellStyle name="20% - Accent3 4 2 6 2" xfId="13811"/>
    <cellStyle name="20% - Accent3 4 2 6 2 2" xfId="13812"/>
    <cellStyle name="20% - Accent3 4 2 6 2 2 2" xfId="13813"/>
    <cellStyle name="20% - Accent3 4 2 6 2 2 3" xfId="13814"/>
    <cellStyle name="20% - Accent3 4 2 6 2 3" xfId="13815"/>
    <cellStyle name="20% - Accent3 4 2 6 2 3 2" xfId="13816"/>
    <cellStyle name="20% - Accent3 4 2 6 2 3 3" xfId="13817"/>
    <cellStyle name="20% - Accent3 4 2 6 2 4" xfId="13818"/>
    <cellStyle name="20% - Accent3 4 2 6 2 4 2" xfId="13819"/>
    <cellStyle name="20% - Accent3 4 2 6 2 5" xfId="13820"/>
    <cellStyle name="20% - Accent3 4 2 6 2 6" xfId="13821"/>
    <cellStyle name="20% - Accent3 4 2 6 3" xfId="13822"/>
    <cellStyle name="20% - Accent3 4 2 6 3 2" xfId="13823"/>
    <cellStyle name="20% - Accent3 4 2 6 3 2 2" xfId="13824"/>
    <cellStyle name="20% - Accent3 4 2 6 3 2 3" xfId="13825"/>
    <cellStyle name="20% - Accent3 4 2 6 3 3" xfId="13826"/>
    <cellStyle name="20% - Accent3 4 2 6 3 3 2" xfId="13827"/>
    <cellStyle name="20% - Accent3 4 2 6 3 3 3" xfId="13828"/>
    <cellStyle name="20% - Accent3 4 2 6 3 4" xfId="13829"/>
    <cellStyle name="20% - Accent3 4 2 6 3 4 2" xfId="13830"/>
    <cellStyle name="20% - Accent3 4 2 6 3 5" xfId="13831"/>
    <cellStyle name="20% - Accent3 4 2 6 3 6" xfId="13832"/>
    <cellStyle name="20% - Accent3 4 2 6 4" xfId="13833"/>
    <cellStyle name="20% - Accent3 4 2 6 4 2" xfId="13834"/>
    <cellStyle name="20% - Accent3 4 2 6 4 2 2" xfId="13835"/>
    <cellStyle name="20% - Accent3 4 2 6 4 2 3" xfId="13836"/>
    <cellStyle name="20% - Accent3 4 2 6 4 3" xfId="13837"/>
    <cellStyle name="20% - Accent3 4 2 6 4 3 2" xfId="13838"/>
    <cellStyle name="20% - Accent3 4 2 6 4 4" xfId="13839"/>
    <cellStyle name="20% - Accent3 4 2 6 4 5" xfId="13840"/>
    <cellStyle name="20% - Accent3 4 2 6 5" xfId="13841"/>
    <cellStyle name="20% - Accent3 4 2 6 5 2" xfId="13842"/>
    <cellStyle name="20% - Accent3 4 2 6 5 3" xfId="13843"/>
    <cellStyle name="20% - Accent3 4 2 6 6" xfId="13844"/>
    <cellStyle name="20% - Accent3 4 2 6 6 2" xfId="13845"/>
    <cellStyle name="20% - Accent3 4 2 6 6 3" xfId="13846"/>
    <cellStyle name="20% - Accent3 4 2 6 7" xfId="13847"/>
    <cellStyle name="20% - Accent3 4 2 6 7 2" xfId="13848"/>
    <cellStyle name="20% - Accent3 4 2 6 8" xfId="13849"/>
    <cellStyle name="20% - Accent3 4 2 6 9" xfId="13850"/>
    <cellStyle name="20% - Accent3 4 2 7" xfId="13851"/>
    <cellStyle name="20% - Accent3 4 2 7 2" xfId="13852"/>
    <cellStyle name="20% - Accent3 4 2 7 2 2" xfId="13853"/>
    <cellStyle name="20% - Accent3 4 2 7 2 3" xfId="13854"/>
    <cellStyle name="20% - Accent3 4 2 7 3" xfId="13855"/>
    <cellStyle name="20% - Accent3 4 2 7 3 2" xfId="13856"/>
    <cellStyle name="20% - Accent3 4 2 7 3 3" xfId="13857"/>
    <cellStyle name="20% - Accent3 4 2 7 4" xfId="13858"/>
    <cellStyle name="20% - Accent3 4 2 7 4 2" xfId="13859"/>
    <cellStyle name="20% - Accent3 4 2 7 5" xfId="13860"/>
    <cellStyle name="20% - Accent3 4 2 7 6" xfId="13861"/>
    <cellStyle name="20% - Accent3 4 2 8" xfId="13862"/>
    <cellStyle name="20% - Accent3 4 2 8 2" xfId="13863"/>
    <cellStyle name="20% - Accent3 4 2 8 2 2" xfId="13864"/>
    <cellStyle name="20% - Accent3 4 2 8 2 3" xfId="13865"/>
    <cellStyle name="20% - Accent3 4 2 8 3" xfId="13866"/>
    <cellStyle name="20% - Accent3 4 2 8 3 2" xfId="13867"/>
    <cellStyle name="20% - Accent3 4 2 8 3 3" xfId="13868"/>
    <cellStyle name="20% - Accent3 4 2 8 4" xfId="13869"/>
    <cellStyle name="20% - Accent3 4 2 8 4 2" xfId="13870"/>
    <cellStyle name="20% - Accent3 4 2 8 5" xfId="13871"/>
    <cellStyle name="20% - Accent3 4 2 8 6" xfId="13872"/>
    <cellStyle name="20% - Accent3 4 2 9" xfId="13873"/>
    <cellStyle name="20% - Accent3 4 2 9 2" xfId="13874"/>
    <cellStyle name="20% - Accent3 4 2 9 2 2" xfId="13875"/>
    <cellStyle name="20% - Accent3 4 2 9 2 3" xfId="13876"/>
    <cellStyle name="20% - Accent3 4 2 9 3" xfId="13877"/>
    <cellStyle name="20% - Accent3 4 2 9 3 2" xfId="13878"/>
    <cellStyle name="20% - Accent3 4 2 9 4" xfId="13879"/>
    <cellStyle name="20% - Accent3 4 2 9 5" xfId="13880"/>
    <cellStyle name="20% - Accent3 4 3" xfId="600"/>
    <cellStyle name="20% - Accent3 4 3 10" xfId="13881"/>
    <cellStyle name="20% - Accent3 4 3 10 2" xfId="13882"/>
    <cellStyle name="20% - Accent3 4 3 10 3" xfId="13883"/>
    <cellStyle name="20% - Accent3 4 3 11" xfId="13884"/>
    <cellStyle name="20% - Accent3 4 3 11 2" xfId="13885"/>
    <cellStyle name="20% - Accent3 4 3 12" xfId="13886"/>
    <cellStyle name="20% - Accent3 4 3 13" xfId="13887"/>
    <cellStyle name="20% - Accent3 4 3 14" xfId="13888"/>
    <cellStyle name="20% - Accent3 4 3 2" xfId="601"/>
    <cellStyle name="20% - Accent3 4 3 2 10" xfId="13889"/>
    <cellStyle name="20% - Accent3 4 3 2 10 2" xfId="13890"/>
    <cellStyle name="20% - Accent3 4 3 2 11" xfId="13891"/>
    <cellStyle name="20% - Accent3 4 3 2 12" xfId="13892"/>
    <cellStyle name="20% - Accent3 4 3 2 2" xfId="602"/>
    <cellStyle name="20% - Accent3 4 3 2 2 10" xfId="13893"/>
    <cellStyle name="20% - Accent3 4 3 2 2 2" xfId="603"/>
    <cellStyle name="20% - Accent3 4 3 2 2 2 2" xfId="13894"/>
    <cellStyle name="20% - Accent3 4 3 2 2 2 2 2" xfId="13895"/>
    <cellStyle name="20% - Accent3 4 3 2 2 2 2 2 2" xfId="13896"/>
    <cellStyle name="20% - Accent3 4 3 2 2 2 2 2 3" xfId="13897"/>
    <cellStyle name="20% - Accent3 4 3 2 2 2 2 3" xfId="13898"/>
    <cellStyle name="20% - Accent3 4 3 2 2 2 2 3 2" xfId="13899"/>
    <cellStyle name="20% - Accent3 4 3 2 2 2 2 3 3" xfId="13900"/>
    <cellStyle name="20% - Accent3 4 3 2 2 2 2 4" xfId="13901"/>
    <cellStyle name="20% - Accent3 4 3 2 2 2 2 4 2" xfId="13902"/>
    <cellStyle name="20% - Accent3 4 3 2 2 2 2 5" xfId="13903"/>
    <cellStyle name="20% - Accent3 4 3 2 2 2 2 6" xfId="13904"/>
    <cellStyle name="20% - Accent3 4 3 2 2 2 3" xfId="13905"/>
    <cellStyle name="20% - Accent3 4 3 2 2 2 3 2" xfId="13906"/>
    <cellStyle name="20% - Accent3 4 3 2 2 2 3 2 2" xfId="13907"/>
    <cellStyle name="20% - Accent3 4 3 2 2 2 3 2 3" xfId="13908"/>
    <cellStyle name="20% - Accent3 4 3 2 2 2 3 3" xfId="13909"/>
    <cellStyle name="20% - Accent3 4 3 2 2 2 3 3 2" xfId="13910"/>
    <cellStyle name="20% - Accent3 4 3 2 2 2 3 3 3" xfId="13911"/>
    <cellStyle name="20% - Accent3 4 3 2 2 2 3 4" xfId="13912"/>
    <cellStyle name="20% - Accent3 4 3 2 2 2 3 4 2" xfId="13913"/>
    <cellStyle name="20% - Accent3 4 3 2 2 2 3 5" xfId="13914"/>
    <cellStyle name="20% - Accent3 4 3 2 2 2 3 6" xfId="13915"/>
    <cellStyle name="20% - Accent3 4 3 2 2 2 4" xfId="13916"/>
    <cellStyle name="20% - Accent3 4 3 2 2 2 4 2" xfId="13917"/>
    <cellStyle name="20% - Accent3 4 3 2 2 2 4 2 2" xfId="13918"/>
    <cellStyle name="20% - Accent3 4 3 2 2 2 4 2 3" xfId="13919"/>
    <cellStyle name="20% - Accent3 4 3 2 2 2 4 3" xfId="13920"/>
    <cellStyle name="20% - Accent3 4 3 2 2 2 4 3 2" xfId="13921"/>
    <cellStyle name="20% - Accent3 4 3 2 2 2 4 4" xfId="13922"/>
    <cellStyle name="20% - Accent3 4 3 2 2 2 4 5" xfId="13923"/>
    <cellStyle name="20% - Accent3 4 3 2 2 2 5" xfId="13924"/>
    <cellStyle name="20% - Accent3 4 3 2 2 2 5 2" xfId="13925"/>
    <cellStyle name="20% - Accent3 4 3 2 2 2 5 3" xfId="13926"/>
    <cellStyle name="20% - Accent3 4 3 2 2 2 6" xfId="13927"/>
    <cellStyle name="20% - Accent3 4 3 2 2 2 6 2" xfId="13928"/>
    <cellStyle name="20% - Accent3 4 3 2 2 2 6 3" xfId="13929"/>
    <cellStyle name="20% - Accent3 4 3 2 2 2 7" xfId="13930"/>
    <cellStyle name="20% - Accent3 4 3 2 2 2 7 2" xfId="13931"/>
    <cellStyle name="20% - Accent3 4 3 2 2 2 8" xfId="13932"/>
    <cellStyle name="20% - Accent3 4 3 2 2 2 9" xfId="13933"/>
    <cellStyle name="20% - Accent3 4 3 2 2 3" xfId="13934"/>
    <cellStyle name="20% - Accent3 4 3 2 2 3 2" xfId="13935"/>
    <cellStyle name="20% - Accent3 4 3 2 2 3 2 2" xfId="13936"/>
    <cellStyle name="20% - Accent3 4 3 2 2 3 2 3" xfId="13937"/>
    <cellStyle name="20% - Accent3 4 3 2 2 3 3" xfId="13938"/>
    <cellStyle name="20% - Accent3 4 3 2 2 3 3 2" xfId="13939"/>
    <cellStyle name="20% - Accent3 4 3 2 2 3 3 3" xfId="13940"/>
    <cellStyle name="20% - Accent3 4 3 2 2 3 4" xfId="13941"/>
    <cellStyle name="20% - Accent3 4 3 2 2 3 4 2" xfId="13942"/>
    <cellStyle name="20% - Accent3 4 3 2 2 3 5" xfId="13943"/>
    <cellStyle name="20% - Accent3 4 3 2 2 3 6" xfId="13944"/>
    <cellStyle name="20% - Accent3 4 3 2 2 4" xfId="13945"/>
    <cellStyle name="20% - Accent3 4 3 2 2 4 2" xfId="13946"/>
    <cellStyle name="20% - Accent3 4 3 2 2 4 2 2" xfId="13947"/>
    <cellStyle name="20% - Accent3 4 3 2 2 4 2 3" xfId="13948"/>
    <cellStyle name="20% - Accent3 4 3 2 2 4 3" xfId="13949"/>
    <cellStyle name="20% - Accent3 4 3 2 2 4 3 2" xfId="13950"/>
    <cellStyle name="20% - Accent3 4 3 2 2 4 3 3" xfId="13951"/>
    <cellStyle name="20% - Accent3 4 3 2 2 4 4" xfId="13952"/>
    <cellStyle name="20% - Accent3 4 3 2 2 4 4 2" xfId="13953"/>
    <cellStyle name="20% - Accent3 4 3 2 2 4 5" xfId="13954"/>
    <cellStyle name="20% - Accent3 4 3 2 2 4 6" xfId="13955"/>
    <cellStyle name="20% - Accent3 4 3 2 2 5" xfId="13956"/>
    <cellStyle name="20% - Accent3 4 3 2 2 5 2" xfId="13957"/>
    <cellStyle name="20% - Accent3 4 3 2 2 5 2 2" xfId="13958"/>
    <cellStyle name="20% - Accent3 4 3 2 2 5 2 3" xfId="13959"/>
    <cellStyle name="20% - Accent3 4 3 2 2 5 3" xfId="13960"/>
    <cellStyle name="20% - Accent3 4 3 2 2 5 3 2" xfId="13961"/>
    <cellStyle name="20% - Accent3 4 3 2 2 5 4" xfId="13962"/>
    <cellStyle name="20% - Accent3 4 3 2 2 5 5" xfId="13963"/>
    <cellStyle name="20% - Accent3 4 3 2 2 6" xfId="13964"/>
    <cellStyle name="20% - Accent3 4 3 2 2 6 2" xfId="13965"/>
    <cellStyle name="20% - Accent3 4 3 2 2 6 3" xfId="13966"/>
    <cellStyle name="20% - Accent3 4 3 2 2 7" xfId="13967"/>
    <cellStyle name="20% - Accent3 4 3 2 2 7 2" xfId="13968"/>
    <cellStyle name="20% - Accent3 4 3 2 2 7 3" xfId="13969"/>
    <cellStyle name="20% - Accent3 4 3 2 2 8" xfId="13970"/>
    <cellStyle name="20% - Accent3 4 3 2 2 8 2" xfId="13971"/>
    <cellStyle name="20% - Accent3 4 3 2 2 9" xfId="13972"/>
    <cellStyle name="20% - Accent3 4 3 2 3" xfId="604"/>
    <cellStyle name="20% - Accent3 4 3 2 3 2" xfId="13973"/>
    <cellStyle name="20% - Accent3 4 3 2 3 2 2" xfId="13974"/>
    <cellStyle name="20% - Accent3 4 3 2 3 2 2 2" xfId="13975"/>
    <cellStyle name="20% - Accent3 4 3 2 3 2 2 3" xfId="13976"/>
    <cellStyle name="20% - Accent3 4 3 2 3 2 3" xfId="13977"/>
    <cellStyle name="20% - Accent3 4 3 2 3 2 3 2" xfId="13978"/>
    <cellStyle name="20% - Accent3 4 3 2 3 2 3 3" xfId="13979"/>
    <cellStyle name="20% - Accent3 4 3 2 3 2 4" xfId="13980"/>
    <cellStyle name="20% - Accent3 4 3 2 3 2 4 2" xfId="13981"/>
    <cellStyle name="20% - Accent3 4 3 2 3 2 5" xfId="13982"/>
    <cellStyle name="20% - Accent3 4 3 2 3 2 6" xfId="13983"/>
    <cellStyle name="20% - Accent3 4 3 2 3 3" xfId="13984"/>
    <cellStyle name="20% - Accent3 4 3 2 3 3 2" xfId="13985"/>
    <cellStyle name="20% - Accent3 4 3 2 3 3 2 2" xfId="13986"/>
    <cellStyle name="20% - Accent3 4 3 2 3 3 2 3" xfId="13987"/>
    <cellStyle name="20% - Accent3 4 3 2 3 3 3" xfId="13988"/>
    <cellStyle name="20% - Accent3 4 3 2 3 3 3 2" xfId="13989"/>
    <cellStyle name="20% - Accent3 4 3 2 3 3 3 3" xfId="13990"/>
    <cellStyle name="20% - Accent3 4 3 2 3 3 4" xfId="13991"/>
    <cellStyle name="20% - Accent3 4 3 2 3 3 4 2" xfId="13992"/>
    <cellStyle name="20% - Accent3 4 3 2 3 3 5" xfId="13993"/>
    <cellStyle name="20% - Accent3 4 3 2 3 3 6" xfId="13994"/>
    <cellStyle name="20% - Accent3 4 3 2 3 4" xfId="13995"/>
    <cellStyle name="20% - Accent3 4 3 2 3 4 2" xfId="13996"/>
    <cellStyle name="20% - Accent3 4 3 2 3 4 2 2" xfId="13997"/>
    <cellStyle name="20% - Accent3 4 3 2 3 4 2 3" xfId="13998"/>
    <cellStyle name="20% - Accent3 4 3 2 3 4 3" xfId="13999"/>
    <cellStyle name="20% - Accent3 4 3 2 3 4 3 2" xfId="14000"/>
    <cellStyle name="20% - Accent3 4 3 2 3 4 4" xfId="14001"/>
    <cellStyle name="20% - Accent3 4 3 2 3 4 5" xfId="14002"/>
    <cellStyle name="20% - Accent3 4 3 2 3 5" xfId="14003"/>
    <cellStyle name="20% - Accent3 4 3 2 3 5 2" xfId="14004"/>
    <cellStyle name="20% - Accent3 4 3 2 3 5 3" xfId="14005"/>
    <cellStyle name="20% - Accent3 4 3 2 3 6" xfId="14006"/>
    <cellStyle name="20% - Accent3 4 3 2 3 6 2" xfId="14007"/>
    <cellStyle name="20% - Accent3 4 3 2 3 6 3" xfId="14008"/>
    <cellStyle name="20% - Accent3 4 3 2 3 7" xfId="14009"/>
    <cellStyle name="20% - Accent3 4 3 2 3 7 2" xfId="14010"/>
    <cellStyle name="20% - Accent3 4 3 2 3 8" xfId="14011"/>
    <cellStyle name="20% - Accent3 4 3 2 3 9" xfId="14012"/>
    <cellStyle name="20% - Accent3 4 3 2 4" xfId="14013"/>
    <cellStyle name="20% - Accent3 4 3 2 4 2" xfId="14014"/>
    <cellStyle name="20% - Accent3 4 3 2 4 2 2" xfId="14015"/>
    <cellStyle name="20% - Accent3 4 3 2 4 2 2 2" xfId="14016"/>
    <cellStyle name="20% - Accent3 4 3 2 4 2 2 3" xfId="14017"/>
    <cellStyle name="20% - Accent3 4 3 2 4 2 3" xfId="14018"/>
    <cellStyle name="20% - Accent3 4 3 2 4 2 3 2" xfId="14019"/>
    <cellStyle name="20% - Accent3 4 3 2 4 2 3 3" xfId="14020"/>
    <cellStyle name="20% - Accent3 4 3 2 4 2 4" xfId="14021"/>
    <cellStyle name="20% - Accent3 4 3 2 4 2 4 2" xfId="14022"/>
    <cellStyle name="20% - Accent3 4 3 2 4 2 5" xfId="14023"/>
    <cellStyle name="20% - Accent3 4 3 2 4 2 6" xfId="14024"/>
    <cellStyle name="20% - Accent3 4 3 2 4 3" xfId="14025"/>
    <cellStyle name="20% - Accent3 4 3 2 4 3 2" xfId="14026"/>
    <cellStyle name="20% - Accent3 4 3 2 4 3 2 2" xfId="14027"/>
    <cellStyle name="20% - Accent3 4 3 2 4 3 2 3" xfId="14028"/>
    <cellStyle name="20% - Accent3 4 3 2 4 3 3" xfId="14029"/>
    <cellStyle name="20% - Accent3 4 3 2 4 3 3 2" xfId="14030"/>
    <cellStyle name="20% - Accent3 4 3 2 4 3 3 3" xfId="14031"/>
    <cellStyle name="20% - Accent3 4 3 2 4 3 4" xfId="14032"/>
    <cellStyle name="20% - Accent3 4 3 2 4 3 4 2" xfId="14033"/>
    <cellStyle name="20% - Accent3 4 3 2 4 3 5" xfId="14034"/>
    <cellStyle name="20% - Accent3 4 3 2 4 3 6" xfId="14035"/>
    <cellStyle name="20% - Accent3 4 3 2 4 4" xfId="14036"/>
    <cellStyle name="20% - Accent3 4 3 2 4 4 2" xfId="14037"/>
    <cellStyle name="20% - Accent3 4 3 2 4 4 2 2" xfId="14038"/>
    <cellStyle name="20% - Accent3 4 3 2 4 4 2 3" xfId="14039"/>
    <cellStyle name="20% - Accent3 4 3 2 4 4 3" xfId="14040"/>
    <cellStyle name="20% - Accent3 4 3 2 4 4 3 2" xfId="14041"/>
    <cellStyle name="20% - Accent3 4 3 2 4 4 4" xfId="14042"/>
    <cellStyle name="20% - Accent3 4 3 2 4 4 5" xfId="14043"/>
    <cellStyle name="20% - Accent3 4 3 2 4 5" xfId="14044"/>
    <cellStyle name="20% - Accent3 4 3 2 4 5 2" xfId="14045"/>
    <cellStyle name="20% - Accent3 4 3 2 4 5 3" xfId="14046"/>
    <cellStyle name="20% - Accent3 4 3 2 4 6" xfId="14047"/>
    <cellStyle name="20% - Accent3 4 3 2 4 6 2" xfId="14048"/>
    <cellStyle name="20% - Accent3 4 3 2 4 6 3" xfId="14049"/>
    <cellStyle name="20% - Accent3 4 3 2 4 7" xfId="14050"/>
    <cellStyle name="20% - Accent3 4 3 2 4 7 2" xfId="14051"/>
    <cellStyle name="20% - Accent3 4 3 2 4 8" xfId="14052"/>
    <cellStyle name="20% - Accent3 4 3 2 4 9" xfId="14053"/>
    <cellStyle name="20% - Accent3 4 3 2 5" xfId="14054"/>
    <cellStyle name="20% - Accent3 4 3 2 5 2" xfId="14055"/>
    <cellStyle name="20% - Accent3 4 3 2 5 2 2" xfId="14056"/>
    <cellStyle name="20% - Accent3 4 3 2 5 2 3" xfId="14057"/>
    <cellStyle name="20% - Accent3 4 3 2 5 3" xfId="14058"/>
    <cellStyle name="20% - Accent3 4 3 2 5 3 2" xfId="14059"/>
    <cellStyle name="20% - Accent3 4 3 2 5 3 3" xfId="14060"/>
    <cellStyle name="20% - Accent3 4 3 2 5 4" xfId="14061"/>
    <cellStyle name="20% - Accent3 4 3 2 5 4 2" xfId="14062"/>
    <cellStyle name="20% - Accent3 4 3 2 5 5" xfId="14063"/>
    <cellStyle name="20% - Accent3 4 3 2 5 6" xfId="14064"/>
    <cellStyle name="20% - Accent3 4 3 2 6" xfId="14065"/>
    <cellStyle name="20% - Accent3 4 3 2 6 2" xfId="14066"/>
    <cellStyle name="20% - Accent3 4 3 2 6 2 2" xfId="14067"/>
    <cellStyle name="20% - Accent3 4 3 2 6 2 3" xfId="14068"/>
    <cellStyle name="20% - Accent3 4 3 2 6 3" xfId="14069"/>
    <cellStyle name="20% - Accent3 4 3 2 6 3 2" xfId="14070"/>
    <cellStyle name="20% - Accent3 4 3 2 6 3 3" xfId="14071"/>
    <cellStyle name="20% - Accent3 4 3 2 6 4" xfId="14072"/>
    <cellStyle name="20% - Accent3 4 3 2 6 4 2" xfId="14073"/>
    <cellStyle name="20% - Accent3 4 3 2 6 5" xfId="14074"/>
    <cellStyle name="20% - Accent3 4 3 2 6 6" xfId="14075"/>
    <cellStyle name="20% - Accent3 4 3 2 7" xfId="14076"/>
    <cellStyle name="20% - Accent3 4 3 2 7 2" xfId="14077"/>
    <cellStyle name="20% - Accent3 4 3 2 7 2 2" xfId="14078"/>
    <cellStyle name="20% - Accent3 4 3 2 7 2 3" xfId="14079"/>
    <cellStyle name="20% - Accent3 4 3 2 7 3" xfId="14080"/>
    <cellStyle name="20% - Accent3 4 3 2 7 3 2" xfId="14081"/>
    <cellStyle name="20% - Accent3 4 3 2 7 4" xfId="14082"/>
    <cellStyle name="20% - Accent3 4 3 2 7 5" xfId="14083"/>
    <cellStyle name="20% - Accent3 4 3 2 8" xfId="14084"/>
    <cellStyle name="20% - Accent3 4 3 2 8 2" xfId="14085"/>
    <cellStyle name="20% - Accent3 4 3 2 8 3" xfId="14086"/>
    <cellStyle name="20% - Accent3 4 3 2 9" xfId="14087"/>
    <cellStyle name="20% - Accent3 4 3 2 9 2" xfId="14088"/>
    <cellStyle name="20% - Accent3 4 3 2 9 3" xfId="14089"/>
    <cellStyle name="20% - Accent3 4 3 3" xfId="605"/>
    <cellStyle name="20% - Accent3 4 3 3 10" xfId="14090"/>
    <cellStyle name="20% - Accent3 4 3 3 2" xfId="606"/>
    <cellStyle name="20% - Accent3 4 3 3 2 2" xfId="14091"/>
    <cellStyle name="20% - Accent3 4 3 3 2 2 2" xfId="14092"/>
    <cellStyle name="20% - Accent3 4 3 3 2 2 2 2" xfId="14093"/>
    <cellStyle name="20% - Accent3 4 3 3 2 2 2 3" xfId="14094"/>
    <cellStyle name="20% - Accent3 4 3 3 2 2 3" xfId="14095"/>
    <cellStyle name="20% - Accent3 4 3 3 2 2 3 2" xfId="14096"/>
    <cellStyle name="20% - Accent3 4 3 3 2 2 3 3" xfId="14097"/>
    <cellStyle name="20% - Accent3 4 3 3 2 2 4" xfId="14098"/>
    <cellStyle name="20% - Accent3 4 3 3 2 2 4 2" xfId="14099"/>
    <cellStyle name="20% - Accent3 4 3 3 2 2 5" xfId="14100"/>
    <cellStyle name="20% - Accent3 4 3 3 2 2 6" xfId="14101"/>
    <cellStyle name="20% - Accent3 4 3 3 2 3" xfId="14102"/>
    <cellStyle name="20% - Accent3 4 3 3 2 3 2" xfId="14103"/>
    <cellStyle name="20% - Accent3 4 3 3 2 3 2 2" xfId="14104"/>
    <cellStyle name="20% - Accent3 4 3 3 2 3 2 3" xfId="14105"/>
    <cellStyle name="20% - Accent3 4 3 3 2 3 3" xfId="14106"/>
    <cellStyle name="20% - Accent3 4 3 3 2 3 3 2" xfId="14107"/>
    <cellStyle name="20% - Accent3 4 3 3 2 3 3 3" xfId="14108"/>
    <cellStyle name="20% - Accent3 4 3 3 2 3 4" xfId="14109"/>
    <cellStyle name="20% - Accent3 4 3 3 2 3 4 2" xfId="14110"/>
    <cellStyle name="20% - Accent3 4 3 3 2 3 5" xfId="14111"/>
    <cellStyle name="20% - Accent3 4 3 3 2 3 6" xfId="14112"/>
    <cellStyle name="20% - Accent3 4 3 3 2 4" xfId="14113"/>
    <cellStyle name="20% - Accent3 4 3 3 2 4 2" xfId="14114"/>
    <cellStyle name="20% - Accent3 4 3 3 2 4 2 2" xfId="14115"/>
    <cellStyle name="20% - Accent3 4 3 3 2 4 2 3" xfId="14116"/>
    <cellStyle name="20% - Accent3 4 3 3 2 4 3" xfId="14117"/>
    <cellStyle name="20% - Accent3 4 3 3 2 4 3 2" xfId="14118"/>
    <cellStyle name="20% - Accent3 4 3 3 2 4 4" xfId="14119"/>
    <cellStyle name="20% - Accent3 4 3 3 2 4 5" xfId="14120"/>
    <cellStyle name="20% - Accent3 4 3 3 2 5" xfId="14121"/>
    <cellStyle name="20% - Accent3 4 3 3 2 5 2" xfId="14122"/>
    <cellStyle name="20% - Accent3 4 3 3 2 5 3" xfId="14123"/>
    <cellStyle name="20% - Accent3 4 3 3 2 6" xfId="14124"/>
    <cellStyle name="20% - Accent3 4 3 3 2 6 2" xfId="14125"/>
    <cellStyle name="20% - Accent3 4 3 3 2 6 3" xfId="14126"/>
    <cellStyle name="20% - Accent3 4 3 3 2 7" xfId="14127"/>
    <cellStyle name="20% - Accent3 4 3 3 2 7 2" xfId="14128"/>
    <cellStyle name="20% - Accent3 4 3 3 2 8" xfId="14129"/>
    <cellStyle name="20% - Accent3 4 3 3 2 9" xfId="14130"/>
    <cellStyle name="20% - Accent3 4 3 3 3" xfId="14131"/>
    <cellStyle name="20% - Accent3 4 3 3 3 2" xfId="14132"/>
    <cellStyle name="20% - Accent3 4 3 3 3 2 2" xfId="14133"/>
    <cellStyle name="20% - Accent3 4 3 3 3 2 3" xfId="14134"/>
    <cellStyle name="20% - Accent3 4 3 3 3 3" xfId="14135"/>
    <cellStyle name="20% - Accent3 4 3 3 3 3 2" xfId="14136"/>
    <cellStyle name="20% - Accent3 4 3 3 3 3 3" xfId="14137"/>
    <cellStyle name="20% - Accent3 4 3 3 3 4" xfId="14138"/>
    <cellStyle name="20% - Accent3 4 3 3 3 4 2" xfId="14139"/>
    <cellStyle name="20% - Accent3 4 3 3 3 5" xfId="14140"/>
    <cellStyle name="20% - Accent3 4 3 3 3 6" xfId="14141"/>
    <cellStyle name="20% - Accent3 4 3 3 4" xfId="14142"/>
    <cellStyle name="20% - Accent3 4 3 3 4 2" xfId="14143"/>
    <cellStyle name="20% - Accent3 4 3 3 4 2 2" xfId="14144"/>
    <cellStyle name="20% - Accent3 4 3 3 4 2 3" xfId="14145"/>
    <cellStyle name="20% - Accent3 4 3 3 4 3" xfId="14146"/>
    <cellStyle name="20% - Accent3 4 3 3 4 3 2" xfId="14147"/>
    <cellStyle name="20% - Accent3 4 3 3 4 3 3" xfId="14148"/>
    <cellStyle name="20% - Accent3 4 3 3 4 4" xfId="14149"/>
    <cellStyle name="20% - Accent3 4 3 3 4 4 2" xfId="14150"/>
    <cellStyle name="20% - Accent3 4 3 3 4 5" xfId="14151"/>
    <cellStyle name="20% - Accent3 4 3 3 4 6" xfId="14152"/>
    <cellStyle name="20% - Accent3 4 3 3 5" xfId="14153"/>
    <cellStyle name="20% - Accent3 4 3 3 5 2" xfId="14154"/>
    <cellStyle name="20% - Accent3 4 3 3 5 2 2" xfId="14155"/>
    <cellStyle name="20% - Accent3 4 3 3 5 2 3" xfId="14156"/>
    <cellStyle name="20% - Accent3 4 3 3 5 3" xfId="14157"/>
    <cellStyle name="20% - Accent3 4 3 3 5 3 2" xfId="14158"/>
    <cellStyle name="20% - Accent3 4 3 3 5 4" xfId="14159"/>
    <cellStyle name="20% - Accent3 4 3 3 5 5" xfId="14160"/>
    <cellStyle name="20% - Accent3 4 3 3 6" xfId="14161"/>
    <cellStyle name="20% - Accent3 4 3 3 6 2" xfId="14162"/>
    <cellStyle name="20% - Accent3 4 3 3 6 3" xfId="14163"/>
    <cellStyle name="20% - Accent3 4 3 3 7" xfId="14164"/>
    <cellStyle name="20% - Accent3 4 3 3 7 2" xfId="14165"/>
    <cellStyle name="20% - Accent3 4 3 3 7 3" xfId="14166"/>
    <cellStyle name="20% - Accent3 4 3 3 8" xfId="14167"/>
    <cellStyle name="20% - Accent3 4 3 3 8 2" xfId="14168"/>
    <cellStyle name="20% - Accent3 4 3 3 9" xfId="14169"/>
    <cellStyle name="20% - Accent3 4 3 4" xfId="607"/>
    <cellStyle name="20% - Accent3 4 3 4 2" xfId="14170"/>
    <cellStyle name="20% - Accent3 4 3 4 2 2" xfId="14171"/>
    <cellStyle name="20% - Accent3 4 3 4 2 2 2" xfId="14172"/>
    <cellStyle name="20% - Accent3 4 3 4 2 2 3" xfId="14173"/>
    <cellStyle name="20% - Accent3 4 3 4 2 3" xfId="14174"/>
    <cellStyle name="20% - Accent3 4 3 4 2 3 2" xfId="14175"/>
    <cellStyle name="20% - Accent3 4 3 4 2 3 3" xfId="14176"/>
    <cellStyle name="20% - Accent3 4 3 4 2 4" xfId="14177"/>
    <cellStyle name="20% - Accent3 4 3 4 2 4 2" xfId="14178"/>
    <cellStyle name="20% - Accent3 4 3 4 2 5" xfId="14179"/>
    <cellStyle name="20% - Accent3 4 3 4 2 6" xfId="14180"/>
    <cellStyle name="20% - Accent3 4 3 4 3" xfId="14181"/>
    <cellStyle name="20% - Accent3 4 3 4 3 2" xfId="14182"/>
    <cellStyle name="20% - Accent3 4 3 4 3 2 2" xfId="14183"/>
    <cellStyle name="20% - Accent3 4 3 4 3 2 3" xfId="14184"/>
    <cellStyle name="20% - Accent3 4 3 4 3 3" xfId="14185"/>
    <cellStyle name="20% - Accent3 4 3 4 3 3 2" xfId="14186"/>
    <cellStyle name="20% - Accent3 4 3 4 3 3 3" xfId="14187"/>
    <cellStyle name="20% - Accent3 4 3 4 3 4" xfId="14188"/>
    <cellStyle name="20% - Accent3 4 3 4 3 4 2" xfId="14189"/>
    <cellStyle name="20% - Accent3 4 3 4 3 5" xfId="14190"/>
    <cellStyle name="20% - Accent3 4 3 4 3 6" xfId="14191"/>
    <cellStyle name="20% - Accent3 4 3 4 4" xfId="14192"/>
    <cellStyle name="20% - Accent3 4 3 4 4 2" xfId="14193"/>
    <cellStyle name="20% - Accent3 4 3 4 4 2 2" xfId="14194"/>
    <cellStyle name="20% - Accent3 4 3 4 4 2 3" xfId="14195"/>
    <cellStyle name="20% - Accent3 4 3 4 4 3" xfId="14196"/>
    <cellStyle name="20% - Accent3 4 3 4 4 3 2" xfId="14197"/>
    <cellStyle name="20% - Accent3 4 3 4 4 4" xfId="14198"/>
    <cellStyle name="20% - Accent3 4 3 4 4 5" xfId="14199"/>
    <cellStyle name="20% - Accent3 4 3 4 5" xfId="14200"/>
    <cellStyle name="20% - Accent3 4 3 4 5 2" xfId="14201"/>
    <cellStyle name="20% - Accent3 4 3 4 5 3" xfId="14202"/>
    <cellStyle name="20% - Accent3 4 3 4 6" xfId="14203"/>
    <cellStyle name="20% - Accent3 4 3 4 6 2" xfId="14204"/>
    <cellStyle name="20% - Accent3 4 3 4 6 3" xfId="14205"/>
    <cellStyle name="20% - Accent3 4 3 4 7" xfId="14206"/>
    <cellStyle name="20% - Accent3 4 3 4 7 2" xfId="14207"/>
    <cellStyle name="20% - Accent3 4 3 4 8" xfId="14208"/>
    <cellStyle name="20% - Accent3 4 3 4 9" xfId="14209"/>
    <cellStyle name="20% - Accent3 4 3 5" xfId="14210"/>
    <cellStyle name="20% - Accent3 4 3 5 2" xfId="14211"/>
    <cellStyle name="20% - Accent3 4 3 5 2 2" xfId="14212"/>
    <cellStyle name="20% - Accent3 4 3 5 2 2 2" xfId="14213"/>
    <cellStyle name="20% - Accent3 4 3 5 2 2 3" xfId="14214"/>
    <cellStyle name="20% - Accent3 4 3 5 2 3" xfId="14215"/>
    <cellStyle name="20% - Accent3 4 3 5 2 3 2" xfId="14216"/>
    <cellStyle name="20% - Accent3 4 3 5 2 3 3" xfId="14217"/>
    <cellStyle name="20% - Accent3 4 3 5 2 4" xfId="14218"/>
    <cellStyle name="20% - Accent3 4 3 5 2 4 2" xfId="14219"/>
    <cellStyle name="20% - Accent3 4 3 5 2 5" xfId="14220"/>
    <cellStyle name="20% - Accent3 4 3 5 2 6" xfId="14221"/>
    <cellStyle name="20% - Accent3 4 3 5 3" xfId="14222"/>
    <cellStyle name="20% - Accent3 4 3 5 3 2" xfId="14223"/>
    <cellStyle name="20% - Accent3 4 3 5 3 2 2" xfId="14224"/>
    <cellStyle name="20% - Accent3 4 3 5 3 2 3" xfId="14225"/>
    <cellStyle name="20% - Accent3 4 3 5 3 3" xfId="14226"/>
    <cellStyle name="20% - Accent3 4 3 5 3 3 2" xfId="14227"/>
    <cellStyle name="20% - Accent3 4 3 5 3 3 3" xfId="14228"/>
    <cellStyle name="20% - Accent3 4 3 5 3 4" xfId="14229"/>
    <cellStyle name="20% - Accent3 4 3 5 3 4 2" xfId="14230"/>
    <cellStyle name="20% - Accent3 4 3 5 3 5" xfId="14231"/>
    <cellStyle name="20% - Accent3 4 3 5 3 6" xfId="14232"/>
    <cellStyle name="20% - Accent3 4 3 5 4" xfId="14233"/>
    <cellStyle name="20% - Accent3 4 3 5 4 2" xfId="14234"/>
    <cellStyle name="20% - Accent3 4 3 5 4 2 2" xfId="14235"/>
    <cellStyle name="20% - Accent3 4 3 5 4 2 3" xfId="14236"/>
    <cellStyle name="20% - Accent3 4 3 5 4 3" xfId="14237"/>
    <cellStyle name="20% - Accent3 4 3 5 4 3 2" xfId="14238"/>
    <cellStyle name="20% - Accent3 4 3 5 4 4" xfId="14239"/>
    <cellStyle name="20% - Accent3 4 3 5 4 5" xfId="14240"/>
    <cellStyle name="20% - Accent3 4 3 5 5" xfId="14241"/>
    <cellStyle name="20% - Accent3 4 3 5 5 2" xfId="14242"/>
    <cellStyle name="20% - Accent3 4 3 5 5 3" xfId="14243"/>
    <cellStyle name="20% - Accent3 4 3 5 6" xfId="14244"/>
    <cellStyle name="20% - Accent3 4 3 5 6 2" xfId="14245"/>
    <cellStyle name="20% - Accent3 4 3 5 6 3" xfId="14246"/>
    <cellStyle name="20% - Accent3 4 3 5 7" xfId="14247"/>
    <cellStyle name="20% - Accent3 4 3 5 7 2" xfId="14248"/>
    <cellStyle name="20% - Accent3 4 3 5 8" xfId="14249"/>
    <cellStyle name="20% - Accent3 4 3 5 9" xfId="14250"/>
    <cellStyle name="20% - Accent3 4 3 6" xfId="14251"/>
    <cellStyle name="20% - Accent3 4 3 6 2" xfId="14252"/>
    <cellStyle name="20% - Accent3 4 3 6 2 2" xfId="14253"/>
    <cellStyle name="20% - Accent3 4 3 6 2 3" xfId="14254"/>
    <cellStyle name="20% - Accent3 4 3 6 3" xfId="14255"/>
    <cellStyle name="20% - Accent3 4 3 6 3 2" xfId="14256"/>
    <cellStyle name="20% - Accent3 4 3 6 3 3" xfId="14257"/>
    <cellStyle name="20% - Accent3 4 3 6 4" xfId="14258"/>
    <cellStyle name="20% - Accent3 4 3 6 4 2" xfId="14259"/>
    <cellStyle name="20% - Accent3 4 3 6 5" xfId="14260"/>
    <cellStyle name="20% - Accent3 4 3 6 6" xfId="14261"/>
    <cellStyle name="20% - Accent3 4 3 7" xfId="14262"/>
    <cellStyle name="20% - Accent3 4 3 7 2" xfId="14263"/>
    <cellStyle name="20% - Accent3 4 3 7 2 2" xfId="14264"/>
    <cellStyle name="20% - Accent3 4 3 7 2 3" xfId="14265"/>
    <cellStyle name="20% - Accent3 4 3 7 3" xfId="14266"/>
    <cellStyle name="20% - Accent3 4 3 7 3 2" xfId="14267"/>
    <cellStyle name="20% - Accent3 4 3 7 3 3" xfId="14268"/>
    <cellStyle name="20% - Accent3 4 3 7 4" xfId="14269"/>
    <cellStyle name="20% - Accent3 4 3 7 4 2" xfId="14270"/>
    <cellStyle name="20% - Accent3 4 3 7 5" xfId="14271"/>
    <cellStyle name="20% - Accent3 4 3 7 6" xfId="14272"/>
    <cellStyle name="20% - Accent3 4 3 8" xfId="14273"/>
    <cellStyle name="20% - Accent3 4 3 8 2" xfId="14274"/>
    <cellStyle name="20% - Accent3 4 3 8 2 2" xfId="14275"/>
    <cellStyle name="20% - Accent3 4 3 8 2 3" xfId="14276"/>
    <cellStyle name="20% - Accent3 4 3 8 3" xfId="14277"/>
    <cellStyle name="20% - Accent3 4 3 8 3 2" xfId="14278"/>
    <cellStyle name="20% - Accent3 4 3 8 4" xfId="14279"/>
    <cellStyle name="20% - Accent3 4 3 8 5" xfId="14280"/>
    <cellStyle name="20% - Accent3 4 3 9" xfId="14281"/>
    <cellStyle name="20% - Accent3 4 3 9 2" xfId="14282"/>
    <cellStyle name="20% - Accent3 4 3 9 3" xfId="14283"/>
    <cellStyle name="20% - Accent3 4 4" xfId="608"/>
    <cellStyle name="20% - Accent3 4 4 10" xfId="14284"/>
    <cellStyle name="20% - Accent3 4 4 10 2" xfId="14285"/>
    <cellStyle name="20% - Accent3 4 4 11" xfId="14286"/>
    <cellStyle name="20% - Accent3 4 4 12" xfId="14287"/>
    <cellStyle name="20% - Accent3 4 4 2" xfId="609"/>
    <cellStyle name="20% - Accent3 4 4 2 10" xfId="14288"/>
    <cellStyle name="20% - Accent3 4 4 2 2" xfId="610"/>
    <cellStyle name="20% - Accent3 4 4 2 2 2" xfId="14289"/>
    <cellStyle name="20% - Accent3 4 4 2 2 2 2" xfId="14290"/>
    <cellStyle name="20% - Accent3 4 4 2 2 2 2 2" xfId="14291"/>
    <cellStyle name="20% - Accent3 4 4 2 2 2 2 3" xfId="14292"/>
    <cellStyle name="20% - Accent3 4 4 2 2 2 3" xfId="14293"/>
    <cellStyle name="20% - Accent3 4 4 2 2 2 3 2" xfId="14294"/>
    <cellStyle name="20% - Accent3 4 4 2 2 2 3 3" xfId="14295"/>
    <cellStyle name="20% - Accent3 4 4 2 2 2 4" xfId="14296"/>
    <cellStyle name="20% - Accent3 4 4 2 2 2 4 2" xfId="14297"/>
    <cellStyle name="20% - Accent3 4 4 2 2 2 5" xfId="14298"/>
    <cellStyle name="20% - Accent3 4 4 2 2 2 6" xfId="14299"/>
    <cellStyle name="20% - Accent3 4 4 2 2 3" xfId="14300"/>
    <cellStyle name="20% - Accent3 4 4 2 2 3 2" xfId="14301"/>
    <cellStyle name="20% - Accent3 4 4 2 2 3 2 2" xfId="14302"/>
    <cellStyle name="20% - Accent3 4 4 2 2 3 2 3" xfId="14303"/>
    <cellStyle name="20% - Accent3 4 4 2 2 3 3" xfId="14304"/>
    <cellStyle name="20% - Accent3 4 4 2 2 3 3 2" xfId="14305"/>
    <cellStyle name="20% - Accent3 4 4 2 2 3 3 3" xfId="14306"/>
    <cellStyle name="20% - Accent3 4 4 2 2 3 4" xfId="14307"/>
    <cellStyle name="20% - Accent3 4 4 2 2 3 4 2" xfId="14308"/>
    <cellStyle name="20% - Accent3 4 4 2 2 3 5" xfId="14309"/>
    <cellStyle name="20% - Accent3 4 4 2 2 3 6" xfId="14310"/>
    <cellStyle name="20% - Accent3 4 4 2 2 4" xfId="14311"/>
    <cellStyle name="20% - Accent3 4 4 2 2 4 2" xfId="14312"/>
    <cellStyle name="20% - Accent3 4 4 2 2 4 2 2" xfId="14313"/>
    <cellStyle name="20% - Accent3 4 4 2 2 4 2 3" xfId="14314"/>
    <cellStyle name="20% - Accent3 4 4 2 2 4 3" xfId="14315"/>
    <cellStyle name="20% - Accent3 4 4 2 2 4 3 2" xfId="14316"/>
    <cellStyle name="20% - Accent3 4 4 2 2 4 4" xfId="14317"/>
    <cellStyle name="20% - Accent3 4 4 2 2 4 5" xfId="14318"/>
    <cellStyle name="20% - Accent3 4 4 2 2 5" xfId="14319"/>
    <cellStyle name="20% - Accent3 4 4 2 2 5 2" xfId="14320"/>
    <cellStyle name="20% - Accent3 4 4 2 2 5 3" xfId="14321"/>
    <cellStyle name="20% - Accent3 4 4 2 2 6" xfId="14322"/>
    <cellStyle name="20% - Accent3 4 4 2 2 6 2" xfId="14323"/>
    <cellStyle name="20% - Accent3 4 4 2 2 6 3" xfId="14324"/>
    <cellStyle name="20% - Accent3 4 4 2 2 7" xfId="14325"/>
    <cellStyle name="20% - Accent3 4 4 2 2 7 2" xfId="14326"/>
    <cellStyle name="20% - Accent3 4 4 2 2 8" xfId="14327"/>
    <cellStyle name="20% - Accent3 4 4 2 2 9" xfId="14328"/>
    <cellStyle name="20% - Accent3 4 4 2 3" xfId="14329"/>
    <cellStyle name="20% - Accent3 4 4 2 3 2" xfId="14330"/>
    <cellStyle name="20% - Accent3 4 4 2 3 2 2" xfId="14331"/>
    <cellStyle name="20% - Accent3 4 4 2 3 2 3" xfId="14332"/>
    <cellStyle name="20% - Accent3 4 4 2 3 3" xfId="14333"/>
    <cellStyle name="20% - Accent3 4 4 2 3 3 2" xfId="14334"/>
    <cellStyle name="20% - Accent3 4 4 2 3 3 3" xfId="14335"/>
    <cellStyle name="20% - Accent3 4 4 2 3 4" xfId="14336"/>
    <cellStyle name="20% - Accent3 4 4 2 3 4 2" xfId="14337"/>
    <cellStyle name="20% - Accent3 4 4 2 3 5" xfId="14338"/>
    <cellStyle name="20% - Accent3 4 4 2 3 6" xfId="14339"/>
    <cellStyle name="20% - Accent3 4 4 2 4" xfId="14340"/>
    <cellStyle name="20% - Accent3 4 4 2 4 2" xfId="14341"/>
    <cellStyle name="20% - Accent3 4 4 2 4 2 2" xfId="14342"/>
    <cellStyle name="20% - Accent3 4 4 2 4 2 3" xfId="14343"/>
    <cellStyle name="20% - Accent3 4 4 2 4 3" xfId="14344"/>
    <cellStyle name="20% - Accent3 4 4 2 4 3 2" xfId="14345"/>
    <cellStyle name="20% - Accent3 4 4 2 4 3 3" xfId="14346"/>
    <cellStyle name="20% - Accent3 4 4 2 4 4" xfId="14347"/>
    <cellStyle name="20% - Accent3 4 4 2 4 4 2" xfId="14348"/>
    <cellStyle name="20% - Accent3 4 4 2 4 5" xfId="14349"/>
    <cellStyle name="20% - Accent3 4 4 2 4 6" xfId="14350"/>
    <cellStyle name="20% - Accent3 4 4 2 5" xfId="14351"/>
    <cellStyle name="20% - Accent3 4 4 2 5 2" xfId="14352"/>
    <cellStyle name="20% - Accent3 4 4 2 5 2 2" xfId="14353"/>
    <cellStyle name="20% - Accent3 4 4 2 5 2 3" xfId="14354"/>
    <cellStyle name="20% - Accent3 4 4 2 5 3" xfId="14355"/>
    <cellStyle name="20% - Accent3 4 4 2 5 3 2" xfId="14356"/>
    <cellStyle name="20% - Accent3 4 4 2 5 4" xfId="14357"/>
    <cellStyle name="20% - Accent3 4 4 2 5 5" xfId="14358"/>
    <cellStyle name="20% - Accent3 4 4 2 6" xfId="14359"/>
    <cellStyle name="20% - Accent3 4 4 2 6 2" xfId="14360"/>
    <cellStyle name="20% - Accent3 4 4 2 6 3" xfId="14361"/>
    <cellStyle name="20% - Accent3 4 4 2 7" xfId="14362"/>
    <cellStyle name="20% - Accent3 4 4 2 7 2" xfId="14363"/>
    <cellStyle name="20% - Accent3 4 4 2 7 3" xfId="14364"/>
    <cellStyle name="20% - Accent3 4 4 2 8" xfId="14365"/>
    <cellStyle name="20% - Accent3 4 4 2 8 2" xfId="14366"/>
    <cellStyle name="20% - Accent3 4 4 2 9" xfId="14367"/>
    <cellStyle name="20% - Accent3 4 4 3" xfId="611"/>
    <cellStyle name="20% - Accent3 4 4 3 2" xfId="14368"/>
    <cellStyle name="20% - Accent3 4 4 3 2 2" xfId="14369"/>
    <cellStyle name="20% - Accent3 4 4 3 2 2 2" xfId="14370"/>
    <cellStyle name="20% - Accent3 4 4 3 2 2 3" xfId="14371"/>
    <cellStyle name="20% - Accent3 4 4 3 2 3" xfId="14372"/>
    <cellStyle name="20% - Accent3 4 4 3 2 3 2" xfId="14373"/>
    <cellStyle name="20% - Accent3 4 4 3 2 3 3" xfId="14374"/>
    <cellStyle name="20% - Accent3 4 4 3 2 4" xfId="14375"/>
    <cellStyle name="20% - Accent3 4 4 3 2 4 2" xfId="14376"/>
    <cellStyle name="20% - Accent3 4 4 3 2 5" xfId="14377"/>
    <cellStyle name="20% - Accent3 4 4 3 2 6" xfId="14378"/>
    <cellStyle name="20% - Accent3 4 4 3 3" xfId="14379"/>
    <cellStyle name="20% - Accent3 4 4 3 3 2" xfId="14380"/>
    <cellStyle name="20% - Accent3 4 4 3 3 2 2" xfId="14381"/>
    <cellStyle name="20% - Accent3 4 4 3 3 2 3" xfId="14382"/>
    <cellStyle name="20% - Accent3 4 4 3 3 3" xfId="14383"/>
    <cellStyle name="20% - Accent3 4 4 3 3 3 2" xfId="14384"/>
    <cellStyle name="20% - Accent3 4 4 3 3 3 3" xfId="14385"/>
    <cellStyle name="20% - Accent3 4 4 3 3 4" xfId="14386"/>
    <cellStyle name="20% - Accent3 4 4 3 3 4 2" xfId="14387"/>
    <cellStyle name="20% - Accent3 4 4 3 3 5" xfId="14388"/>
    <cellStyle name="20% - Accent3 4 4 3 3 6" xfId="14389"/>
    <cellStyle name="20% - Accent3 4 4 3 4" xfId="14390"/>
    <cellStyle name="20% - Accent3 4 4 3 4 2" xfId="14391"/>
    <cellStyle name="20% - Accent3 4 4 3 4 2 2" xfId="14392"/>
    <cellStyle name="20% - Accent3 4 4 3 4 2 3" xfId="14393"/>
    <cellStyle name="20% - Accent3 4 4 3 4 3" xfId="14394"/>
    <cellStyle name="20% - Accent3 4 4 3 4 3 2" xfId="14395"/>
    <cellStyle name="20% - Accent3 4 4 3 4 4" xfId="14396"/>
    <cellStyle name="20% - Accent3 4 4 3 4 5" xfId="14397"/>
    <cellStyle name="20% - Accent3 4 4 3 5" xfId="14398"/>
    <cellStyle name="20% - Accent3 4 4 3 5 2" xfId="14399"/>
    <cellStyle name="20% - Accent3 4 4 3 5 3" xfId="14400"/>
    <cellStyle name="20% - Accent3 4 4 3 6" xfId="14401"/>
    <cellStyle name="20% - Accent3 4 4 3 6 2" xfId="14402"/>
    <cellStyle name="20% - Accent3 4 4 3 6 3" xfId="14403"/>
    <cellStyle name="20% - Accent3 4 4 3 7" xfId="14404"/>
    <cellStyle name="20% - Accent3 4 4 3 7 2" xfId="14405"/>
    <cellStyle name="20% - Accent3 4 4 3 8" xfId="14406"/>
    <cellStyle name="20% - Accent3 4 4 3 9" xfId="14407"/>
    <cellStyle name="20% - Accent3 4 4 4" xfId="14408"/>
    <cellStyle name="20% - Accent3 4 4 4 2" xfId="14409"/>
    <cellStyle name="20% - Accent3 4 4 4 2 2" xfId="14410"/>
    <cellStyle name="20% - Accent3 4 4 4 2 2 2" xfId="14411"/>
    <cellStyle name="20% - Accent3 4 4 4 2 2 3" xfId="14412"/>
    <cellStyle name="20% - Accent3 4 4 4 2 3" xfId="14413"/>
    <cellStyle name="20% - Accent3 4 4 4 2 3 2" xfId="14414"/>
    <cellStyle name="20% - Accent3 4 4 4 2 3 3" xfId="14415"/>
    <cellStyle name="20% - Accent3 4 4 4 2 4" xfId="14416"/>
    <cellStyle name="20% - Accent3 4 4 4 2 4 2" xfId="14417"/>
    <cellStyle name="20% - Accent3 4 4 4 2 5" xfId="14418"/>
    <cellStyle name="20% - Accent3 4 4 4 2 6" xfId="14419"/>
    <cellStyle name="20% - Accent3 4 4 4 3" xfId="14420"/>
    <cellStyle name="20% - Accent3 4 4 4 3 2" xfId="14421"/>
    <cellStyle name="20% - Accent3 4 4 4 3 2 2" xfId="14422"/>
    <cellStyle name="20% - Accent3 4 4 4 3 2 3" xfId="14423"/>
    <cellStyle name="20% - Accent3 4 4 4 3 3" xfId="14424"/>
    <cellStyle name="20% - Accent3 4 4 4 3 3 2" xfId="14425"/>
    <cellStyle name="20% - Accent3 4 4 4 3 3 3" xfId="14426"/>
    <cellStyle name="20% - Accent3 4 4 4 3 4" xfId="14427"/>
    <cellStyle name="20% - Accent3 4 4 4 3 4 2" xfId="14428"/>
    <cellStyle name="20% - Accent3 4 4 4 3 5" xfId="14429"/>
    <cellStyle name="20% - Accent3 4 4 4 3 6" xfId="14430"/>
    <cellStyle name="20% - Accent3 4 4 4 4" xfId="14431"/>
    <cellStyle name="20% - Accent3 4 4 4 4 2" xfId="14432"/>
    <cellStyle name="20% - Accent3 4 4 4 4 2 2" xfId="14433"/>
    <cellStyle name="20% - Accent3 4 4 4 4 2 3" xfId="14434"/>
    <cellStyle name="20% - Accent3 4 4 4 4 3" xfId="14435"/>
    <cellStyle name="20% - Accent3 4 4 4 4 3 2" xfId="14436"/>
    <cellStyle name="20% - Accent3 4 4 4 4 4" xfId="14437"/>
    <cellStyle name="20% - Accent3 4 4 4 4 5" xfId="14438"/>
    <cellStyle name="20% - Accent3 4 4 4 5" xfId="14439"/>
    <cellStyle name="20% - Accent3 4 4 4 5 2" xfId="14440"/>
    <cellStyle name="20% - Accent3 4 4 4 5 3" xfId="14441"/>
    <cellStyle name="20% - Accent3 4 4 4 6" xfId="14442"/>
    <cellStyle name="20% - Accent3 4 4 4 6 2" xfId="14443"/>
    <cellStyle name="20% - Accent3 4 4 4 6 3" xfId="14444"/>
    <cellStyle name="20% - Accent3 4 4 4 7" xfId="14445"/>
    <cellStyle name="20% - Accent3 4 4 4 7 2" xfId="14446"/>
    <cellStyle name="20% - Accent3 4 4 4 8" xfId="14447"/>
    <cellStyle name="20% - Accent3 4 4 4 9" xfId="14448"/>
    <cellStyle name="20% - Accent3 4 4 5" xfId="14449"/>
    <cellStyle name="20% - Accent3 4 4 5 2" xfId="14450"/>
    <cellStyle name="20% - Accent3 4 4 5 2 2" xfId="14451"/>
    <cellStyle name="20% - Accent3 4 4 5 2 3" xfId="14452"/>
    <cellStyle name="20% - Accent3 4 4 5 3" xfId="14453"/>
    <cellStyle name="20% - Accent3 4 4 5 3 2" xfId="14454"/>
    <cellStyle name="20% - Accent3 4 4 5 3 3" xfId="14455"/>
    <cellStyle name="20% - Accent3 4 4 5 4" xfId="14456"/>
    <cellStyle name="20% - Accent3 4 4 5 4 2" xfId="14457"/>
    <cellStyle name="20% - Accent3 4 4 5 5" xfId="14458"/>
    <cellStyle name="20% - Accent3 4 4 5 6" xfId="14459"/>
    <cellStyle name="20% - Accent3 4 4 6" xfId="14460"/>
    <cellStyle name="20% - Accent3 4 4 6 2" xfId="14461"/>
    <cellStyle name="20% - Accent3 4 4 6 2 2" xfId="14462"/>
    <cellStyle name="20% - Accent3 4 4 6 2 3" xfId="14463"/>
    <cellStyle name="20% - Accent3 4 4 6 3" xfId="14464"/>
    <cellStyle name="20% - Accent3 4 4 6 3 2" xfId="14465"/>
    <cellStyle name="20% - Accent3 4 4 6 3 3" xfId="14466"/>
    <cellStyle name="20% - Accent3 4 4 6 4" xfId="14467"/>
    <cellStyle name="20% - Accent3 4 4 6 4 2" xfId="14468"/>
    <cellStyle name="20% - Accent3 4 4 6 5" xfId="14469"/>
    <cellStyle name="20% - Accent3 4 4 6 6" xfId="14470"/>
    <cellStyle name="20% - Accent3 4 4 7" xfId="14471"/>
    <cellStyle name="20% - Accent3 4 4 7 2" xfId="14472"/>
    <cellStyle name="20% - Accent3 4 4 7 2 2" xfId="14473"/>
    <cellStyle name="20% - Accent3 4 4 7 2 3" xfId="14474"/>
    <cellStyle name="20% - Accent3 4 4 7 3" xfId="14475"/>
    <cellStyle name="20% - Accent3 4 4 7 3 2" xfId="14476"/>
    <cellStyle name="20% - Accent3 4 4 7 4" xfId="14477"/>
    <cellStyle name="20% - Accent3 4 4 7 5" xfId="14478"/>
    <cellStyle name="20% - Accent3 4 4 8" xfId="14479"/>
    <cellStyle name="20% - Accent3 4 4 8 2" xfId="14480"/>
    <cellStyle name="20% - Accent3 4 4 8 3" xfId="14481"/>
    <cellStyle name="20% - Accent3 4 4 9" xfId="14482"/>
    <cellStyle name="20% - Accent3 4 4 9 2" xfId="14483"/>
    <cellStyle name="20% - Accent3 4 4 9 3" xfId="14484"/>
    <cellStyle name="20% - Accent3 4 5" xfId="612"/>
    <cellStyle name="20% - Accent3 4 5 10" xfId="14485"/>
    <cellStyle name="20% - Accent3 4 5 2" xfId="613"/>
    <cellStyle name="20% - Accent3 4 5 2 2" xfId="14486"/>
    <cellStyle name="20% - Accent3 4 5 2 2 2" xfId="14487"/>
    <cellStyle name="20% - Accent3 4 5 2 2 2 2" xfId="14488"/>
    <cellStyle name="20% - Accent3 4 5 2 2 2 3" xfId="14489"/>
    <cellStyle name="20% - Accent3 4 5 2 2 3" xfId="14490"/>
    <cellStyle name="20% - Accent3 4 5 2 2 3 2" xfId="14491"/>
    <cellStyle name="20% - Accent3 4 5 2 2 3 3" xfId="14492"/>
    <cellStyle name="20% - Accent3 4 5 2 2 4" xfId="14493"/>
    <cellStyle name="20% - Accent3 4 5 2 2 4 2" xfId="14494"/>
    <cellStyle name="20% - Accent3 4 5 2 2 5" xfId="14495"/>
    <cellStyle name="20% - Accent3 4 5 2 2 6" xfId="14496"/>
    <cellStyle name="20% - Accent3 4 5 2 3" xfId="14497"/>
    <cellStyle name="20% - Accent3 4 5 2 3 2" xfId="14498"/>
    <cellStyle name="20% - Accent3 4 5 2 3 2 2" xfId="14499"/>
    <cellStyle name="20% - Accent3 4 5 2 3 2 3" xfId="14500"/>
    <cellStyle name="20% - Accent3 4 5 2 3 3" xfId="14501"/>
    <cellStyle name="20% - Accent3 4 5 2 3 3 2" xfId="14502"/>
    <cellStyle name="20% - Accent3 4 5 2 3 3 3" xfId="14503"/>
    <cellStyle name="20% - Accent3 4 5 2 3 4" xfId="14504"/>
    <cellStyle name="20% - Accent3 4 5 2 3 4 2" xfId="14505"/>
    <cellStyle name="20% - Accent3 4 5 2 3 5" xfId="14506"/>
    <cellStyle name="20% - Accent3 4 5 2 3 6" xfId="14507"/>
    <cellStyle name="20% - Accent3 4 5 2 4" xfId="14508"/>
    <cellStyle name="20% - Accent3 4 5 2 4 2" xfId="14509"/>
    <cellStyle name="20% - Accent3 4 5 2 4 2 2" xfId="14510"/>
    <cellStyle name="20% - Accent3 4 5 2 4 2 3" xfId="14511"/>
    <cellStyle name="20% - Accent3 4 5 2 4 3" xfId="14512"/>
    <cellStyle name="20% - Accent3 4 5 2 4 3 2" xfId="14513"/>
    <cellStyle name="20% - Accent3 4 5 2 4 4" xfId="14514"/>
    <cellStyle name="20% - Accent3 4 5 2 4 5" xfId="14515"/>
    <cellStyle name="20% - Accent3 4 5 2 5" xfId="14516"/>
    <cellStyle name="20% - Accent3 4 5 2 5 2" xfId="14517"/>
    <cellStyle name="20% - Accent3 4 5 2 5 3" xfId="14518"/>
    <cellStyle name="20% - Accent3 4 5 2 6" xfId="14519"/>
    <cellStyle name="20% - Accent3 4 5 2 6 2" xfId="14520"/>
    <cellStyle name="20% - Accent3 4 5 2 6 3" xfId="14521"/>
    <cellStyle name="20% - Accent3 4 5 2 7" xfId="14522"/>
    <cellStyle name="20% - Accent3 4 5 2 7 2" xfId="14523"/>
    <cellStyle name="20% - Accent3 4 5 2 8" xfId="14524"/>
    <cellStyle name="20% - Accent3 4 5 2 9" xfId="14525"/>
    <cellStyle name="20% - Accent3 4 5 3" xfId="14526"/>
    <cellStyle name="20% - Accent3 4 5 3 2" xfId="14527"/>
    <cellStyle name="20% - Accent3 4 5 3 2 2" xfId="14528"/>
    <cellStyle name="20% - Accent3 4 5 3 2 3" xfId="14529"/>
    <cellStyle name="20% - Accent3 4 5 3 3" xfId="14530"/>
    <cellStyle name="20% - Accent3 4 5 3 3 2" xfId="14531"/>
    <cellStyle name="20% - Accent3 4 5 3 3 3" xfId="14532"/>
    <cellStyle name="20% - Accent3 4 5 3 4" xfId="14533"/>
    <cellStyle name="20% - Accent3 4 5 3 4 2" xfId="14534"/>
    <cellStyle name="20% - Accent3 4 5 3 5" xfId="14535"/>
    <cellStyle name="20% - Accent3 4 5 3 6" xfId="14536"/>
    <cellStyle name="20% - Accent3 4 5 4" xfId="14537"/>
    <cellStyle name="20% - Accent3 4 5 4 2" xfId="14538"/>
    <cellStyle name="20% - Accent3 4 5 4 2 2" xfId="14539"/>
    <cellStyle name="20% - Accent3 4 5 4 2 3" xfId="14540"/>
    <cellStyle name="20% - Accent3 4 5 4 3" xfId="14541"/>
    <cellStyle name="20% - Accent3 4 5 4 3 2" xfId="14542"/>
    <cellStyle name="20% - Accent3 4 5 4 3 3" xfId="14543"/>
    <cellStyle name="20% - Accent3 4 5 4 4" xfId="14544"/>
    <cellStyle name="20% - Accent3 4 5 4 4 2" xfId="14545"/>
    <cellStyle name="20% - Accent3 4 5 4 5" xfId="14546"/>
    <cellStyle name="20% - Accent3 4 5 4 6" xfId="14547"/>
    <cellStyle name="20% - Accent3 4 5 5" xfId="14548"/>
    <cellStyle name="20% - Accent3 4 5 5 2" xfId="14549"/>
    <cellStyle name="20% - Accent3 4 5 5 2 2" xfId="14550"/>
    <cellStyle name="20% - Accent3 4 5 5 2 3" xfId="14551"/>
    <cellStyle name="20% - Accent3 4 5 5 3" xfId="14552"/>
    <cellStyle name="20% - Accent3 4 5 5 3 2" xfId="14553"/>
    <cellStyle name="20% - Accent3 4 5 5 4" xfId="14554"/>
    <cellStyle name="20% - Accent3 4 5 5 5" xfId="14555"/>
    <cellStyle name="20% - Accent3 4 5 6" xfId="14556"/>
    <cellStyle name="20% - Accent3 4 5 6 2" xfId="14557"/>
    <cellStyle name="20% - Accent3 4 5 6 3" xfId="14558"/>
    <cellStyle name="20% - Accent3 4 5 7" xfId="14559"/>
    <cellStyle name="20% - Accent3 4 5 7 2" xfId="14560"/>
    <cellStyle name="20% - Accent3 4 5 7 3" xfId="14561"/>
    <cellStyle name="20% - Accent3 4 5 8" xfId="14562"/>
    <cellStyle name="20% - Accent3 4 5 8 2" xfId="14563"/>
    <cellStyle name="20% - Accent3 4 5 9" xfId="14564"/>
    <cellStyle name="20% - Accent3 4 6" xfId="614"/>
    <cellStyle name="20% - Accent3 4 6 2" xfId="14565"/>
    <cellStyle name="20% - Accent3 4 6 2 2" xfId="14566"/>
    <cellStyle name="20% - Accent3 4 6 2 2 2" xfId="14567"/>
    <cellStyle name="20% - Accent3 4 6 2 2 3" xfId="14568"/>
    <cellStyle name="20% - Accent3 4 6 2 3" xfId="14569"/>
    <cellStyle name="20% - Accent3 4 6 2 3 2" xfId="14570"/>
    <cellStyle name="20% - Accent3 4 6 2 3 3" xfId="14571"/>
    <cellStyle name="20% - Accent3 4 6 2 4" xfId="14572"/>
    <cellStyle name="20% - Accent3 4 6 2 4 2" xfId="14573"/>
    <cellStyle name="20% - Accent3 4 6 2 5" xfId="14574"/>
    <cellStyle name="20% - Accent3 4 6 2 6" xfId="14575"/>
    <cellStyle name="20% - Accent3 4 6 3" xfId="14576"/>
    <cellStyle name="20% - Accent3 4 6 3 2" xfId="14577"/>
    <cellStyle name="20% - Accent3 4 6 3 2 2" xfId="14578"/>
    <cellStyle name="20% - Accent3 4 6 3 2 3" xfId="14579"/>
    <cellStyle name="20% - Accent3 4 6 3 3" xfId="14580"/>
    <cellStyle name="20% - Accent3 4 6 3 3 2" xfId="14581"/>
    <cellStyle name="20% - Accent3 4 6 3 3 3" xfId="14582"/>
    <cellStyle name="20% - Accent3 4 6 3 4" xfId="14583"/>
    <cellStyle name="20% - Accent3 4 6 3 4 2" xfId="14584"/>
    <cellStyle name="20% - Accent3 4 6 3 5" xfId="14585"/>
    <cellStyle name="20% - Accent3 4 6 3 6" xfId="14586"/>
    <cellStyle name="20% - Accent3 4 6 4" xfId="14587"/>
    <cellStyle name="20% - Accent3 4 6 4 2" xfId="14588"/>
    <cellStyle name="20% - Accent3 4 6 4 2 2" xfId="14589"/>
    <cellStyle name="20% - Accent3 4 6 4 2 3" xfId="14590"/>
    <cellStyle name="20% - Accent3 4 6 4 3" xfId="14591"/>
    <cellStyle name="20% - Accent3 4 6 4 3 2" xfId="14592"/>
    <cellStyle name="20% - Accent3 4 6 4 4" xfId="14593"/>
    <cellStyle name="20% - Accent3 4 6 4 5" xfId="14594"/>
    <cellStyle name="20% - Accent3 4 6 5" xfId="14595"/>
    <cellStyle name="20% - Accent3 4 6 5 2" xfId="14596"/>
    <cellStyle name="20% - Accent3 4 6 5 3" xfId="14597"/>
    <cellStyle name="20% - Accent3 4 6 6" xfId="14598"/>
    <cellStyle name="20% - Accent3 4 6 6 2" xfId="14599"/>
    <cellStyle name="20% - Accent3 4 6 6 3" xfId="14600"/>
    <cellStyle name="20% - Accent3 4 6 7" xfId="14601"/>
    <cellStyle name="20% - Accent3 4 6 7 2" xfId="14602"/>
    <cellStyle name="20% - Accent3 4 6 8" xfId="14603"/>
    <cellStyle name="20% - Accent3 4 6 9" xfId="14604"/>
    <cellStyle name="20% - Accent3 4 7" xfId="8864"/>
    <cellStyle name="20% - Accent3 4 7 2" xfId="14605"/>
    <cellStyle name="20% - Accent3 4 7 2 2" xfId="14606"/>
    <cellStyle name="20% - Accent3 4 7 2 2 2" xfId="14607"/>
    <cellStyle name="20% - Accent3 4 7 2 2 3" xfId="14608"/>
    <cellStyle name="20% - Accent3 4 7 2 3" xfId="14609"/>
    <cellStyle name="20% - Accent3 4 7 2 3 2" xfId="14610"/>
    <cellStyle name="20% - Accent3 4 7 2 3 3" xfId="14611"/>
    <cellStyle name="20% - Accent3 4 7 2 4" xfId="14612"/>
    <cellStyle name="20% - Accent3 4 7 2 4 2" xfId="14613"/>
    <cellStyle name="20% - Accent3 4 7 2 5" xfId="14614"/>
    <cellStyle name="20% - Accent3 4 7 2 6" xfId="14615"/>
    <cellStyle name="20% - Accent3 4 7 3" xfId="14616"/>
    <cellStyle name="20% - Accent3 4 7 3 2" xfId="14617"/>
    <cellStyle name="20% - Accent3 4 7 3 2 2" xfId="14618"/>
    <cellStyle name="20% - Accent3 4 7 3 2 3" xfId="14619"/>
    <cellStyle name="20% - Accent3 4 7 3 3" xfId="14620"/>
    <cellStyle name="20% - Accent3 4 7 3 3 2" xfId="14621"/>
    <cellStyle name="20% - Accent3 4 7 3 3 3" xfId="14622"/>
    <cellStyle name="20% - Accent3 4 7 3 4" xfId="14623"/>
    <cellStyle name="20% - Accent3 4 7 3 4 2" xfId="14624"/>
    <cellStyle name="20% - Accent3 4 7 3 5" xfId="14625"/>
    <cellStyle name="20% - Accent3 4 7 3 6" xfId="14626"/>
    <cellStyle name="20% - Accent3 4 7 4" xfId="14627"/>
    <cellStyle name="20% - Accent3 4 7 4 2" xfId="14628"/>
    <cellStyle name="20% - Accent3 4 7 4 2 2" xfId="14629"/>
    <cellStyle name="20% - Accent3 4 7 4 2 3" xfId="14630"/>
    <cellStyle name="20% - Accent3 4 7 4 3" xfId="14631"/>
    <cellStyle name="20% - Accent3 4 7 4 3 2" xfId="14632"/>
    <cellStyle name="20% - Accent3 4 7 4 4" xfId="14633"/>
    <cellStyle name="20% - Accent3 4 7 4 5" xfId="14634"/>
    <cellStyle name="20% - Accent3 4 7 5" xfId="14635"/>
    <cellStyle name="20% - Accent3 4 7 5 2" xfId="14636"/>
    <cellStyle name="20% - Accent3 4 7 5 3" xfId="14637"/>
    <cellStyle name="20% - Accent3 4 7 6" xfId="14638"/>
    <cellStyle name="20% - Accent3 4 7 6 2" xfId="14639"/>
    <cellStyle name="20% - Accent3 4 7 6 3" xfId="14640"/>
    <cellStyle name="20% - Accent3 4 7 7" xfId="14641"/>
    <cellStyle name="20% - Accent3 4 7 7 2" xfId="14642"/>
    <cellStyle name="20% - Accent3 4 7 8" xfId="14643"/>
    <cellStyle name="20% - Accent3 4 7 9" xfId="14644"/>
    <cellStyle name="20% - Accent3 4 8" xfId="14645"/>
    <cellStyle name="20% - Accent3 4 8 2" xfId="14646"/>
    <cellStyle name="20% - Accent3 4 8 2 2" xfId="14647"/>
    <cellStyle name="20% - Accent3 4 8 2 3" xfId="14648"/>
    <cellStyle name="20% - Accent3 4 8 3" xfId="14649"/>
    <cellStyle name="20% - Accent3 4 8 3 2" xfId="14650"/>
    <cellStyle name="20% - Accent3 4 8 3 3" xfId="14651"/>
    <cellStyle name="20% - Accent3 4 8 4" xfId="14652"/>
    <cellStyle name="20% - Accent3 4 8 4 2" xfId="14653"/>
    <cellStyle name="20% - Accent3 4 8 5" xfId="14654"/>
    <cellStyle name="20% - Accent3 4 8 6" xfId="14655"/>
    <cellStyle name="20% - Accent3 4 9" xfId="14656"/>
    <cellStyle name="20% - Accent3 4 9 2" xfId="14657"/>
    <cellStyle name="20% - Accent3 4 9 2 2" xfId="14658"/>
    <cellStyle name="20% - Accent3 4 9 2 3" xfId="14659"/>
    <cellStyle name="20% - Accent3 4 9 3" xfId="14660"/>
    <cellStyle name="20% - Accent3 4 9 3 2" xfId="14661"/>
    <cellStyle name="20% - Accent3 4 9 3 3" xfId="14662"/>
    <cellStyle name="20% - Accent3 4 9 4" xfId="14663"/>
    <cellStyle name="20% - Accent3 4 9 4 2" xfId="14664"/>
    <cellStyle name="20% - Accent3 4 9 5" xfId="14665"/>
    <cellStyle name="20% - Accent3 4 9 6" xfId="14666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66"/>
    <cellStyle name="20% - Accent4 16" xfId="14667"/>
    <cellStyle name="20% - Accent4 17" xfId="14668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74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7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8"/>
    <cellStyle name="20% - Accent4 2 7" xfId="752"/>
    <cellStyle name="20% - Accent4 2 7 2" xfId="8897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98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914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22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7"/>
    <cellStyle name="20% - Accent4 3 7 4" xfId="58108"/>
    <cellStyle name="20% - Accent4 3 8" xfId="833"/>
    <cellStyle name="20% - Accent4 3 9" xfId="8930"/>
    <cellStyle name="20% - Accent4 4" xfId="834"/>
    <cellStyle name="20% - Accent4 4 10" xfId="14669"/>
    <cellStyle name="20% - Accent4 4 10 2" xfId="14670"/>
    <cellStyle name="20% - Accent4 4 10 2 2" xfId="14671"/>
    <cellStyle name="20% - Accent4 4 10 2 3" xfId="14672"/>
    <cellStyle name="20% - Accent4 4 10 3" xfId="14673"/>
    <cellStyle name="20% - Accent4 4 10 3 2" xfId="14674"/>
    <cellStyle name="20% - Accent4 4 10 4" xfId="14675"/>
    <cellStyle name="20% - Accent4 4 10 5" xfId="14676"/>
    <cellStyle name="20% - Accent4 4 11" xfId="14677"/>
    <cellStyle name="20% - Accent4 4 11 2" xfId="14678"/>
    <cellStyle name="20% - Accent4 4 11 3" xfId="14679"/>
    <cellStyle name="20% - Accent4 4 12" xfId="14680"/>
    <cellStyle name="20% - Accent4 4 12 2" xfId="14681"/>
    <cellStyle name="20% - Accent4 4 12 3" xfId="14682"/>
    <cellStyle name="20% - Accent4 4 13" xfId="14683"/>
    <cellStyle name="20% - Accent4 4 13 2" xfId="14684"/>
    <cellStyle name="20% - Accent4 4 14" xfId="14685"/>
    <cellStyle name="20% - Accent4 4 15" xfId="14686"/>
    <cellStyle name="20% - Accent4 4 16" xfId="14687"/>
    <cellStyle name="20% - Accent4 4 2" xfId="835"/>
    <cellStyle name="20% - Accent4 4 2 10" xfId="14688"/>
    <cellStyle name="20% - Accent4 4 2 10 2" xfId="14689"/>
    <cellStyle name="20% - Accent4 4 2 10 3" xfId="14690"/>
    <cellStyle name="20% - Accent4 4 2 11" xfId="14691"/>
    <cellStyle name="20% - Accent4 4 2 11 2" xfId="14692"/>
    <cellStyle name="20% - Accent4 4 2 11 3" xfId="14693"/>
    <cellStyle name="20% - Accent4 4 2 12" xfId="14694"/>
    <cellStyle name="20% - Accent4 4 2 12 2" xfId="14695"/>
    <cellStyle name="20% - Accent4 4 2 13" xfId="14696"/>
    <cellStyle name="20% - Accent4 4 2 14" xfId="14697"/>
    <cellStyle name="20% - Accent4 4 2 15" xfId="14698"/>
    <cellStyle name="20% - Accent4 4 2 2" xfId="836"/>
    <cellStyle name="20% - Accent4 4 2 2 10" xfId="14699"/>
    <cellStyle name="20% - Accent4 4 2 2 10 2" xfId="14700"/>
    <cellStyle name="20% - Accent4 4 2 2 10 3" xfId="14701"/>
    <cellStyle name="20% - Accent4 4 2 2 11" xfId="14702"/>
    <cellStyle name="20% - Accent4 4 2 2 11 2" xfId="14703"/>
    <cellStyle name="20% - Accent4 4 2 2 12" xfId="14704"/>
    <cellStyle name="20% - Accent4 4 2 2 13" xfId="14705"/>
    <cellStyle name="20% - Accent4 4 2 2 2" xfId="837"/>
    <cellStyle name="20% - Accent4 4 2 2 2 10" xfId="14706"/>
    <cellStyle name="20% - Accent4 4 2 2 2 10 2" xfId="14707"/>
    <cellStyle name="20% - Accent4 4 2 2 2 11" xfId="14708"/>
    <cellStyle name="20% - Accent4 4 2 2 2 12" xfId="14709"/>
    <cellStyle name="20% - Accent4 4 2 2 2 2" xfId="838"/>
    <cellStyle name="20% - Accent4 4 2 2 2 2 10" xfId="14710"/>
    <cellStyle name="20% - Accent4 4 2 2 2 2 2" xfId="839"/>
    <cellStyle name="20% - Accent4 4 2 2 2 2 2 2" xfId="840"/>
    <cellStyle name="20% - Accent4 4 2 2 2 2 2 2 2" xfId="14711"/>
    <cellStyle name="20% - Accent4 4 2 2 2 2 2 2 2 2" xfId="14712"/>
    <cellStyle name="20% - Accent4 4 2 2 2 2 2 2 2 3" xfId="14713"/>
    <cellStyle name="20% - Accent4 4 2 2 2 2 2 2 3" xfId="14714"/>
    <cellStyle name="20% - Accent4 4 2 2 2 2 2 2 3 2" xfId="14715"/>
    <cellStyle name="20% - Accent4 4 2 2 2 2 2 2 3 3" xfId="14716"/>
    <cellStyle name="20% - Accent4 4 2 2 2 2 2 2 4" xfId="14717"/>
    <cellStyle name="20% - Accent4 4 2 2 2 2 2 2 4 2" xfId="14718"/>
    <cellStyle name="20% - Accent4 4 2 2 2 2 2 2 5" xfId="14719"/>
    <cellStyle name="20% - Accent4 4 2 2 2 2 2 2 6" xfId="14720"/>
    <cellStyle name="20% - Accent4 4 2 2 2 2 2 3" xfId="14721"/>
    <cellStyle name="20% - Accent4 4 2 2 2 2 2 3 2" xfId="14722"/>
    <cellStyle name="20% - Accent4 4 2 2 2 2 2 3 2 2" xfId="14723"/>
    <cellStyle name="20% - Accent4 4 2 2 2 2 2 3 2 3" xfId="14724"/>
    <cellStyle name="20% - Accent4 4 2 2 2 2 2 3 3" xfId="14725"/>
    <cellStyle name="20% - Accent4 4 2 2 2 2 2 3 3 2" xfId="14726"/>
    <cellStyle name="20% - Accent4 4 2 2 2 2 2 3 3 3" xfId="14727"/>
    <cellStyle name="20% - Accent4 4 2 2 2 2 2 3 4" xfId="14728"/>
    <cellStyle name="20% - Accent4 4 2 2 2 2 2 3 4 2" xfId="14729"/>
    <cellStyle name="20% - Accent4 4 2 2 2 2 2 3 5" xfId="14730"/>
    <cellStyle name="20% - Accent4 4 2 2 2 2 2 3 6" xfId="14731"/>
    <cellStyle name="20% - Accent4 4 2 2 2 2 2 4" xfId="14732"/>
    <cellStyle name="20% - Accent4 4 2 2 2 2 2 4 2" xfId="14733"/>
    <cellStyle name="20% - Accent4 4 2 2 2 2 2 4 2 2" xfId="14734"/>
    <cellStyle name="20% - Accent4 4 2 2 2 2 2 4 2 3" xfId="14735"/>
    <cellStyle name="20% - Accent4 4 2 2 2 2 2 4 3" xfId="14736"/>
    <cellStyle name="20% - Accent4 4 2 2 2 2 2 4 3 2" xfId="14737"/>
    <cellStyle name="20% - Accent4 4 2 2 2 2 2 4 4" xfId="14738"/>
    <cellStyle name="20% - Accent4 4 2 2 2 2 2 4 5" xfId="14739"/>
    <cellStyle name="20% - Accent4 4 2 2 2 2 2 5" xfId="14740"/>
    <cellStyle name="20% - Accent4 4 2 2 2 2 2 5 2" xfId="14741"/>
    <cellStyle name="20% - Accent4 4 2 2 2 2 2 5 3" xfId="14742"/>
    <cellStyle name="20% - Accent4 4 2 2 2 2 2 6" xfId="14743"/>
    <cellStyle name="20% - Accent4 4 2 2 2 2 2 6 2" xfId="14744"/>
    <cellStyle name="20% - Accent4 4 2 2 2 2 2 6 3" xfId="14745"/>
    <cellStyle name="20% - Accent4 4 2 2 2 2 2 7" xfId="14746"/>
    <cellStyle name="20% - Accent4 4 2 2 2 2 2 7 2" xfId="14747"/>
    <cellStyle name="20% - Accent4 4 2 2 2 2 2 8" xfId="14748"/>
    <cellStyle name="20% - Accent4 4 2 2 2 2 2 9" xfId="14749"/>
    <cellStyle name="20% - Accent4 4 2 2 2 2 3" xfId="841"/>
    <cellStyle name="20% - Accent4 4 2 2 2 2 3 2" xfId="14750"/>
    <cellStyle name="20% - Accent4 4 2 2 2 2 3 2 2" xfId="14751"/>
    <cellStyle name="20% - Accent4 4 2 2 2 2 3 2 3" xfId="14752"/>
    <cellStyle name="20% - Accent4 4 2 2 2 2 3 3" xfId="14753"/>
    <cellStyle name="20% - Accent4 4 2 2 2 2 3 3 2" xfId="14754"/>
    <cellStyle name="20% - Accent4 4 2 2 2 2 3 3 3" xfId="14755"/>
    <cellStyle name="20% - Accent4 4 2 2 2 2 3 4" xfId="14756"/>
    <cellStyle name="20% - Accent4 4 2 2 2 2 3 4 2" xfId="14757"/>
    <cellStyle name="20% - Accent4 4 2 2 2 2 3 5" xfId="14758"/>
    <cellStyle name="20% - Accent4 4 2 2 2 2 3 6" xfId="14759"/>
    <cellStyle name="20% - Accent4 4 2 2 2 2 4" xfId="8931"/>
    <cellStyle name="20% - Accent4 4 2 2 2 2 4 2" xfId="14760"/>
    <cellStyle name="20% - Accent4 4 2 2 2 2 4 2 2" xfId="14761"/>
    <cellStyle name="20% - Accent4 4 2 2 2 2 4 2 3" xfId="14762"/>
    <cellStyle name="20% - Accent4 4 2 2 2 2 4 3" xfId="14763"/>
    <cellStyle name="20% - Accent4 4 2 2 2 2 4 3 2" xfId="14764"/>
    <cellStyle name="20% - Accent4 4 2 2 2 2 4 3 3" xfId="14765"/>
    <cellStyle name="20% - Accent4 4 2 2 2 2 4 4" xfId="14766"/>
    <cellStyle name="20% - Accent4 4 2 2 2 2 4 4 2" xfId="14767"/>
    <cellStyle name="20% - Accent4 4 2 2 2 2 4 5" xfId="14768"/>
    <cellStyle name="20% - Accent4 4 2 2 2 2 4 6" xfId="14769"/>
    <cellStyle name="20% - Accent4 4 2 2 2 2 5" xfId="14770"/>
    <cellStyle name="20% - Accent4 4 2 2 2 2 5 2" xfId="14771"/>
    <cellStyle name="20% - Accent4 4 2 2 2 2 5 2 2" xfId="14772"/>
    <cellStyle name="20% - Accent4 4 2 2 2 2 5 2 3" xfId="14773"/>
    <cellStyle name="20% - Accent4 4 2 2 2 2 5 3" xfId="14774"/>
    <cellStyle name="20% - Accent4 4 2 2 2 2 5 3 2" xfId="14775"/>
    <cellStyle name="20% - Accent4 4 2 2 2 2 5 4" xfId="14776"/>
    <cellStyle name="20% - Accent4 4 2 2 2 2 5 5" xfId="14777"/>
    <cellStyle name="20% - Accent4 4 2 2 2 2 6" xfId="14778"/>
    <cellStyle name="20% - Accent4 4 2 2 2 2 6 2" xfId="14779"/>
    <cellStyle name="20% - Accent4 4 2 2 2 2 6 3" xfId="14780"/>
    <cellStyle name="20% - Accent4 4 2 2 2 2 7" xfId="14781"/>
    <cellStyle name="20% - Accent4 4 2 2 2 2 7 2" xfId="14782"/>
    <cellStyle name="20% - Accent4 4 2 2 2 2 7 3" xfId="14783"/>
    <cellStyle name="20% - Accent4 4 2 2 2 2 8" xfId="14784"/>
    <cellStyle name="20% - Accent4 4 2 2 2 2 8 2" xfId="14785"/>
    <cellStyle name="20% - Accent4 4 2 2 2 2 9" xfId="14786"/>
    <cellStyle name="20% - Accent4 4 2 2 2 3" xfId="842"/>
    <cellStyle name="20% - Accent4 4 2 2 2 3 2" xfId="843"/>
    <cellStyle name="20% - Accent4 4 2 2 2 3 2 2" xfId="14787"/>
    <cellStyle name="20% - Accent4 4 2 2 2 3 2 2 2" xfId="14788"/>
    <cellStyle name="20% - Accent4 4 2 2 2 3 2 2 3" xfId="14789"/>
    <cellStyle name="20% - Accent4 4 2 2 2 3 2 3" xfId="14790"/>
    <cellStyle name="20% - Accent4 4 2 2 2 3 2 3 2" xfId="14791"/>
    <cellStyle name="20% - Accent4 4 2 2 2 3 2 3 3" xfId="14792"/>
    <cellStyle name="20% - Accent4 4 2 2 2 3 2 4" xfId="14793"/>
    <cellStyle name="20% - Accent4 4 2 2 2 3 2 4 2" xfId="14794"/>
    <cellStyle name="20% - Accent4 4 2 2 2 3 2 5" xfId="14795"/>
    <cellStyle name="20% - Accent4 4 2 2 2 3 2 6" xfId="14796"/>
    <cellStyle name="20% - Accent4 4 2 2 2 3 3" xfId="14797"/>
    <cellStyle name="20% - Accent4 4 2 2 2 3 3 2" xfId="14798"/>
    <cellStyle name="20% - Accent4 4 2 2 2 3 3 2 2" xfId="14799"/>
    <cellStyle name="20% - Accent4 4 2 2 2 3 3 2 3" xfId="14800"/>
    <cellStyle name="20% - Accent4 4 2 2 2 3 3 3" xfId="14801"/>
    <cellStyle name="20% - Accent4 4 2 2 2 3 3 3 2" xfId="14802"/>
    <cellStyle name="20% - Accent4 4 2 2 2 3 3 3 3" xfId="14803"/>
    <cellStyle name="20% - Accent4 4 2 2 2 3 3 4" xfId="14804"/>
    <cellStyle name="20% - Accent4 4 2 2 2 3 3 4 2" xfId="14805"/>
    <cellStyle name="20% - Accent4 4 2 2 2 3 3 5" xfId="14806"/>
    <cellStyle name="20% - Accent4 4 2 2 2 3 3 6" xfId="14807"/>
    <cellStyle name="20% - Accent4 4 2 2 2 3 4" xfId="14808"/>
    <cellStyle name="20% - Accent4 4 2 2 2 3 4 2" xfId="14809"/>
    <cellStyle name="20% - Accent4 4 2 2 2 3 4 2 2" xfId="14810"/>
    <cellStyle name="20% - Accent4 4 2 2 2 3 4 2 3" xfId="14811"/>
    <cellStyle name="20% - Accent4 4 2 2 2 3 4 3" xfId="14812"/>
    <cellStyle name="20% - Accent4 4 2 2 2 3 4 3 2" xfId="14813"/>
    <cellStyle name="20% - Accent4 4 2 2 2 3 4 4" xfId="14814"/>
    <cellStyle name="20% - Accent4 4 2 2 2 3 4 5" xfId="14815"/>
    <cellStyle name="20% - Accent4 4 2 2 2 3 5" xfId="14816"/>
    <cellStyle name="20% - Accent4 4 2 2 2 3 5 2" xfId="14817"/>
    <cellStyle name="20% - Accent4 4 2 2 2 3 5 3" xfId="14818"/>
    <cellStyle name="20% - Accent4 4 2 2 2 3 6" xfId="14819"/>
    <cellStyle name="20% - Accent4 4 2 2 2 3 6 2" xfId="14820"/>
    <cellStyle name="20% - Accent4 4 2 2 2 3 6 3" xfId="14821"/>
    <cellStyle name="20% - Accent4 4 2 2 2 3 7" xfId="14822"/>
    <cellStyle name="20% - Accent4 4 2 2 2 3 7 2" xfId="14823"/>
    <cellStyle name="20% - Accent4 4 2 2 2 3 8" xfId="14824"/>
    <cellStyle name="20% - Accent4 4 2 2 2 3 9" xfId="14825"/>
    <cellStyle name="20% - Accent4 4 2 2 2 4" xfId="844"/>
    <cellStyle name="20% - Accent4 4 2 2 2 4 2" xfId="14826"/>
    <cellStyle name="20% - Accent4 4 2 2 2 4 2 2" xfId="14827"/>
    <cellStyle name="20% - Accent4 4 2 2 2 4 2 2 2" xfId="14828"/>
    <cellStyle name="20% - Accent4 4 2 2 2 4 2 2 3" xfId="14829"/>
    <cellStyle name="20% - Accent4 4 2 2 2 4 2 3" xfId="14830"/>
    <cellStyle name="20% - Accent4 4 2 2 2 4 2 3 2" xfId="14831"/>
    <cellStyle name="20% - Accent4 4 2 2 2 4 2 3 3" xfId="14832"/>
    <cellStyle name="20% - Accent4 4 2 2 2 4 2 4" xfId="14833"/>
    <cellStyle name="20% - Accent4 4 2 2 2 4 2 4 2" xfId="14834"/>
    <cellStyle name="20% - Accent4 4 2 2 2 4 2 5" xfId="14835"/>
    <cellStyle name="20% - Accent4 4 2 2 2 4 2 6" xfId="14836"/>
    <cellStyle name="20% - Accent4 4 2 2 2 4 3" xfId="14837"/>
    <cellStyle name="20% - Accent4 4 2 2 2 4 3 2" xfId="14838"/>
    <cellStyle name="20% - Accent4 4 2 2 2 4 3 2 2" xfId="14839"/>
    <cellStyle name="20% - Accent4 4 2 2 2 4 3 2 3" xfId="14840"/>
    <cellStyle name="20% - Accent4 4 2 2 2 4 3 3" xfId="14841"/>
    <cellStyle name="20% - Accent4 4 2 2 2 4 3 3 2" xfId="14842"/>
    <cellStyle name="20% - Accent4 4 2 2 2 4 3 3 3" xfId="14843"/>
    <cellStyle name="20% - Accent4 4 2 2 2 4 3 4" xfId="14844"/>
    <cellStyle name="20% - Accent4 4 2 2 2 4 3 4 2" xfId="14845"/>
    <cellStyle name="20% - Accent4 4 2 2 2 4 3 5" xfId="14846"/>
    <cellStyle name="20% - Accent4 4 2 2 2 4 3 6" xfId="14847"/>
    <cellStyle name="20% - Accent4 4 2 2 2 4 4" xfId="14848"/>
    <cellStyle name="20% - Accent4 4 2 2 2 4 4 2" xfId="14849"/>
    <cellStyle name="20% - Accent4 4 2 2 2 4 4 2 2" xfId="14850"/>
    <cellStyle name="20% - Accent4 4 2 2 2 4 4 2 3" xfId="14851"/>
    <cellStyle name="20% - Accent4 4 2 2 2 4 4 3" xfId="14852"/>
    <cellStyle name="20% - Accent4 4 2 2 2 4 4 3 2" xfId="14853"/>
    <cellStyle name="20% - Accent4 4 2 2 2 4 4 4" xfId="14854"/>
    <cellStyle name="20% - Accent4 4 2 2 2 4 4 5" xfId="14855"/>
    <cellStyle name="20% - Accent4 4 2 2 2 4 5" xfId="14856"/>
    <cellStyle name="20% - Accent4 4 2 2 2 4 5 2" xfId="14857"/>
    <cellStyle name="20% - Accent4 4 2 2 2 4 5 3" xfId="14858"/>
    <cellStyle name="20% - Accent4 4 2 2 2 4 6" xfId="14859"/>
    <cellStyle name="20% - Accent4 4 2 2 2 4 6 2" xfId="14860"/>
    <cellStyle name="20% - Accent4 4 2 2 2 4 6 3" xfId="14861"/>
    <cellStyle name="20% - Accent4 4 2 2 2 4 7" xfId="14862"/>
    <cellStyle name="20% - Accent4 4 2 2 2 4 7 2" xfId="14863"/>
    <cellStyle name="20% - Accent4 4 2 2 2 4 8" xfId="14864"/>
    <cellStyle name="20% - Accent4 4 2 2 2 4 9" xfId="14865"/>
    <cellStyle name="20% - Accent4 4 2 2 2 5" xfId="845"/>
    <cellStyle name="20% - Accent4 4 2 2 2 5 2" xfId="14866"/>
    <cellStyle name="20% - Accent4 4 2 2 2 5 2 2" xfId="14867"/>
    <cellStyle name="20% - Accent4 4 2 2 2 5 2 3" xfId="14868"/>
    <cellStyle name="20% - Accent4 4 2 2 2 5 3" xfId="14869"/>
    <cellStyle name="20% - Accent4 4 2 2 2 5 3 2" xfId="14870"/>
    <cellStyle name="20% - Accent4 4 2 2 2 5 3 3" xfId="14871"/>
    <cellStyle name="20% - Accent4 4 2 2 2 5 4" xfId="14872"/>
    <cellStyle name="20% - Accent4 4 2 2 2 5 4 2" xfId="14873"/>
    <cellStyle name="20% - Accent4 4 2 2 2 5 5" xfId="14874"/>
    <cellStyle name="20% - Accent4 4 2 2 2 5 6" xfId="14875"/>
    <cellStyle name="20% - Accent4 4 2 2 2 6" xfId="8932"/>
    <cellStyle name="20% - Accent4 4 2 2 2 6 2" xfId="14876"/>
    <cellStyle name="20% - Accent4 4 2 2 2 6 2 2" xfId="14877"/>
    <cellStyle name="20% - Accent4 4 2 2 2 6 2 3" xfId="14878"/>
    <cellStyle name="20% - Accent4 4 2 2 2 6 3" xfId="14879"/>
    <cellStyle name="20% - Accent4 4 2 2 2 6 3 2" xfId="14880"/>
    <cellStyle name="20% - Accent4 4 2 2 2 6 3 3" xfId="14881"/>
    <cellStyle name="20% - Accent4 4 2 2 2 6 4" xfId="14882"/>
    <cellStyle name="20% - Accent4 4 2 2 2 6 4 2" xfId="14883"/>
    <cellStyle name="20% - Accent4 4 2 2 2 6 5" xfId="14884"/>
    <cellStyle name="20% - Accent4 4 2 2 2 6 6" xfId="14885"/>
    <cellStyle name="20% - Accent4 4 2 2 2 7" xfId="14886"/>
    <cellStyle name="20% - Accent4 4 2 2 2 7 2" xfId="14887"/>
    <cellStyle name="20% - Accent4 4 2 2 2 7 2 2" xfId="14888"/>
    <cellStyle name="20% - Accent4 4 2 2 2 7 2 3" xfId="14889"/>
    <cellStyle name="20% - Accent4 4 2 2 2 7 3" xfId="14890"/>
    <cellStyle name="20% - Accent4 4 2 2 2 7 3 2" xfId="14891"/>
    <cellStyle name="20% - Accent4 4 2 2 2 7 4" xfId="14892"/>
    <cellStyle name="20% - Accent4 4 2 2 2 7 5" xfId="14893"/>
    <cellStyle name="20% - Accent4 4 2 2 2 8" xfId="14894"/>
    <cellStyle name="20% - Accent4 4 2 2 2 8 2" xfId="14895"/>
    <cellStyle name="20% - Accent4 4 2 2 2 8 3" xfId="14896"/>
    <cellStyle name="20% - Accent4 4 2 2 2 9" xfId="14897"/>
    <cellStyle name="20% - Accent4 4 2 2 2 9 2" xfId="14898"/>
    <cellStyle name="20% - Accent4 4 2 2 2 9 3" xfId="14899"/>
    <cellStyle name="20% - Accent4 4 2 2 3" xfId="846"/>
    <cellStyle name="20% - Accent4 4 2 2 3 10" xfId="14900"/>
    <cellStyle name="20% - Accent4 4 2 2 3 2" xfId="847"/>
    <cellStyle name="20% - Accent4 4 2 2 3 2 2" xfId="848"/>
    <cellStyle name="20% - Accent4 4 2 2 3 2 2 2" xfId="14901"/>
    <cellStyle name="20% - Accent4 4 2 2 3 2 2 2 2" xfId="14902"/>
    <cellStyle name="20% - Accent4 4 2 2 3 2 2 2 3" xfId="14903"/>
    <cellStyle name="20% - Accent4 4 2 2 3 2 2 3" xfId="14904"/>
    <cellStyle name="20% - Accent4 4 2 2 3 2 2 3 2" xfId="14905"/>
    <cellStyle name="20% - Accent4 4 2 2 3 2 2 3 3" xfId="14906"/>
    <cellStyle name="20% - Accent4 4 2 2 3 2 2 4" xfId="14907"/>
    <cellStyle name="20% - Accent4 4 2 2 3 2 2 4 2" xfId="14908"/>
    <cellStyle name="20% - Accent4 4 2 2 3 2 2 5" xfId="14909"/>
    <cellStyle name="20% - Accent4 4 2 2 3 2 2 6" xfId="14910"/>
    <cellStyle name="20% - Accent4 4 2 2 3 2 3" xfId="14911"/>
    <cellStyle name="20% - Accent4 4 2 2 3 2 3 2" xfId="14912"/>
    <cellStyle name="20% - Accent4 4 2 2 3 2 3 2 2" xfId="14913"/>
    <cellStyle name="20% - Accent4 4 2 2 3 2 3 2 3" xfId="14914"/>
    <cellStyle name="20% - Accent4 4 2 2 3 2 3 3" xfId="14915"/>
    <cellStyle name="20% - Accent4 4 2 2 3 2 3 3 2" xfId="14916"/>
    <cellStyle name="20% - Accent4 4 2 2 3 2 3 3 3" xfId="14917"/>
    <cellStyle name="20% - Accent4 4 2 2 3 2 3 4" xfId="14918"/>
    <cellStyle name="20% - Accent4 4 2 2 3 2 3 4 2" xfId="14919"/>
    <cellStyle name="20% - Accent4 4 2 2 3 2 3 5" xfId="14920"/>
    <cellStyle name="20% - Accent4 4 2 2 3 2 3 6" xfId="14921"/>
    <cellStyle name="20% - Accent4 4 2 2 3 2 4" xfId="14922"/>
    <cellStyle name="20% - Accent4 4 2 2 3 2 4 2" xfId="14923"/>
    <cellStyle name="20% - Accent4 4 2 2 3 2 4 2 2" xfId="14924"/>
    <cellStyle name="20% - Accent4 4 2 2 3 2 4 2 3" xfId="14925"/>
    <cellStyle name="20% - Accent4 4 2 2 3 2 4 3" xfId="14926"/>
    <cellStyle name="20% - Accent4 4 2 2 3 2 4 3 2" xfId="14927"/>
    <cellStyle name="20% - Accent4 4 2 2 3 2 4 4" xfId="14928"/>
    <cellStyle name="20% - Accent4 4 2 2 3 2 4 5" xfId="14929"/>
    <cellStyle name="20% - Accent4 4 2 2 3 2 5" xfId="14930"/>
    <cellStyle name="20% - Accent4 4 2 2 3 2 5 2" xfId="14931"/>
    <cellStyle name="20% - Accent4 4 2 2 3 2 5 3" xfId="14932"/>
    <cellStyle name="20% - Accent4 4 2 2 3 2 6" xfId="14933"/>
    <cellStyle name="20% - Accent4 4 2 2 3 2 6 2" xfId="14934"/>
    <cellStyle name="20% - Accent4 4 2 2 3 2 6 3" xfId="14935"/>
    <cellStyle name="20% - Accent4 4 2 2 3 2 7" xfId="14936"/>
    <cellStyle name="20% - Accent4 4 2 2 3 2 7 2" xfId="14937"/>
    <cellStyle name="20% - Accent4 4 2 2 3 2 8" xfId="14938"/>
    <cellStyle name="20% - Accent4 4 2 2 3 2 9" xfId="14939"/>
    <cellStyle name="20% - Accent4 4 2 2 3 3" xfId="849"/>
    <cellStyle name="20% - Accent4 4 2 2 3 3 2" xfId="14940"/>
    <cellStyle name="20% - Accent4 4 2 2 3 3 2 2" xfId="14941"/>
    <cellStyle name="20% - Accent4 4 2 2 3 3 2 3" xfId="14942"/>
    <cellStyle name="20% - Accent4 4 2 2 3 3 3" xfId="14943"/>
    <cellStyle name="20% - Accent4 4 2 2 3 3 3 2" xfId="14944"/>
    <cellStyle name="20% - Accent4 4 2 2 3 3 3 3" xfId="14945"/>
    <cellStyle name="20% - Accent4 4 2 2 3 3 4" xfId="14946"/>
    <cellStyle name="20% - Accent4 4 2 2 3 3 4 2" xfId="14947"/>
    <cellStyle name="20% - Accent4 4 2 2 3 3 5" xfId="14948"/>
    <cellStyle name="20% - Accent4 4 2 2 3 3 6" xfId="14949"/>
    <cellStyle name="20% - Accent4 4 2 2 3 4" xfId="8933"/>
    <cellStyle name="20% - Accent4 4 2 2 3 4 2" xfId="14950"/>
    <cellStyle name="20% - Accent4 4 2 2 3 4 2 2" xfId="14951"/>
    <cellStyle name="20% - Accent4 4 2 2 3 4 2 3" xfId="14952"/>
    <cellStyle name="20% - Accent4 4 2 2 3 4 3" xfId="14953"/>
    <cellStyle name="20% - Accent4 4 2 2 3 4 3 2" xfId="14954"/>
    <cellStyle name="20% - Accent4 4 2 2 3 4 3 3" xfId="14955"/>
    <cellStyle name="20% - Accent4 4 2 2 3 4 4" xfId="14956"/>
    <cellStyle name="20% - Accent4 4 2 2 3 4 4 2" xfId="14957"/>
    <cellStyle name="20% - Accent4 4 2 2 3 4 5" xfId="14958"/>
    <cellStyle name="20% - Accent4 4 2 2 3 4 6" xfId="14959"/>
    <cellStyle name="20% - Accent4 4 2 2 3 5" xfId="14960"/>
    <cellStyle name="20% - Accent4 4 2 2 3 5 2" xfId="14961"/>
    <cellStyle name="20% - Accent4 4 2 2 3 5 2 2" xfId="14962"/>
    <cellStyle name="20% - Accent4 4 2 2 3 5 2 3" xfId="14963"/>
    <cellStyle name="20% - Accent4 4 2 2 3 5 3" xfId="14964"/>
    <cellStyle name="20% - Accent4 4 2 2 3 5 3 2" xfId="14965"/>
    <cellStyle name="20% - Accent4 4 2 2 3 5 4" xfId="14966"/>
    <cellStyle name="20% - Accent4 4 2 2 3 5 5" xfId="14967"/>
    <cellStyle name="20% - Accent4 4 2 2 3 6" xfId="14968"/>
    <cellStyle name="20% - Accent4 4 2 2 3 6 2" xfId="14969"/>
    <cellStyle name="20% - Accent4 4 2 2 3 6 3" xfId="14970"/>
    <cellStyle name="20% - Accent4 4 2 2 3 7" xfId="14971"/>
    <cellStyle name="20% - Accent4 4 2 2 3 7 2" xfId="14972"/>
    <cellStyle name="20% - Accent4 4 2 2 3 7 3" xfId="14973"/>
    <cellStyle name="20% - Accent4 4 2 2 3 8" xfId="14974"/>
    <cellStyle name="20% - Accent4 4 2 2 3 8 2" xfId="14975"/>
    <cellStyle name="20% - Accent4 4 2 2 3 9" xfId="14976"/>
    <cellStyle name="20% - Accent4 4 2 2 4" xfId="850"/>
    <cellStyle name="20% - Accent4 4 2 2 4 2" xfId="851"/>
    <cellStyle name="20% - Accent4 4 2 2 4 2 2" xfId="14977"/>
    <cellStyle name="20% - Accent4 4 2 2 4 2 2 2" xfId="14978"/>
    <cellStyle name="20% - Accent4 4 2 2 4 2 2 3" xfId="14979"/>
    <cellStyle name="20% - Accent4 4 2 2 4 2 3" xfId="14980"/>
    <cellStyle name="20% - Accent4 4 2 2 4 2 3 2" xfId="14981"/>
    <cellStyle name="20% - Accent4 4 2 2 4 2 3 3" xfId="14982"/>
    <cellStyle name="20% - Accent4 4 2 2 4 2 4" xfId="14983"/>
    <cellStyle name="20% - Accent4 4 2 2 4 2 4 2" xfId="14984"/>
    <cellStyle name="20% - Accent4 4 2 2 4 2 5" xfId="14985"/>
    <cellStyle name="20% - Accent4 4 2 2 4 2 6" xfId="14986"/>
    <cellStyle name="20% - Accent4 4 2 2 4 3" xfId="14987"/>
    <cellStyle name="20% - Accent4 4 2 2 4 3 2" xfId="14988"/>
    <cellStyle name="20% - Accent4 4 2 2 4 3 2 2" xfId="14989"/>
    <cellStyle name="20% - Accent4 4 2 2 4 3 2 3" xfId="14990"/>
    <cellStyle name="20% - Accent4 4 2 2 4 3 3" xfId="14991"/>
    <cellStyle name="20% - Accent4 4 2 2 4 3 3 2" xfId="14992"/>
    <cellStyle name="20% - Accent4 4 2 2 4 3 3 3" xfId="14993"/>
    <cellStyle name="20% - Accent4 4 2 2 4 3 4" xfId="14994"/>
    <cellStyle name="20% - Accent4 4 2 2 4 3 4 2" xfId="14995"/>
    <cellStyle name="20% - Accent4 4 2 2 4 3 5" xfId="14996"/>
    <cellStyle name="20% - Accent4 4 2 2 4 3 6" xfId="14997"/>
    <cellStyle name="20% - Accent4 4 2 2 4 4" xfId="14998"/>
    <cellStyle name="20% - Accent4 4 2 2 4 4 2" xfId="14999"/>
    <cellStyle name="20% - Accent4 4 2 2 4 4 2 2" xfId="15000"/>
    <cellStyle name="20% - Accent4 4 2 2 4 4 2 3" xfId="15001"/>
    <cellStyle name="20% - Accent4 4 2 2 4 4 3" xfId="15002"/>
    <cellStyle name="20% - Accent4 4 2 2 4 4 3 2" xfId="15003"/>
    <cellStyle name="20% - Accent4 4 2 2 4 4 4" xfId="15004"/>
    <cellStyle name="20% - Accent4 4 2 2 4 4 5" xfId="15005"/>
    <cellStyle name="20% - Accent4 4 2 2 4 5" xfId="15006"/>
    <cellStyle name="20% - Accent4 4 2 2 4 5 2" xfId="15007"/>
    <cellStyle name="20% - Accent4 4 2 2 4 5 3" xfId="15008"/>
    <cellStyle name="20% - Accent4 4 2 2 4 6" xfId="15009"/>
    <cellStyle name="20% - Accent4 4 2 2 4 6 2" xfId="15010"/>
    <cellStyle name="20% - Accent4 4 2 2 4 6 3" xfId="15011"/>
    <cellStyle name="20% - Accent4 4 2 2 4 7" xfId="15012"/>
    <cellStyle name="20% - Accent4 4 2 2 4 7 2" xfId="15013"/>
    <cellStyle name="20% - Accent4 4 2 2 4 8" xfId="15014"/>
    <cellStyle name="20% - Accent4 4 2 2 4 9" xfId="15015"/>
    <cellStyle name="20% - Accent4 4 2 2 5" xfId="852"/>
    <cellStyle name="20% - Accent4 4 2 2 5 2" xfId="15016"/>
    <cellStyle name="20% - Accent4 4 2 2 5 2 2" xfId="15017"/>
    <cellStyle name="20% - Accent4 4 2 2 5 2 2 2" xfId="15018"/>
    <cellStyle name="20% - Accent4 4 2 2 5 2 2 3" xfId="15019"/>
    <cellStyle name="20% - Accent4 4 2 2 5 2 3" xfId="15020"/>
    <cellStyle name="20% - Accent4 4 2 2 5 2 3 2" xfId="15021"/>
    <cellStyle name="20% - Accent4 4 2 2 5 2 3 3" xfId="15022"/>
    <cellStyle name="20% - Accent4 4 2 2 5 2 4" xfId="15023"/>
    <cellStyle name="20% - Accent4 4 2 2 5 2 4 2" xfId="15024"/>
    <cellStyle name="20% - Accent4 4 2 2 5 2 5" xfId="15025"/>
    <cellStyle name="20% - Accent4 4 2 2 5 2 6" xfId="15026"/>
    <cellStyle name="20% - Accent4 4 2 2 5 3" xfId="15027"/>
    <cellStyle name="20% - Accent4 4 2 2 5 3 2" xfId="15028"/>
    <cellStyle name="20% - Accent4 4 2 2 5 3 2 2" xfId="15029"/>
    <cellStyle name="20% - Accent4 4 2 2 5 3 2 3" xfId="15030"/>
    <cellStyle name="20% - Accent4 4 2 2 5 3 3" xfId="15031"/>
    <cellStyle name="20% - Accent4 4 2 2 5 3 3 2" xfId="15032"/>
    <cellStyle name="20% - Accent4 4 2 2 5 3 3 3" xfId="15033"/>
    <cellStyle name="20% - Accent4 4 2 2 5 3 4" xfId="15034"/>
    <cellStyle name="20% - Accent4 4 2 2 5 3 4 2" xfId="15035"/>
    <cellStyle name="20% - Accent4 4 2 2 5 3 5" xfId="15036"/>
    <cellStyle name="20% - Accent4 4 2 2 5 3 6" xfId="15037"/>
    <cellStyle name="20% - Accent4 4 2 2 5 4" xfId="15038"/>
    <cellStyle name="20% - Accent4 4 2 2 5 4 2" xfId="15039"/>
    <cellStyle name="20% - Accent4 4 2 2 5 4 2 2" xfId="15040"/>
    <cellStyle name="20% - Accent4 4 2 2 5 4 2 3" xfId="15041"/>
    <cellStyle name="20% - Accent4 4 2 2 5 4 3" xfId="15042"/>
    <cellStyle name="20% - Accent4 4 2 2 5 4 3 2" xfId="15043"/>
    <cellStyle name="20% - Accent4 4 2 2 5 4 4" xfId="15044"/>
    <cellStyle name="20% - Accent4 4 2 2 5 4 5" xfId="15045"/>
    <cellStyle name="20% - Accent4 4 2 2 5 5" xfId="15046"/>
    <cellStyle name="20% - Accent4 4 2 2 5 5 2" xfId="15047"/>
    <cellStyle name="20% - Accent4 4 2 2 5 5 3" xfId="15048"/>
    <cellStyle name="20% - Accent4 4 2 2 5 6" xfId="15049"/>
    <cellStyle name="20% - Accent4 4 2 2 5 6 2" xfId="15050"/>
    <cellStyle name="20% - Accent4 4 2 2 5 6 3" xfId="15051"/>
    <cellStyle name="20% - Accent4 4 2 2 5 7" xfId="15052"/>
    <cellStyle name="20% - Accent4 4 2 2 5 7 2" xfId="15053"/>
    <cellStyle name="20% - Accent4 4 2 2 5 8" xfId="15054"/>
    <cellStyle name="20% - Accent4 4 2 2 5 9" xfId="15055"/>
    <cellStyle name="20% - Accent4 4 2 2 6" xfId="853"/>
    <cellStyle name="20% - Accent4 4 2 2 6 2" xfId="15056"/>
    <cellStyle name="20% - Accent4 4 2 2 6 2 2" xfId="15057"/>
    <cellStyle name="20% - Accent4 4 2 2 6 2 3" xfId="15058"/>
    <cellStyle name="20% - Accent4 4 2 2 6 3" xfId="15059"/>
    <cellStyle name="20% - Accent4 4 2 2 6 3 2" xfId="15060"/>
    <cellStyle name="20% - Accent4 4 2 2 6 3 3" xfId="15061"/>
    <cellStyle name="20% - Accent4 4 2 2 6 4" xfId="15062"/>
    <cellStyle name="20% - Accent4 4 2 2 6 4 2" xfId="15063"/>
    <cellStyle name="20% - Accent4 4 2 2 6 5" xfId="15064"/>
    <cellStyle name="20% - Accent4 4 2 2 6 6" xfId="15065"/>
    <cellStyle name="20% - Accent4 4 2 2 7" xfId="8934"/>
    <cellStyle name="20% - Accent4 4 2 2 7 2" xfId="15066"/>
    <cellStyle name="20% - Accent4 4 2 2 7 2 2" xfId="15067"/>
    <cellStyle name="20% - Accent4 4 2 2 7 2 3" xfId="15068"/>
    <cellStyle name="20% - Accent4 4 2 2 7 3" xfId="15069"/>
    <cellStyle name="20% - Accent4 4 2 2 7 3 2" xfId="15070"/>
    <cellStyle name="20% - Accent4 4 2 2 7 3 3" xfId="15071"/>
    <cellStyle name="20% - Accent4 4 2 2 7 4" xfId="15072"/>
    <cellStyle name="20% - Accent4 4 2 2 7 4 2" xfId="15073"/>
    <cellStyle name="20% - Accent4 4 2 2 7 5" xfId="15074"/>
    <cellStyle name="20% - Accent4 4 2 2 7 6" xfId="15075"/>
    <cellStyle name="20% - Accent4 4 2 2 8" xfId="15076"/>
    <cellStyle name="20% - Accent4 4 2 2 8 2" xfId="15077"/>
    <cellStyle name="20% - Accent4 4 2 2 8 2 2" xfId="15078"/>
    <cellStyle name="20% - Accent4 4 2 2 8 2 3" xfId="15079"/>
    <cellStyle name="20% - Accent4 4 2 2 8 3" xfId="15080"/>
    <cellStyle name="20% - Accent4 4 2 2 8 3 2" xfId="15081"/>
    <cellStyle name="20% - Accent4 4 2 2 8 4" xfId="15082"/>
    <cellStyle name="20% - Accent4 4 2 2 8 5" xfId="15083"/>
    <cellStyle name="20% - Accent4 4 2 2 9" xfId="15084"/>
    <cellStyle name="20% - Accent4 4 2 2 9 2" xfId="15085"/>
    <cellStyle name="20% - Accent4 4 2 2 9 3" xfId="15086"/>
    <cellStyle name="20% - Accent4 4 2 3" xfId="854"/>
    <cellStyle name="20% - Accent4 4 2 3 10" xfId="15087"/>
    <cellStyle name="20% - Accent4 4 2 3 10 2" xfId="15088"/>
    <cellStyle name="20% - Accent4 4 2 3 11" xfId="15089"/>
    <cellStyle name="20% - Accent4 4 2 3 12" xfId="15090"/>
    <cellStyle name="20% - Accent4 4 2 3 2" xfId="855"/>
    <cellStyle name="20% - Accent4 4 2 3 2 10" xfId="15091"/>
    <cellStyle name="20% - Accent4 4 2 3 2 2" xfId="856"/>
    <cellStyle name="20% - Accent4 4 2 3 2 2 2" xfId="857"/>
    <cellStyle name="20% - Accent4 4 2 3 2 2 2 2" xfId="15092"/>
    <cellStyle name="20% - Accent4 4 2 3 2 2 2 2 2" xfId="15093"/>
    <cellStyle name="20% - Accent4 4 2 3 2 2 2 2 3" xfId="15094"/>
    <cellStyle name="20% - Accent4 4 2 3 2 2 2 3" xfId="15095"/>
    <cellStyle name="20% - Accent4 4 2 3 2 2 2 3 2" xfId="15096"/>
    <cellStyle name="20% - Accent4 4 2 3 2 2 2 3 3" xfId="15097"/>
    <cellStyle name="20% - Accent4 4 2 3 2 2 2 4" xfId="15098"/>
    <cellStyle name="20% - Accent4 4 2 3 2 2 2 4 2" xfId="15099"/>
    <cellStyle name="20% - Accent4 4 2 3 2 2 2 5" xfId="15100"/>
    <cellStyle name="20% - Accent4 4 2 3 2 2 2 6" xfId="15101"/>
    <cellStyle name="20% - Accent4 4 2 3 2 2 3" xfId="15102"/>
    <cellStyle name="20% - Accent4 4 2 3 2 2 3 2" xfId="15103"/>
    <cellStyle name="20% - Accent4 4 2 3 2 2 3 2 2" xfId="15104"/>
    <cellStyle name="20% - Accent4 4 2 3 2 2 3 2 3" xfId="15105"/>
    <cellStyle name="20% - Accent4 4 2 3 2 2 3 3" xfId="15106"/>
    <cellStyle name="20% - Accent4 4 2 3 2 2 3 3 2" xfId="15107"/>
    <cellStyle name="20% - Accent4 4 2 3 2 2 3 3 3" xfId="15108"/>
    <cellStyle name="20% - Accent4 4 2 3 2 2 3 4" xfId="15109"/>
    <cellStyle name="20% - Accent4 4 2 3 2 2 3 4 2" xfId="15110"/>
    <cellStyle name="20% - Accent4 4 2 3 2 2 3 5" xfId="15111"/>
    <cellStyle name="20% - Accent4 4 2 3 2 2 3 6" xfId="15112"/>
    <cellStyle name="20% - Accent4 4 2 3 2 2 4" xfId="15113"/>
    <cellStyle name="20% - Accent4 4 2 3 2 2 4 2" xfId="15114"/>
    <cellStyle name="20% - Accent4 4 2 3 2 2 4 2 2" xfId="15115"/>
    <cellStyle name="20% - Accent4 4 2 3 2 2 4 2 3" xfId="15116"/>
    <cellStyle name="20% - Accent4 4 2 3 2 2 4 3" xfId="15117"/>
    <cellStyle name="20% - Accent4 4 2 3 2 2 4 3 2" xfId="15118"/>
    <cellStyle name="20% - Accent4 4 2 3 2 2 4 4" xfId="15119"/>
    <cellStyle name="20% - Accent4 4 2 3 2 2 4 5" xfId="15120"/>
    <cellStyle name="20% - Accent4 4 2 3 2 2 5" xfId="15121"/>
    <cellStyle name="20% - Accent4 4 2 3 2 2 5 2" xfId="15122"/>
    <cellStyle name="20% - Accent4 4 2 3 2 2 5 3" xfId="15123"/>
    <cellStyle name="20% - Accent4 4 2 3 2 2 6" xfId="15124"/>
    <cellStyle name="20% - Accent4 4 2 3 2 2 6 2" xfId="15125"/>
    <cellStyle name="20% - Accent4 4 2 3 2 2 6 3" xfId="15126"/>
    <cellStyle name="20% - Accent4 4 2 3 2 2 7" xfId="15127"/>
    <cellStyle name="20% - Accent4 4 2 3 2 2 7 2" xfId="15128"/>
    <cellStyle name="20% - Accent4 4 2 3 2 2 8" xfId="15129"/>
    <cellStyle name="20% - Accent4 4 2 3 2 2 9" xfId="15130"/>
    <cellStyle name="20% - Accent4 4 2 3 2 3" xfId="858"/>
    <cellStyle name="20% - Accent4 4 2 3 2 3 2" xfId="15131"/>
    <cellStyle name="20% - Accent4 4 2 3 2 3 2 2" xfId="15132"/>
    <cellStyle name="20% - Accent4 4 2 3 2 3 2 3" xfId="15133"/>
    <cellStyle name="20% - Accent4 4 2 3 2 3 3" xfId="15134"/>
    <cellStyle name="20% - Accent4 4 2 3 2 3 3 2" xfId="15135"/>
    <cellStyle name="20% - Accent4 4 2 3 2 3 3 3" xfId="15136"/>
    <cellStyle name="20% - Accent4 4 2 3 2 3 4" xfId="15137"/>
    <cellStyle name="20% - Accent4 4 2 3 2 3 4 2" xfId="15138"/>
    <cellStyle name="20% - Accent4 4 2 3 2 3 5" xfId="15139"/>
    <cellStyle name="20% - Accent4 4 2 3 2 3 6" xfId="15140"/>
    <cellStyle name="20% - Accent4 4 2 3 2 4" xfId="8935"/>
    <cellStyle name="20% - Accent4 4 2 3 2 4 2" xfId="15141"/>
    <cellStyle name="20% - Accent4 4 2 3 2 4 2 2" xfId="15142"/>
    <cellStyle name="20% - Accent4 4 2 3 2 4 2 3" xfId="15143"/>
    <cellStyle name="20% - Accent4 4 2 3 2 4 3" xfId="15144"/>
    <cellStyle name="20% - Accent4 4 2 3 2 4 3 2" xfId="15145"/>
    <cellStyle name="20% - Accent4 4 2 3 2 4 3 3" xfId="15146"/>
    <cellStyle name="20% - Accent4 4 2 3 2 4 4" xfId="15147"/>
    <cellStyle name="20% - Accent4 4 2 3 2 4 4 2" xfId="15148"/>
    <cellStyle name="20% - Accent4 4 2 3 2 4 5" xfId="15149"/>
    <cellStyle name="20% - Accent4 4 2 3 2 4 6" xfId="15150"/>
    <cellStyle name="20% - Accent4 4 2 3 2 5" xfId="15151"/>
    <cellStyle name="20% - Accent4 4 2 3 2 5 2" xfId="15152"/>
    <cellStyle name="20% - Accent4 4 2 3 2 5 2 2" xfId="15153"/>
    <cellStyle name="20% - Accent4 4 2 3 2 5 2 3" xfId="15154"/>
    <cellStyle name="20% - Accent4 4 2 3 2 5 3" xfId="15155"/>
    <cellStyle name="20% - Accent4 4 2 3 2 5 3 2" xfId="15156"/>
    <cellStyle name="20% - Accent4 4 2 3 2 5 4" xfId="15157"/>
    <cellStyle name="20% - Accent4 4 2 3 2 5 5" xfId="15158"/>
    <cellStyle name="20% - Accent4 4 2 3 2 6" xfId="15159"/>
    <cellStyle name="20% - Accent4 4 2 3 2 6 2" xfId="15160"/>
    <cellStyle name="20% - Accent4 4 2 3 2 6 3" xfId="15161"/>
    <cellStyle name="20% - Accent4 4 2 3 2 7" xfId="15162"/>
    <cellStyle name="20% - Accent4 4 2 3 2 7 2" xfId="15163"/>
    <cellStyle name="20% - Accent4 4 2 3 2 7 3" xfId="15164"/>
    <cellStyle name="20% - Accent4 4 2 3 2 8" xfId="15165"/>
    <cellStyle name="20% - Accent4 4 2 3 2 8 2" xfId="15166"/>
    <cellStyle name="20% - Accent4 4 2 3 2 9" xfId="15167"/>
    <cellStyle name="20% - Accent4 4 2 3 3" xfId="859"/>
    <cellStyle name="20% - Accent4 4 2 3 3 2" xfId="860"/>
    <cellStyle name="20% - Accent4 4 2 3 3 2 2" xfId="15168"/>
    <cellStyle name="20% - Accent4 4 2 3 3 2 2 2" xfId="15169"/>
    <cellStyle name="20% - Accent4 4 2 3 3 2 2 3" xfId="15170"/>
    <cellStyle name="20% - Accent4 4 2 3 3 2 3" xfId="15171"/>
    <cellStyle name="20% - Accent4 4 2 3 3 2 3 2" xfId="15172"/>
    <cellStyle name="20% - Accent4 4 2 3 3 2 3 3" xfId="15173"/>
    <cellStyle name="20% - Accent4 4 2 3 3 2 4" xfId="15174"/>
    <cellStyle name="20% - Accent4 4 2 3 3 2 4 2" xfId="15175"/>
    <cellStyle name="20% - Accent4 4 2 3 3 2 5" xfId="15176"/>
    <cellStyle name="20% - Accent4 4 2 3 3 2 6" xfId="15177"/>
    <cellStyle name="20% - Accent4 4 2 3 3 3" xfId="15178"/>
    <cellStyle name="20% - Accent4 4 2 3 3 3 2" xfId="15179"/>
    <cellStyle name="20% - Accent4 4 2 3 3 3 2 2" xfId="15180"/>
    <cellStyle name="20% - Accent4 4 2 3 3 3 2 3" xfId="15181"/>
    <cellStyle name="20% - Accent4 4 2 3 3 3 3" xfId="15182"/>
    <cellStyle name="20% - Accent4 4 2 3 3 3 3 2" xfId="15183"/>
    <cellStyle name="20% - Accent4 4 2 3 3 3 3 3" xfId="15184"/>
    <cellStyle name="20% - Accent4 4 2 3 3 3 4" xfId="15185"/>
    <cellStyle name="20% - Accent4 4 2 3 3 3 4 2" xfId="15186"/>
    <cellStyle name="20% - Accent4 4 2 3 3 3 5" xfId="15187"/>
    <cellStyle name="20% - Accent4 4 2 3 3 3 6" xfId="15188"/>
    <cellStyle name="20% - Accent4 4 2 3 3 4" xfId="15189"/>
    <cellStyle name="20% - Accent4 4 2 3 3 4 2" xfId="15190"/>
    <cellStyle name="20% - Accent4 4 2 3 3 4 2 2" xfId="15191"/>
    <cellStyle name="20% - Accent4 4 2 3 3 4 2 3" xfId="15192"/>
    <cellStyle name="20% - Accent4 4 2 3 3 4 3" xfId="15193"/>
    <cellStyle name="20% - Accent4 4 2 3 3 4 3 2" xfId="15194"/>
    <cellStyle name="20% - Accent4 4 2 3 3 4 4" xfId="15195"/>
    <cellStyle name="20% - Accent4 4 2 3 3 4 5" xfId="15196"/>
    <cellStyle name="20% - Accent4 4 2 3 3 5" xfId="15197"/>
    <cellStyle name="20% - Accent4 4 2 3 3 5 2" xfId="15198"/>
    <cellStyle name="20% - Accent4 4 2 3 3 5 3" xfId="15199"/>
    <cellStyle name="20% - Accent4 4 2 3 3 6" xfId="15200"/>
    <cellStyle name="20% - Accent4 4 2 3 3 6 2" xfId="15201"/>
    <cellStyle name="20% - Accent4 4 2 3 3 6 3" xfId="15202"/>
    <cellStyle name="20% - Accent4 4 2 3 3 7" xfId="15203"/>
    <cellStyle name="20% - Accent4 4 2 3 3 7 2" xfId="15204"/>
    <cellStyle name="20% - Accent4 4 2 3 3 8" xfId="15205"/>
    <cellStyle name="20% - Accent4 4 2 3 3 9" xfId="15206"/>
    <cellStyle name="20% - Accent4 4 2 3 4" xfId="861"/>
    <cellStyle name="20% - Accent4 4 2 3 4 2" xfId="15207"/>
    <cellStyle name="20% - Accent4 4 2 3 4 2 2" xfId="15208"/>
    <cellStyle name="20% - Accent4 4 2 3 4 2 2 2" xfId="15209"/>
    <cellStyle name="20% - Accent4 4 2 3 4 2 2 3" xfId="15210"/>
    <cellStyle name="20% - Accent4 4 2 3 4 2 3" xfId="15211"/>
    <cellStyle name="20% - Accent4 4 2 3 4 2 3 2" xfId="15212"/>
    <cellStyle name="20% - Accent4 4 2 3 4 2 3 3" xfId="15213"/>
    <cellStyle name="20% - Accent4 4 2 3 4 2 4" xfId="15214"/>
    <cellStyle name="20% - Accent4 4 2 3 4 2 4 2" xfId="15215"/>
    <cellStyle name="20% - Accent4 4 2 3 4 2 5" xfId="15216"/>
    <cellStyle name="20% - Accent4 4 2 3 4 2 6" xfId="15217"/>
    <cellStyle name="20% - Accent4 4 2 3 4 3" xfId="15218"/>
    <cellStyle name="20% - Accent4 4 2 3 4 3 2" xfId="15219"/>
    <cellStyle name="20% - Accent4 4 2 3 4 3 2 2" xfId="15220"/>
    <cellStyle name="20% - Accent4 4 2 3 4 3 2 3" xfId="15221"/>
    <cellStyle name="20% - Accent4 4 2 3 4 3 3" xfId="15222"/>
    <cellStyle name="20% - Accent4 4 2 3 4 3 3 2" xfId="15223"/>
    <cellStyle name="20% - Accent4 4 2 3 4 3 3 3" xfId="15224"/>
    <cellStyle name="20% - Accent4 4 2 3 4 3 4" xfId="15225"/>
    <cellStyle name="20% - Accent4 4 2 3 4 3 4 2" xfId="15226"/>
    <cellStyle name="20% - Accent4 4 2 3 4 3 5" xfId="15227"/>
    <cellStyle name="20% - Accent4 4 2 3 4 3 6" xfId="15228"/>
    <cellStyle name="20% - Accent4 4 2 3 4 4" xfId="15229"/>
    <cellStyle name="20% - Accent4 4 2 3 4 4 2" xfId="15230"/>
    <cellStyle name="20% - Accent4 4 2 3 4 4 2 2" xfId="15231"/>
    <cellStyle name="20% - Accent4 4 2 3 4 4 2 3" xfId="15232"/>
    <cellStyle name="20% - Accent4 4 2 3 4 4 3" xfId="15233"/>
    <cellStyle name="20% - Accent4 4 2 3 4 4 3 2" xfId="15234"/>
    <cellStyle name="20% - Accent4 4 2 3 4 4 4" xfId="15235"/>
    <cellStyle name="20% - Accent4 4 2 3 4 4 5" xfId="15236"/>
    <cellStyle name="20% - Accent4 4 2 3 4 5" xfId="15237"/>
    <cellStyle name="20% - Accent4 4 2 3 4 5 2" xfId="15238"/>
    <cellStyle name="20% - Accent4 4 2 3 4 5 3" xfId="15239"/>
    <cellStyle name="20% - Accent4 4 2 3 4 6" xfId="15240"/>
    <cellStyle name="20% - Accent4 4 2 3 4 6 2" xfId="15241"/>
    <cellStyle name="20% - Accent4 4 2 3 4 6 3" xfId="15242"/>
    <cellStyle name="20% - Accent4 4 2 3 4 7" xfId="15243"/>
    <cellStyle name="20% - Accent4 4 2 3 4 7 2" xfId="15244"/>
    <cellStyle name="20% - Accent4 4 2 3 4 8" xfId="15245"/>
    <cellStyle name="20% - Accent4 4 2 3 4 9" xfId="15246"/>
    <cellStyle name="20% - Accent4 4 2 3 5" xfId="862"/>
    <cellStyle name="20% - Accent4 4 2 3 5 2" xfId="15247"/>
    <cellStyle name="20% - Accent4 4 2 3 5 2 2" xfId="15248"/>
    <cellStyle name="20% - Accent4 4 2 3 5 2 3" xfId="15249"/>
    <cellStyle name="20% - Accent4 4 2 3 5 3" xfId="15250"/>
    <cellStyle name="20% - Accent4 4 2 3 5 3 2" xfId="15251"/>
    <cellStyle name="20% - Accent4 4 2 3 5 3 3" xfId="15252"/>
    <cellStyle name="20% - Accent4 4 2 3 5 4" xfId="15253"/>
    <cellStyle name="20% - Accent4 4 2 3 5 4 2" xfId="15254"/>
    <cellStyle name="20% - Accent4 4 2 3 5 5" xfId="15255"/>
    <cellStyle name="20% - Accent4 4 2 3 5 6" xfId="15256"/>
    <cellStyle name="20% - Accent4 4 2 3 6" xfId="8936"/>
    <cellStyle name="20% - Accent4 4 2 3 6 2" xfId="15257"/>
    <cellStyle name="20% - Accent4 4 2 3 6 2 2" xfId="15258"/>
    <cellStyle name="20% - Accent4 4 2 3 6 2 3" xfId="15259"/>
    <cellStyle name="20% - Accent4 4 2 3 6 3" xfId="15260"/>
    <cellStyle name="20% - Accent4 4 2 3 6 3 2" xfId="15261"/>
    <cellStyle name="20% - Accent4 4 2 3 6 3 3" xfId="15262"/>
    <cellStyle name="20% - Accent4 4 2 3 6 4" xfId="15263"/>
    <cellStyle name="20% - Accent4 4 2 3 6 4 2" xfId="15264"/>
    <cellStyle name="20% - Accent4 4 2 3 6 5" xfId="15265"/>
    <cellStyle name="20% - Accent4 4 2 3 6 6" xfId="15266"/>
    <cellStyle name="20% - Accent4 4 2 3 7" xfId="15267"/>
    <cellStyle name="20% - Accent4 4 2 3 7 2" xfId="15268"/>
    <cellStyle name="20% - Accent4 4 2 3 7 2 2" xfId="15269"/>
    <cellStyle name="20% - Accent4 4 2 3 7 2 3" xfId="15270"/>
    <cellStyle name="20% - Accent4 4 2 3 7 3" xfId="15271"/>
    <cellStyle name="20% - Accent4 4 2 3 7 3 2" xfId="15272"/>
    <cellStyle name="20% - Accent4 4 2 3 7 4" xfId="15273"/>
    <cellStyle name="20% - Accent4 4 2 3 7 5" xfId="15274"/>
    <cellStyle name="20% - Accent4 4 2 3 8" xfId="15275"/>
    <cellStyle name="20% - Accent4 4 2 3 8 2" xfId="15276"/>
    <cellStyle name="20% - Accent4 4 2 3 8 3" xfId="15277"/>
    <cellStyle name="20% - Accent4 4 2 3 9" xfId="15278"/>
    <cellStyle name="20% - Accent4 4 2 3 9 2" xfId="15279"/>
    <cellStyle name="20% - Accent4 4 2 3 9 3" xfId="15280"/>
    <cellStyle name="20% - Accent4 4 2 4" xfId="863"/>
    <cellStyle name="20% - Accent4 4 2 4 10" xfId="15281"/>
    <cellStyle name="20% - Accent4 4 2 4 2" xfId="864"/>
    <cellStyle name="20% - Accent4 4 2 4 2 2" xfId="865"/>
    <cellStyle name="20% - Accent4 4 2 4 2 2 2" xfId="15282"/>
    <cellStyle name="20% - Accent4 4 2 4 2 2 2 2" xfId="15283"/>
    <cellStyle name="20% - Accent4 4 2 4 2 2 2 3" xfId="15284"/>
    <cellStyle name="20% - Accent4 4 2 4 2 2 3" xfId="15285"/>
    <cellStyle name="20% - Accent4 4 2 4 2 2 3 2" xfId="15286"/>
    <cellStyle name="20% - Accent4 4 2 4 2 2 3 3" xfId="15287"/>
    <cellStyle name="20% - Accent4 4 2 4 2 2 4" xfId="15288"/>
    <cellStyle name="20% - Accent4 4 2 4 2 2 4 2" xfId="15289"/>
    <cellStyle name="20% - Accent4 4 2 4 2 2 5" xfId="15290"/>
    <cellStyle name="20% - Accent4 4 2 4 2 2 6" xfId="15291"/>
    <cellStyle name="20% - Accent4 4 2 4 2 3" xfId="15292"/>
    <cellStyle name="20% - Accent4 4 2 4 2 3 2" xfId="15293"/>
    <cellStyle name="20% - Accent4 4 2 4 2 3 2 2" xfId="15294"/>
    <cellStyle name="20% - Accent4 4 2 4 2 3 2 3" xfId="15295"/>
    <cellStyle name="20% - Accent4 4 2 4 2 3 3" xfId="15296"/>
    <cellStyle name="20% - Accent4 4 2 4 2 3 3 2" xfId="15297"/>
    <cellStyle name="20% - Accent4 4 2 4 2 3 3 3" xfId="15298"/>
    <cellStyle name="20% - Accent4 4 2 4 2 3 4" xfId="15299"/>
    <cellStyle name="20% - Accent4 4 2 4 2 3 4 2" xfId="15300"/>
    <cellStyle name="20% - Accent4 4 2 4 2 3 5" xfId="15301"/>
    <cellStyle name="20% - Accent4 4 2 4 2 3 6" xfId="15302"/>
    <cellStyle name="20% - Accent4 4 2 4 2 4" xfId="15303"/>
    <cellStyle name="20% - Accent4 4 2 4 2 4 2" xfId="15304"/>
    <cellStyle name="20% - Accent4 4 2 4 2 4 2 2" xfId="15305"/>
    <cellStyle name="20% - Accent4 4 2 4 2 4 2 3" xfId="15306"/>
    <cellStyle name="20% - Accent4 4 2 4 2 4 3" xfId="15307"/>
    <cellStyle name="20% - Accent4 4 2 4 2 4 3 2" xfId="15308"/>
    <cellStyle name="20% - Accent4 4 2 4 2 4 4" xfId="15309"/>
    <cellStyle name="20% - Accent4 4 2 4 2 4 5" xfId="15310"/>
    <cellStyle name="20% - Accent4 4 2 4 2 5" xfId="15311"/>
    <cellStyle name="20% - Accent4 4 2 4 2 5 2" xfId="15312"/>
    <cellStyle name="20% - Accent4 4 2 4 2 5 3" xfId="15313"/>
    <cellStyle name="20% - Accent4 4 2 4 2 6" xfId="15314"/>
    <cellStyle name="20% - Accent4 4 2 4 2 6 2" xfId="15315"/>
    <cellStyle name="20% - Accent4 4 2 4 2 6 3" xfId="15316"/>
    <cellStyle name="20% - Accent4 4 2 4 2 7" xfId="15317"/>
    <cellStyle name="20% - Accent4 4 2 4 2 7 2" xfId="15318"/>
    <cellStyle name="20% - Accent4 4 2 4 2 8" xfId="15319"/>
    <cellStyle name="20% - Accent4 4 2 4 2 9" xfId="15320"/>
    <cellStyle name="20% - Accent4 4 2 4 3" xfId="866"/>
    <cellStyle name="20% - Accent4 4 2 4 3 2" xfId="15321"/>
    <cellStyle name="20% - Accent4 4 2 4 3 2 2" xfId="15322"/>
    <cellStyle name="20% - Accent4 4 2 4 3 2 3" xfId="15323"/>
    <cellStyle name="20% - Accent4 4 2 4 3 3" xfId="15324"/>
    <cellStyle name="20% - Accent4 4 2 4 3 3 2" xfId="15325"/>
    <cellStyle name="20% - Accent4 4 2 4 3 3 3" xfId="15326"/>
    <cellStyle name="20% - Accent4 4 2 4 3 4" xfId="15327"/>
    <cellStyle name="20% - Accent4 4 2 4 3 4 2" xfId="15328"/>
    <cellStyle name="20% - Accent4 4 2 4 3 5" xfId="15329"/>
    <cellStyle name="20% - Accent4 4 2 4 3 6" xfId="15330"/>
    <cellStyle name="20% - Accent4 4 2 4 4" xfId="8937"/>
    <cellStyle name="20% - Accent4 4 2 4 4 2" xfId="15331"/>
    <cellStyle name="20% - Accent4 4 2 4 4 2 2" xfId="15332"/>
    <cellStyle name="20% - Accent4 4 2 4 4 2 3" xfId="15333"/>
    <cellStyle name="20% - Accent4 4 2 4 4 3" xfId="15334"/>
    <cellStyle name="20% - Accent4 4 2 4 4 3 2" xfId="15335"/>
    <cellStyle name="20% - Accent4 4 2 4 4 3 3" xfId="15336"/>
    <cellStyle name="20% - Accent4 4 2 4 4 4" xfId="15337"/>
    <cellStyle name="20% - Accent4 4 2 4 4 4 2" xfId="15338"/>
    <cellStyle name="20% - Accent4 4 2 4 4 5" xfId="15339"/>
    <cellStyle name="20% - Accent4 4 2 4 4 6" xfId="15340"/>
    <cellStyle name="20% - Accent4 4 2 4 5" xfId="15341"/>
    <cellStyle name="20% - Accent4 4 2 4 5 2" xfId="15342"/>
    <cellStyle name="20% - Accent4 4 2 4 5 2 2" xfId="15343"/>
    <cellStyle name="20% - Accent4 4 2 4 5 2 3" xfId="15344"/>
    <cellStyle name="20% - Accent4 4 2 4 5 3" xfId="15345"/>
    <cellStyle name="20% - Accent4 4 2 4 5 3 2" xfId="15346"/>
    <cellStyle name="20% - Accent4 4 2 4 5 4" xfId="15347"/>
    <cellStyle name="20% - Accent4 4 2 4 5 5" xfId="15348"/>
    <cellStyle name="20% - Accent4 4 2 4 6" xfId="15349"/>
    <cellStyle name="20% - Accent4 4 2 4 6 2" xfId="15350"/>
    <cellStyle name="20% - Accent4 4 2 4 6 3" xfId="15351"/>
    <cellStyle name="20% - Accent4 4 2 4 7" xfId="15352"/>
    <cellStyle name="20% - Accent4 4 2 4 7 2" xfId="15353"/>
    <cellStyle name="20% - Accent4 4 2 4 7 3" xfId="15354"/>
    <cellStyle name="20% - Accent4 4 2 4 8" xfId="15355"/>
    <cellStyle name="20% - Accent4 4 2 4 8 2" xfId="15356"/>
    <cellStyle name="20% - Accent4 4 2 4 9" xfId="15357"/>
    <cellStyle name="20% - Accent4 4 2 5" xfId="867"/>
    <cellStyle name="20% - Accent4 4 2 5 2" xfId="868"/>
    <cellStyle name="20% - Accent4 4 2 5 2 2" xfId="15358"/>
    <cellStyle name="20% - Accent4 4 2 5 2 2 2" xfId="15359"/>
    <cellStyle name="20% - Accent4 4 2 5 2 2 3" xfId="15360"/>
    <cellStyle name="20% - Accent4 4 2 5 2 3" xfId="15361"/>
    <cellStyle name="20% - Accent4 4 2 5 2 3 2" xfId="15362"/>
    <cellStyle name="20% - Accent4 4 2 5 2 3 3" xfId="15363"/>
    <cellStyle name="20% - Accent4 4 2 5 2 4" xfId="15364"/>
    <cellStyle name="20% - Accent4 4 2 5 2 4 2" xfId="15365"/>
    <cellStyle name="20% - Accent4 4 2 5 2 5" xfId="15366"/>
    <cellStyle name="20% - Accent4 4 2 5 2 6" xfId="15367"/>
    <cellStyle name="20% - Accent4 4 2 5 3" xfId="15368"/>
    <cellStyle name="20% - Accent4 4 2 5 3 2" xfId="15369"/>
    <cellStyle name="20% - Accent4 4 2 5 3 2 2" xfId="15370"/>
    <cellStyle name="20% - Accent4 4 2 5 3 2 3" xfId="15371"/>
    <cellStyle name="20% - Accent4 4 2 5 3 3" xfId="15372"/>
    <cellStyle name="20% - Accent4 4 2 5 3 3 2" xfId="15373"/>
    <cellStyle name="20% - Accent4 4 2 5 3 3 3" xfId="15374"/>
    <cellStyle name="20% - Accent4 4 2 5 3 4" xfId="15375"/>
    <cellStyle name="20% - Accent4 4 2 5 3 4 2" xfId="15376"/>
    <cellStyle name="20% - Accent4 4 2 5 3 5" xfId="15377"/>
    <cellStyle name="20% - Accent4 4 2 5 3 6" xfId="15378"/>
    <cellStyle name="20% - Accent4 4 2 5 4" xfId="15379"/>
    <cellStyle name="20% - Accent4 4 2 5 4 2" xfId="15380"/>
    <cellStyle name="20% - Accent4 4 2 5 4 2 2" xfId="15381"/>
    <cellStyle name="20% - Accent4 4 2 5 4 2 3" xfId="15382"/>
    <cellStyle name="20% - Accent4 4 2 5 4 3" xfId="15383"/>
    <cellStyle name="20% - Accent4 4 2 5 4 3 2" xfId="15384"/>
    <cellStyle name="20% - Accent4 4 2 5 4 4" xfId="15385"/>
    <cellStyle name="20% - Accent4 4 2 5 4 5" xfId="15386"/>
    <cellStyle name="20% - Accent4 4 2 5 5" xfId="15387"/>
    <cellStyle name="20% - Accent4 4 2 5 5 2" xfId="15388"/>
    <cellStyle name="20% - Accent4 4 2 5 5 3" xfId="15389"/>
    <cellStyle name="20% - Accent4 4 2 5 6" xfId="15390"/>
    <cellStyle name="20% - Accent4 4 2 5 6 2" xfId="15391"/>
    <cellStyle name="20% - Accent4 4 2 5 6 3" xfId="15392"/>
    <cellStyle name="20% - Accent4 4 2 5 7" xfId="15393"/>
    <cellStyle name="20% - Accent4 4 2 5 7 2" xfId="15394"/>
    <cellStyle name="20% - Accent4 4 2 5 8" xfId="15395"/>
    <cellStyle name="20% - Accent4 4 2 5 9" xfId="15396"/>
    <cellStyle name="20% - Accent4 4 2 6" xfId="869"/>
    <cellStyle name="20% - Accent4 4 2 6 2" xfId="15397"/>
    <cellStyle name="20% - Accent4 4 2 6 2 2" xfId="15398"/>
    <cellStyle name="20% - Accent4 4 2 6 2 2 2" xfId="15399"/>
    <cellStyle name="20% - Accent4 4 2 6 2 2 3" xfId="15400"/>
    <cellStyle name="20% - Accent4 4 2 6 2 3" xfId="15401"/>
    <cellStyle name="20% - Accent4 4 2 6 2 3 2" xfId="15402"/>
    <cellStyle name="20% - Accent4 4 2 6 2 3 3" xfId="15403"/>
    <cellStyle name="20% - Accent4 4 2 6 2 4" xfId="15404"/>
    <cellStyle name="20% - Accent4 4 2 6 2 4 2" xfId="15405"/>
    <cellStyle name="20% - Accent4 4 2 6 2 5" xfId="15406"/>
    <cellStyle name="20% - Accent4 4 2 6 2 6" xfId="15407"/>
    <cellStyle name="20% - Accent4 4 2 6 3" xfId="15408"/>
    <cellStyle name="20% - Accent4 4 2 6 3 2" xfId="15409"/>
    <cellStyle name="20% - Accent4 4 2 6 3 2 2" xfId="15410"/>
    <cellStyle name="20% - Accent4 4 2 6 3 2 3" xfId="15411"/>
    <cellStyle name="20% - Accent4 4 2 6 3 3" xfId="15412"/>
    <cellStyle name="20% - Accent4 4 2 6 3 3 2" xfId="15413"/>
    <cellStyle name="20% - Accent4 4 2 6 3 3 3" xfId="15414"/>
    <cellStyle name="20% - Accent4 4 2 6 3 4" xfId="15415"/>
    <cellStyle name="20% - Accent4 4 2 6 3 4 2" xfId="15416"/>
    <cellStyle name="20% - Accent4 4 2 6 3 5" xfId="15417"/>
    <cellStyle name="20% - Accent4 4 2 6 3 6" xfId="15418"/>
    <cellStyle name="20% - Accent4 4 2 6 4" xfId="15419"/>
    <cellStyle name="20% - Accent4 4 2 6 4 2" xfId="15420"/>
    <cellStyle name="20% - Accent4 4 2 6 4 2 2" xfId="15421"/>
    <cellStyle name="20% - Accent4 4 2 6 4 2 3" xfId="15422"/>
    <cellStyle name="20% - Accent4 4 2 6 4 3" xfId="15423"/>
    <cellStyle name="20% - Accent4 4 2 6 4 3 2" xfId="15424"/>
    <cellStyle name="20% - Accent4 4 2 6 4 4" xfId="15425"/>
    <cellStyle name="20% - Accent4 4 2 6 4 5" xfId="15426"/>
    <cellStyle name="20% - Accent4 4 2 6 5" xfId="15427"/>
    <cellStyle name="20% - Accent4 4 2 6 5 2" xfId="15428"/>
    <cellStyle name="20% - Accent4 4 2 6 5 3" xfId="15429"/>
    <cellStyle name="20% - Accent4 4 2 6 6" xfId="15430"/>
    <cellStyle name="20% - Accent4 4 2 6 6 2" xfId="15431"/>
    <cellStyle name="20% - Accent4 4 2 6 6 3" xfId="15432"/>
    <cellStyle name="20% - Accent4 4 2 6 7" xfId="15433"/>
    <cellStyle name="20% - Accent4 4 2 6 7 2" xfId="15434"/>
    <cellStyle name="20% - Accent4 4 2 6 8" xfId="15435"/>
    <cellStyle name="20% - Accent4 4 2 6 9" xfId="15436"/>
    <cellStyle name="20% - Accent4 4 2 7" xfId="870"/>
    <cellStyle name="20% - Accent4 4 2 7 2" xfId="15437"/>
    <cellStyle name="20% - Accent4 4 2 7 2 2" xfId="15438"/>
    <cellStyle name="20% - Accent4 4 2 7 2 3" xfId="15439"/>
    <cellStyle name="20% - Accent4 4 2 7 3" xfId="15440"/>
    <cellStyle name="20% - Accent4 4 2 7 3 2" xfId="15441"/>
    <cellStyle name="20% - Accent4 4 2 7 3 3" xfId="15442"/>
    <cellStyle name="20% - Accent4 4 2 7 4" xfId="15443"/>
    <cellStyle name="20% - Accent4 4 2 7 4 2" xfId="15444"/>
    <cellStyle name="20% - Accent4 4 2 7 5" xfId="15445"/>
    <cellStyle name="20% - Accent4 4 2 7 6" xfId="15446"/>
    <cellStyle name="20% - Accent4 4 2 8" xfId="8938"/>
    <cellStyle name="20% - Accent4 4 2 8 2" xfId="15447"/>
    <cellStyle name="20% - Accent4 4 2 8 2 2" xfId="15448"/>
    <cellStyle name="20% - Accent4 4 2 8 2 3" xfId="15449"/>
    <cellStyle name="20% - Accent4 4 2 8 3" xfId="15450"/>
    <cellStyle name="20% - Accent4 4 2 8 3 2" xfId="15451"/>
    <cellStyle name="20% - Accent4 4 2 8 3 3" xfId="15452"/>
    <cellStyle name="20% - Accent4 4 2 8 4" xfId="15453"/>
    <cellStyle name="20% - Accent4 4 2 8 4 2" xfId="15454"/>
    <cellStyle name="20% - Accent4 4 2 8 5" xfId="15455"/>
    <cellStyle name="20% - Accent4 4 2 8 6" xfId="15456"/>
    <cellStyle name="20% - Accent4 4 2 9" xfId="15457"/>
    <cellStyle name="20% - Accent4 4 2 9 2" xfId="15458"/>
    <cellStyle name="20% - Accent4 4 2 9 2 2" xfId="15459"/>
    <cellStyle name="20% - Accent4 4 2 9 2 3" xfId="15460"/>
    <cellStyle name="20% - Accent4 4 2 9 3" xfId="15461"/>
    <cellStyle name="20% - Accent4 4 2 9 3 2" xfId="15462"/>
    <cellStyle name="20% - Accent4 4 2 9 4" xfId="15463"/>
    <cellStyle name="20% - Accent4 4 2 9 5" xfId="15464"/>
    <cellStyle name="20% - Accent4 4 3" xfId="871"/>
    <cellStyle name="20% - Accent4 4 3 10" xfId="15465"/>
    <cellStyle name="20% - Accent4 4 3 10 2" xfId="15466"/>
    <cellStyle name="20% - Accent4 4 3 10 3" xfId="15467"/>
    <cellStyle name="20% - Accent4 4 3 11" xfId="15468"/>
    <cellStyle name="20% - Accent4 4 3 11 2" xfId="15469"/>
    <cellStyle name="20% - Accent4 4 3 12" xfId="15470"/>
    <cellStyle name="20% - Accent4 4 3 13" xfId="15471"/>
    <cellStyle name="20% - Accent4 4 3 14" xfId="15472"/>
    <cellStyle name="20% - Accent4 4 3 2" xfId="872"/>
    <cellStyle name="20% - Accent4 4 3 2 10" xfId="15473"/>
    <cellStyle name="20% - Accent4 4 3 2 10 2" xfId="15474"/>
    <cellStyle name="20% - Accent4 4 3 2 11" xfId="15475"/>
    <cellStyle name="20% - Accent4 4 3 2 12" xfId="15476"/>
    <cellStyle name="20% - Accent4 4 3 2 2" xfId="873"/>
    <cellStyle name="20% - Accent4 4 3 2 2 10" xfId="15477"/>
    <cellStyle name="20% - Accent4 4 3 2 2 2" xfId="874"/>
    <cellStyle name="20% - Accent4 4 3 2 2 2 2" xfId="875"/>
    <cellStyle name="20% - Accent4 4 3 2 2 2 2 2" xfId="15478"/>
    <cellStyle name="20% - Accent4 4 3 2 2 2 2 2 2" xfId="15479"/>
    <cellStyle name="20% - Accent4 4 3 2 2 2 2 2 3" xfId="15480"/>
    <cellStyle name="20% - Accent4 4 3 2 2 2 2 3" xfId="15481"/>
    <cellStyle name="20% - Accent4 4 3 2 2 2 2 3 2" xfId="15482"/>
    <cellStyle name="20% - Accent4 4 3 2 2 2 2 3 3" xfId="15483"/>
    <cellStyle name="20% - Accent4 4 3 2 2 2 2 4" xfId="15484"/>
    <cellStyle name="20% - Accent4 4 3 2 2 2 2 4 2" xfId="15485"/>
    <cellStyle name="20% - Accent4 4 3 2 2 2 2 5" xfId="15486"/>
    <cellStyle name="20% - Accent4 4 3 2 2 2 2 6" xfId="15487"/>
    <cellStyle name="20% - Accent4 4 3 2 2 2 3" xfId="8939"/>
    <cellStyle name="20% - Accent4 4 3 2 2 2 3 2" xfId="15488"/>
    <cellStyle name="20% - Accent4 4 3 2 2 2 3 2 2" xfId="15489"/>
    <cellStyle name="20% - Accent4 4 3 2 2 2 3 2 3" xfId="15490"/>
    <cellStyle name="20% - Accent4 4 3 2 2 2 3 3" xfId="15491"/>
    <cellStyle name="20% - Accent4 4 3 2 2 2 3 3 2" xfId="15492"/>
    <cellStyle name="20% - Accent4 4 3 2 2 2 3 3 3" xfId="15493"/>
    <cellStyle name="20% - Accent4 4 3 2 2 2 3 4" xfId="15494"/>
    <cellStyle name="20% - Accent4 4 3 2 2 2 3 4 2" xfId="15495"/>
    <cellStyle name="20% - Accent4 4 3 2 2 2 3 5" xfId="15496"/>
    <cellStyle name="20% - Accent4 4 3 2 2 2 3 6" xfId="15497"/>
    <cellStyle name="20% - Accent4 4 3 2 2 2 4" xfId="15498"/>
    <cellStyle name="20% - Accent4 4 3 2 2 2 4 2" xfId="15499"/>
    <cellStyle name="20% - Accent4 4 3 2 2 2 4 2 2" xfId="15500"/>
    <cellStyle name="20% - Accent4 4 3 2 2 2 4 2 3" xfId="15501"/>
    <cellStyle name="20% - Accent4 4 3 2 2 2 4 3" xfId="15502"/>
    <cellStyle name="20% - Accent4 4 3 2 2 2 4 3 2" xfId="15503"/>
    <cellStyle name="20% - Accent4 4 3 2 2 2 4 4" xfId="15504"/>
    <cellStyle name="20% - Accent4 4 3 2 2 2 4 5" xfId="15505"/>
    <cellStyle name="20% - Accent4 4 3 2 2 2 5" xfId="15506"/>
    <cellStyle name="20% - Accent4 4 3 2 2 2 5 2" xfId="15507"/>
    <cellStyle name="20% - Accent4 4 3 2 2 2 5 3" xfId="15508"/>
    <cellStyle name="20% - Accent4 4 3 2 2 2 6" xfId="15509"/>
    <cellStyle name="20% - Accent4 4 3 2 2 2 6 2" xfId="15510"/>
    <cellStyle name="20% - Accent4 4 3 2 2 2 6 3" xfId="15511"/>
    <cellStyle name="20% - Accent4 4 3 2 2 2 7" xfId="15512"/>
    <cellStyle name="20% - Accent4 4 3 2 2 2 7 2" xfId="15513"/>
    <cellStyle name="20% - Accent4 4 3 2 2 2 8" xfId="15514"/>
    <cellStyle name="20% - Accent4 4 3 2 2 2 9" xfId="15515"/>
    <cellStyle name="20% - Accent4 4 3 2 2 3" xfId="876"/>
    <cellStyle name="20% - Accent4 4 3 2 2 3 2" xfId="15516"/>
    <cellStyle name="20% - Accent4 4 3 2 2 3 2 2" xfId="15517"/>
    <cellStyle name="20% - Accent4 4 3 2 2 3 2 3" xfId="15518"/>
    <cellStyle name="20% - Accent4 4 3 2 2 3 3" xfId="15519"/>
    <cellStyle name="20% - Accent4 4 3 2 2 3 3 2" xfId="15520"/>
    <cellStyle name="20% - Accent4 4 3 2 2 3 3 3" xfId="15521"/>
    <cellStyle name="20% - Accent4 4 3 2 2 3 4" xfId="15522"/>
    <cellStyle name="20% - Accent4 4 3 2 2 3 4 2" xfId="15523"/>
    <cellStyle name="20% - Accent4 4 3 2 2 3 5" xfId="15524"/>
    <cellStyle name="20% - Accent4 4 3 2 2 3 6" xfId="15525"/>
    <cellStyle name="20% - Accent4 4 3 2 2 4" xfId="877"/>
    <cellStyle name="20% - Accent4 4 3 2 2 4 2" xfId="15526"/>
    <cellStyle name="20% - Accent4 4 3 2 2 4 2 2" xfId="15527"/>
    <cellStyle name="20% - Accent4 4 3 2 2 4 2 3" xfId="15528"/>
    <cellStyle name="20% - Accent4 4 3 2 2 4 3" xfId="15529"/>
    <cellStyle name="20% - Accent4 4 3 2 2 4 3 2" xfId="15530"/>
    <cellStyle name="20% - Accent4 4 3 2 2 4 3 3" xfId="15531"/>
    <cellStyle name="20% - Accent4 4 3 2 2 4 4" xfId="15532"/>
    <cellStyle name="20% - Accent4 4 3 2 2 4 4 2" xfId="15533"/>
    <cellStyle name="20% - Accent4 4 3 2 2 4 5" xfId="15534"/>
    <cellStyle name="20% - Accent4 4 3 2 2 4 6" xfId="15535"/>
    <cellStyle name="20% - Accent4 4 3 2 2 5" xfId="8940"/>
    <cellStyle name="20% - Accent4 4 3 2 2 5 2" xfId="15536"/>
    <cellStyle name="20% - Accent4 4 3 2 2 5 2 2" xfId="15537"/>
    <cellStyle name="20% - Accent4 4 3 2 2 5 2 3" xfId="15538"/>
    <cellStyle name="20% - Accent4 4 3 2 2 5 3" xfId="15539"/>
    <cellStyle name="20% - Accent4 4 3 2 2 5 3 2" xfId="15540"/>
    <cellStyle name="20% - Accent4 4 3 2 2 5 4" xfId="15541"/>
    <cellStyle name="20% - Accent4 4 3 2 2 5 5" xfId="15542"/>
    <cellStyle name="20% - Accent4 4 3 2 2 6" xfId="15543"/>
    <cellStyle name="20% - Accent4 4 3 2 2 6 2" xfId="15544"/>
    <cellStyle name="20% - Accent4 4 3 2 2 6 3" xfId="15545"/>
    <cellStyle name="20% - Accent4 4 3 2 2 7" xfId="15546"/>
    <cellStyle name="20% - Accent4 4 3 2 2 7 2" xfId="15547"/>
    <cellStyle name="20% - Accent4 4 3 2 2 7 3" xfId="15548"/>
    <cellStyle name="20% - Accent4 4 3 2 2 8" xfId="15549"/>
    <cellStyle name="20% - Accent4 4 3 2 2 8 2" xfId="15550"/>
    <cellStyle name="20% - Accent4 4 3 2 2 9" xfId="15551"/>
    <cellStyle name="20% - Accent4 4 3 2 3" xfId="878"/>
    <cellStyle name="20% - Accent4 4 3 2 3 2" xfId="879"/>
    <cellStyle name="20% - Accent4 4 3 2 3 2 2" xfId="15552"/>
    <cellStyle name="20% - Accent4 4 3 2 3 2 2 2" xfId="15553"/>
    <cellStyle name="20% - Accent4 4 3 2 3 2 2 3" xfId="15554"/>
    <cellStyle name="20% - Accent4 4 3 2 3 2 3" xfId="15555"/>
    <cellStyle name="20% - Accent4 4 3 2 3 2 3 2" xfId="15556"/>
    <cellStyle name="20% - Accent4 4 3 2 3 2 3 3" xfId="15557"/>
    <cellStyle name="20% - Accent4 4 3 2 3 2 4" xfId="15558"/>
    <cellStyle name="20% - Accent4 4 3 2 3 2 4 2" xfId="15559"/>
    <cellStyle name="20% - Accent4 4 3 2 3 2 5" xfId="15560"/>
    <cellStyle name="20% - Accent4 4 3 2 3 2 6" xfId="15561"/>
    <cellStyle name="20% - Accent4 4 3 2 3 3" xfId="8941"/>
    <cellStyle name="20% - Accent4 4 3 2 3 3 2" xfId="15562"/>
    <cellStyle name="20% - Accent4 4 3 2 3 3 2 2" xfId="15563"/>
    <cellStyle name="20% - Accent4 4 3 2 3 3 2 3" xfId="15564"/>
    <cellStyle name="20% - Accent4 4 3 2 3 3 3" xfId="15565"/>
    <cellStyle name="20% - Accent4 4 3 2 3 3 3 2" xfId="15566"/>
    <cellStyle name="20% - Accent4 4 3 2 3 3 3 3" xfId="15567"/>
    <cellStyle name="20% - Accent4 4 3 2 3 3 4" xfId="15568"/>
    <cellStyle name="20% - Accent4 4 3 2 3 3 4 2" xfId="15569"/>
    <cellStyle name="20% - Accent4 4 3 2 3 3 5" xfId="15570"/>
    <cellStyle name="20% - Accent4 4 3 2 3 3 6" xfId="15571"/>
    <cellStyle name="20% - Accent4 4 3 2 3 4" xfId="15572"/>
    <cellStyle name="20% - Accent4 4 3 2 3 4 2" xfId="15573"/>
    <cellStyle name="20% - Accent4 4 3 2 3 4 2 2" xfId="15574"/>
    <cellStyle name="20% - Accent4 4 3 2 3 4 2 3" xfId="15575"/>
    <cellStyle name="20% - Accent4 4 3 2 3 4 3" xfId="15576"/>
    <cellStyle name="20% - Accent4 4 3 2 3 4 3 2" xfId="15577"/>
    <cellStyle name="20% - Accent4 4 3 2 3 4 4" xfId="15578"/>
    <cellStyle name="20% - Accent4 4 3 2 3 4 5" xfId="15579"/>
    <cellStyle name="20% - Accent4 4 3 2 3 5" xfId="15580"/>
    <cellStyle name="20% - Accent4 4 3 2 3 5 2" xfId="15581"/>
    <cellStyle name="20% - Accent4 4 3 2 3 5 3" xfId="15582"/>
    <cellStyle name="20% - Accent4 4 3 2 3 6" xfId="15583"/>
    <cellStyle name="20% - Accent4 4 3 2 3 6 2" xfId="15584"/>
    <cellStyle name="20% - Accent4 4 3 2 3 6 3" xfId="15585"/>
    <cellStyle name="20% - Accent4 4 3 2 3 7" xfId="15586"/>
    <cellStyle name="20% - Accent4 4 3 2 3 7 2" xfId="15587"/>
    <cellStyle name="20% - Accent4 4 3 2 3 8" xfId="15588"/>
    <cellStyle name="20% - Accent4 4 3 2 3 9" xfId="15589"/>
    <cellStyle name="20% - Accent4 4 3 2 4" xfId="880"/>
    <cellStyle name="20% - Accent4 4 3 2 4 2" xfId="15590"/>
    <cellStyle name="20% - Accent4 4 3 2 4 2 2" xfId="15591"/>
    <cellStyle name="20% - Accent4 4 3 2 4 2 2 2" xfId="15592"/>
    <cellStyle name="20% - Accent4 4 3 2 4 2 2 3" xfId="15593"/>
    <cellStyle name="20% - Accent4 4 3 2 4 2 3" xfId="15594"/>
    <cellStyle name="20% - Accent4 4 3 2 4 2 3 2" xfId="15595"/>
    <cellStyle name="20% - Accent4 4 3 2 4 2 3 3" xfId="15596"/>
    <cellStyle name="20% - Accent4 4 3 2 4 2 4" xfId="15597"/>
    <cellStyle name="20% - Accent4 4 3 2 4 2 4 2" xfId="15598"/>
    <cellStyle name="20% - Accent4 4 3 2 4 2 5" xfId="15599"/>
    <cellStyle name="20% - Accent4 4 3 2 4 2 6" xfId="15600"/>
    <cellStyle name="20% - Accent4 4 3 2 4 3" xfId="15601"/>
    <cellStyle name="20% - Accent4 4 3 2 4 3 2" xfId="15602"/>
    <cellStyle name="20% - Accent4 4 3 2 4 3 2 2" xfId="15603"/>
    <cellStyle name="20% - Accent4 4 3 2 4 3 2 3" xfId="15604"/>
    <cellStyle name="20% - Accent4 4 3 2 4 3 3" xfId="15605"/>
    <cellStyle name="20% - Accent4 4 3 2 4 3 3 2" xfId="15606"/>
    <cellStyle name="20% - Accent4 4 3 2 4 3 3 3" xfId="15607"/>
    <cellStyle name="20% - Accent4 4 3 2 4 3 4" xfId="15608"/>
    <cellStyle name="20% - Accent4 4 3 2 4 3 4 2" xfId="15609"/>
    <cellStyle name="20% - Accent4 4 3 2 4 3 5" xfId="15610"/>
    <cellStyle name="20% - Accent4 4 3 2 4 3 6" xfId="15611"/>
    <cellStyle name="20% - Accent4 4 3 2 4 4" xfId="15612"/>
    <cellStyle name="20% - Accent4 4 3 2 4 4 2" xfId="15613"/>
    <cellStyle name="20% - Accent4 4 3 2 4 4 2 2" xfId="15614"/>
    <cellStyle name="20% - Accent4 4 3 2 4 4 2 3" xfId="15615"/>
    <cellStyle name="20% - Accent4 4 3 2 4 4 3" xfId="15616"/>
    <cellStyle name="20% - Accent4 4 3 2 4 4 3 2" xfId="15617"/>
    <cellStyle name="20% - Accent4 4 3 2 4 4 4" xfId="15618"/>
    <cellStyle name="20% - Accent4 4 3 2 4 4 5" xfId="15619"/>
    <cellStyle name="20% - Accent4 4 3 2 4 5" xfId="15620"/>
    <cellStyle name="20% - Accent4 4 3 2 4 5 2" xfId="15621"/>
    <cellStyle name="20% - Accent4 4 3 2 4 5 3" xfId="15622"/>
    <cellStyle name="20% - Accent4 4 3 2 4 6" xfId="15623"/>
    <cellStyle name="20% - Accent4 4 3 2 4 6 2" xfId="15624"/>
    <cellStyle name="20% - Accent4 4 3 2 4 6 3" xfId="15625"/>
    <cellStyle name="20% - Accent4 4 3 2 4 7" xfId="15626"/>
    <cellStyle name="20% - Accent4 4 3 2 4 7 2" xfId="15627"/>
    <cellStyle name="20% - Accent4 4 3 2 4 8" xfId="15628"/>
    <cellStyle name="20% - Accent4 4 3 2 4 9" xfId="15629"/>
    <cellStyle name="20% - Accent4 4 3 2 5" xfId="881"/>
    <cellStyle name="20% - Accent4 4 3 2 5 2" xfId="15630"/>
    <cellStyle name="20% - Accent4 4 3 2 5 2 2" xfId="15631"/>
    <cellStyle name="20% - Accent4 4 3 2 5 2 3" xfId="15632"/>
    <cellStyle name="20% - Accent4 4 3 2 5 3" xfId="15633"/>
    <cellStyle name="20% - Accent4 4 3 2 5 3 2" xfId="15634"/>
    <cellStyle name="20% - Accent4 4 3 2 5 3 3" xfId="15635"/>
    <cellStyle name="20% - Accent4 4 3 2 5 4" xfId="15636"/>
    <cellStyle name="20% - Accent4 4 3 2 5 4 2" xfId="15637"/>
    <cellStyle name="20% - Accent4 4 3 2 5 5" xfId="15638"/>
    <cellStyle name="20% - Accent4 4 3 2 5 6" xfId="15639"/>
    <cellStyle name="20% - Accent4 4 3 2 6" xfId="8942"/>
    <cellStyle name="20% - Accent4 4 3 2 6 2" xfId="15640"/>
    <cellStyle name="20% - Accent4 4 3 2 6 2 2" xfId="15641"/>
    <cellStyle name="20% - Accent4 4 3 2 6 2 3" xfId="15642"/>
    <cellStyle name="20% - Accent4 4 3 2 6 3" xfId="15643"/>
    <cellStyle name="20% - Accent4 4 3 2 6 3 2" xfId="15644"/>
    <cellStyle name="20% - Accent4 4 3 2 6 3 3" xfId="15645"/>
    <cellStyle name="20% - Accent4 4 3 2 6 4" xfId="15646"/>
    <cellStyle name="20% - Accent4 4 3 2 6 4 2" xfId="15647"/>
    <cellStyle name="20% - Accent4 4 3 2 6 5" xfId="15648"/>
    <cellStyle name="20% - Accent4 4 3 2 6 6" xfId="15649"/>
    <cellStyle name="20% - Accent4 4 3 2 7" xfId="15650"/>
    <cellStyle name="20% - Accent4 4 3 2 7 2" xfId="15651"/>
    <cellStyle name="20% - Accent4 4 3 2 7 2 2" xfId="15652"/>
    <cellStyle name="20% - Accent4 4 3 2 7 2 3" xfId="15653"/>
    <cellStyle name="20% - Accent4 4 3 2 7 3" xfId="15654"/>
    <cellStyle name="20% - Accent4 4 3 2 7 3 2" xfId="15655"/>
    <cellStyle name="20% - Accent4 4 3 2 7 4" xfId="15656"/>
    <cellStyle name="20% - Accent4 4 3 2 7 5" xfId="15657"/>
    <cellStyle name="20% - Accent4 4 3 2 8" xfId="15658"/>
    <cellStyle name="20% - Accent4 4 3 2 8 2" xfId="15659"/>
    <cellStyle name="20% - Accent4 4 3 2 8 3" xfId="15660"/>
    <cellStyle name="20% - Accent4 4 3 2 9" xfId="15661"/>
    <cellStyle name="20% - Accent4 4 3 2 9 2" xfId="15662"/>
    <cellStyle name="20% - Accent4 4 3 2 9 3" xfId="15663"/>
    <cellStyle name="20% - Accent4 4 3 3" xfId="882"/>
    <cellStyle name="20% - Accent4 4 3 3 10" xfId="15664"/>
    <cellStyle name="20% - Accent4 4 3 3 2" xfId="883"/>
    <cellStyle name="20% - Accent4 4 3 3 2 2" xfId="884"/>
    <cellStyle name="20% - Accent4 4 3 3 2 2 2" xfId="15665"/>
    <cellStyle name="20% - Accent4 4 3 3 2 2 2 2" xfId="15666"/>
    <cellStyle name="20% - Accent4 4 3 3 2 2 2 3" xfId="15667"/>
    <cellStyle name="20% - Accent4 4 3 3 2 2 3" xfId="15668"/>
    <cellStyle name="20% - Accent4 4 3 3 2 2 3 2" xfId="15669"/>
    <cellStyle name="20% - Accent4 4 3 3 2 2 3 3" xfId="15670"/>
    <cellStyle name="20% - Accent4 4 3 3 2 2 4" xfId="15671"/>
    <cellStyle name="20% - Accent4 4 3 3 2 2 4 2" xfId="15672"/>
    <cellStyle name="20% - Accent4 4 3 3 2 2 5" xfId="15673"/>
    <cellStyle name="20% - Accent4 4 3 3 2 2 6" xfId="15674"/>
    <cellStyle name="20% - Accent4 4 3 3 2 3" xfId="8943"/>
    <cellStyle name="20% - Accent4 4 3 3 2 3 2" xfId="15675"/>
    <cellStyle name="20% - Accent4 4 3 3 2 3 2 2" xfId="15676"/>
    <cellStyle name="20% - Accent4 4 3 3 2 3 2 3" xfId="15677"/>
    <cellStyle name="20% - Accent4 4 3 3 2 3 3" xfId="15678"/>
    <cellStyle name="20% - Accent4 4 3 3 2 3 3 2" xfId="15679"/>
    <cellStyle name="20% - Accent4 4 3 3 2 3 3 3" xfId="15680"/>
    <cellStyle name="20% - Accent4 4 3 3 2 3 4" xfId="15681"/>
    <cellStyle name="20% - Accent4 4 3 3 2 3 4 2" xfId="15682"/>
    <cellStyle name="20% - Accent4 4 3 3 2 3 5" xfId="15683"/>
    <cellStyle name="20% - Accent4 4 3 3 2 3 6" xfId="15684"/>
    <cellStyle name="20% - Accent4 4 3 3 2 4" xfId="15685"/>
    <cellStyle name="20% - Accent4 4 3 3 2 4 2" xfId="15686"/>
    <cellStyle name="20% - Accent4 4 3 3 2 4 2 2" xfId="15687"/>
    <cellStyle name="20% - Accent4 4 3 3 2 4 2 3" xfId="15688"/>
    <cellStyle name="20% - Accent4 4 3 3 2 4 3" xfId="15689"/>
    <cellStyle name="20% - Accent4 4 3 3 2 4 3 2" xfId="15690"/>
    <cellStyle name="20% - Accent4 4 3 3 2 4 4" xfId="15691"/>
    <cellStyle name="20% - Accent4 4 3 3 2 4 5" xfId="15692"/>
    <cellStyle name="20% - Accent4 4 3 3 2 5" xfId="15693"/>
    <cellStyle name="20% - Accent4 4 3 3 2 5 2" xfId="15694"/>
    <cellStyle name="20% - Accent4 4 3 3 2 5 3" xfId="15695"/>
    <cellStyle name="20% - Accent4 4 3 3 2 6" xfId="15696"/>
    <cellStyle name="20% - Accent4 4 3 3 2 6 2" xfId="15697"/>
    <cellStyle name="20% - Accent4 4 3 3 2 6 3" xfId="15698"/>
    <cellStyle name="20% - Accent4 4 3 3 2 7" xfId="15699"/>
    <cellStyle name="20% - Accent4 4 3 3 2 7 2" xfId="15700"/>
    <cellStyle name="20% - Accent4 4 3 3 2 8" xfId="15701"/>
    <cellStyle name="20% - Accent4 4 3 3 2 9" xfId="15702"/>
    <cellStyle name="20% - Accent4 4 3 3 3" xfId="885"/>
    <cellStyle name="20% - Accent4 4 3 3 3 2" xfId="15703"/>
    <cellStyle name="20% - Accent4 4 3 3 3 2 2" xfId="15704"/>
    <cellStyle name="20% - Accent4 4 3 3 3 2 3" xfId="15705"/>
    <cellStyle name="20% - Accent4 4 3 3 3 3" xfId="15706"/>
    <cellStyle name="20% - Accent4 4 3 3 3 3 2" xfId="15707"/>
    <cellStyle name="20% - Accent4 4 3 3 3 3 3" xfId="15708"/>
    <cellStyle name="20% - Accent4 4 3 3 3 4" xfId="15709"/>
    <cellStyle name="20% - Accent4 4 3 3 3 4 2" xfId="15710"/>
    <cellStyle name="20% - Accent4 4 3 3 3 5" xfId="15711"/>
    <cellStyle name="20% - Accent4 4 3 3 3 6" xfId="15712"/>
    <cellStyle name="20% - Accent4 4 3 3 4" xfId="886"/>
    <cellStyle name="20% - Accent4 4 3 3 4 2" xfId="15713"/>
    <cellStyle name="20% - Accent4 4 3 3 4 2 2" xfId="15714"/>
    <cellStyle name="20% - Accent4 4 3 3 4 2 3" xfId="15715"/>
    <cellStyle name="20% - Accent4 4 3 3 4 3" xfId="15716"/>
    <cellStyle name="20% - Accent4 4 3 3 4 3 2" xfId="15717"/>
    <cellStyle name="20% - Accent4 4 3 3 4 3 3" xfId="15718"/>
    <cellStyle name="20% - Accent4 4 3 3 4 4" xfId="15719"/>
    <cellStyle name="20% - Accent4 4 3 3 4 4 2" xfId="15720"/>
    <cellStyle name="20% - Accent4 4 3 3 4 5" xfId="15721"/>
    <cellStyle name="20% - Accent4 4 3 3 4 6" xfId="15722"/>
    <cellStyle name="20% - Accent4 4 3 3 5" xfId="8944"/>
    <cellStyle name="20% - Accent4 4 3 3 5 2" xfId="15723"/>
    <cellStyle name="20% - Accent4 4 3 3 5 2 2" xfId="15724"/>
    <cellStyle name="20% - Accent4 4 3 3 5 2 3" xfId="15725"/>
    <cellStyle name="20% - Accent4 4 3 3 5 3" xfId="15726"/>
    <cellStyle name="20% - Accent4 4 3 3 5 3 2" xfId="15727"/>
    <cellStyle name="20% - Accent4 4 3 3 5 4" xfId="15728"/>
    <cellStyle name="20% - Accent4 4 3 3 5 5" xfId="15729"/>
    <cellStyle name="20% - Accent4 4 3 3 6" xfId="15730"/>
    <cellStyle name="20% - Accent4 4 3 3 6 2" xfId="15731"/>
    <cellStyle name="20% - Accent4 4 3 3 6 3" xfId="15732"/>
    <cellStyle name="20% - Accent4 4 3 3 7" xfId="15733"/>
    <cellStyle name="20% - Accent4 4 3 3 7 2" xfId="15734"/>
    <cellStyle name="20% - Accent4 4 3 3 7 3" xfId="15735"/>
    <cellStyle name="20% - Accent4 4 3 3 8" xfId="15736"/>
    <cellStyle name="20% - Accent4 4 3 3 8 2" xfId="15737"/>
    <cellStyle name="20% - Accent4 4 3 3 9" xfId="15738"/>
    <cellStyle name="20% - Accent4 4 3 4" xfId="887"/>
    <cellStyle name="20% - Accent4 4 3 4 2" xfId="888"/>
    <cellStyle name="20% - Accent4 4 3 4 2 2" xfId="15739"/>
    <cellStyle name="20% - Accent4 4 3 4 2 2 2" xfId="15740"/>
    <cellStyle name="20% - Accent4 4 3 4 2 2 3" xfId="15741"/>
    <cellStyle name="20% - Accent4 4 3 4 2 3" xfId="15742"/>
    <cellStyle name="20% - Accent4 4 3 4 2 3 2" xfId="15743"/>
    <cellStyle name="20% - Accent4 4 3 4 2 3 3" xfId="15744"/>
    <cellStyle name="20% - Accent4 4 3 4 2 4" xfId="15745"/>
    <cellStyle name="20% - Accent4 4 3 4 2 4 2" xfId="15746"/>
    <cellStyle name="20% - Accent4 4 3 4 2 5" xfId="15747"/>
    <cellStyle name="20% - Accent4 4 3 4 2 6" xfId="15748"/>
    <cellStyle name="20% - Accent4 4 3 4 3" xfId="8945"/>
    <cellStyle name="20% - Accent4 4 3 4 3 2" xfId="15749"/>
    <cellStyle name="20% - Accent4 4 3 4 3 2 2" xfId="15750"/>
    <cellStyle name="20% - Accent4 4 3 4 3 2 3" xfId="15751"/>
    <cellStyle name="20% - Accent4 4 3 4 3 3" xfId="15752"/>
    <cellStyle name="20% - Accent4 4 3 4 3 3 2" xfId="15753"/>
    <cellStyle name="20% - Accent4 4 3 4 3 3 3" xfId="15754"/>
    <cellStyle name="20% - Accent4 4 3 4 3 4" xfId="15755"/>
    <cellStyle name="20% - Accent4 4 3 4 3 4 2" xfId="15756"/>
    <cellStyle name="20% - Accent4 4 3 4 3 5" xfId="15757"/>
    <cellStyle name="20% - Accent4 4 3 4 3 6" xfId="15758"/>
    <cellStyle name="20% - Accent4 4 3 4 4" xfId="15759"/>
    <cellStyle name="20% - Accent4 4 3 4 4 2" xfId="15760"/>
    <cellStyle name="20% - Accent4 4 3 4 4 2 2" xfId="15761"/>
    <cellStyle name="20% - Accent4 4 3 4 4 2 3" xfId="15762"/>
    <cellStyle name="20% - Accent4 4 3 4 4 3" xfId="15763"/>
    <cellStyle name="20% - Accent4 4 3 4 4 3 2" xfId="15764"/>
    <cellStyle name="20% - Accent4 4 3 4 4 4" xfId="15765"/>
    <cellStyle name="20% - Accent4 4 3 4 4 5" xfId="15766"/>
    <cellStyle name="20% - Accent4 4 3 4 5" xfId="15767"/>
    <cellStyle name="20% - Accent4 4 3 4 5 2" xfId="15768"/>
    <cellStyle name="20% - Accent4 4 3 4 5 3" xfId="15769"/>
    <cellStyle name="20% - Accent4 4 3 4 6" xfId="15770"/>
    <cellStyle name="20% - Accent4 4 3 4 6 2" xfId="15771"/>
    <cellStyle name="20% - Accent4 4 3 4 6 3" xfId="15772"/>
    <cellStyle name="20% - Accent4 4 3 4 7" xfId="15773"/>
    <cellStyle name="20% - Accent4 4 3 4 7 2" xfId="15774"/>
    <cellStyle name="20% - Accent4 4 3 4 8" xfId="15775"/>
    <cellStyle name="20% - Accent4 4 3 4 9" xfId="15776"/>
    <cellStyle name="20% - Accent4 4 3 5" xfId="889"/>
    <cellStyle name="20% - Accent4 4 3 5 2" xfId="15777"/>
    <cellStyle name="20% - Accent4 4 3 5 2 2" xfId="15778"/>
    <cellStyle name="20% - Accent4 4 3 5 2 2 2" xfId="15779"/>
    <cellStyle name="20% - Accent4 4 3 5 2 2 3" xfId="15780"/>
    <cellStyle name="20% - Accent4 4 3 5 2 3" xfId="15781"/>
    <cellStyle name="20% - Accent4 4 3 5 2 3 2" xfId="15782"/>
    <cellStyle name="20% - Accent4 4 3 5 2 3 3" xfId="15783"/>
    <cellStyle name="20% - Accent4 4 3 5 2 4" xfId="15784"/>
    <cellStyle name="20% - Accent4 4 3 5 2 4 2" xfId="15785"/>
    <cellStyle name="20% - Accent4 4 3 5 2 5" xfId="15786"/>
    <cellStyle name="20% - Accent4 4 3 5 2 6" xfId="15787"/>
    <cellStyle name="20% - Accent4 4 3 5 3" xfId="15788"/>
    <cellStyle name="20% - Accent4 4 3 5 3 2" xfId="15789"/>
    <cellStyle name="20% - Accent4 4 3 5 3 2 2" xfId="15790"/>
    <cellStyle name="20% - Accent4 4 3 5 3 2 3" xfId="15791"/>
    <cellStyle name="20% - Accent4 4 3 5 3 3" xfId="15792"/>
    <cellStyle name="20% - Accent4 4 3 5 3 3 2" xfId="15793"/>
    <cellStyle name="20% - Accent4 4 3 5 3 3 3" xfId="15794"/>
    <cellStyle name="20% - Accent4 4 3 5 3 4" xfId="15795"/>
    <cellStyle name="20% - Accent4 4 3 5 3 4 2" xfId="15796"/>
    <cellStyle name="20% - Accent4 4 3 5 3 5" xfId="15797"/>
    <cellStyle name="20% - Accent4 4 3 5 3 6" xfId="15798"/>
    <cellStyle name="20% - Accent4 4 3 5 4" xfId="15799"/>
    <cellStyle name="20% - Accent4 4 3 5 4 2" xfId="15800"/>
    <cellStyle name="20% - Accent4 4 3 5 4 2 2" xfId="15801"/>
    <cellStyle name="20% - Accent4 4 3 5 4 2 3" xfId="15802"/>
    <cellStyle name="20% - Accent4 4 3 5 4 3" xfId="15803"/>
    <cellStyle name="20% - Accent4 4 3 5 4 3 2" xfId="15804"/>
    <cellStyle name="20% - Accent4 4 3 5 4 4" xfId="15805"/>
    <cellStyle name="20% - Accent4 4 3 5 4 5" xfId="15806"/>
    <cellStyle name="20% - Accent4 4 3 5 5" xfId="15807"/>
    <cellStyle name="20% - Accent4 4 3 5 5 2" xfId="15808"/>
    <cellStyle name="20% - Accent4 4 3 5 5 3" xfId="15809"/>
    <cellStyle name="20% - Accent4 4 3 5 6" xfId="15810"/>
    <cellStyle name="20% - Accent4 4 3 5 6 2" xfId="15811"/>
    <cellStyle name="20% - Accent4 4 3 5 6 3" xfId="15812"/>
    <cellStyle name="20% - Accent4 4 3 5 7" xfId="15813"/>
    <cellStyle name="20% - Accent4 4 3 5 7 2" xfId="15814"/>
    <cellStyle name="20% - Accent4 4 3 5 8" xfId="15815"/>
    <cellStyle name="20% - Accent4 4 3 5 9" xfId="15816"/>
    <cellStyle name="20% - Accent4 4 3 6" xfId="890"/>
    <cellStyle name="20% - Accent4 4 3 6 2" xfId="15817"/>
    <cellStyle name="20% - Accent4 4 3 6 2 2" xfId="15818"/>
    <cellStyle name="20% - Accent4 4 3 6 2 3" xfId="15819"/>
    <cellStyle name="20% - Accent4 4 3 6 3" xfId="15820"/>
    <cellStyle name="20% - Accent4 4 3 6 3 2" xfId="15821"/>
    <cellStyle name="20% - Accent4 4 3 6 3 3" xfId="15822"/>
    <cellStyle name="20% - Accent4 4 3 6 4" xfId="15823"/>
    <cellStyle name="20% - Accent4 4 3 6 4 2" xfId="15824"/>
    <cellStyle name="20% - Accent4 4 3 6 5" xfId="15825"/>
    <cellStyle name="20% - Accent4 4 3 6 6" xfId="15826"/>
    <cellStyle name="20% - Accent4 4 3 7" xfId="8946"/>
    <cellStyle name="20% - Accent4 4 3 7 2" xfId="15827"/>
    <cellStyle name="20% - Accent4 4 3 7 2 2" xfId="15828"/>
    <cellStyle name="20% - Accent4 4 3 7 2 3" xfId="15829"/>
    <cellStyle name="20% - Accent4 4 3 7 3" xfId="15830"/>
    <cellStyle name="20% - Accent4 4 3 7 3 2" xfId="15831"/>
    <cellStyle name="20% - Accent4 4 3 7 3 3" xfId="15832"/>
    <cellStyle name="20% - Accent4 4 3 7 4" xfId="15833"/>
    <cellStyle name="20% - Accent4 4 3 7 4 2" xfId="15834"/>
    <cellStyle name="20% - Accent4 4 3 7 5" xfId="15835"/>
    <cellStyle name="20% - Accent4 4 3 7 6" xfId="15836"/>
    <cellStyle name="20% - Accent4 4 3 8" xfId="15837"/>
    <cellStyle name="20% - Accent4 4 3 8 2" xfId="15838"/>
    <cellStyle name="20% - Accent4 4 3 8 2 2" xfId="15839"/>
    <cellStyle name="20% - Accent4 4 3 8 2 3" xfId="15840"/>
    <cellStyle name="20% - Accent4 4 3 8 3" xfId="15841"/>
    <cellStyle name="20% - Accent4 4 3 8 3 2" xfId="15842"/>
    <cellStyle name="20% - Accent4 4 3 8 4" xfId="15843"/>
    <cellStyle name="20% - Accent4 4 3 8 5" xfId="15844"/>
    <cellStyle name="20% - Accent4 4 3 9" xfId="15845"/>
    <cellStyle name="20% - Accent4 4 3 9 2" xfId="15846"/>
    <cellStyle name="20% - Accent4 4 3 9 3" xfId="15847"/>
    <cellStyle name="20% - Accent4 4 4" xfId="891"/>
    <cellStyle name="20% - Accent4 4 4 10" xfId="15848"/>
    <cellStyle name="20% - Accent4 4 4 10 2" xfId="15849"/>
    <cellStyle name="20% - Accent4 4 4 11" xfId="15850"/>
    <cellStyle name="20% - Accent4 4 4 12" xfId="15851"/>
    <cellStyle name="20% - Accent4 4 4 2" xfId="892"/>
    <cellStyle name="20% - Accent4 4 4 2 10" xfId="15852"/>
    <cellStyle name="20% - Accent4 4 4 2 2" xfId="893"/>
    <cellStyle name="20% - Accent4 4 4 2 2 2" xfId="894"/>
    <cellStyle name="20% - Accent4 4 4 2 2 2 2" xfId="8947"/>
    <cellStyle name="20% - Accent4 4 4 2 2 2 2 2" xfId="15853"/>
    <cellStyle name="20% - Accent4 4 4 2 2 2 2 3" xfId="15854"/>
    <cellStyle name="20% - Accent4 4 4 2 2 2 3" xfId="15855"/>
    <cellStyle name="20% - Accent4 4 4 2 2 2 3 2" xfId="15856"/>
    <cellStyle name="20% - Accent4 4 4 2 2 2 3 3" xfId="15857"/>
    <cellStyle name="20% - Accent4 4 4 2 2 2 4" xfId="15858"/>
    <cellStyle name="20% - Accent4 4 4 2 2 2 4 2" xfId="15859"/>
    <cellStyle name="20% - Accent4 4 4 2 2 2 5" xfId="15860"/>
    <cellStyle name="20% - Accent4 4 4 2 2 2 6" xfId="15861"/>
    <cellStyle name="20% - Accent4 4 4 2 2 3" xfId="895"/>
    <cellStyle name="20% - Accent4 4 4 2 2 3 2" xfId="15862"/>
    <cellStyle name="20% - Accent4 4 4 2 2 3 2 2" xfId="15863"/>
    <cellStyle name="20% - Accent4 4 4 2 2 3 2 3" xfId="15864"/>
    <cellStyle name="20% - Accent4 4 4 2 2 3 3" xfId="15865"/>
    <cellStyle name="20% - Accent4 4 4 2 2 3 3 2" xfId="15866"/>
    <cellStyle name="20% - Accent4 4 4 2 2 3 3 3" xfId="15867"/>
    <cellStyle name="20% - Accent4 4 4 2 2 3 4" xfId="15868"/>
    <cellStyle name="20% - Accent4 4 4 2 2 3 4 2" xfId="15869"/>
    <cellStyle name="20% - Accent4 4 4 2 2 3 5" xfId="15870"/>
    <cellStyle name="20% - Accent4 4 4 2 2 3 6" xfId="15871"/>
    <cellStyle name="20% - Accent4 4 4 2 2 4" xfId="8948"/>
    <cellStyle name="20% - Accent4 4 4 2 2 4 2" xfId="15872"/>
    <cellStyle name="20% - Accent4 4 4 2 2 4 2 2" xfId="15873"/>
    <cellStyle name="20% - Accent4 4 4 2 2 4 2 3" xfId="15874"/>
    <cellStyle name="20% - Accent4 4 4 2 2 4 3" xfId="15875"/>
    <cellStyle name="20% - Accent4 4 4 2 2 4 3 2" xfId="15876"/>
    <cellStyle name="20% - Accent4 4 4 2 2 4 4" xfId="15877"/>
    <cellStyle name="20% - Accent4 4 4 2 2 4 5" xfId="15878"/>
    <cellStyle name="20% - Accent4 4 4 2 2 5" xfId="15879"/>
    <cellStyle name="20% - Accent4 4 4 2 2 5 2" xfId="15880"/>
    <cellStyle name="20% - Accent4 4 4 2 2 5 3" xfId="15881"/>
    <cellStyle name="20% - Accent4 4 4 2 2 6" xfId="15882"/>
    <cellStyle name="20% - Accent4 4 4 2 2 6 2" xfId="15883"/>
    <cellStyle name="20% - Accent4 4 4 2 2 6 3" xfId="15884"/>
    <cellStyle name="20% - Accent4 4 4 2 2 7" xfId="15885"/>
    <cellStyle name="20% - Accent4 4 4 2 2 7 2" xfId="15886"/>
    <cellStyle name="20% - Accent4 4 4 2 2 8" xfId="15887"/>
    <cellStyle name="20% - Accent4 4 4 2 2 9" xfId="15888"/>
    <cellStyle name="20% - Accent4 4 4 2 3" xfId="896"/>
    <cellStyle name="20% - Accent4 4 4 2 3 2" xfId="8949"/>
    <cellStyle name="20% - Accent4 4 4 2 3 2 2" xfId="15889"/>
    <cellStyle name="20% - Accent4 4 4 2 3 2 3" xfId="15890"/>
    <cellStyle name="20% - Accent4 4 4 2 3 3" xfId="15891"/>
    <cellStyle name="20% - Accent4 4 4 2 3 3 2" xfId="15892"/>
    <cellStyle name="20% - Accent4 4 4 2 3 3 3" xfId="15893"/>
    <cellStyle name="20% - Accent4 4 4 2 3 4" xfId="15894"/>
    <cellStyle name="20% - Accent4 4 4 2 3 4 2" xfId="15895"/>
    <cellStyle name="20% - Accent4 4 4 2 3 5" xfId="15896"/>
    <cellStyle name="20% - Accent4 4 4 2 3 6" xfId="15897"/>
    <cellStyle name="20% - Accent4 4 4 2 4" xfId="897"/>
    <cellStyle name="20% - Accent4 4 4 2 4 2" xfId="15898"/>
    <cellStyle name="20% - Accent4 4 4 2 4 2 2" xfId="15899"/>
    <cellStyle name="20% - Accent4 4 4 2 4 2 3" xfId="15900"/>
    <cellStyle name="20% - Accent4 4 4 2 4 3" xfId="15901"/>
    <cellStyle name="20% - Accent4 4 4 2 4 3 2" xfId="15902"/>
    <cellStyle name="20% - Accent4 4 4 2 4 3 3" xfId="15903"/>
    <cellStyle name="20% - Accent4 4 4 2 4 4" xfId="15904"/>
    <cellStyle name="20% - Accent4 4 4 2 4 4 2" xfId="15905"/>
    <cellStyle name="20% - Accent4 4 4 2 4 5" xfId="15906"/>
    <cellStyle name="20% - Accent4 4 4 2 4 6" xfId="15907"/>
    <cellStyle name="20% - Accent4 4 4 2 5" xfId="8950"/>
    <cellStyle name="20% - Accent4 4 4 2 5 2" xfId="15908"/>
    <cellStyle name="20% - Accent4 4 4 2 5 2 2" xfId="15909"/>
    <cellStyle name="20% - Accent4 4 4 2 5 2 3" xfId="15910"/>
    <cellStyle name="20% - Accent4 4 4 2 5 3" xfId="15911"/>
    <cellStyle name="20% - Accent4 4 4 2 5 3 2" xfId="15912"/>
    <cellStyle name="20% - Accent4 4 4 2 5 4" xfId="15913"/>
    <cellStyle name="20% - Accent4 4 4 2 5 5" xfId="15914"/>
    <cellStyle name="20% - Accent4 4 4 2 6" xfId="15915"/>
    <cellStyle name="20% - Accent4 4 4 2 6 2" xfId="15916"/>
    <cellStyle name="20% - Accent4 4 4 2 6 3" xfId="15917"/>
    <cellStyle name="20% - Accent4 4 4 2 7" xfId="15918"/>
    <cellStyle name="20% - Accent4 4 4 2 7 2" xfId="15919"/>
    <cellStyle name="20% - Accent4 4 4 2 7 3" xfId="15920"/>
    <cellStyle name="20% - Accent4 4 4 2 8" xfId="15921"/>
    <cellStyle name="20% - Accent4 4 4 2 8 2" xfId="15922"/>
    <cellStyle name="20% - Accent4 4 4 2 9" xfId="15923"/>
    <cellStyle name="20% - Accent4 4 4 3" xfId="898"/>
    <cellStyle name="20% - Accent4 4 4 3 2" xfId="899"/>
    <cellStyle name="20% - Accent4 4 4 3 2 2" xfId="8951"/>
    <cellStyle name="20% - Accent4 4 4 3 2 2 2" xfId="15924"/>
    <cellStyle name="20% - Accent4 4 4 3 2 2 3" xfId="15925"/>
    <cellStyle name="20% - Accent4 4 4 3 2 3" xfId="15926"/>
    <cellStyle name="20% - Accent4 4 4 3 2 3 2" xfId="15927"/>
    <cellStyle name="20% - Accent4 4 4 3 2 3 3" xfId="15928"/>
    <cellStyle name="20% - Accent4 4 4 3 2 4" xfId="15929"/>
    <cellStyle name="20% - Accent4 4 4 3 2 4 2" xfId="15930"/>
    <cellStyle name="20% - Accent4 4 4 3 2 5" xfId="15931"/>
    <cellStyle name="20% - Accent4 4 4 3 2 6" xfId="15932"/>
    <cellStyle name="20% - Accent4 4 4 3 3" xfId="900"/>
    <cellStyle name="20% - Accent4 4 4 3 3 2" xfId="15933"/>
    <cellStyle name="20% - Accent4 4 4 3 3 2 2" xfId="15934"/>
    <cellStyle name="20% - Accent4 4 4 3 3 2 3" xfId="15935"/>
    <cellStyle name="20% - Accent4 4 4 3 3 3" xfId="15936"/>
    <cellStyle name="20% - Accent4 4 4 3 3 3 2" xfId="15937"/>
    <cellStyle name="20% - Accent4 4 4 3 3 3 3" xfId="15938"/>
    <cellStyle name="20% - Accent4 4 4 3 3 4" xfId="15939"/>
    <cellStyle name="20% - Accent4 4 4 3 3 4 2" xfId="15940"/>
    <cellStyle name="20% - Accent4 4 4 3 3 5" xfId="15941"/>
    <cellStyle name="20% - Accent4 4 4 3 3 6" xfId="15942"/>
    <cellStyle name="20% - Accent4 4 4 3 4" xfId="8952"/>
    <cellStyle name="20% - Accent4 4 4 3 4 2" xfId="15943"/>
    <cellStyle name="20% - Accent4 4 4 3 4 2 2" xfId="15944"/>
    <cellStyle name="20% - Accent4 4 4 3 4 2 3" xfId="15945"/>
    <cellStyle name="20% - Accent4 4 4 3 4 3" xfId="15946"/>
    <cellStyle name="20% - Accent4 4 4 3 4 3 2" xfId="15947"/>
    <cellStyle name="20% - Accent4 4 4 3 4 4" xfId="15948"/>
    <cellStyle name="20% - Accent4 4 4 3 4 5" xfId="15949"/>
    <cellStyle name="20% - Accent4 4 4 3 5" xfId="15950"/>
    <cellStyle name="20% - Accent4 4 4 3 5 2" xfId="15951"/>
    <cellStyle name="20% - Accent4 4 4 3 5 3" xfId="15952"/>
    <cellStyle name="20% - Accent4 4 4 3 6" xfId="15953"/>
    <cellStyle name="20% - Accent4 4 4 3 6 2" xfId="15954"/>
    <cellStyle name="20% - Accent4 4 4 3 6 3" xfId="15955"/>
    <cellStyle name="20% - Accent4 4 4 3 7" xfId="15956"/>
    <cellStyle name="20% - Accent4 4 4 3 7 2" xfId="15957"/>
    <cellStyle name="20% - Accent4 4 4 3 8" xfId="15958"/>
    <cellStyle name="20% - Accent4 4 4 3 9" xfId="15959"/>
    <cellStyle name="20% - Accent4 4 4 4" xfId="901"/>
    <cellStyle name="20% - Accent4 4 4 4 2" xfId="8953"/>
    <cellStyle name="20% - Accent4 4 4 4 2 2" xfId="15960"/>
    <cellStyle name="20% - Accent4 4 4 4 2 2 2" xfId="15961"/>
    <cellStyle name="20% - Accent4 4 4 4 2 2 3" xfId="15962"/>
    <cellStyle name="20% - Accent4 4 4 4 2 3" xfId="15963"/>
    <cellStyle name="20% - Accent4 4 4 4 2 3 2" xfId="15964"/>
    <cellStyle name="20% - Accent4 4 4 4 2 3 3" xfId="15965"/>
    <cellStyle name="20% - Accent4 4 4 4 2 4" xfId="15966"/>
    <cellStyle name="20% - Accent4 4 4 4 2 4 2" xfId="15967"/>
    <cellStyle name="20% - Accent4 4 4 4 2 5" xfId="15968"/>
    <cellStyle name="20% - Accent4 4 4 4 2 6" xfId="15969"/>
    <cellStyle name="20% - Accent4 4 4 4 3" xfId="15970"/>
    <cellStyle name="20% - Accent4 4 4 4 3 2" xfId="15971"/>
    <cellStyle name="20% - Accent4 4 4 4 3 2 2" xfId="15972"/>
    <cellStyle name="20% - Accent4 4 4 4 3 2 3" xfId="15973"/>
    <cellStyle name="20% - Accent4 4 4 4 3 3" xfId="15974"/>
    <cellStyle name="20% - Accent4 4 4 4 3 3 2" xfId="15975"/>
    <cellStyle name="20% - Accent4 4 4 4 3 3 3" xfId="15976"/>
    <cellStyle name="20% - Accent4 4 4 4 3 4" xfId="15977"/>
    <cellStyle name="20% - Accent4 4 4 4 3 4 2" xfId="15978"/>
    <cellStyle name="20% - Accent4 4 4 4 3 5" xfId="15979"/>
    <cellStyle name="20% - Accent4 4 4 4 3 6" xfId="15980"/>
    <cellStyle name="20% - Accent4 4 4 4 4" xfId="15981"/>
    <cellStyle name="20% - Accent4 4 4 4 4 2" xfId="15982"/>
    <cellStyle name="20% - Accent4 4 4 4 4 2 2" xfId="15983"/>
    <cellStyle name="20% - Accent4 4 4 4 4 2 3" xfId="15984"/>
    <cellStyle name="20% - Accent4 4 4 4 4 3" xfId="15985"/>
    <cellStyle name="20% - Accent4 4 4 4 4 3 2" xfId="15986"/>
    <cellStyle name="20% - Accent4 4 4 4 4 4" xfId="15987"/>
    <cellStyle name="20% - Accent4 4 4 4 4 5" xfId="15988"/>
    <cellStyle name="20% - Accent4 4 4 4 5" xfId="15989"/>
    <cellStyle name="20% - Accent4 4 4 4 5 2" xfId="15990"/>
    <cellStyle name="20% - Accent4 4 4 4 5 3" xfId="15991"/>
    <cellStyle name="20% - Accent4 4 4 4 6" xfId="15992"/>
    <cellStyle name="20% - Accent4 4 4 4 6 2" xfId="15993"/>
    <cellStyle name="20% - Accent4 4 4 4 6 3" xfId="15994"/>
    <cellStyle name="20% - Accent4 4 4 4 7" xfId="15995"/>
    <cellStyle name="20% - Accent4 4 4 4 7 2" xfId="15996"/>
    <cellStyle name="20% - Accent4 4 4 4 8" xfId="15997"/>
    <cellStyle name="20% - Accent4 4 4 4 9" xfId="15998"/>
    <cellStyle name="20% - Accent4 4 4 5" xfId="902"/>
    <cellStyle name="20% - Accent4 4 4 5 2" xfId="15999"/>
    <cellStyle name="20% - Accent4 4 4 5 2 2" xfId="16000"/>
    <cellStyle name="20% - Accent4 4 4 5 2 3" xfId="16001"/>
    <cellStyle name="20% - Accent4 4 4 5 3" xfId="16002"/>
    <cellStyle name="20% - Accent4 4 4 5 3 2" xfId="16003"/>
    <cellStyle name="20% - Accent4 4 4 5 3 3" xfId="16004"/>
    <cellStyle name="20% - Accent4 4 4 5 4" xfId="16005"/>
    <cellStyle name="20% - Accent4 4 4 5 4 2" xfId="16006"/>
    <cellStyle name="20% - Accent4 4 4 5 5" xfId="16007"/>
    <cellStyle name="20% - Accent4 4 4 5 6" xfId="16008"/>
    <cellStyle name="20% - Accent4 4 4 6" xfId="8954"/>
    <cellStyle name="20% - Accent4 4 4 6 2" xfId="16009"/>
    <cellStyle name="20% - Accent4 4 4 6 2 2" xfId="16010"/>
    <cellStyle name="20% - Accent4 4 4 6 2 3" xfId="16011"/>
    <cellStyle name="20% - Accent4 4 4 6 3" xfId="16012"/>
    <cellStyle name="20% - Accent4 4 4 6 3 2" xfId="16013"/>
    <cellStyle name="20% - Accent4 4 4 6 3 3" xfId="16014"/>
    <cellStyle name="20% - Accent4 4 4 6 4" xfId="16015"/>
    <cellStyle name="20% - Accent4 4 4 6 4 2" xfId="16016"/>
    <cellStyle name="20% - Accent4 4 4 6 5" xfId="16017"/>
    <cellStyle name="20% - Accent4 4 4 6 6" xfId="16018"/>
    <cellStyle name="20% - Accent4 4 4 7" xfId="16019"/>
    <cellStyle name="20% - Accent4 4 4 7 2" xfId="16020"/>
    <cellStyle name="20% - Accent4 4 4 7 2 2" xfId="16021"/>
    <cellStyle name="20% - Accent4 4 4 7 2 3" xfId="16022"/>
    <cellStyle name="20% - Accent4 4 4 7 3" xfId="16023"/>
    <cellStyle name="20% - Accent4 4 4 7 3 2" xfId="16024"/>
    <cellStyle name="20% - Accent4 4 4 7 4" xfId="16025"/>
    <cellStyle name="20% - Accent4 4 4 7 5" xfId="16026"/>
    <cellStyle name="20% - Accent4 4 4 8" xfId="16027"/>
    <cellStyle name="20% - Accent4 4 4 8 2" xfId="16028"/>
    <cellStyle name="20% - Accent4 4 4 8 3" xfId="16029"/>
    <cellStyle name="20% - Accent4 4 4 9" xfId="16030"/>
    <cellStyle name="20% - Accent4 4 4 9 2" xfId="16031"/>
    <cellStyle name="20% - Accent4 4 4 9 3" xfId="16032"/>
    <cellStyle name="20% - Accent4 4 5" xfId="903"/>
    <cellStyle name="20% - Accent4 4 5 10" xfId="16033"/>
    <cellStyle name="20% - Accent4 4 5 2" xfId="904"/>
    <cellStyle name="20% - Accent4 4 5 2 2" xfId="905"/>
    <cellStyle name="20% - Accent4 4 5 2 2 2" xfId="8955"/>
    <cellStyle name="20% - Accent4 4 5 2 2 2 2" xfId="16034"/>
    <cellStyle name="20% - Accent4 4 5 2 2 2 3" xfId="16035"/>
    <cellStyle name="20% - Accent4 4 5 2 2 3" xfId="16036"/>
    <cellStyle name="20% - Accent4 4 5 2 2 3 2" xfId="16037"/>
    <cellStyle name="20% - Accent4 4 5 2 2 3 3" xfId="16038"/>
    <cellStyle name="20% - Accent4 4 5 2 2 4" xfId="16039"/>
    <cellStyle name="20% - Accent4 4 5 2 2 4 2" xfId="16040"/>
    <cellStyle name="20% - Accent4 4 5 2 2 5" xfId="16041"/>
    <cellStyle name="20% - Accent4 4 5 2 2 6" xfId="16042"/>
    <cellStyle name="20% - Accent4 4 5 2 3" xfId="906"/>
    <cellStyle name="20% - Accent4 4 5 2 3 2" xfId="16043"/>
    <cellStyle name="20% - Accent4 4 5 2 3 2 2" xfId="16044"/>
    <cellStyle name="20% - Accent4 4 5 2 3 2 3" xfId="16045"/>
    <cellStyle name="20% - Accent4 4 5 2 3 3" xfId="16046"/>
    <cellStyle name="20% - Accent4 4 5 2 3 3 2" xfId="16047"/>
    <cellStyle name="20% - Accent4 4 5 2 3 3 3" xfId="16048"/>
    <cellStyle name="20% - Accent4 4 5 2 3 4" xfId="16049"/>
    <cellStyle name="20% - Accent4 4 5 2 3 4 2" xfId="16050"/>
    <cellStyle name="20% - Accent4 4 5 2 3 5" xfId="16051"/>
    <cellStyle name="20% - Accent4 4 5 2 3 6" xfId="16052"/>
    <cellStyle name="20% - Accent4 4 5 2 4" xfId="8956"/>
    <cellStyle name="20% - Accent4 4 5 2 4 2" xfId="16053"/>
    <cellStyle name="20% - Accent4 4 5 2 4 2 2" xfId="16054"/>
    <cellStyle name="20% - Accent4 4 5 2 4 2 3" xfId="16055"/>
    <cellStyle name="20% - Accent4 4 5 2 4 3" xfId="16056"/>
    <cellStyle name="20% - Accent4 4 5 2 4 3 2" xfId="16057"/>
    <cellStyle name="20% - Accent4 4 5 2 4 4" xfId="16058"/>
    <cellStyle name="20% - Accent4 4 5 2 4 5" xfId="16059"/>
    <cellStyle name="20% - Accent4 4 5 2 5" xfId="16060"/>
    <cellStyle name="20% - Accent4 4 5 2 5 2" xfId="16061"/>
    <cellStyle name="20% - Accent4 4 5 2 5 3" xfId="16062"/>
    <cellStyle name="20% - Accent4 4 5 2 6" xfId="16063"/>
    <cellStyle name="20% - Accent4 4 5 2 6 2" xfId="16064"/>
    <cellStyle name="20% - Accent4 4 5 2 6 3" xfId="16065"/>
    <cellStyle name="20% - Accent4 4 5 2 7" xfId="16066"/>
    <cellStyle name="20% - Accent4 4 5 2 7 2" xfId="16067"/>
    <cellStyle name="20% - Accent4 4 5 2 8" xfId="16068"/>
    <cellStyle name="20% - Accent4 4 5 2 9" xfId="16069"/>
    <cellStyle name="20% - Accent4 4 5 3" xfId="907"/>
    <cellStyle name="20% - Accent4 4 5 3 2" xfId="8957"/>
    <cellStyle name="20% - Accent4 4 5 3 2 2" xfId="16070"/>
    <cellStyle name="20% - Accent4 4 5 3 2 3" xfId="16071"/>
    <cellStyle name="20% - Accent4 4 5 3 3" xfId="16072"/>
    <cellStyle name="20% - Accent4 4 5 3 3 2" xfId="16073"/>
    <cellStyle name="20% - Accent4 4 5 3 3 3" xfId="16074"/>
    <cellStyle name="20% - Accent4 4 5 3 4" xfId="16075"/>
    <cellStyle name="20% - Accent4 4 5 3 4 2" xfId="16076"/>
    <cellStyle name="20% - Accent4 4 5 3 5" xfId="16077"/>
    <cellStyle name="20% - Accent4 4 5 3 6" xfId="16078"/>
    <cellStyle name="20% - Accent4 4 5 4" xfId="908"/>
    <cellStyle name="20% - Accent4 4 5 4 2" xfId="16079"/>
    <cellStyle name="20% - Accent4 4 5 4 2 2" xfId="16080"/>
    <cellStyle name="20% - Accent4 4 5 4 2 3" xfId="16081"/>
    <cellStyle name="20% - Accent4 4 5 4 3" xfId="16082"/>
    <cellStyle name="20% - Accent4 4 5 4 3 2" xfId="16083"/>
    <cellStyle name="20% - Accent4 4 5 4 3 3" xfId="16084"/>
    <cellStyle name="20% - Accent4 4 5 4 4" xfId="16085"/>
    <cellStyle name="20% - Accent4 4 5 4 4 2" xfId="16086"/>
    <cellStyle name="20% - Accent4 4 5 4 5" xfId="16087"/>
    <cellStyle name="20% - Accent4 4 5 4 6" xfId="16088"/>
    <cellStyle name="20% - Accent4 4 5 5" xfId="8958"/>
    <cellStyle name="20% - Accent4 4 5 5 2" xfId="16089"/>
    <cellStyle name="20% - Accent4 4 5 5 2 2" xfId="16090"/>
    <cellStyle name="20% - Accent4 4 5 5 2 3" xfId="16091"/>
    <cellStyle name="20% - Accent4 4 5 5 3" xfId="16092"/>
    <cellStyle name="20% - Accent4 4 5 5 3 2" xfId="16093"/>
    <cellStyle name="20% - Accent4 4 5 5 4" xfId="16094"/>
    <cellStyle name="20% - Accent4 4 5 5 5" xfId="16095"/>
    <cellStyle name="20% - Accent4 4 5 6" xfId="16096"/>
    <cellStyle name="20% - Accent4 4 5 6 2" xfId="16097"/>
    <cellStyle name="20% - Accent4 4 5 6 3" xfId="16098"/>
    <cellStyle name="20% - Accent4 4 5 7" xfId="16099"/>
    <cellStyle name="20% - Accent4 4 5 7 2" xfId="16100"/>
    <cellStyle name="20% - Accent4 4 5 7 3" xfId="16101"/>
    <cellStyle name="20% - Accent4 4 5 8" xfId="16102"/>
    <cellStyle name="20% - Accent4 4 5 8 2" xfId="16103"/>
    <cellStyle name="20% - Accent4 4 5 9" xfId="16104"/>
    <cellStyle name="20% - Accent4 4 6" xfId="909"/>
    <cellStyle name="20% - Accent4 4 6 2" xfId="910"/>
    <cellStyle name="20% - Accent4 4 6 2 2" xfId="8959"/>
    <cellStyle name="20% - Accent4 4 6 2 2 2" xfId="16105"/>
    <cellStyle name="20% - Accent4 4 6 2 2 3" xfId="16106"/>
    <cellStyle name="20% - Accent4 4 6 2 3" xfId="16107"/>
    <cellStyle name="20% - Accent4 4 6 2 3 2" xfId="16108"/>
    <cellStyle name="20% - Accent4 4 6 2 3 3" xfId="16109"/>
    <cellStyle name="20% - Accent4 4 6 2 4" xfId="16110"/>
    <cellStyle name="20% - Accent4 4 6 2 4 2" xfId="16111"/>
    <cellStyle name="20% - Accent4 4 6 2 5" xfId="16112"/>
    <cellStyle name="20% - Accent4 4 6 2 6" xfId="16113"/>
    <cellStyle name="20% - Accent4 4 6 3" xfId="911"/>
    <cellStyle name="20% - Accent4 4 6 3 2" xfId="16114"/>
    <cellStyle name="20% - Accent4 4 6 3 2 2" xfId="16115"/>
    <cellStyle name="20% - Accent4 4 6 3 2 3" xfId="16116"/>
    <cellStyle name="20% - Accent4 4 6 3 3" xfId="16117"/>
    <cellStyle name="20% - Accent4 4 6 3 3 2" xfId="16118"/>
    <cellStyle name="20% - Accent4 4 6 3 3 3" xfId="16119"/>
    <cellStyle name="20% - Accent4 4 6 3 4" xfId="16120"/>
    <cellStyle name="20% - Accent4 4 6 3 4 2" xfId="16121"/>
    <cellStyle name="20% - Accent4 4 6 3 5" xfId="16122"/>
    <cellStyle name="20% - Accent4 4 6 3 6" xfId="16123"/>
    <cellStyle name="20% - Accent4 4 6 4" xfId="8960"/>
    <cellStyle name="20% - Accent4 4 6 4 2" xfId="16124"/>
    <cellStyle name="20% - Accent4 4 6 4 2 2" xfId="16125"/>
    <cellStyle name="20% - Accent4 4 6 4 2 3" xfId="16126"/>
    <cellStyle name="20% - Accent4 4 6 4 3" xfId="16127"/>
    <cellStyle name="20% - Accent4 4 6 4 3 2" xfId="16128"/>
    <cellStyle name="20% - Accent4 4 6 4 4" xfId="16129"/>
    <cellStyle name="20% - Accent4 4 6 4 5" xfId="16130"/>
    <cellStyle name="20% - Accent4 4 6 5" xfId="16131"/>
    <cellStyle name="20% - Accent4 4 6 5 2" xfId="16132"/>
    <cellStyle name="20% - Accent4 4 6 5 3" xfId="16133"/>
    <cellStyle name="20% - Accent4 4 6 6" xfId="16134"/>
    <cellStyle name="20% - Accent4 4 6 6 2" xfId="16135"/>
    <cellStyle name="20% - Accent4 4 6 6 3" xfId="16136"/>
    <cellStyle name="20% - Accent4 4 6 7" xfId="16137"/>
    <cellStyle name="20% - Accent4 4 6 7 2" xfId="16138"/>
    <cellStyle name="20% - Accent4 4 6 8" xfId="16139"/>
    <cellStyle name="20% - Accent4 4 6 9" xfId="16140"/>
    <cellStyle name="20% - Accent4 4 7" xfId="912"/>
    <cellStyle name="20% - Accent4 4 7 2" xfId="8961"/>
    <cellStyle name="20% - Accent4 4 7 2 2" xfId="16141"/>
    <cellStyle name="20% - Accent4 4 7 2 2 2" xfId="16142"/>
    <cellStyle name="20% - Accent4 4 7 2 2 3" xfId="16143"/>
    <cellStyle name="20% - Accent4 4 7 2 3" xfId="16144"/>
    <cellStyle name="20% - Accent4 4 7 2 3 2" xfId="16145"/>
    <cellStyle name="20% - Accent4 4 7 2 3 3" xfId="16146"/>
    <cellStyle name="20% - Accent4 4 7 2 4" xfId="16147"/>
    <cellStyle name="20% - Accent4 4 7 2 4 2" xfId="16148"/>
    <cellStyle name="20% - Accent4 4 7 2 5" xfId="16149"/>
    <cellStyle name="20% - Accent4 4 7 2 6" xfId="16150"/>
    <cellStyle name="20% - Accent4 4 7 3" xfId="16151"/>
    <cellStyle name="20% - Accent4 4 7 3 2" xfId="16152"/>
    <cellStyle name="20% - Accent4 4 7 3 2 2" xfId="16153"/>
    <cellStyle name="20% - Accent4 4 7 3 2 3" xfId="16154"/>
    <cellStyle name="20% - Accent4 4 7 3 3" xfId="16155"/>
    <cellStyle name="20% - Accent4 4 7 3 3 2" xfId="16156"/>
    <cellStyle name="20% - Accent4 4 7 3 3 3" xfId="16157"/>
    <cellStyle name="20% - Accent4 4 7 3 4" xfId="16158"/>
    <cellStyle name="20% - Accent4 4 7 3 4 2" xfId="16159"/>
    <cellStyle name="20% - Accent4 4 7 3 5" xfId="16160"/>
    <cellStyle name="20% - Accent4 4 7 3 6" xfId="16161"/>
    <cellStyle name="20% - Accent4 4 7 4" xfId="16162"/>
    <cellStyle name="20% - Accent4 4 7 4 2" xfId="16163"/>
    <cellStyle name="20% - Accent4 4 7 4 2 2" xfId="16164"/>
    <cellStyle name="20% - Accent4 4 7 4 2 3" xfId="16165"/>
    <cellStyle name="20% - Accent4 4 7 4 3" xfId="16166"/>
    <cellStyle name="20% - Accent4 4 7 4 3 2" xfId="16167"/>
    <cellStyle name="20% - Accent4 4 7 4 4" xfId="16168"/>
    <cellStyle name="20% - Accent4 4 7 4 5" xfId="16169"/>
    <cellStyle name="20% - Accent4 4 7 5" xfId="16170"/>
    <cellStyle name="20% - Accent4 4 7 5 2" xfId="16171"/>
    <cellStyle name="20% - Accent4 4 7 5 3" xfId="16172"/>
    <cellStyle name="20% - Accent4 4 7 6" xfId="16173"/>
    <cellStyle name="20% - Accent4 4 7 6 2" xfId="16174"/>
    <cellStyle name="20% - Accent4 4 7 6 3" xfId="16175"/>
    <cellStyle name="20% - Accent4 4 7 7" xfId="16176"/>
    <cellStyle name="20% - Accent4 4 7 7 2" xfId="16177"/>
    <cellStyle name="20% - Accent4 4 7 8" xfId="16178"/>
    <cellStyle name="20% - Accent4 4 7 9" xfId="16179"/>
    <cellStyle name="20% - Accent4 4 8" xfId="913"/>
    <cellStyle name="20% - Accent4 4 8 2" xfId="16180"/>
    <cellStyle name="20% - Accent4 4 8 2 2" xfId="16181"/>
    <cellStyle name="20% - Accent4 4 8 2 3" xfId="16182"/>
    <cellStyle name="20% - Accent4 4 8 3" xfId="16183"/>
    <cellStyle name="20% - Accent4 4 8 3 2" xfId="16184"/>
    <cellStyle name="20% - Accent4 4 8 3 3" xfId="16185"/>
    <cellStyle name="20% - Accent4 4 8 4" xfId="16186"/>
    <cellStyle name="20% - Accent4 4 8 4 2" xfId="16187"/>
    <cellStyle name="20% - Accent4 4 8 5" xfId="16188"/>
    <cellStyle name="20% - Accent4 4 8 6" xfId="16189"/>
    <cellStyle name="20% - Accent4 4 9" xfId="8962"/>
    <cellStyle name="20% - Accent4 4 9 2" xfId="16190"/>
    <cellStyle name="20% - Accent4 4 9 2 2" xfId="16191"/>
    <cellStyle name="20% - Accent4 4 9 2 3" xfId="16192"/>
    <cellStyle name="20% - Accent4 4 9 3" xfId="16193"/>
    <cellStyle name="20% - Accent4 4 9 3 2" xfId="16194"/>
    <cellStyle name="20% - Accent4 4 9 3 3" xfId="16195"/>
    <cellStyle name="20% - Accent4 4 9 4" xfId="16196"/>
    <cellStyle name="20% - Accent4 4 9 4 2" xfId="16197"/>
    <cellStyle name="20% - Accent4 4 9 5" xfId="16198"/>
    <cellStyle name="20% - Accent4 4 9 6" xfId="16199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73"/>
    <cellStyle name="20% - Accent5 15" xfId="16200"/>
    <cellStyle name="20% - Accent5 16" xfId="16201"/>
    <cellStyle name="20% - Accent5 17" xfId="16202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3"/>
    <cellStyle name="20% - Accent5 4 10 2" xfId="16204"/>
    <cellStyle name="20% - Accent5 4 10 2 2" xfId="16205"/>
    <cellStyle name="20% - Accent5 4 10 2 3" xfId="16206"/>
    <cellStyle name="20% - Accent5 4 10 3" xfId="16207"/>
    <cellStyle name="20% - Accent5 4 10 3 2" xfId="16208"/>
    <cellStyle name="20% - Accent5 4 10 4" xfId="16209"/>
    <cellStyle name="20% - Accent5 4 10 5" xfId="16210"/>
    <cellStyle name="20% - Accent5 4 11" xfId="16211"/>
    <cellStyle name="20% - Accent5 4 11 2" xfId="16212"/>
    <cellStyle name="20% - Accent5 4 11 3" xfId="16213"/>
    <cellStyle name="20% - Accent5 4 12" xfId="16214"/>
    <cellStyle name="20% - Accent5 4 12 2" xfId="16215"/>
    <cellStyle name="20% - Accent5 4 12 3" xfId="16216"/>
    <cellStyle name="20% - Accent5 4 13" xfId="16217"/>
    <cellStyle name="20% - Accent5 4 13 2" xfId="16218"/>
    <cellStyle name="20% - Accent5 4 14" xfId="16219"/>
    <cellStyle name="20% - Accent5 4 15" xfId="16220"/>
    <cellStyle name="20% - Accent5 4 16" xfId="16221"/>
    <cellStyle name="20% - Accent5 4 2" xfId="1129"/>
    <cellStyle name="20% - Accent5 4 2 10" xfId="16222"/>
    <cellStyle name="20% - Accent5 4 2 10 2" xfId="16223"/>
    <cellStyle name="20% - Accent5 4 2 10 3" xfId="16224"/>
    <cellStyle name="20% - Accent5 4 2 11" xfId="16225"/>
    <cellStyle name="20% - Accent5 4 2 11 2" xfId="16226"/>
    <cellStyle name="20% - Accent5 4 2 11 3" xfId="16227"/>
    <cellStyle name="20% - Accent5 4 2 12" xfId="16228"/>
    <cellStyle name="20% - Accent5 4 2 12 2" xfId="16229"/>
    <cellStyle name="20% - Accent5 4 2 13" xfId="16230"/>
    <cellStyle name="20% - Accent5 4 2 14" xfId="16231"/>
    <cellStyle name="20% - Accent5 4 2 15" xfId="16232"/>
    <cellStyle name="20% - Accent5 4 2 2" xfId="1130"/>
    <cellStyle name="20% - Accent5 4 2 2 10" xfId="16233"/>
    <cellStyle name="20% - Accent5 4 2 2 10 2" xfId="16234"/>
    <cellStyle name="20% - Accent5 4 2 2 10 3" xfId="16235"/>
    <cellStyle name="20% - Accent5 4 2 2 11" xfId="16236"/>
    <cellStyle name="20% - Accent5 4 2 2 11 2" xfId="16237"/>
    <cellStyle name="20% - Accent5 4 2 2 12" xfId="16238"/>
    <cellStyle name="20% - Accent5 4 2 2 13" xfId="16239"/>
    <cellStyle name="20% - Accent5 4 2 2 2" xfId="1131"/>
    <cellStyle name="20% - Accent5 4 2 2 2 10" xfId="16240"/>
    <cellStyle name="20% - Accent5 4 2 2 2 10 2" xfId="16241"/>
    <cellStyle name="20% - Accent5 4 2 2 2 11" xfId="16242"/>
    <cellStyle name="20% - Accent5 4 2 2 2 12" xfId="16243"/>
    <cellStyle name="20% - Accent5 4 2 2 2 2" xfId="1132"/>
    <cellStyle name="20% - Accent5 4 2 2 2 2 10" xfId="16244"/>
    <cellStyle name="20% - Accent5 4 2 2 2 2 2" xfId="1133"/>
    <cellStyle name="20% - Accent5 4 2 2 2 2 2 2" xfId="16245"/>
    <cellStyle name="20% - Accent5 4 2 2 2 2 2 2 2" xfId="16246"/>
    <cellStyle name="20% - Accent5 4 2 2 2 2 2 2 2 2" xfId="16247"/>
    <cellStyle name="20% - Accent5 4 2 2 2 2 2 2 2 3" xfId="16248"/>
    <cellStyle name="20% - Accent5 4 2 2 2 2 2 2 3" xfId="16249"/>
    <cellStyle name="20% - Accent5 4 2 2 2 2 2 2 3 2" xfId="16250"/>
    <cellStyle name="20% - Accent5 4 2 2 2 2 2 2 3 3" xfId="16251"/>
    <cellStyle name="20% - Accent5 4 2 2 2 2 2 2 4" xfId="16252"/>
    <cellStyle name="20% - Accent5 4 2 2 2 2 2 2 4 2" xfId="16253"/>
    <cellStyle name="20% - Accent5 4 2 2 2 2 2 2 5" xfId="16254"/>
    <cellStyle name="20% - Accent5 4 2 2 2 2 2 2 6" xfId="16255"/>
    <cellStyle name="20% - Accent5 4 2 2 2 2 2 3" xfId="16256"/>
    <cellStyle name="20% - Accent5 4 2 2 2 2 2 3 2" xfId="16257"/>
    <cellStyle name="20% - Accent5 4 2 2 2 2 2 3 2 2" xfId="16258"/>
    <cellStyle name="20% - Accent5 4 2 2 2 2 2 3 2 3" xfId="16259"/>
    <cellStyle name="20% - Accent5 4 2 2 2 2 2 3 3" xfId="16260"/>
    <cellStyle name="20% - Accent5 4 2 2 2 2 2 3 3 2" xfId="16261"/>
    <cellStyle name="20% - Accent5 4 2 2 2 2 2 3 3 3" xfId="16262"/>
    <cellStyle name="20% - Accent5 4 2 2 2 2 2 3 4" xfId="16263"/>
    <cellStyle name="20% - Accent5 4 2 2 2 2 2 3 4 2" xfId="16264"/>
    <cellStyle name="20% - Accent5 4 2 2 2 2 2 3 5" xfId="16265"/>
    <cellStyle name="20% - Accent5 4 2 2 2 2 2 3 6" xfId="16266"/>
    <cellStyle name="20% - Accent5 4 2 2 2 2 2 4" xfId="16267"/>
    <cellStyle name="20% - Accent5 4 2 2 2 2 2 4 2" xfId="16268"/>
    <cellStyle name="20% - Accent5 4 2 2 2 2 2 4 2 2" xfId="16269"/>
    <cellStyle name="20% - Accent5 4 2 2 2 2 2 4 2 3" xfId="16270"/>
    <cellStyle name="20% - Accent5 4 2 2 2 2 2 4 3" xfId="16271"/>
    <cellStyle name="20% - Accent5 4 2 2 2 2 2 4 3 2" xfId="16272"/>
    <cellStyle name="20% - Accent5 4 2 2 2 2 2 4 4" xfId="16273"/>
    <cellStyle name="20% - Accent5 4 2 2 2 2 2 4 5" xfId="16274"/>
    <cellStyle name="20% - Accent5 4 2 2 2 2 2 5" xfId="16275"/>
    <cellStyle name="20% - Accent5 4 2 2 2 2 2 5 2" xfId="16276"/>
    <cellStyle name="20% - Accent5 4 2 2 2 2 2 5 3" xfId="16277"/>
    <cellStyle name="20% - Accent5 4 2 2 2 2 2 6" xfId="16278"/>
    <cellStyle name="20% - Accent5 4 2 2 2 2 2 6 2" xfId="16279"/>
    <cellStyle name="20% - Accent5 4 2 2 2 2 2 6 3" xfId="16280"/>
    <cellStyle name="20% - Accent5 4 2 2 2 2 2 7" xfId="16281"/>
    <cellStyle name="20% - Accent5 4 2 2 2 2 2 7 2" xfId="16282"/>
    <cellStyle name="20% - Accent5 4 2 2 2 2 2 8" xfId="16283"/>
    <cellStyle name="20% - Accent5 4 2 2 2 2 2 9" xfId="16284"/>
    <cellStyle name="20% - Accent5 4 2 2 2 2 3" xfId="16285"/>
    <cellStyle name="20% - Accent5 4 2 2 2 2 3 2" xfId="16286"/>
    <cellStyle name="20% - Accent5 4 2 2 2 2 3 2 2" xfId="16287"/>
    <cellStyle name="20% - Accent5 4 2 2 2 2 3 2 3" xfId="16288"/>
    <cellStyle name="20% - Accent5 4 2 2 2 2 3 3" xfId="16289"/>
    <cellStyle name="20% - Accent5 4 2 2 2 2 3 3 2" xfId="16290"/>
    <cellStyle name="20% - Accent5 4 2 2 2 2 3 3 3" xfId="16291"/>
    <cellStyle name="20% - Accent5 4 2 2 2 2 3 4" xfId="16292"/>
    <cellStyle name="20% - Accent5 4 2 2 2 2 3 4 2" xfId="16293"/>
    <cellStyle name="20% - Accent5 4 2 2 2 2 3 5" xfId="16294"/>
    <cellStyle name="20% - Accent5 4 2 2 2 2 3 6" xfId="16295"/>
    <cellStyle name="20% - Accent5 4 2 2 2 2 4" xfId="16296"/>
    <cellStyle name="20% - Accent5 4 2 2 2 2 4 2" xfId="16297"/>
    <cellStyle name="20% - Accent5 4 2 2 2 2 4 2 2" xfId="16298"/>
    <cellStyle name="20% - Accent5 4 2 2 2 2 4 2 3" xfId="16299"/>
    <cellStyle name="20% - Accent5 4 2 2 2 2 4 3" xfId="16300"/>
    <cellStyle name="20% - Accent5 4 2 2 2 2 4 3 2" xfId="16301"/>
    <cellStyle name="20% - Accent5 4 2 2 2 2 4 3 3" xfId="16302"/>
    <cellStyle name="20% - Accent5 4 2 2 2 2 4 4" xfId="16303"/>
    <cellStyle name="20% - Accent5 4 2 2 2 2 4 4 2" xfId="16304"/>
    <cellStyle name="20% - Accent5 4 2 2 2 2 4 5" xfId="16305"/>
    <cellStyle name="20% - Accent5 4 2 2 2 2 4 6" xfId="16306"/>
    <cellStyle name="20% - Accent5 4 2 2 2 2 5" xfId="16307"/>
    <cellStyle name="20% - Accent5 4 2 2 2 2 5 2" xfId="16308"/>
    <cellStyle name="20% - Accent5 4 2 2 2 2 5 2 2" xfId="16309"/>
    <cellStyle name="20% - Accent5 4 2 2 2 2 5 2 3" xfId="16310"/>
    <cellStyle name="20% - Accent5 4 2 2 2 2 5 3" xfId="16311"/>
    <cellStyle name="20% - Accent5 4 2 2 2 2 5 3 2" xfId="16312"/>
    <cellStyle name="20% - Accent5 4 2 2 2 2 5 4" xfId="16313"/>
    <cellStyle name="20% - Accent5 4 2 2 2 2 5 5" xfId="16314"/>
    <cellStyle name="20% - Accent5 4 2 2 2 2 6" xfId="16315"/>
    <cellStyle name="20% - Accent5 4 2 2 2 2 6 2" xfId="16316"/>
    <cellStyle name="20% - Accent5 4 2 2 2 2 6 3" xfId="16317"/>
    <cellStyle name="20% - Accent5 4 2 2 2 2 7" xfId="16318"/>
    <cellStyle name="20% - Accent5 4 2 2 2 2 7 2" xfId="16319"/>
    <cellStyle name="20% - Accent5 4 2 2 2 2 7 3" xfId="16320"/>
    <cellStyle name="20% - Accent5 4 2 2 2 2 8" xfId="16321"/>
    <cellStyle name="20% - Accent5 4 2 2 2 2 8 2" xfId="16322"/>
    <cellStyle name="20% - Accent5 4 2 2 2 2 9" xfId="16323"/>
    <cellStyle name="20% - Accent5 4 2 2 2 3" xfId="1134"/>
    <cellStyle name="20% - Accent5 4 2 2 2 3 2" xfId="16324"/>
    <cellStyle name="20% - Accent5 4 2 2 2 3 2 2" xfId="16325"/>
    <cellStyle name="20% - Accent5 4 2 2 2 3 2 2 2" xfId="16326"/>
    <cellStyle name="20% - Accent5 4 2 2 2 3 2 2 3" xfId="16327"/>
    <cellStyle name="20% - Accent5 4 2 2 2 3 2 3" xfId="16328"/>
    <cellStyle name="20% - Accent5 4 2 2 2 3 2 3 2" xfId="16329"/>
    <cellStyle name="20% - Accent5 4 2 2 2 3 2 3 3" xfId="16330"/>
    <cellStyle name="20% - Accent5 4 2 2 2 3 2 4" xfId="16331"/>
    <cellStyle name="20% - Accent5 4 2 2 2 3 2 4 2" xfId="16332"/>
    <cellStyle name="20% - Accent5 4 2 2 2 3 2 5" xfId="16333"/>
    <cellStyle name="20% - Accent5 4 2 2 2 3 2 6" xfId="16334"/>
    <cellStyle name="20% - Accent5 4 2 2 2 3 3" xfId="16335"/>
    <cellStyle name="20% - Accent5 4 2 2 2 3 3 2" xfId="16336"/>
    <cellStyle name="20% - Accent5 4 2 2 2 3 3 2 2" xfId="16337"/>
    <cellStyle name="20% - Accent5 4 2 2 2 3 3 2 3" xfId="16338"/>
    <cellStyle name="20% - Accent5 4 2 2 2 3 3 3" xfId="16339"/>
    <cellStyle name="20% - Accent5 4 2 2 2 3 3 3 2" xfId="16340"/>
    <cellStyle name="20% - Accent5 4 2 2 2 3 3 3 3" xfId="16341"/>
    <cellStyle name="20% - Accent5 4 2 2 2 3 3 4" xfId="16342"/>
    <cellStyle name="20% - Accent5 4 2 2 2 3 3 4 2" xfId="16343"/>
    <cellStyle name="20% - Accent5 4 2 2 2 3 3 5" xfId="16344"/>
    <cellStyle name="20% - Accent5 4 2 2 2 3 3 6" xfId="16345"/>
    <cellStyle name="20% - Accent5 4 2 2 2 3 4" xfId="16346"/>
    <cellStyle name="20% - Accent5 4 2 2 2 3 4 2" xfId="16347"/>
    <cellStyle name="20% - Accent5 4 2 2 2 3 4 2 2" xfId="16348"/>
    <cellStyle name="20% - Accent5 4 2 2 2 3 4 2 3" xfId="16349"/>
    <cellStyle name="20% - Accent5 4 2 2 2 3 4 3" xfId="16350"/>
    <cellStyle name="20% - Accent5 4 2 2 2 3 4 3 2" xfId="16351"/>
    <cellStyle name="20% - Accent5 4 2 2 2 3 4 4" xfId="16352"/>
    <cellStyle name="20% - Accent5 4 2 2 2 3 4 5" xfId="16353"/>
    <cellStyle name="20% - Accent5 4 2 2 2 3 5" xfId="16354"/>
    <cellStyle name="20% - Accent5 4 2 2 2 3 5 2" xfId="16355"/>
    <cellStyle name="20% - Accent5 4 2 2 2 3 5 3" xfId="16356"/>
    <cellStyle name="20% - Accent5 4 2 2 2 3 6" xfId="16357"/>
    <cellStyle name="20% - Accent5 4 2 2 2 3 6 2" xfId="16358"/>
    <cellStyle name="20% - Accent5 4 2 2 2 3 6 3" xfId="16359"/>
    <cellStyle name="20% - Accent5 4 2 2 2 3 7" xfId="16360"/>
    <cellStyle name="20% - Accent5 4 2 2 2 3 7 2" xfId="16361"/>
    <cellStyle name="20% - Accent5 4 2 2 2 3 8" xfId="16362"/>
    <cellStyle name="20% - Accent5 4 2 2 2 3 9" xfId="16363"/>
    <cellStyle name="20% - Accent5 4 2 2 2 4" xfId="16364"/>
    <cellStyle name="20% - Accent5 4 2 2 2 4 2" xfId="16365"/>
    <cellStyle name="20% - Accent5 4 2 2 2 4 2 2" xfId="16366"/>
    <cellStyle name="20% - Accent5 4 2 2 2 4 2 2 2" xfId="16367"/>
    <cellStyle name="20% - Accent5 4 2 2 2 4 2 2 3" xfId="16368"/>
    <cellStyle name="20% - Accent5 4 2 2 2 4 2 3" xfId="16369"/>
    <cellStyle name="20% - Accent5 4 2 2 2 4 2 3 2" xfId="16370"/>
    <cellStyle name="20% - Accent5 4 2 2 2 4 2 3 3" xfId="16371"/>
    <cellStyle name="20% - Accent5 4 2 2 2 4 2 4" xfId="16372"/>
    <cellStyle name="20% - Accent5 4 2 2 2 4 2 4 2" xfId="16373"/>
    <cellStyle name="20% - Accent5 4 2 2 2 4 2 5" xfId="16374"/>
    <cellStyle name="20% - Accent5 4 2 2 2 4 2 6" xfId="16375"/>
    <cellStyle name="20% - Accent5 4 2 2 2 4 3" xfId="16376"/>
    <cellStyle name="20% - Accent5 4 2 2 2 4 3 2" xfId="16377"/>
    <cellStyle name="20% - Accent5 4 2 2 2 4 3 2 2" xfId="16378"/>
    <cellStyle name="20% - Accent5 4 2 2 2 4 3 2 3" xfId="16379"/>
    <cellStyle name="20% - Accent5 4 2 2 2 4 3 3" xfId="16380"/>
    <cellStyle name="20% - Accent5 4 2 2 2 4 3 3 2" xfId="16381"/>
    <cellStyle name="20% - Accent5 4 2 2 2 4 3 3 3" xfId="16382"/>
    <cellStyle name="20% - Accent5 4 2 2 2 4 3 4" xfId="16383"/>
    <cellStyle name="20% - Accent5 4 2 2 2 4 3 4 2" xfId="16384"/>
    <cellStyle name="20% - Accent5 4 2 2 2 4 3 5" xfId="16385"/>
    <cellStyle name="20% - Accent5 4 2 2 2 4 3 6" xfId="16386"/>
    <cellStyle name="20% - Accent5 4 2 2 2 4 4" xfId="16387"/>
    <cellStyle name="20% - Accent5 4 2 2 2 4 4 2" xfId="16388"/>
    <cellStyle name="20% - Accent5 4 2 2 2 4 4 2 2" xfId="16389"/>
    <cellStyle name="20% - Accent5 4 2 2 2 4 4 2 3" xfId="16390"/>
    <cellStyle name="20% - Accent5 4 2 2 2 4 4 3" xfId="16391"/>
    <cellStyle name="20% - Accent5 4 2 2 2 4 4 3 2" xfId="16392"/>
    <cellStyle name="20% - Accent5 4 2 2 2 4 4 4" xfId="16393"/>
    <cellStyle name="20% - Accent5 4 2 2 2 4 4 5" xfId="16394"/>
    <cellStyle name="20% - Accent5 4 2 2 2 4 5" xfId="16395"/>
    <cellStyle name="20% - Accent5 4 2 2 2 4 5 2" xfId="16396"/>
    <cellStyle name="20% - Accent5 4 2 2 2 4 5 3" xfId="16397"/>
    <cellStyle name="20% - Accent5 4 2 2 2 4 6" xfId="16398"/>
    <cellStyle name="20% - Accent5 4 2 2 2 4 6 2" xfId="16399"/>
    <cellStyle name="20% - Accent5 4 2 2 2 4 6 3" xfId="16400"/>
    <cellStyle name="20% - Accent5 4 2 2 2 4 7" xfId="16401"/>
    <cellStyle name="20% - Accent5 4 2 2 2 4 7 2" xfId="16402"/>
    <cellStyle name="20% - Accent5 4 2 2 2 4 8" xfId="16403"/>
    <cellStyle name="20% - Accent5 4 2 2 2 4 9" xfId="16404"/>
    <cellStyle name="20% - Accent5 4 2 2 2 5" xfId="16405"/>
    <cellStyle name="20% - Accent5 4 2 2 2 5 2" xfId="16406"/>
    <cellStyle name="20% - Accent5 4 2 2 2 5 2 2" xfId="16407"/>
    <cellStyle name="20% - Accent5 4 2 2 2 5 2 3" xfId="16408"/>
    <cellStyle name="20% - Accent5 4 2 2 2 5 3" xfId="16409"/>
    <cellStyle name="20% - Accent5 4 2 2 2 5 3 2" xfId="16410"/>
    <cellStyle name="20% - Accent5 4 2 2 2 5 3 3" xfId="16411"/>
    <cellStyle name="20% - Accent5 4 2 2 2 5 4" xfId="16412"/>
    <cellStyle name="20% - Accent5 4 2 2 2 5 4 2" xfId="16413"/>
    <cellStyle name="20% - Accent5 4 2 2 2 5 5" xfId="16414"/>
    <cellStyle name="20% - Accent5 4 2 2 2 5 6" xfId="16415"/>
    <cellStyle name="20% - Accent5 4 2 2 2 6" xfId="16416"/>
    <cellStyle name="20% - Accent5 4 2 2 2 6 2" xfId="16417"/>
    <cellStyle name="20% - Accent5 4 2 2 2 6 2 2" xfId="16418"/>
    <cellStyle name="20% - Accent5 4 2 2 2 6 2 3" xfId="16419"/>
    <cellStyle name="20% - Accent5 4 2 2 2 6 3" xfId="16420"/>
    <cellStyle name="20% - Accent5 4 2 2 2 6 3 2" xfId="16421"/>
    <cellStyle name="20% - Accent5 4 2 2 2 6 3 3" xfId="16422"/>
    <cellStyle name="20% - Accent5 4 2 2 2 6 4" xfId="16423"/>
    <cellStyle name="20% - Accent5 4 2 2 2 6 4 2" xfId="16424"/>
    <cellStyle name="20% - Accent5 4 2 2 2 6 5" xfId="16425"/>
    <cellStyle name="20% - Accent5 4 2 2 2 6 6" xfId="16426"/>
    <cellStyle name="20% - Accent5 4 2 2 2 7" xfId="16427"/>
    <cellStyle name="20% - Accent5 4 2 2 2 7 2" xfId="16428"/>
    <cellStyle name="20% - Accent5 4 2 2 2 7 2 2" xfId="16429"/>
    <cellStyle name="20% - Accent5 4 2 2 2 7 2 3" xfId="16430"/>
    <cellStyle name="20% - Accent5 4 2 2 2 7 3" xfId="16431"/>
    <cellStyle name="20% - Accent5 4 2 2 2 7 3 2" xfId="16432"/>
    <cellStyle name="20% - Accent5 4 2 2 2 7 4" xfId="16433"/>
    <cellStyle name="20% - Accent5 4 2 2 2 7 5" xfId="16434"/>
    <cellStyle name="20% - Accent5 4 2 2 2 8" xfId="16435"/>
    <cellStyle name="20% - Accent5 4 2 2 2 8 2" xfId="16436"/>
    <cellStyle name="20% - Accent5 4 2 2 2 8 3" xfId="16437"/>
    <cellStyle name="20% - Accent5 4 2 2 2 9" xfId="16438"/>
    <cellStyle name="20% - Accent5 4 2 2 2 9 2" xfId="16439"/>
    <cellStyle name="20% - Accent5 4 2 2 2 9 3" xfId="16440"/>
    <cellStyle name="20% - Accent5 4 2 2 3" xfId="1135"/>
    <cellStyle name="20% - Accent5 4 2 2 3 10" xfId="16441"/>
    <cellStyle name="20% - Accent5 4 2 2 3 2" xfId="1136"/>
    <cellStyle name="20% - Accent5 4 2 2 3 2 2" xfId="16442"/>
    <cellStyle name="20% - Accent5 4 2 2 3 2 2 2" xfId="16443"/>
    <cellStyle name="20% - Accent5 4 2 2 3 2 2 2 2" xfId="16444"/>
    <cellStyle name="20% - Accent5 4 2 2 3 2 2 2 3" xfId="16445"/>
    <cellStyle name="20% - Accent5 4 2 2 3 2 2 3" xfId="16446"/>
    <cellStyle name="20% - Accent5 4 2 2 3 2 2 3 2" xfId="16447"/>
    <cellStyle name="20% - Accent5 4 2 2 3 2 2 3 3" xfId="16448"/>
    <cellStyle name="20% - Accent5 4 2 2 3 2 2 4" xfId="16449"/>
    <cellStyle name="20% - Accent5 4 2 2 3 2 2 4 2" xfId="16450"/>
    <cellStyle name="20% - Accent5 4 2 2 3 2 2 5" xfId="16451"/>
    <cellStyle name="20% - Accent5 4 2 2 3 2 2 6" xfId="16452"/>
    <cellStyle name="20% - Accent5 4 2 2 3 2 3" xfId="16453"/>
    <cellStyle name="20% - Accent5 4 2 2 3 2 3 2" xfId="16454"/>
    <cellStyle name="20% - Accent5 4 2 2 3 2 3 2 2" xfId="16455"/>
    <cellStyle name="20% - Accent5 4 2 2 3 2 3 2 3" xfId="16456"/>
    <cellStyle name="20% - Accent5 4 2 2 3 2 3 3" xfId="16457"/>
    <cellStyle name="20% - Accent5 4 2 2 3 2 3 3 2" xfId="16458"/>
    <cellStyle name="20% - Accent5 4 2 2 3 2 3 3 3" xfId="16459"/>
    <cellStyle name="20% - Accent5 4 2 2 3 2 3 4" xfId="16460"/>
    <cellStyle name="20% - Accent5 4 2 2 3 2 3 4 2" xfId="16461"/>
    <cellStyle name="20% - Accent5 4 2 2 3 2 3 5" xfId="16462"/>
    <cellStyle name="20% - Accent5 4 2 2 3 2 3 6" xfId="16463"/>
    <cellStyle name="20% - Accent5 4 2 2 3 2 4" xfId="16464"/>
    <cellStyle name="20% - Accent5 4 2 2 3 2 4 2" xfId="16465"/>
    <cellStyle name="20% - Accent5 4 2 2 3 2 4 2 2" xfId="16466"/>
    <cellStyle name="20% - Accent5 4 2 2 3 2 4 2 3" xfId="16467"/>
    <cellStyle name="20% - Accent5 4 2 2 3 2 4 3" xfId="16468"/>
    <cellStyle name="20% - Accent5 4 2 2 3 2 4 3 2" xfId="16469"/>
    <cellStyle name="20% - Accent5 4 2 2 3 2 4 4" xfId="16470"/>
    <cellStyle name="20% - Accent5 4 2 2 3 2 4 5" xfId="16471"/>
    <cellStyle name="20% - Accent5 4 2 2 3 2 5" xfId="16472"/>
    <cellStyle name="20% - Accent5 4 2 2 3 2 5 2" xfId="16473"/>
    <cellStyle name="20% - Accent5 4 2 2 3 2 5 3" xfId="16474"/>
    <cellStyle name="20% - Accent5 4 2 2 3 2 6" xfId="16475"/>
    <cellStyle name="20% - Accent5 4 2 2 3 2 6 2" xfId="16476"/>
    <cellStyle name="20% - Accent5 4 2 2 3 2 6 3" xfId="16477"/>
    <cellStyle name="20% - Accent5 4 2 2 3 2 7" xfId="16478"/>
    <cellStyle name="20% - Accent5 4 2 2 3 2 7 2" xfId="16479"/>
    <cellStyle name="20% - Accent5 4 2 2 3 2 8" xfId="16480"/>
    <cellStyle name="20% - Accent5 4 2 2 3 2 9" xfId="16481"/>
    <cellStyle name="20% - Accent5 4 2 2 3 3" xfId="16482"/>
    <cellStyle name="20% - Accent5 4 2 2 3 3 2" xfId="16483"/>
    <cellStyle name="20% - Accent5 4 2 2 3 3 2 2" xfId="16484"/>
    <cellStyle name="20% - Accent5 4 2 2 3 3 2 3" xfId="16485"/>
    <cellStyle name="20% - Accent5 4 2 2 3 3 3" xfId="16486"/>
    <cellStyle name="20% - Accent5 4 2 2 3 3 3 2" xfId="16487"/>
    <cellStyle name="20% - Accent5 4 2 2 3 3 3 3" xfId="16488"/>
    <cellStyle name="20% - Accent5 4 2 2 3 3 4" xfId="16489"/>
    <cellStyle name="20% - Accent5 4 2 2 3 3 4 2" xfId="16490"/>
    <cellStyle name="20% - Accent5 4 2 2 3 3 5" xfId="16491"/>
    <cellStyle name="20% - Accent5 4 2 2 3 3 6" xfId="16492"/>
    <cellStyle name="20% - Accent5 4 2 2 3 4" xfId="16493"/>
    <cellStyle name="20% - Accent5 4 2 2 3 4 2" xfId="16494"/>
    <cellStyle name="20% - Accent5 4 2 2 3 4 2 2" xfId="16495"/>
    <cellStyle name="20% - Accent5 4 2 2 3 4 2 3" xfId="16496"/>
    <cellStyle name="20% - Accent5 4 2 2 3 4 3" xfId="16497"/>
    <cellStyle name="20% - Accent5 4 2 2 3 4 3 2" xfId="16498"/>
    <cellStyle name="20% - Accent5 4 2 2 3 4 3 3" xfId="16499"/>
    <cellStyle name="20% - Accent5 4 2 2 3 4 4" xfId="16500"/>
    <cellStyle name="20% - Accent5 4 2 2 3 4 4 2" xfId="16501"/>
    <cellStyle name="20% - Accent5 4 2 2 3 4 5" xfId="16502"/>
    <cellStyle name="20% - Accent5 4 2 2 3 4 6" xfId="16503"/>
    <cellStyle name="20% - Accent5 4 2 2 3 5" xfId="16504"/>
    <cellStyle name="20% - Accent5 4 2 2 3 5 2" xfId="16505"/>
    <cellStyle name="20% - Accent5 4 2 2 3 5 2 2" xfId="16506"/>
    <cellStyle name="20% - Accent5 4 2 2 3 5 2 3" xfId="16507"/>
    <cellStyle name="20% - Accent5 4 2 2 3 5 3" xfId="16508"/>
    <cellStyle name="20% - Accent5 4 2 2 3 5 3 2" xfId="16509"/>
    <cellStyle name="20% - Accent5 4 2 2 3 5 4" xfId="16510"/>
    <cellStyle name="20% - Accent5 4 2 2 3 5 5" xfId="16511"/>
    <cellStyle name="20% - Accent5 4 2 2 3 6" xfId="16512"/>
    <cellStyle name="20% - Accent5 4 2 2 3 6 2" xfId="16513"/>
    <cellStyle name="20% - Accent5 4 2 2 3 6 3" xfId="16514"/>
    <cellStyle name="20% - Accent5 4 2 2 3 7" xfId="16515"/>
    <cellStyle name="20% - Accent5 4 2 2 3 7 2" xfId="16516"/>
    <cellStyle name="20% - Accent5 4 2 2 3 7 3" xfId="16517"/>
    <cellStyle name="20% - Accent5 4 2 2 3 8" xfId="16518"/>
    <cellStyle name="20% - Accent5 4 2 2 3 8 2" xfId="16519"/>
    <cellStyle name="20% - Accent5 4 2 2 3 9" xfId="16520"/>
    <cellStyle name="20% - Accent5 4 2 2 4" xfId="1137"/>
    <cellStyle name="20% - Accent5 4 2 2 4 2" xfId="16521"/>
    <cellStyle name="20% - Accent5 4 2 2 4 2 2" xfId="16522"/>
    <cellStyle name="20% - Accent5 4 2 2 4 2 2 2" xfId="16523"/>
    <cellStyle name="20% - Accent5 4 2 2 4 2 2 3" xfId="16524"/>
    <cellStyle name="20% - Accent5 4 2 2 4 2 3" xfId="16525"/>
    <cellStyle name="20% - Accent5 4 2 2 4 2 3 2" xfId="16526"/>
    <cellStyle name="20% - Accent5 4 2 2 4 2 3 3" xfId="16527"/>
    <cellStyle name="20% - Accent5 4 2 2 4 2 4" xfId="16528"/>
    <cellStyle name="20% - Accent5 4 2 2 4 2 4 2" xfId="16529"/>
    <cellStyle name="20% - Accent5 4 2 2 4 2 5" xfId="16530"/>
    <cellStyle name="20% - Accent5 4 2 2 4 2 6" xfId="16531"/>
    <cellStyle name="20% - Accent5 4 2 2 4 3" xfId="16532"/>
    <cellStyle name="20% - Accent5 4 2 2 4 3 2" xfId="16533"/>
    <cellStyle name="20% - Accent5 4 2 2 4 3 2 2" xfId="16534"/>
    <cellStyle name="20% - Accent5 4 2 2 4 3 2 3" xfId="16535"/>
    <cellStyle name="20% - Accent5 4 2 2 4 3 3" xfId="16536"/>
    <cellStyle name="20% - Accent5 4 2 2 4 3 3 2" xfId="16537"/>
    <cellStyle name="20% - Accent5 4 2 2 4 3 3 3" xfId="16538"/>
    <cellStyle name="20% - Accent5 4 2 2 4 3 4" xfId="16539"/>
    <cellStyle name="20% - Accent5 4 2 2 4 3 4 2" xfId="16540"/>
    <cellStyle name="20% - Accent5 4 2 2 4 3 5" xfId="16541"/>
    <cellStyle name="20% - Accent5 4 2 2 4 3 6" xfId="16542"/>
    <cellStyle name="20% - Accent5 4 2 2 4 4" xfId="16543"/>
    <cellStyle name="20% - Accent5 4 2 2 4 4 2" xfId="16544"/>
    <cellStyle name="20% - Accent5 4 2 2 4 4 2 2" xfId="16545"/>
    <cellStyle name="20% - Accent5 4 2 2 4 4 2 3" xfId="16546"/>
    <cellStyle name="20% - Accent5 4 2 2 4 4 3" xfId="16547"/>
    <cellStyle name="20% - Accent5 4 2 2 4 4 3 2" xfId="16548"/>
    <cellStyle name="20% - Accent5 4 2 2 4 4 4" xfId="16549"/>
    <cellStyle name="20% - Accent5 4 2 2 4 4 5" xfId="16550"/>
    <cellStyle name="20% - Accent5 4 2 2 4 5" xfId="16551"/>
    <cellStyle name="20% - Accent5 4 2 2 4 5 2" xfId="16552"/>
    <cellStyle name="20% - Accent5 4 2 2 4 5 3" xfId="16553"/>
    <cellStyle name="20% - Accent5 4 2 2 4 6" xfId="16554"/>
    <cellStyle name="20% - Accent5 4 2 2 4 6 2" xfId="16555"/>
    <cellStyle name="20% - Accent5 4 2 2 4 6 3" xfId="16556"/>
    <cellStyle name="20% - Accent5 4 2 2 4 7" xfId="16557"/>
    <cellStyle name="20% - Accent5 4 2 2 4 7 2" xfId="16558"/>
    <cellStyle name="20% - Accent5 4 2 2 4 8" xfId="16559"/>
    <cellStyle name="20% - Accent5 4 2 2 4 9" xfId="16560"/>
    <cellStyle name="20% - Accent5 4 2 2 5" xfId="16561"/>
    <cellStyle name="20% - Accent5 4 2 2 5 2" xfId="16562"/>
    <cellStyle name="20% - Accent5 4 2 2 5 2 2" xfId="16563"/>
    <cellStyle name="20% - Accent5 4 2 2 5 2 2 2" xfId="16564"/>
    <cellStyle name="20% - Accent5 4 2 2 5 2 2 3" xfId="16565"/>
    <cellStyle name="20% - Accent5 4 2 2 5 2 3" xfId="16566"/>
    <cellStyle name="20% - Accent5 4 2 2 5 2 3 2" xfId="16567"/>
    <cellStyle name="20% - Accent5 4 2 2 5 2 3 3" xfId="16568"/>
    <cellStyle name="20% - Accent5 4 2 2 5 2 4" xfId="16569"/>
    <cellStyle name="20% - Accent5 4 2 2 5 2 4 2" xfId="16570"/>
    <cellStyle name="20% - Accent5 4 2 2 5 2 5" xfId="16571"/>
    <cellStyle name="20% - Accent5 4 2 2 5 2 6" xfId="16572"/>
    <cellStyle name="20% - Accent5 4 2 2 5 3" xfId="16573"/>
    <cellStyle name="20% - Accent5 4 2 2 5 3 2" xfId="16574"/>
    <cellStyle name="20% - Accent5 4 2 2 5 3 2 2" xfId="16575"/>
    <cellStyle name="20% - Accent5 4 2 2 5 3 2 3" xfId="16576"/>
    <cellStyle name="20% - Accent5 4 2 2 5 3 3" xfId="16577"/>
    <cellStyle name="20% - Accent5 4 2 2 5 3 3 2" xfId="16578"/>
    <cellStyle name="20% - Accent5 4 2 2 5 3 3 3" xfId="16579"/>
    <cellStyle name="20% - Accent5 4 2 2 5 3 4" xfId="16580"/>
    <cellStyle name="20% - Accent5 4 2 2 5 3 4 2" xfId="16581"/>
    <cellStyle name="20% - Accent5 4 2 2 5 3 5" xfId="16582"/>
    <cellStyle name="20% - Accent5 4 2 2 5 3 6" xfId="16583"/>
    <cellStyle name="20% - Accent5 4 2 2 5 4" xfId="16584"/>
    <cellStyle name="20% - Accent5 4 2 2 5 4 2" xfId="16585"/>
    <cellStyle name="20% - Accent5 4 2 2 5 4 2 2" xfId="16586"/>
    <cellStyle name="20% - Accent5 4 2 2 5 4 2 3" xfId="16587"/>
    <cellStyle name="20% - Accent5 4 2 2 5 4 3" xfId="16588"/>
    <cellStyle name="20% - Accent5 4 2 2 5 4 3 2" xfId="16589"/>
    <cellStyle name="20% - Accent5 4 2 2 5 4 4" xfId="16590"/>
    <cellStyle name="20% - Accent5 4 2 2 5 4 5" xfId="16591"/>
    <cellStyle name="20% - Accent5 4 2 2 5 5" xfId="16592"/>
    <cellStyle name="20% - Accent5 4 2 2 5 5 2" xfId="16593"/>
    <cellStyle name="20% - Accent5 4 2 2 5 5 3" xfId="16594"/>
    <cellStyle name="20% - Accent5 4 2 2 5 6" xfId="16595"/>
    <cellStyle name="20% - Accent5 4 2 2 5 6 2" xfId="16596"/>
    <cellStyle name="20% - Accent5 4 2 2 5 6 3" xfId="16597"/>
    <cellStyle name="20% - Accent5 4 2 2 5 7" xfId="16598"/>
    <cellStyle name="20% - Accent5 4 2 2 5 7 2" xfId="16599"/>
    <cellStyle name="20% - Accent5 4 2 2 5 8" xfId="16600"/>
    <cellStyle name="20% - Accent5 4 2 2 5 9" xfId="16601"/>
    <cellStyle name="20% - Accent5 4 2 2 6" xfId="16602"/>
    <cellStyle name="20% - Accent5 4 2 2 6 2" xfId="16603"/>
    <cellStyle name="20% - Accent5 4 2 2 6 2 2" xfId="16604"/>
    <cellStyle name="20% - Accent5 4 2 2 6 2 3" xfId="16605"/>
    <cellStyle name="20% - Accent5 4 2 2 6 3" xfId="16606"/>
    <cellStyle name="20% - Accent5 4 2 2 6 3 2" xfId="16607"/>
    <cellStyle name="20% - Accent5 4 2 2 6 3 3" xfId="16608"/>
    <cellStyle name="20% - Accent5 4 2 2 6 4" xfId="16609"/>
    <cellStyle name="20% - Accent5 4 2 2 6 4 2" xfId="16610"/>
    <cellStyle name="20% - Accent5 4 2 2 6 5" xfId="16611"/>
    <cellStyle name="20% - Accent5 4 2 2 6 6" xfId="16612"/>
    <cellStyle name="20% - Accent5 4 2 2 7" xfId="16613"/>
    <cellStyle name="20% - Accent5 4 2 2 7 2" xfId="16614"/>
    <cellStyle name="20% - Accent5 4 2 2 7 2 2" xfId="16615"/>
    <cellStyle name="20% - Accent5 4 2 2 7 2 3" xfId="16616"/>
    <cellStyle name="20% - Accent5 4 2 2 7 3" xfId="16617"/>
    <cellStyle name="20% - Accent5 4 2 2 7 3 2" xfId="16618"/>
    <cellStyle name="20% - Accent5 4 2 2 7 3 3" xfId="16619"/>
    <cellStyle name="20% - Accent5 4 2 2 7 4" xfId="16620"/>
    <cellStyle name="20% - Accent5 4 2 2 7 4 2" xfId="16621"/>
    <cellStyle name="20% - Accent5 4 2 2 7 5" xfId="16622"/>
    <cellStyle name="20% - Accent5 4 2 2 7 6" xfId="16623"/>
    <cellStyle name="20% - Accent5 4 2 2 8" xfId="16624"/>
    <cellStyle name="20% - Accent5 4 2 2 8 2" xfId="16625"/>
    <cellStyle name="20% - Accent5 4 2 2 8 2 2" xfId="16626"/>
    <cellStyle name="20% - Accent5 4 2 2 8 2 3" xfId="16627"/>
    <cellStyle name="20% - Accent5 4 2 2 8 3" xfId="16628"/>
    <cellStyle name="20% - Accent5 4 2 2 8 3 2" xfId="16629"/>
    <cellStyle name="20% - Accent5 4 2 2 8 4" xfId="16630"/>
    <cellStyle name="20% - Accent5 4 2 2 8 5" xfId="16631"/>
    <cellStyle name="20% - Accent5 4 2 2 9" xfId="16632"/>
    <cellStyle name="20% - Accent5 4 2 2 9 2" xfId="16633"/>
    <cellStyle name="20% - Accent5 4 2 2 9 3" xfId="16634"/>
    <cellStyle name="20% - Accent5 4 2 3" xfId="1138"/>
    <cellStyle name="20% - Accent5 4 2 3 10" xfId="16635"/>
    <cellStyle name="20% - Accent5 4 2 3 10 2" xfId="16636"/>
    <cellStyle name="20% - Accent5 4 2 3 11" xfId="16637"/>
    <cellStyle name="20% - Accent5 4 2 3 12" xfId="16638"/>
    <cellStyle name="20% - Accent5 4 2 3 2" xfId="1139"/>
    <cellStyle name="20% - Accent5 4 2 3 2 10" xfId="16639"/>
    <cellStyle name="20% - Accent5 4 2 3 2 2" xfId="1140"/>
    <cellStyle name="20% - Accent5 4 2 3 2 2 2" xfId="16640"/>
    <cellStyle name="20% - Accent5 4 2 3 2 2 2 2" xfId="16641"/>
    <cellStyle name="20% - Accent5 4 2 3 2 2 2 2 2" xfId="16642"/>
    <cellStyle name="20% - Accent5 4 2 3 2 2 2 2 3" xfId="16643"/>
    <cellStyle name="20% - Accent5 4 2 3 2 2 2 3" xfId="16644"/>
    <cellStyle name="20% - Accent5 4 2 3 2 2 2 3 2" xfId="16645"/>
    <cellStyle name="20% - Accent5 4 2 3 2 2 2 3 3" xfId="16646"/>
    <cellStyle name="20% - Accent5 4 2 3 2 2 2 4" xfId="16647"/>
    <cellStyle name="20% - Accent5 4 2 3 2 2 2 4 2" xfId="16648"/>
    <cellStyle name="20% - Accent5 4 2 3 2 2 2 5" xfId="16649"/>
    <cellStyle name="20% - Accent5 4 2 3 2 2 2 6" xfId="16650"/>
    <cellStyle name="20% - Accent5 4 2 3 2 2 3" xfId="16651"/>
    <cellStyle name="20% - Accent5 4 2 3 2 2 3 2" xfId="16652"/>
    <cellStyle name="20% - Accent5 4 2 3 2 2 3 2 2" xfId="16653"/>
    <cellStyle name="20% - Accent5 4 2 3 2 2 3 2 3" xfId="16654"/>
    <cellStyle name="20% - Accent5 4 2 3 2 2 3 3" xfId="16655"/>
    <cellStyle name="20% - Accent5 4 2 3 2 2 3 3 2" xfId="16656"/>
    <cellStyle name="20% - Accent5 4 2 3 2 2 3 3 3" xfId="16657"/>
    <cellStyle name="20% - Accent5 4 2 3 2 2 3 4" xfId="16658"/>
    <cellStyle name="20% - Accent5 4 2 3 2 2 3 4 2" xfId="16659"/>
    <cellStyle name="20% - Accent5 4 2 3 2 2 3 5" xfId="16660"/>
    <cellStyle name="20% - Accent5 4 2 3 2 2 3 6" xfId="16661"/>
    <cellStyle name="20% - Accent5 4 2 3 2 2 4" xfId="16662"/>
    <cellStyle name="20% - Accent5 4 2 3 2 2 4 2" xfId="16663"/>
    <cellStyle name="20% - Accent5 4 2 3 2 2 4 2 2" xfId="16664"/>
    <cellStyle name="20% - Accent5 4 2 3 2 2 4 2 3" xfId="16665"/>
    <cellStyle name="20% - Accent5 4 2 3 2 2 4 3" xfId="16666"/>
    <cellStyle name="20% - Accent5 4 2 3 2 2 4 3 2" xfId="16667"/>
    <cellStyle name="20% - Accent5 4 2 3 2 2 4 4" xfId="16668"/>
    <cellStyle name="20% - Accent5 4 2 3 2 2 4 5" xfId="16669"/>
    <cellStyle name="20% - Accent5 4 2 3 2 2 5" xfId="16670"/>
    <cellStyle name="20% - Accent5 4 2 3 2 2 5 2" xfId="16671"/>
    <cellStyle name="20% - Accent5 4 2 3 2 2 5 3" xfId="16672"/>
    <cellStyle name="20% - Accent5 4 2 3 2 2 6" xfId="16673"/>
    <cellStyle name="20% - Accent5 4 2 3 2 2 6 2" xfId="16674"/>
    <cellStyle name="20% - Accent5 4 2 3 2 2 6 3" xfId="16675"/>
    <cellStyle name="20% - Accent5 4 2 3 2 2 7" xfId="16676"/>
    <cellStyle name="20% - Accent5 4 2 3 2 2 7 2" xfId="16677"/>
    <cellStyle name="20% - Accent5 4 2 3 2 2 8" xfId="16678"/>
    <cellStyle name="20% - Accent5 4 2 3 2 2 9" xfId="16679"/>
    <cellStyle name="20% - Accent5 4 2 3 2 3" xfId="16680"/>
    <cellStyle name="20% - Accent5 4 2 3 2 3 2" xfId="16681"/>
    <cellStyle name="20% - Accent5 4 2 3 2 3 2 2" xfId="16682"/>
    <cellStyle name="20% - Accent5 4 2 3 2 3 2 3" xfId="16683"/>
    <cellStyle name="20% - Accent5 4 2 3 2 3 3" xfId="16684"/>
    <cellStyle name="20% - Accent5 4 2 3 2 3 3 2" xfId="16685"/>
    <cellStyle name="20% - Accent5 4 2 3 2 3 3 3" xfId="16686"/>
    <cellStyle name="20% - Accent5 4 2 3 2 3 4" xfId="16687"/>
    <cellStyle name="20% - Accent5 4 2 3 2 3 4 2" xfId="16688"/>
    <cellStyle name="20% - Accent5 4 2 3 2 3 5" xfId="16689"/>
    <cellStyle name="20% - Accent5 4 2 3 2 3 6" xfId="16690"/>
    <cellStyle name="20% - Accent5 4 2 3 2 4" xfId="16691"/>
    <cellStyle name="20% - Accent5 4 2 3 2 4 2" xfId="16692"/>
    <cellStyle name="20% - Accent5 4 2 3 2 4 2 2" xfId="16693"/>
    <cellStyle name="20% - Accent5 4 2 3 2 4 2 3" xfId="16694"/>
    <cellStyle name="20% - Accent5 4 2 3 2 4 3" xfId="16695"/>
    <cellStyle name="20% - Accent5 4 2 3 2 4 3 2" xfId="16696"/>
    <cellStyle name="20% - Accent5 4 2 3 2 4 3 3" xfId="16697"/>
    <cellStyle name="20% - Accent5 4 2 3 2 4 4" xfId="16698"/>
    <cellStyle name="20% - Accent5 4 2 3 2 4 4 2" xfId="16699"/>
    <cellStyle name="20% - Accent5 4 2 3 2 4 5" xfId="16700"/>
    <cellStyle name="20% - Accent5 4 2 3 2 4 6" xfId="16701"/>
    <cellStyle name="20% - Accent5 4 2 3 2 5" xfId="16702"/>
    <cellStyle name="20% - Accent5 4 2 3 2 5 2" xfId="16703"/>
    <cellStyle name="20% - Accent5 4 2 3 2 5 2 2" xfId="16704"/>
    <cellStyle name="20% - Accent5 4 2 3 2 5 2 3" xfId="16705"/>
    <cellStyle name="20% - Accent5 4 2 3 2 5 3" xfId="16706"/>
    <cellStyle name="20% - Accent5 4 2 3 2 5 3 2" xfId="16707"/>
    <cellStyle name="20% - Accent5 4 2 3 2 5 4" xfId="16708"/>
    <cellStyle name="20% - Accent5 4 2 3 2 5 5" xfId="16709"/>
    <cellStyle name="20% - Accent5 4 2 3 2 6" xfId="16710"/>
    <cellStyle name="20% - Accent5 4 2 3 2 6 2" xfId="16711"/>
    <cellStyle name="20% - Accent5 4 2 3 2 6 3" xfId="16712"/>
    <cellStyle name="20% - Accent5 4 2 3 2 7" xfId="16713"/>
    <cellStyle name="20% - Accent5 4 2 3 2 7 2" xfId="16714"/>
    <cellStyle name="20% - Accent5 4 2 3 2 7 3" xfId="16715"/>
    <cellStyle name="20% - Accent5 4 2 3 2 8" xfId="16716"/>
    <cellStyle name="20% - Accent5 4 2 3 2 8 2" xfId="16717"/>
    <cellStyle name="20% - Accent5 4 2 3 2 9" xfId="16718"/>
    <cellStyle name="20% - Accent5 4 2 3 3" xfId="1141"/>
    <cellStyle name="20% - Accent5 4 2 3 3 2" xfId="16719"/>
    <cellStyle name="20% - Accent5 4 2 3 3 2 2" xfId="16720"/>
    <cellStyle name="20% - Accent5 4 2 3 3 2 2 2" xfId="16721"/>
    <cellStyle name="20% - Accent5 4 2 3 3 2 2 3" xfId="16722"/>
    <cellStyle name="20% - Accent5 4 2 3 3 2 3" xfId="16723"/>
    <cellStyle name="20% - Accent5 4 2 3 3 2 3 2" xfId="16724"/>
    <cellStyle name="20% - Accent5 4 2 3 3 2 3 3" xfId="16725"/>
    <cellStyle name="20% - Accent5 4 2 3 3 2 4" xfId="16726"/>
    <cellStyle name="20% - Accent5 4 2 3 3 2 4 2" xfId="16727"/>
    <cellStyle name="20% - Accent5 4 2 3 3 2 5" xfId="16728"/>
    <cellStyle name="20% - Accent5 4 2 3 3 2 6" xfId="16729"/>
    <cellStyle name="20% - Accent5 4 2 3 3 3" xfId="16730"/>
    <cellStyle name="20% - Accent5 4 2 3 3 3 2" xfId="16731"/>
    <cellStyle name="20% - Accent5 4 2 3 3 3 2 2" xfId="16732"/>
    <cellStyle name="20% - Accent5 4 2 3 3 3 2 3" xfId="16733"/>
    <cellStyle name="20% - Accent5 4 2 3 3 3 3" xfId="16734"/>
    <cellStyle name="20% - Accent5 4 2 3 3 3 3 2" xfId="16735"/>
    <cellStyle name="20% - Accent5 4 2 3 3 3 3 3" xfId="16736"/>
    <cellStyle name="20% - Accent5 4 2 3 3 3 4" xfId="16737"/>
    <cellStyle name="20% - Accent5 4 2 3 3 3 4 2" xfId="16738"/>
    <cellStyle name="20% - Accent5 4 2 3 3 3 5" xfId="16739"/>
    <cellStyle name="20% - Accent5 4 2 3 3 3 6" xfId="16740"/>
    <cellStyle name="20% - Accent5 4 2 3 3 4" xfId="16741"/>
    <cellStyle name="20% - Accent5 4 2 3 3 4 2" xfId="16742"/>
    <cellStyle name="20% - Accent5 4 2 3 3 4 2 2" xfId="16743"/>
    <cellStyle name="20% - Accent5 4 2 3 3 4 2 3" xfId="16744"/>
    <cellStyle name="20% - Accent5 4 2 3 3 4 3" xfId="16745"/>
    <cellStyle name="20% - Accent5 4 2 3 3 4 3 2" xfId="16746"/>
    <cellStyle name="20% - Accent5 4 2 3 3 4 4" xfId="16747"/>
    <cellStyle name="20% - Accent5 4 2 3 3 4 5" xfId="16748"/>
    <cellStyle name="20% - Accent5 4 2 3 3 5" xfId="16749"/>
    <cellStyle name="20% - Accent5 4 2 3 3 5 2" xfId="16750"/>
    <cellStyle name="20% - Accent5 4 2 3 3 5 3" xfId="16751"/>
    <cellStyle name="20% - Accent5 4 2 3 3 6" xfId="16752"/>
    <cellStyle name="20% - Accent5 4 2 3 3 6 2" xfId="16753"/>
    <cellStyle name="20% - Accent5 4 2 3 3 6 3" xfId="16754"/>
    <cellStyle name="20% - Accent5 4 2 3 3 7" xfId="16755"/>
    <cellStyle name="20% - Accent5 4 2 3 3 7 2" xfId="16756"/>
    <cellStyle name="20% - Accent5 4 2 3 3 8" xfId="16757"/>
    <cellStyle name="20% - Accent5 4 2 3 3 9" xfId="16758"/>
    <cellStyle name="20% - Accent5 4 2 3 4" xfId="16759"/>
    <cellStyle name="20% - Accent5 4 2 3 4 2" xfId="16760"/>
    <cellStyle name="20% - Accent5 4 2 3 4 2 2" xfId="16761"/>
    <cellStyle name="20% - Accent5 4 2 3 4 2 2 2" xfId="16762"/>
    <cellStyle name="20% - Accent5 4 2 3 4 2 2 3" xfId="16763"/>
    <cellStyle name="20% - Accent5 4 2 3 4 2 3" xfId="16764"/>
    <cellStyle name="20% - Accent5 4 2 3 4 2 3 2" xfId="16765"/>
    <cellStyle name="20% - Accent5 4 2 3 4 2 3 3" xfId="16766"/>
    <cellStyle name="20% - Accent5 4 2 3 4 2 4" xfId="16767"/>
    <cellStyle name="20% - Accent5 4 2 3 4 2 4 2" xfId="16768"/>
    <cellStyle name="20% - Accent5 4 2 3 4 2 5" xfId="16769"/>
    <cellStyle name="20% - Accent5 4 2 3 4 2 6" xfId="16770"/>
    <cellStyle name="20% - Accent5 4 2 3 4 3" xfId="16771"/>
    <cellStyle name="20% - Accent5 4 2 3 4 3 2" xfId="16772"/>
    <cellStyle name="20% - Accent5 4 2 3 4 3 2 2" xfId="16773"/>
    <cellStyle name="20% - Accent5 4 2 3 4 3 2 3" xfId="16774"/>
    <cellStyle name="20% - Accent5 4 2 3 4 3 3" xfId="16775"/>
    <cellStyle name="20% - Accent5 4 2 3 4 3 3 2" xfId="16776"/>
    <cellStyle name="20% - Accent5 4 2 3 4 3 3 3" xfId="16777"/>
    <cellStyle name="20% - Accent5 4 2 3 4 3 4" xfId="16778"/>
    <cellStyle name="20% - Accent5 4 2 3 4 3 4 2" xfId="16779"/>
    <cellStyle name="20% - Accent5 4 2 3 4 3 5" xfId="16780"/>
    <cellStyle name="20% - Accent5 4 2 3 4 3 6" xfId="16781"/>
    <cellStyle name="20% - Accent5 4 2 3 4 4" xfId="16782"/>
    <cellStyle name="20% - Accent5 4 2 3 4 4 2" xfId="16783"/>
    <cellStyle name="20% - Accent5 4 2 3 4 4 2 2" xfId="16784"/>
    <cellStyle name="20% - Accent5 4 2 3 4 4 2 3" xfId="16785"/>
    <cellStyle name="20% - Accent5 4 2 3 4 4 3" xfId="16786"/>
    <cellStyle name="20% - Accent5 4 2 3 4 4 3 2" xfId="16787"/>
    <cellStyle name="20% - Accent5 4 2 3 4 4 4" xfId="16788"/>
    <cellStyle name="20% - Accent5 4 2 3 4 4 5" xfId="16789"/>
    <cellStyle name="20% - Accent5 4 2 3 4 5" xfId="16790"/>
    <cellStyle name="20% - Accent5 4 2 3 4 5 2" xfId="16791"/>
    <cellStyle name="20% - Accent5 4 2 3 4 5 3" xfId="16792"/>
    <cellStyle name="20% - Accent5 4 2 3 4 6" xfId="16793"/>
    <cellStyle name="20% - Accent5 4 2 3 4 6 2" xfId="16794"/>
    <cellStyle name="20% - Accent5 4 2 3 4 6 3" xfId="16795"/>
    <cellStyle name="20% - Accent5 4 2 3 4 7" xfId="16796"/>
    <cellStyle name="20% - Accent5 4 2 3 4 7 2" xfId="16797"/>
    <cellStyle name="20% - Accent5 4 2 3 4 8" xfId="16798"/>
    <cellStyle name="20% - Accent5 4 2 3 4 9" xfId="16799"/>
    <cellStyle name="20% - Accent5 4 2 3 5" xfId="16800"/>
    <cellStyle name="20% - Accent5 4 2 3 5 2" xfId="16801"/>
    <cellStyle name="20% - Accent5 4 2 3 5 2 2" xfId="16802"/>
    <cellStyle name="20% - Accent5 4 2 3 5 2 3" xfId="16803"/>
    <cellStyle name="20% - Accent5 4 2 3 5 3" xfId="16804"/>
    <cellStyle name="20% - Accent5 4 2 3 5 3 2" xfId="16805"/>
    <cellStyle name="20% - Accent5 4 2 3 5 3 3" xfId="16806"/>
    <cellStyle name="20% - Accent5 4 2 3 5 4" xfId="16807"/>
    <cellStyle name="20% - Accent5 4 2 3 5 4 2" xfId="16808"/>
    <cellStyle name="20% - Accent5 4 2 3 5 5" xfId="16809"/>
    <cellStyle name="20% - Accent5 4 2 3 5 6" xfId="16810"/>
    <cellStyle name="20% - Accent5 4 2 3 6" xfId="16811"/>
    <cellStyle name="20% - Accent5 4 2 3 6 2" xfId="16812"/>
    <cellStyle name="20% - Accent5 4 2 3 6 2 2" xfId="16813"/>
    <cellStyle name="20% - Accent5 4 2 3 6 2 3" xfId="16814"/>
    <cellStyle name="20% - Accent5 4 2 3 6 3" xfId="16815"/>
    <cellStyle name="20% - Accent5 4 2 3 6 3 2" xfId="16816"/>
    <cellStyle name="20% - Accent5 4 2 3 6 3 3" xfId="16817"/>
    <cellStyle name="20% - Accent5 4 2 3 6 4" xfId="16818"/>
    <cellStyle name="20% - Accent5 4 2 3 6 4 2" xfId="16819"/>
    <cellStyle name="20% - Accent5 4 2 3 6 5" xfId="16820"/>
    <cellStyle name="20% - Accent5 4 2 3 6 6" xfId="16821"/>
    <cellStyle name="20% - Accent5 4 2 3 7" xfId="16822"/>
    <cellStyle name="20% - Accent5 4 2 3 7 2" xfId="16823"/>
    <cellStyle name="20% - Accent5 4 2 3 7 2 2" xfId="16824"/>
    <cellStyle name="20% - Accent5 4 2 3 7 2 3" xfId="16825"/>
    <cellStyle name="20% - Accent5 4 2 3 7 3" xfId="16826"/>
    <cellStyle name="20% - Accent5 4 2 3 7 3 2" xfId="16827"/>
    <cellStyle name="20% - Accent5 4 2 3 7 4" xfId="16828"/>
    <cellStyle name="20% - Accent5 4 2 3 7 5" xfId="16829"/>
    <cellStyle name="20% - Accent5 4 2 3 8" xfId="16830"/>
    <cellStyle name="20% - Accent5 4 2 3 8 2" xfId="16831"/>
    <cellStyle name="20% - Accent5 4 2 3 8 3" xfId="16832"/>
    <cellStyle name="20% - Accent5 4 2 3 9" xfId="16833"/>
    <cellStyle name="20% - Accent5 4 2 3 9 2" xfId="16834"/>
    <cellStyle name="20% - Accent5 4 2 3 9 3" xfId="16835"/>
    <cellStyle name="20% - Accent5 4 2 4" xfId="1142"/>
    <cellStyle name="20% - Accent5 4 2 4 10" xfId="16836"/>
    <cellStyle name="20% - Accent5 4 2 4 2" xfId="1143"/>
    <cellStyle name="20% - Accent5 4 2 4 2 2" xfId="16837"/>
    <cellStyle name="20% - Accent5 4 2 4 2 2 2" xfId="16838"/>
    <cellStyle name="20% - Accent5 4 2 4 2 2 2 2" xfId="16839"/>
    <cellStyle name="20% - Accent5 4 2 4 2 2 2 3" xfId="16840"/>
    <cellStyle name="20% - Accent5 4 2 4 2 2 3" xfId="16841"/>
    <cellStyle name="20% - Accent5 4 2 4 2 2 3 2" xfId="16842"/>
    <cellStyle name="20% - Accent5 4 2 4 2 2 3 3" xfId="16843"/>
    <cellStyle name="20% - Accent5 4 2 4 2 2 4" xfId="16844"/>
    <cellStyle name="20% - Accent5 4 2 4 2 2 4 2" xfId="16845"/>
    <cellStyle name="20% - Accent5 4 2 4 2 2 5" xfId="16846"/>
    <cellStyle name="20% - Accent5 4 2 4 2 2 6" xfId="16847"/>
    <cellStyle name="20% - Accent5 4 2 4 2 3" xfId="16848"/>
    <cellStyle name="20% - Accent5 4 2 4 2 3 2" xfId="16849"/>
    <cellStyle name="20% - Accent5 4 2 4 2 3 2 2" xfId="16850"/>
    <cellStyle name="20% - Accent5 4 2 4 2 3 2 3" xfId="16851"/>
    <cellStyle name="20% - Accent5 4 2 4 2 3 3" xfId="16852"/>
    <cellStyle name="20% - Accent5 4 2 4 2 3 3 2" xfId="16853"/>
    <cellStyle name="20% - Accent5 4 2 4 2 3 3 3" xfId="16854"/>
    <cellStyle name="20% - Accent5 4 2 4 2 3 4" xfId="16855"/>
    <cellStyle name="20% - Accent5 4 2 4 2 3 4 2" xfId="16856"/>
    <cellStyle name="20% - Accent5 4 2 4 2 3 5" xfId="16857"/>
    <cellStyle name="20% - Accent5 4 2 4 2 3 6" xfId="16858"/>
    <cellStyle name="20% - Accent5 4 2 4 2 4" xfId="16859"/>
    <cellStyle name="20% - Accent5 4 2 4 2 4 2" xfId="16860"/>
    <cellStyle name="20% - Accent5 4 2 4 2 4 2 2" xfId="16861"/>
    <cellStyle name="20% - Accent5 4 2 4 2 4 2 3" xfId="16862"/>
    <cellStyle name="20% - Accent5 4 2 4 2 4 3" xfId="16863"/>
    <cellStyle name="20% - Accent5 4 2 4 2 4 3 2" xfId="16864"/>
    <cellStyle name="20% - Accent5 4 2 4 2 4 4" xfId="16865"/>
    <cellStyle name="20% - Accent5 4 2 4 2 4 5" xfId="16866"/>
    <cellStyle name="20% - Accent5 4 2 4 2 5" xfId="16867"/>
    <cellStyle name="20% - Accent5 4 2 4 2 5 2" xfId="16868"/>
    <cellStyle name="20% - Accent5 4 2 4 2 5 3" xfId="16869"/>
    <cellStyle name="20% - Accent5 4 2 4 2 6" xfId="16870"/>
    <cellStyle name="20% - Accent5 4 2 4 2 6 2" xfId="16871"/>
    <cellStyle name="20% - Accent5 4 2 4 2 6 3" xfId="16872"/>
    <cellStyle name="20% - Accent5 4 2 4 2 7" xfId="16873"/>
    <cellStyle name="20% - Accent5 4 2 4 2 7 2" xfId="16874"/>
    <cellStyle name="20% - Accent5 4 2 4 2 8" xfId="16875"/>
    <cellStyle name="20% - Accent5 4 2 4 2 9" xfId="16876"/>
    <cellStyle name="20% - Accent5 4 2 4 3" xfId="16877"/>
    <cellStyle name="20% - Accent5 4 2 4 3 2" xfId="16878"/>
    <cellStyle name="20% - Accent5 4 2 4 3 2 2" xfId="16879"/>
    <cellStyle name="20% - Accent5 4 2 4 3 2 3" xfId="16880"/>
    <cellStyle name="20% - Accent5 4 2 4 3 3" xfId="16881"/>
    <cellStyle name="20% - Accent5 4 2 4 3 3 2" xfId="16882"/>
    <cellStyle name="20% - Accent5 4 2 4 3 3 3" xfId="16883"/>
    <cellStyle name="20% - Accent5 4 2 4 3 4" xfId="16884"/>
    <cellStyle name="20% - Accent5 4 2 4 3 4 2" xfId="16885"/>
    <cellStyle name="20% - Accent5 4 2 4 3 5" xfId="16886"/>
    <cellStyle name="20% - Accent5 4 2 4 3 6" xfId="16887"/>
    <cellStyle name="20% - Accent5 4 2 4 4" xfId="16888"/>
    <cellStyle name="20% - Accent5 4 2 4 4 2" xfId="16889"/>
    <cellStyle name="20% - Accent5 4 2 4 4 2 2" xfId="16890"/>
    <cellStyle name="20% - Accent5 4 2 4 4 2 3" xfId="16891"/>
    <cellStyle name="20% - Accent5 4 2 4 4 3" xfId="16892"/>
    <cellStyle name="20% - Accent5 4 2 4 4 3 2" xfId="16893"/>
    <cellStyle name="20% - Accent5 4 2 4 4 3 3" xfId="16894"/>
    <cellStyle name="20% - Accent5 4 2 4 4 4" xfId="16895"/>
    <cellStyle name="20% - Accent5 4 2 4 4 4 2" xfId="16896"/>
    <cellStyle name="20% - Accent5 4 2 4 4 5" xfId="16897"/>
    <cellStyle name="20% - Accent5 4 2 4 4 6" xfId="16898"/>
    <cellStyle name="20% - Accent5 4 2 4 5" xfId="16899"/>
    <cellStyle name="20% - Accent5 4 2 4 5 2" xfId="16900"/>
    <cellStyle name="20% - Accent5 4 2 4 5 2 2" xfId="16901"/>
    <cellStyle name="20% - Accent5 4 2 4 5 2 3" xfId="16902"/>
    <cellStyle name="20% - Accent5 4 2 4 5 3" xfId="16903"/>
    <cellStyle name="20% - Accent5 4 2 4 5 3 2" xfId="16904"/>
    <cellStyle name="20% - Accent5 4 2 4 5 4" xfId="16905"/>
    <cellStyle name="20% - Accent5 4 2 4 5 5" xfId="16906"/>
    <cellStyle name="20% - Accent5 4 2 4 6" xfId="16907"/>
    <cellStyle name="20% - Accent5 4 2 4 6 2" xfId="16908"/>
    <cellStyle name="20% - Accent5 4 2 4 6 3" xfId="16909"/>
    <cellStyle name="20% - Accent5 4 2 4 7" xfId="16910"/>
    <cellStyle name="20% - Accent5 4 2 4 7 2" xfId="16911"/>
    <cellStyle name="20% - Accent5 4 2 4 7 3" xfId="16912"/>
    <cellStyle name="20% - Accent5 4 2 4 8" xfId="16913"/>
    <cellStyle name="20% - Accent5 4 2 4 8 2" xfId="16914"/>
    <cellStyle name="20% - Accent5 4 2 4 9" xfId="16915"/>
    <cellStyle name="20% - Accent5 4 2 5" xfId="1144"/>
    <cellStyle name="20% - Accent5 4 2 5 2" xfId="16916"/>
    <cellStyle name="20% - Accent5 4 2 5 2 2" xfId="16917"/>
    <cellStyle name="20% - Accent5 4 2 5 2 2 2" xfId="16918"/>
    <cellStyle name="20% - Accent5 4 2 5 2 2 3" xfId="16919"/>
    <cellStyle name="20% - Accent5 4 2 5 2 3" xfId="16920"/>
    <cellStyle name="20% - Accent5 4 2 5 2 3 2" xfId="16921"/>
    <cellStyle name="20% - Accent5 4 2 5 2 3 3" xfId="16922"/>
    <cellStyle name="20% - Accent5 4 2 5 2 4" xfId="16923"/>
    <cellStyle name="20% - Accent5 4 2 5 2 4 2" xfId="16924"/>
    <cellStyle name="20% - Accent5 4 2 5 2 5" xfId="16925"/>
    <cellStyle name="20% - Accent5 4 2 5 2 6" xfId="16926"/>
    <cellStyle name="20% - Accent5 4 2 5 3" xfId="16927"/>
    <cellStyle name="20% - Accent5 4 2 5 3 2" xfId="16928"/>
    <cellStyle name="20% - Accent5 4 2 5 3 2 2" xfId="16929"/>
    <cellStyle name="20% - Accent5 4 2 5 3 2 3" xfId="16930"/>
    <cellStyle name="20% - Accent5 4 2 5 3 3" xfId="16931"/>
    <cellStyle name="20% - Accent5 4 2 5 3 3 2" xfId="16932"/>
    <cellStyle name="20% - Accent5 4 2 5 3 3 3" xfId="16933"/>
    <cellStyle name="20% - Accent5 4 2 5 3 4" xfId="16934"/>
    <cellStyle name="20% - Accent5 4 2 5 3 4 2" xfId="16935"/>
    <cellStyle name="20% - Accent5 4 2 5 3 5" xfId="16936"/>
    <cellStyle name="20% - Accent5 4 2 5 3 6" xfId="16937"/>
    <cellStyle name="20% - Accent5 4 2 5 4" xfId="16938"/>
    <cellStyle name="20% - Accent5 4 2 5 4 2" xfId="16939"/>
    <cellStyle name="20% - Accent5 4 2 5 4 2 2" xfId="16940"/>
    <cellStyle name="20% - Accent5 4 2 5 4 2 3" xfId="16941"/>
    <cellStyle name="20% - Accent5 4 2 5 4 3" xfId="16942"/>
    <cellStyle name="20% - Accent5 4 2 5 4 3 2" xfId="16943"/>
    <cellStyle name="20% - Accent5 4 2 5 4 4" xfId="16944"/>
    <cellStyle name="20% - Accent5 4 2 5 4 5" xfId="16945"/>
    <cellStyle name="20% - Accent5 4 2 5 5" xfId="16946"/>
    <cellStyle name="20% - Accent5 4 2 5 5 2" xfId="16947"/>
    <cellStyle name="20% - Accent5 4 2 5 5 3" xfId="16948"/>
    <cellStyle name="20% - Accent5 4 2 5 6" xfId="16949"/>
    <cellStyle name="20% - Accent5 4 2 5 6 2" xfId="16950"/>
    <cellStyle name="20% - Accent5 4 2 5 6 3" xfId="16951"/>
    <cellStyle name="20% - Accent5 4 2 5 7" xfId="16952"/>
    <cellStyle name="20% - Accent5 4 2 5 7 2" xfId="16953"/>
    <cellStyle name="20% - Accent5 4 2 5 8" xfId="16954"/>
    <cellStyle name="20% - Accent5 4 2 5 9" xfId="16955"/>
    <cellStyle name="20% - Accent5 4 2 6" xfId="16956"/>
    <cellStyle name="20% - Accent5 4 2 6 2" xfId="16957"/>
    <cellStyle name="20% - Accent5 4 2 6 2 2" xfId="16958"/>
    <cellStyle name="20% - Accent5 4 2 6 2 2 2" xfId="16959"/>
    <cellStyle name="20% - Accent5 4 2 6 2 2 3" xfId="16960"/>
    <cellStyle name="20% - Accent5 4 2 6 2 3" xfId="16961"/>
    <cellStyle name="20% - Accent5 4 2 6 2 3 2" xfId="16962"/>
    <cellStyle name="20% - Accent5 4 2 6 2 3 3" xfId="16963"/>
    <cellStyle name="20% - Accent5 4 2 6 2 4" xfId="16964"/>
    <cellStyle name="20% - Accent5 4 2 6 2 4 2" xfId="16965"/>
    <cellStyle name="20% - Accent5 4 2 6 2 5" xfId="16966"/>
    <cellStyle name="20% - Accent5 4 2 6 2 6" xfId="16967"/>
    <cellStyle name="20% - Accent5 4 2 6 3" xfId="16968"/>
    <cellStyle name="20% - Accent5 4 2 6 3 2" xfId="16969"/>
    <cellStyle name="20% - Accent5 4 2 6 3 2 2" xfId="16970"/>
    <cellStyle name="20% - Accent5 4 2 6 3 2 3" xfId="16971"/>
    <cellStyle name="20% - Accent5 4 2 6 3 3" xfId="16972"/>
    <cellStyle name="20% - Accent5 4 2 6 3 3 2" xfId="16973"/>
    <cellStyle name="20% - Accent5 4 2 6 3 3 3" xfId="16974"/>
    <cellStyle name="20% - Accent5 4 2 6 3 4" xfId="16975"/>
    <cellStyle name="20% - Accent5 4 2 6 3 4 2" xfId="16976"/>
    <cellStyle name="20% - Accent5 4 2 6 3 5" xfId="16977"/>
    <cellStyle name="20% - Accent5 4 2 6 3 6" xfId="16978"/>
    <cellStyle name="20% - Accent5 4 2 6 4" xfId="16979"/>
    <cellStyle name="20% - Accent5 4 2 6 4 2" xfId="16980"/>
    <cellStyle name="20% - Accent5 4 2 6 4 2 2" xfId="16981"/>
    <cellStyle name="20% - Accent5 4 2 6 4 2 3" xfId="16982"/>
    <cellStyle name="20% - Accent5 4 2 6 4 3" xfId="16983"/>
    <cellStyle name="20% - Accent5 4 2 6 4 3 2" xfId="16984"/>
    <cellStyle name="20% - Accent5 4 2 6 4 4" xfId="16985"/>
    <cellStyle name="20% - Accent5 4 2 6 4 5" xfId="16986"/>
    <cellStyle name="20% - Accent5 4 2 6 5" xfId="16987"/>
    <cellStyle name="20% - Accent5 4 2 6 5 2" xfId="16988"/>
    <cellStyle name="20% - Accent5 4 2 6 5 3" xfId="16989"/>
    <cellStyle name="20% - Accent5 4 2 6 6" xfId="16990"/>
    <cellStyle name="20% - Accent5 4 2 6 6 2" xfId="16991"/>
    <cellStyle name="20% - Accent5 4 2 6 6 3" xfId="16992"/>
    <cellStyle name="20% - Accent5 4 2 6 7" xfId="16993"/>
    <cellStyle name="20% - Accent5 4 2 6 7 2" xfId="16994"/>
    <cellStyle name="20% - Accent5 4 2 6 8" xfId="16995"/>
    <cellStyle name="20% - Accent5 4 2 6 9" xfId="16996"/>
    <cellStyle name="20% - Accent5 4 2 7" xfId="16997"/>
    <cellStyle name="20% - Accent5 4 2 7 2" xfId="16998"/>
    <cellStyle name="20% - Accent5 4 2 7 2 2" xfId="16999"/>
    <cellStyle name="20% - Accent5 4 2 7 2 3" xfId="17000"/>
    <cellStyle name="20% - Accent5 4 2 7 3" xfId="17001"/>
    <cellStyle name="20% - Accent5 4 2 7 3 2" xfId="17002"/>
    <cellStyle name="20% - Accent5 4 2 7 3 3" xfId="17003"/>
    <cellStyle name="20% - Accent5 4 2 7 4" xfId="17004"/>
    <cellStyle name="20% - Accent5 4 2 7 4 2" xfId="17005"/>
    <cellStyle name="20% - Accent5 4 2 7 5" xfId="17006"/>
    <cellStyle name="20% - Accent5 4 2 7 6" xfId="17007"/>
    <cellStyle name="20% - Accent5 4 2 8" xfId="17008"/>
    <cellStyle name="20% - Accent5 4 2 8 2" xfId="17009"/>
    <cellStyle name="20% - Accent5 4 2 8 2 2" xfId="17010"/>
    <cellStyle name="20% - Accent5 4 2 8 2 3" xfId="17011"/>
    <cellStyle name="20% - Accent5 4 2 8 3" xfId="17012"/>
    <cellStyle name="20% - Accent5 4 2 8 3 2" xfId="17013"/>
    <cellStyle name="20% - Accent5 4 2 8 3 3" xfId="17014"/>
    <cellStyle name="20% - Accent5 4 2 8 4" xfId="17015"/>
    <cellStyle name="20% - Accent5 4 2 8 4 2" xfId="17016"/>
    <cellStyle name="20% - Accent5 4 2 8 5" xfId="17017"/>
    <cellStyle name="20% - Accent5 4 2 8 6" xfId="17018"/>
    <cellStyle name="20% - Accent5 4 2 9" xfId="17019"/>
    <cellStyle name="20% - Accent5 4 2 9 2" xfId="17020"/>
    <cellStyle name="20% - Accent5 4 2 9 2 2" xfId="17021"/>
    <cellStyle name="20% - Accent5 4 2 9 2 3" xfId="17022"/>
    <cellStyle name="20% - Accent5 4 2 9 3" xfId="17023"/>
    <cellStyle name="20% - Accent5 4 2 9 3 2" xfId="17024"/>
    <cellStyle name="20% - Accent5 4 2 9 4" xfId="17025"/>
    <cellStyle name="20% - Accent5 4 2 9 5" xfId="17026"/>
    <cellStyle name="20% - Accent5 4 3" xfId="1145"/>
    <cellStyle name="20% - Accent5 4 3 10" xfId="17027"/>
    <cellStyle name="20% - Accent5 4 3 10 2" xfId="17028"/>
    <cellStyle name="20% - Accent5 4 3 10 3" xfId="17029"/>
    <cellStyle name="20% - Accent5 4 3 11" xfId="17030"/>
    <cellStyle name="20% - Accent5 4 3 11 2" xfId="17031"/>
    <cellStyle name="20% - Accent5 4 3 12" xfId="17032"/>
    <cellStyle name="20% - Accent5 4 3 13" xfId="17033"/>
    <cellStyle name="20% - Accent5 4 3 14" xfId="17034"/>
    <cellStyle name="20% - Accent5 4 3 2" xfId="1146"/>
    <cellStyle name="20% - Accent5 4 3 2 10" xfId="17035"/>
    <cellStyle name="20% - Accent5 4 3 2 10 2" xfId="17036"/>
    <cellStyle name="20% - Accent5 4 3 2 11" xfId="17037"/>
    <cellStyle name="20% - Accent5 4 3 2 12" xfId="17038"/>
    <cellStyle name="20% - Accent5 4 3 2 2" xfId="1147"/>
    <cellStyle name="20% - Accent5 4 3 2 2 10" xfId="17039"/>
    <cellStyle name="20% - Accent5 4 3 2 2 2" xfId="1148"/>
    <cellStyle name="20% - Accent5 4 3 2 2 2 2" xfId="17040"/>
    <cellStyle name="20% - Accent5 4 3 2 2 2 2 2" xfId="17041"/>
    <cellStyle name="20% - Accent5 4 3 2 2 2 2 2 2" xfId="17042"/>
    <cellStyle name="20% - Accent5 4 3 2 2 2 2 2 3" xfId="17043"/>
    <cellStyle name="20% - Accent5 4 3 2 2 2 2 3" xfId="17044"/>
    <cellStyle name="20% - Accent5 4 3 2 2 2 2 3 2" xfId="17045"/>
    <cellStyle name="20% - Accent5 4 3 2 2 2 2 3 3" xfId="17046"/>
    <cellStyle name="20% - Accent5 4 3 2 2 2 2 4" xfId="17047"/>
    <cellStyle name="20% - Accent5 4 3 2 2 2 2 4 2" xfId="17048"/>
    <cellStyle name="20% - Accent5 4 3 2 2 2 2 5" xfId="17049"/>
    <cellStyle name="20% - Accent5 4 3 2 2 2 2 6" xfId="17050"/>
    <cellStyle name="20% - Accent5 4 3 2 2 2 3" xfId="17051"/>
    <cellStyle name="20% - Accent5 4 3 2 2 2 3 2" xfId="17052"/>
    <cellStyle name="20% - Accent5 4 3 2 2 2 3 2 2" xfId="17053"/>
    <cellStyle name="20% - Accent5 4 3 2 2 2 3 2 3" xfId="17054"/>
    <cellStyle name="20% - Accent5 4 3 2 2 2 3 3" xfId="17055"/>
    <cellStyle name="20% - Accent5 4 3 2 2 2 3 3 2" xfId="17056"/>
    <cellStyle name="20% - Accent5 4 3 2 2 2 3 3 3" xfId="17057"/>
    <cellStyle name="20% - Accent5 4 3 2 2 2 3 4" xfId="17058"/>
    <cellStyle name="20% - Accent5 4 3 2 2 2 3 4 2" xfId="17059"/>
    <cellStyle name="20% - Accent5 4 3 2 2 2 3 5" xfId="17060"/>
    <cellStyle name="20% - Accent5 4 3 2 2 2 3 6" xfId="17061"/>
    <cellStyle name="20% - Accent5 4 3 2 2 2 4" xfId="17062"/>
    <cellStyle name="20% - Accent5 4 3 2 2 2 4 2" xfId="17063"/>
    <cellStyle name="20% - Accent5 4 3 2 2 2 4 2 2" xfId="17064"/>
    <cellStyle name="20% - Accent5 4 3 2 2 2 4 2 3" xfId="17065"/>
    <cellStyle name="20% - Accent5 4 3 2 2 2 4 3" xfId="17066"/>
    <cellStyle name="20% - Accent5 4 3 2 2 2 4 3 2" xfId="17067"/>
    <cellStyle name="20% - Accent5 4 3 2 2 2 4 4" xfId="17068"/>
    <cellStyle name="20% - Accent5 4 3 2 2 2 4 5" xfId="17069"/>
    <cellStyle name="20% - Accent5 4 3 2 2 2 5" xfId="17070"/>
    <cellStyle name="20% - Accent5 4 3 2 2 2 5 2" xfId="17071"/>
    <cellStyle name="20% - Accent5 4 3 2 2 2 5 3" xfId="17072"/>
    <cellStyle name="20% - Accent5 4 3 2 2 2 6" xfId="17073"/>
    <cellStyle name="20% - Accent5 4 3 2 2 2 6 2" xfId="17074"/>
    <cellStyle name="20% - Accent5 4 3 2 2 2 6 3" xfId="17075"/>
    <cellStyle name="20% - Accent5 4 3 2 2 2 7" xfId="17076"/>
    <cellStyle name="20% - Accent5 4 3 2 2 2 7 2" xfId="17077"/>
    <cellStyle name="20% - Accent5 4 3 2 2 2 8" xfId="17078"/>
    <cellStyle name="20% - Accent5 4 3 2 2 2 9" xfId="17079"/>
    <cellStyle name="20% - Accent5 4 3 2 2 3" xfId="17080"/>
    <cellStyle name="20% - Accent5 4 3 2 2 3 2" xfId="17081"/>
    <cellStyle name="20% - Accent5 4 3 2 2 3 2 2" xfId="17082"/>
    <cellStyle name="20% - Accent5 4 3 2 2 3 2 3" xfId="17083"/>
    <cellStyle name="20% - Accent5 4 3 2 2 3 3" xfId="17084"/>
    <cellStyle name="20% - Accent5 4 3 2 2 3 3 2" xfId="17085"/>
    <cellStyle name="20% - Accent5 4 3 2 2 3 3 3" xfId="17086"/>
    <cellStyle name="20% - Accent5 4 3 2 2 3 4" xfId="17087"/>
    <cellStyle name="20% - Accent5 4 3 2 2 3 4 2" xfId="17088"/>
    <cellStyle name="20% - Accent5 4 3 2 2 3 5" xfId="17089"/>
    <cellStyle name="20% - Accent5 4 3 2 2 3 6" xfId="17090"/>
    <cellStyle name="20% - Accent5 4 3 2 2 4" xfId="17091"/>
    <cellStyle name="20% - Accent5 4 3 2 2 4 2" xfId="17092"/>
    <cellStyle name="20% - Accent5 4 3 2 2 4 2 2" xfId="17093"/>
    <cellStyle name="20% - Accent5 4 3 2 2 4 2 3" xfId="17094"/>
    <cellStyle name="20% - Accent5 4 3 2 2 4 3" xfId="17095"/>
    <cellStyle name="20% - Accent5 4 3 2 2 4 3 2" xfId="17096"/>
    <cellStyle name="20% - Accent5 4 3 2 2 4 3 3" xfId="17097"/>
    <cellStyle name="20% - Accent5 4 3 2 2 4 4" xfId="17098"/>
    <cellStyle name="20% - Accent5 4 3 2 2 4 4 2" xfId="17099"/>
    <cellStyle name="20% - Accent5 4 3 2 2 4 5" xfId="17100"/>
    <cellStyle name="20% - Accent5 4 3 2 2 4 6" xfId="17101"/>
    <cellStyle name="20% - Accent5 4 3 2 2 5" xfId="17102"/>
    <cellStyle name="20% - Accent5 4 3 2 2 5 2" xfId="17103"/>
    <cellStyle name="20% - Accent5 4 3 2 2 5 2 2" xfId="17104"/>
    <cellStyle name="20% - Accent5 4 3 2 2 5 2 3" xfId="17105"/>
    <cellStyle name="20% - Accent5 4 3 2 2 5 3" xfId="17106"/>
    <cellStyle name="20% - Accent5 4 3 2 2 5 3 2" xfId="17107"/>
    <cellStyle name="20% - Accent5 4 3 2 2 5 4" xfId="17108"/>
    <cellStyle name="20% - Accent5 4 3 2 2 5 5" xfId="17109"/>
    <cellStyle name="20% - Accent5 4 3 2 2 6" xfId="17110"/>
    <cellStyle name="20% - Accent5 4 3 2 2 6 2" xfId="17111"/>
    <cellStyle name="20% - Accent5 4 3 2 2 6 3" xfId="17112"/>
    <cellStyle name="20% - Accent5 4 3 2 2 7" xfId="17113"/>
    <cellStyle name="20% - Accent5 4 3 2 2 7 2" xfId="17114"/>
    <cellStyle name="20% - Accent5 4 3 2 2 7 3" xfId="17115"/>
    <cellStyle name="20% - Accent5 4 3 2 2 8" xfId="17116"/>
    <cellStyle name="20% - Accent5 4 3 2 2 8 2" xfId="17117"/>
    <cellStyle name="20% - Accent5 4 3 2 2 9" xfId="17118"/>
    <cellStyle name="20% - Accent5 4 3 2 3" xfId="1149"/>
    <cellStyle name="20% - Accent5 4 3 2 3 2" xfId="17119"/>
    <cellStyle name="20% - Accent5 4 3 2 3 2 2" xfId="17120"/>
    <cellStyle name="20% - Accent5 4 3 2 3 2 2 2" xfId="17121"/>
    <cellStyle name="20% - Accent5 4 3 2 3 2 2 3" xfId="17122"/>
    <cellStyle name="20% - Accent5 4 3 2 3 2 3" xfId="17123"/>
    <cellStyle name="20% - Accent5 4 3 2 3 2 3 2" xfId="17124"/>
    <cellStyle name="20% - Accent5 4 3 2 3 2 3 3" xfId="17125"/>
    <cellStyle name="20% - Accent5 4 3 2 3 2 4" xfId="17126"/>
    <cellStyle name="20% - Accent5 4 3 2 3 2 4 2" xfId="17127"/>
    <cellStyle name="20% - Accent5 4 3 2 3 2 5" xfId="17128"/>
    <cellStyle name="20% - Accent5 4 3 2 3 2 6" xfId="17129"/>
    <cellStyle name="20% - Accent5 4 3 2 3 3" xfId="17130"/>
    <cellStyle name="20% - Accent5 4 3 2 3 3 2" xfId="17131"/>
    <cellStyle name="20% - Accent5 4 3 2 3 3 2 2" xfId="17132"/>
    <cellStyle name="20% - Accent5 4 3 2 3 3 2 3" xfId="17133"/>
    <cellStyle name="20% - Accent5 4 3 2 3 3 3" xfId="17134"/>
    <cellStyle name="20% - Accent5 4 3 2 3 3 3 2" xfId="17135"/>
    <cellStyle name="20% - Accent5 4 3 2 3 3 3 3" xfId="17136"/>
    <cellStyle name="20% - Accent5 4 3 2 3 3 4" xfId="17137"/>
    <cellStyle name="20% - Accent5 4 3 2 3 3 4 2" xfId="17138"/>
    <cellStyle name="20% - Accent5 4 3 2 3 3 5" xfId="17139"/>
    <cellStyle name="20% - Accent5 4 3 2 3 3 6" xfId="17140"/>
    <cellStyle name="20% - Accent5 4 3 2 3 4" xfId="17141"/>
    <cellStyle name="20% - Accent5 4 3 2 3 4 2" xfId="17142"/>
    <cellStyle name="20% - Accent5 4 3 2 3 4 2 2" xfId="17143"/>
    <cellStyle name="20% - Accent5 4 3 2 3 4 2 3" xfId="17144"/>
    <cellStyle name="20% - Accent5 4 3 2 3 4 3" xfId="17145"/>
    <cellStyle name="20% - Accent5 4 3 2 3 4 3 2" xfId="17146"/>
    <cellStyle name="20% - Accent5 4 3 2 3 4 4" xfId="17147"/>
    <cellStyle name="20% - Accent5 4 3 2 3 4 5" xfId="17148"/>
    <cellStyle name="20% - Accent5 4 3 2 3 5" xfId="17149"/>
    <cellStyle name="20% - Accent5 4 3 2 3 5 2" xfId="17150"/>
    <cellStyle name="20% - Accent5 4 3 2 3 5 3" xfId="17151"/>
    <cellStyle name="20% - Accent5 4 3 2 3 6" xfId="17152"/>
    <cellStyle name="20% - Accent5 4 3 2 3 6 2" xfId="17153"/>
    <cellStyle name="20% - Accent5 4 3 2 3 6 3" xfId="17154"/>
    <cellStyle name="20% - Accent5 4 3 2 3 7" xfId="17155"/>
    <cellStyle name="20% - Accent5 4 3 2 3 7 2" xfId="17156"/>
    <cellStyle name="20% - Accent5 4 3 2 3 8" xfId="17157"/>
    <cellStyle name="20% - Accent5 4 3 2 3 9" xfId="17158"/>
    <cellStyle name="20% - Accent5 4 3 2 4" xfId="17159"/>
    <cellStyle name="20% - Accent5 4 3 2 4 2" xfId="17160"/>
    <cellStyle name="20% - Accent5 4 3 2 4 2 2" xfId="17161"/>
    <cellStyle name="20% - Accent5 4 3 2 4 2 2 2" xfId="17162"/>
    <cellStyle name="20% - Accent5 4 3 2 4 2 2 3" xfId="17163"/>
    <cellStyle name="20% - Accent5 4 3 2 4 2 3" xfId="17164"/>
    <cellStyle name="20% - Accent5 4 3 2 4 2 3 2" xfId="17165"/>
    <cellStyle name="20% - Accent5 4 3 2 4 2 3 3" xfId="17166"/>
    <cellStyle name="20% - Accent5 4 3 2 4 2 4" xfId="17167"/>
    <cellStyle name="20% - Accent5 4 3 2 4 2 4 2" xfId="17168"/>
    <cellStyle name="20% - Accent5 4 3 2 4 2 5" xfId="17169"/>
    <cellStyle name="20% - Accent5 4 3 2 4 2 6" xfId="17170"/>
    <cellStyle name="20% - Accent5 4 3 2 4 3" xfId="17171"/>
    <cellStyle name="20% - Accent5 4 3 2 4 3 2" xfId="17172"/>
    <cellStyle name="20% - Accent5 4 3 2 4 3 2 2" xfId="17173"/>
    <cellStyle name="20% - Accent5 4 3 2 4 3 2 3" xfId="17174"/>
    <cellStyle name="20% - Accent5 4 3 2 4 3 3" xfId="17175"/>
    <cellStyle name="20% - Accent5 4 3 2 4 3 3 2" xfId="17176"/>
    <cellStyle name="20% - Accent5 4 3 2 4 3 3 3" xfId="17177"/>
    <cellStyle name="20% - Accent5 4 3 2 4 3 4" xfId="17178"/>
    <cellStyle name="20% - Accent5 4 3 2 4 3 4 2" xfId="17179"/>
    <cellStyle name="20% - Accent5 4 3 2 4 3 5" xfId="17180"/>
    <cellStyle name="20% - Accent5 4 3 2 4 3 6" xfId="17181"/>
    <cellStyle name="20% - Accent5 4 3 2 4 4" xfId="17182"/>
    <cellStyle name="20% - Accent5 4 3 2 4 4 2" xfId="17183"/>
    <cellStyle name="20% - Accent5 4 3 2 4 4 2 2" xfId="17184"/>
    <cellStyle name="20% - Accent5 4 3 2 4 4 2 3" xfId="17185"/>
    <cellStyle name="20% - Accent5 4 3 2 4 4 3" xfId="17186"/>
    <cellStyle name="20% - Accent5 4 3 2 4 4 3 2" xfId="17187"/>
    <cellStyle name="20% - Accent5 4 3 2 4 4 4" xfId="17188"/>
    <cellStyle name="20% - Accent5 4 3 2 4 4 5" xfId="17189"/>
    <cellStyle name="20% - Accent5 4 3 2 4 5" xfId="17190"/>
    <cellStyle name="20% - Accent5 4 3 2 4 5 2" xfId="17191"/>
    <cellStyle name="20% - Accent5 4 3 2 4 5 3" xfId="17192"/>
    <cellStyle name="20% - Accent5 4 3 2 4 6" xfId="17193"/>
    <cellStyle name="20% - Accent5 4 3 2 4 6 2" xfId="17194"/>
    <cellStyle name="20% - Accent5 4 3 2 4 6 3" xfId="17195"/>
    <cellStyle name="20% - Accent5 4 3 2 4 7" xfId="17196"/>
    <cellStyle name="20% - Accent5 4 3 2 4 7 2" xfId="17197"/>
    <cellStyle name="20% - Accent5 4 3 2 4 8" xfId="17198"/>
    <cellStyle name="20% - Accent5 4 3 2 4 9" xfId="17199"/>
    <cellStyle name="20% - Accent5 4 3 2 5" xfId="17200"/>
    <cellStyle name="20% - Accent5 4 3 2 5 2" xfId="17201"/>
    <cellStyle name="20% - Accent5 4 3 2 5 2 2" xfId="17202"/>
    <cellStyle name="20% - Accent5 4 3 2 5 2 3" xfId="17203"/>
    <cellStyle name="20% - Accent5 4 3 2 5 3" xfId="17204"/>
    <cellStyle name="20% - Accent5 4 3 2 5 3 2" xfId="17205"/>
    <cellStyle name="20% - Accent5 4 3 2 5 3 3" xfId="17206"/>
    <cellStyle name="20% - Accent5 4 3 2 5 4" xfId="17207"/>
    <cellStyle name="20% - Accent5 4 3 2 5 4 2" xfId="17208"/>
    <cellStyle name="20% - Accent5 4 3 2 5 5" xfId="17209"/>
    <cellStyle name="20% - Accent5 4 3 2 5 6" xfId="17210"/>
    <cellStyle name="20% - Accent5 4 3 2 6" xfId="17211"/>
    <cellStyle name="20% - Accent5 4 3 2 6 2" xfId="17212"/>
    <cellStyle name="20% - Accent5 4 3 2 6 2 2" xfId="17213"/>
    <cellStyle name="20% - Accent5 4 3 2 6 2 3" xfId="17214"/>
    <cellStyle name="20% - Accent5 4 3 2 6 3" xfId="17215"/>
    <cellStyle name="20% - Accent5 4 3 2 6 3 2" xfId="17216"/>
    <cellStyle name="20% - Accent5 4 3 2 6 3 3" xfId="17217"/>
    <cellStyle name="20% - Accent5 4 3 2 6 4" xfId="17218"/>
    <cellStyle name="20% - Accent5 4 3 2 6 4 2" xfId="17219"/>
    <cellStyle name="20% - Accent5 4 3 2 6 5" xfId="17220"/>
    <cellStyle name="20% - Accent5 4 3 2 6 6" xfId="17221"/>
    <cellStyle name="20% - Accent5 4 3 2 7" xfId="17222"/>
    <cellStyle name="20% - Accent5 4 3 2 7 2" xfId="17223"/>
    <cellStyle name="20% - Accent5 4 3 2 7 2 2" xfId="17224"/>
    <cellStyle name="20% - Accent5 4 3 2 7 2 3" xfId="17225"/>
    <cellStyle name="20% - Accent5 4 3 2 7 3" xfId="17226"/>
    <cellStyle name="20% - Accent5 4 3 2 7 3 2" xfId="17227"/>
    <cellStyle name="20% - Accent5 4 3 2 7 4" xfId="17228"/>
    <cellStyle name="20% - Accent5 4 3 2 7 5" xfId="17229"/>
    <cellStyle name="20% - Accent5 4 3 2 8" xfId="17230"/>
    <cellStyle name="20% - Accent5 4 3 2 8 2" xfId="17231"/>
    <cellStyle name="20% - Accent5 4 3 2 8 3" xfId="17232"/>
    <cellStyle name="20% - Accent5 4 3 2 9" xfId="17233"/>
    <cellStyle name="20% - Accent5 4 3 2 9 2" xfId="17234"/>
    <cellStyle name="20% - Accent5 4 3 2 9 3" xfId="17235"/>
    <cellStyle name="20% - Accent5 4 3 3" xfId="1150"/>
    <cellStyle name="20% - Accent5 4 3 3 10" xfId="17236"/>
    <cellStyle name="20% - Accent5 4 3 3 2" xfId="1151"/>
    <cellStyle name="20% - Accent5 4 3 3 2 2" xfId="17237"/>
    <cellStyle name="20% - Accent5 4 3 3 2 2 2" xfId="17238"/>
    <cellStyle name="20% - Accent5 4 3 3 2 2 2 2" xfId="17239"/>
    <cellStyle name="20% - Accent5 4 3 3 2 2 2 3" xfId="17240"/>
    <cellStyle name="20% - Accent5 4 3 3 2 2 3" xfId="17241"/>
    <cellStyle name="20% - Accent5 4 3 3 2 2 3 2" xfId="17242"/>
    <cellStyle name="20% - Accent5 4 3 3 2 2 3 3" xfId="17243"/>
    <cellStyle name="20% - Accent5 4 3 3 2 2 4" xfId="17244"/>
    <cellStyle name="20% - Accent5 4 3 3 2 2 4 2" xfId="17245"/>
    <cellStyle name="20% - Accent5 4 3 3 2 2 5" xfId="17246"/>
    <cellStyle name="20% - Accent5 4 3 3 2 2 6" xfId="17247"/>
    <cellStyle name="20% - Accent5 4 3 3 2 3" xfId="17248"/>
    <cellStyle name="20% - Accent5 4 3 3 2 3 2" xfId="17249"/>
    <cellStyle name="20% - Accent5 4 3 3 2 3 2 2" xfId="17250"/>
    <cellStyle name="20% - Accent5 4 3 3 2 3 2 3" xfId="17251"/>
    <cellStyle name="20% - Accent5 4 3 3 2 3 3" xfId="17252"/>
    <cellStyle name="20% - Accent5 4 3 3 2 3 3 2" xfId="17253"/>
    <cellStyle name="20% - Accent5 4 3 3 2 3 3 3" xfId="17254"/>
    <cellStyle name="20% - Accent5 4 3 3 2 3 4" xfId="17255"/>
    <cellStyle name="20% - Accent5 4 3 3 2 3 4 2" xfId="17256"/>
    <cellStyle name="20% - Accent5 4 3 3 2 3 5" xfId="17257"/>
    <cellStyle name="20% - Accent5 4 3 3 2 3 6" xfId="17258"/>
    <cellStyle name="20% - Accent5 4 3 3 2 4" xfId="17259"/>
    <cellStyle name="20% - Accent5 4 3 3 2 4 2" xfId="17260"/>
    <cellStyle name="20% - Accent5 4 3 3 2 4 2 2" xfId="17261"/>
    <cellStyle name="20% - Accent5 4 3 3 2 4 2 3" xfId="17262"/>
    <cellStyle name="20% - Accent5 4 3 3 2 4 3" xfId="17263"/>
    <cellStyle name="20% - Accent5 4 3 3 2 4 3 2" xfId="17264"/>
    <cellStyle name="20% - Accent5 4 3 3 2 4 4" xfId="17265"/>
    <cellStyle name="20% - Accent5 4 3 3 2 4 5" xfId="17266"/>
    <cellStyle name="20% - Accent5 4 3 3 2 5" xfId="17267"/>
    <cellStyle name="20% - Accent5 4 3 3 2 5 2" xfId="17268"/>
    <cellStyle name="20% - Accent5 4 3 3 2 5 3" xfId="17269"/>
    <cellStyle name="20% - Accent5 4 3 3 2 6" xfId="17270"/>
    <cellStyle name="20% - Accent5 4 3 3 2 6 2" xfId="17271"/>
    <cellStyle name="20% - Accent5 4 3 3 2 6 3" xfId="17272"/>
    <cellStyle name="20% - Accent5 4 3 3 2 7" xfId="17273"/>
    <cellStyle name="20% - Accent5 4 3 3 2 7 2" xfId="17274"/>
    <cellStyle name="20% - Accent5 4 3 3 2 8" xfId="17275"/>
    <cellStyle name="20% - Accent5 4 3 3 2 9" xfId="17276"/>
    <cellStyle name="20% - Accent5 4 3 3 3" xfId="17277"/>
    <cellStyle name="20% - Accent5 4 3 3 3 2" xfId="17278"/>
    <cellStyle name="20% - Accent5 4 3 3 3 2 2" xfId="17279"/>
    <cellStyle name="20% - Accent5 4 3 3 3 2 3" xfId="17280"/>
    <cellStyle name="20% - Accent5 4 3 3 3 3" xfId="17281"/>
    <cellStyle name="20% - Accent5 4 3 3 3 3 2" xfId="17282"/>
    <cellStyle name="20% - Accent5 4 3 3 3 3 3" xfId="17283"/>
    <cellStyle name="20% - Accent5 4 3 3 3 4" xfId="17284"/>
    <cellStyle name="20% - Accent5 4 3 3 3 4 2" xfId="17285"/>
    <cellStyle name="20% - Accent5 4 3 3 3 5" xfId="17286"/>
    <cellStyle name="20% - Accent5 4 3 3 3 6" xfId="17287"/>
    <cellStyle name="20% - Accent5 4 3 3 4" xfId="17288"/>
    <cellStyle name="20% - Accent5 4 3 3 4 2" xfId="17289"/>
    <cellStyle name="20% - Accent5 4 3 3 4 2 2" xfId="17290"/>
    <cellStyle name="20% - Accent5 4 3 3 4 2 3" xfId="17291"/>
    <cellStyle name="20% - Accent5 4 3 3 4 3" xfId="17292"/>
    <cellStyle name="20% - Accent5 4 3 3 4 3 2" xfId="17293"/>
    <cellStyle name="20% - Accent5 4 3 3 4 3 3" xfId="17294"/>
    <cellStyle name="20% - Accent5 4 3 3 4 4" xfId="17295"/>
    <cellStyle name="20% - Accent5 4 3 3 4 4 2" xfId="17296"/>
    <cellStyle name="20% - Accent5 4 3 3 4 5" xfId="17297"/>
    <cellStyle name="20% - Accent5 4 3 3 4 6" xfId="17298"/>
    <cellStyle name="20% - Accent5 4 3 3 5" xfId="17299"/>
    <cellStyle name="20% - Accent5 4 3 3 5 2" xfId="17300"/>
    <cellStyle name="20% - Accent5 4 3 3 5 2 2" xfId="17301"/>
    <cellStyle name="20% - Accent5 4 3 3 5 2 3" xfId="17302"/>
    <cellStyle name="20% - Accent5 4 3 3 5 3" xfId="17303"/>
    <cellStyle name="20% - Accent5 4 3 3 5 3 2" xfId="17304"/>
    <cellStyle name="20% - Accent5 4 3 3 5 4" xfId="17305"/>
    <cellStyle name="20% - Accent5 4 3 3 5 5" xfId="17306"/>
    <cellStyle name="20% - Accent5 4 3 3 6" xfId="17307"/>
    <cellStyle name="20% - Accent5 4 3 3 6 2" xfId="17308"/>
    <cellStyle name="20% - Accent5 4 3 3 6 3" xfId="17309"/>
    <cellStyle name="20% - Accent5 4 3 3 7" xfId="17310"/>
    <cellStyle name="20% - Accent5 4 3 3 7 2" xfId="17311"/>
    <cellStyle name="20% - Accent5 4 3 3 7 3" xfId="17312"/>
    <cellStyle name="20% - Accent5 4 3 3 8" xfId="17313"/>
    <cellStyle name="20% - Accent5 4 3 3 8 2" xfId="17314"/>
    <cellStyle name="20% - Accent5 4 3 3 9" xfId="17315"/>
    <cellStyle name="20% - Accent5 4 3 4" xfId="1152"/>
    <cellStyle name="20% - Accent5 4 3 4 2" xfId="17316"/>
    <cellStyle name="20% - Accent5 4 3 4 2 2" xfId="17317"/>
    <cellStyle name="20% - Accent5 4 3 4 2 2 2" xfId="17318"/>
    <cellStyle name="20% - Accent5 4 3 4 2 2 3" xfId="17319"/>
    <cellStyle name="20% - Accent5 4 3 4 2 3" xfId="17320"/>
    <cellStyle name="20% - Accent5 4 3 4 2 3 2" xfId="17321"/>
    <cellStyle name="20% - Accent5 4 3 4 2 3 3" xfId="17322"/>
    <cellStyle name="20% - Accent5 4 3 4 2 4" xfId="17323"/>
    <cellStyle name="20% - Accent5 4 3 4 2 4 2" xfId="17324"/>
    <cellStyle name="20% - Accent5 4 3 4 2 5" xfId="17325"/>
    <cellStyle name="20% - Accent5 4 3 4 2 6" xfId="17326"/>
    <cellStyle name="20% - Accent5 4 3 4 3" xfId="17327"/>
    <cellStyle name="20% - Accent5 4 3 4 3 2" xfId="17328"/>
    <cellStyle name="20% - Accent5 4 3 4 3 2 2" xfId="17329"/>
    <cellStyle name="20% - Accent5 4 3 4 3 2 3" xfId="17330"/>
    <cellStyle name="20% - Accent5 4 3 4 3 3" xfId="17331"/>
    <cellStyle name="20% - Accent5 4 3 4 3 3 2" xfId="17332"/>
    <cellStyle name="20% - Accent5 4 3 4 3 3 3" xfId="17333"/>
    <cellStyle name="20% - Accent5 4 3 4 3 4" xfId="17334"/>
    <cellStyle name="20% - Accent5 4 3 4 3 4 2" xfId="17335"/>
    <cellStyle name="20% - Accent5 4 3 4 3 5" xfId="17336"/>
    <cellStyle name="20% - Accent5 4 3 4 3 6" xfId="17337"/>
    <cellStyle name="20% - Accent5 4 3 4 4" xfId="17338"/>
    <cellStyle name="20% - Accent5 4 3 4 4 2" xfId="17339"/>
    <cellStyle name="20% - Accent5 4 3 4 4 2 2" xfId="17340"/>
    <cellStyle name="20% - Accent5 4 3 4 4 2 3" xfId="17341"/>
    <cellStyle name="20% - Accent5 4 3 4 4 3" xfId="17342"/>
    <cellStyle name="20% - Accent5 4 3 4 4 3 2" xfId="17343"/>
    <cellStyle name="20% - Accent5 4 3 4 4 4" xfId="17344"/>
    <cellStyle name="20% - Accent5 4 3 4 4 5" xfId="17345"/>
    <cellStyle name="20% - Accent5 4 3 4 5" xfId="17346"/>
    <cellStyle name="20% - Accent5 4 3 4 5 2" xfId="17347"/>
    <cellStyle name="20% - Accent5 4 3 4 5 3" xfId="17348"/>
    <cellStyle name="20% - Accent5 4 3 4 6" xfId="17349"/>
    <cellStyle name="20% - Accent5 4 3 4 6 2" xfId="17350"/>
    <cellStyle name="20% - Accent5 4 3 4 6 3" xfId="17351"/>
    <cellStyle name="20% - Accent5 4 3 4 7" xfId="17352"/>
    <cellStyle name="20% - Accent5 4 3 4 7 2" xfId="17353"/>
    <cellStyle name="20% - Accent5 4 3 4 8" xfId="17354"/>
    <cellStyle name="20% - Accent5 4 3 4 9" xfId="17355"/>
    <cellStyle name="20% - Accent5 4 3 5" xfId="17356"/>
    <cellStyle name="20% - Accent5 4 3 5 2" xfId="17357"/>
    <cellStyle name="20% - Accent5 4 3 5 2 2" xfId="17358"/>
    <cellStyle name="20% - Accent5 4 3 5 2 2 2" xfId="17359"/>
    <cellStyle name="20% - Accent5 4 3 5 2 2 3" xfId="17360"/>
    <cellStyle name="20% - Accent5 4 3 5 2 3" xfId="17361"/>
    <cellStyle name="20% - Accent5 4 3 5 2 3 2" xfId="17362"/>
    <cellStyle name="20% - Accent5 4 3 5 2 3 3" xfId="17363"/>
    <cellStyle name="20% - Accent5 4 3 5 2 4" xfId="17364"/>
    <cellStyle name="20% - Accent5 4 3 5 2 4 2" xfId="17365"/>
    <cellStyle name="20% - Accent5 4 3 5 2 5" xfId="17366"/>
    <cellStyle name="20% - Accent5 4 3 5 2 6" xfId="17367"/>
    <cellStyle name="20% - Accent5 4 3 5 3" xfId="17368"/>
    <cellStyle name="20% - Accent5 4 3 5 3 2" xfId="17369"/>
    <cellStyle name="20% - Accent5 4 3 5 3 2 2" xfId="17370"/>
    <cellStyle name="20% - Accent5 4 3 5 3 2 3" xfId="17371"/>
    <cellStyle name="20% - Accent5 4 3 5 3 3" xfId="17372"/>
    <cellStyle name="20% - Accent5 4 3 5 3 3 2" xfId="17373"/>
    <cellStyle name="20% - Accent5 4 3 5 3 3 3" xfId="17374"/>
    <cellStyle name="20% - Accent5 4 3 5 3 4" xfId="17375"/>
    <cellStyle name="20% - Accent5 4 3 5 3 4 2" xfId="17376"/>
    <cellStyle name="20% - Accent5 4 3 5 3 5" xfId="17377"/>
    <cellStyle name="20% - Accent5 4 3 5 3 6" xfId="17378"/>
    <cellStyle name="20% - Accent5 4 3 5 4" xfId="17379"/>
    <cellStyle name="20% - Accent5 4 3 5 4 2" xfId="17380"/>
    <cellStyle name="20% - Accent5 4 3 5 4 2 2" xfId="17381"/>
    <cellStyle name="20% - Accent5 4 3 5 4 2 3" xfId="17382"/>
    <cellStyle name="20% - Accent5 4 3 5 4 3" xfId="17383"/>
    <cellStyle name="20% - Accent5 4 3 5 4 3 2" xfId="17384"/>
    <cellStyle name="20% - Accent5 4 3 5 4 4" xfId="17385"/>
    <cellStyle name="20% - Accent5 4 3 5 4 5" xfId="17386"/>
    <cellStyle name="20% - Accent5 4 3 5 5" xfId="17387"/>
    <cellStyle name="20% - Accent5 4 3 5 5 2" xfId="17388"/>
    <cellStyle name="20% - Accent5 4 3 5 5 3" xfId="17389"/>
    <cellStyle name="20% - Accent5 4 3 5 6" xfId="17390"/>
    <cellStyle name="20% - Accent5 4 3 5 6 2" xfId="17391"/>
    <cellStyle name="20% - Accent5 4 3 5 6 3" xfId="17392"/>
    <cellStyle name="20% - Accent5 4 3 5 7" xfId="17393"/>
    <cellStyle name="20% - Accent5 4 3 5 7 2" xfId="17394"/>
    <cellStyle name="20% - Accent5 4 3 5 8" xfId="17395"/>
    <cellStyle name="20% - Accent5 4 3 5 9" xfId="17396"/>
    <cellStyle name="20% - Accent5 4 3 6" xfId="17397"/>
    <cellStyle name="20% - Accent5 4 3 6 2" xfId="17398"/>
    <cellStyle name="20% - Accent5 4 3 6 2 2" xfId="17399"/>
    <cellStyle name="20% - Accent5 4 3 6 2 3" xfId="17400"/>
    <cellStyle name="20% - Accent5 4 3 6 3" xfId="17401"/>
    <cellStyle name="20% - Accent5 4 3 6 3 2" xfId="17402"/>
    <cellStyle name="20% - Accent5 4 3 6 3 3" xfId="17403"/>
    <cellStyle name="20% - Accent5 4 3 6 4" xfId="17404"/>
    <cellStyle name="20% - Accent5 4 3 6 4 2" xfId="17405"/>
    <cellStyle name="20% - Accent5 4 3 6 5" xfId="17406"/>
    <cellStyle name="20% - Accent5 4 3 6 6" xfId="17407"/>
    <cellStyle name="20% - Accent5 4 3 7" xfId="17408"/>
    <cellStyle name="20% - Accent5 4 3 7 2" xfId="17409"/>
    <cellStyle name="20% - Accent5 4 3 7 2 2" xfId="17410"/>
    <cellStyle name="20% - Accent5 4 3 7 2 3" xfId="17411"/>
    <cellStyle name="20% - Accent5 4 3 7 3" xfId="17412"/>
    <cellStyle name="20% - Accent5 4 3 7 3 2" xfId="17413"/>
    <cellStyle name="20% - Accent5 4 3 7 3 3" xfId="17414"/>
    <cellStyle name="20% - Accent5 4 3 7 4" xfId="17415"/>
    <cellStyle name="20% - Accent5 4 3 7 4 2" xfId="17416"/>
    <cellStyle name="20% - Accent5 4 3 7 5" xfId="17417"/>
    <cellStyle name="20% - Accent5 4 3 7 6" xfId="17418"/>
    <cellStyle name="20% - Accent5 4 3 8" xfId="17419"/>
    <cellStyle name="20% - Accent5 4 3 8 2" xfId="17420"/>
    <cellStyle name="20% - Accent5 4 3 8 2 2" xfId="17421"/>
    <cellStyle name="20% - Accent5 4 3 8 2 3" xfId="17422"/>
    <cellStyle name="20% - Accent5 4 3 8 3" xfId="17423"/>
    <cellStyle name="20% - Accent5 4 3 8 3 2" xfId="17424"/>
    <cellStyle name="20% - Accent5 4 3 8 4" xfId="17425"/>
    <cellStyle name="20% - Accent5 4 3 8 5" xfId="17426"/>
    <cellStyle name="20% - Accent5 4 3 9" xfId="17427"/>
    <cellStyle name="20% - Accent5 4 3 9 2" xfId="17428"/>
    <cellStyle name="20% - Accent5 4 3 9 3" xfId="17429"/>
    <cellStyle name="20% - Accent5 4 4" xfId="1153"/>
    <cellStyle name="20% - Accent5 4 4 10" xfId="17430"/>
    <cellStyle name="20% - Accent5 4 4 10 2" xfId="17431"/>
    <cellStyle name="20% - Accent5 4 4 11" xfId="17432"/>
    <cellStyle name="20% - Accent5 4 4 12" xfId="17433"/>
    <cellStyle name="20% - Accent5 4 4 2" xfId="1154"/>
    <cellStyle name="20% - Accent5 4 4 2 10" xfId="17434"/>
    <cellStyle name="20% - Accent5 4 4 2 2" xfId="1155"/>
    <cellStyle name="20% - Accent5 4 4 2 2 2" xfId="17435"/>
    <cellStyle name="20% - Accent5 4 4 2 2 2 2" xfId="17436"/>
    <cellStyle name="20% - Accent5 4 4 2 2 2 2 2" xfId="17437"/>
    <cellStyle name="20% - Accent5 4 4 2 2 2 2 3" xfId="17438"/>
    <cellStyle name="20% - Accent5 4 4 2 2 2 3" xfId="17439"/>
    <cellStyle name="20% - Accent5 4 4 2 2 2 3 2" xfId="17440"/>
    <cellStyle name="20% - Accent5 4 4 2 2 2 3 3" xfId="17441"/>
    <cellStyle name="20% - Accent5 4 4 2 2 2 4" xfId="17442"/>
    <cellStyle name="20% - Accent5 4 4 2 2 2 4 2" xfId="17443"/>
    <cellStyle name="20% - Accent5 4 4 2 2 2 5" xfId="17444"/>
    <cellStyle name="20% - Accent5 4 4 2 2 2 6" xfId="17445"/>
    <cellStyle name="20% - Accent5 4 4 2 2 3" xfId="17446"/>
    <cellStyle name="20% - Accent5 4 4 2 2 3 2" xfId="17447"/>
    <cellStyle name="20% - Accent5 4 4 2 2 3 2 2" xfId="17448"/>
    <cellStyle name="20% - Accent5 4 4 2 2 3 2 3" xfId="17449"/>
    <cellStyle name="20% - Accent5 4 4 2 2 3 3" xfId="17450"/>
    <cellStyle name="20% - Accent5 4 4 2 2 3 3 2" xfId="17451"/>
    <cellStyle name="20% - Accent5 4 4 2 2 3 3 3" xfId="17452"/>
    <cellStyle name="20% - Accent5 4 4 2 2 3 4" xfId="17453"/>
    <cellStyle name="20% - Accent5 4 4 2 2 3 4 2" xfId="17454"/>
    <cellStyle name="20% - Accent5 4 4 2 2 3 5" xfId="17455"/>
    <cellStyle name="20% - Accent5 4 4 2 2 3 6" xfId="17456"/>
    <cellStyle name="20% - Accent5 4 4 2 2 4" xfId="17457"/>
    <cellStyle name="20% - Accent5 4 4 2 2 4 2" xfId="17458"/>
    <cellStyle name="20% - Accent5 4 4 2 2 4 2 2" xfId="17459"/>
    <cellStyle name="20% - Accent5 4 4 2 2 4 2 3" xfId="17460"/>
    <cellStyle name="20% - Accent5 4 4 2 2 4 3" xfId="17461"/>
    <cellStyle name="20% - Accent5 4 4 2 2 4 3 2" xfId="17462"/>
    <cellStyle name="20% - Accent5 4 4 2 2 4 4" xfId="17463"/>
    <cellStyle name="20% - Accent5 4 4 2 2 4 5" xfId="17464"/>
    <cellStyle name="20% - Accent5 4 4 2 2 5" xfId="17465"/>
    <cellStyle name="20% - Accent5 4 4 2 2 5 2" xfId="17466"/>
    <cellStyle name="20% - Accent5 4 4 2 2 5 3" xfId="17467"/>
    <cellStyle name="20% - Accent5 4 4 2 2 6" xfId="17468"/>
    <cellStyle name="20% - Accent5 4 4 2 2 6 2" xfId="17469"/>
    <cellStyle name="20% - Accent5 4 4 2 2 6 3" xfId="17470"/>
    <cellStyle name="20% - Accent5 4 4 2 2 7" xfId="17471"/>
    <cellStyle name="20% - Accent5 4 4 2 2 7 2" xfId="17472"/>
    <cellStyle name="20% - Accent5 4 4 2 2 8" xfId="17473"/>
    <cellStyle name="20% - Accent5 4 4 2 2 9" xfId="17474"/>
    <cellStyle name="20% - Accent5 4 4 2 3" xfId="17475"/>
    <cellStyle name="20% - Accent5 4 4 2 3 2" xfId="17476"/>
    <cellStyle name="20% - Accent5 4 4 2 3 2 2" xfId="17477"/>
    <cellStyle name="20% - Accent5 4 4 2 3 2 3" xfId="17478"/>
    <cellStyle name="20% - Accent5 4 4 2 3 3" xfId="17479"/>
    <cellStyle name="20% - Accent5 4 4 2 3 3 2" xfId="17480"/>
    <cellStyle name="20% - Accent5 4 4 2 3 3 3" xfId="17481"/>
    <cellStyle name="20% - Accent5 4 4 2 3 4" xfId="17482"/>
    <cellStyle name="20% - Accent5 4 4 2 3 4 2" xfId="17483"/>
    <cellStyle name="20% - Accent5 4 4 2 3 5" xfId="17484"/>
    <cellStyle name="20% - Accent5 4 4 2 3 6" xfId="17485"/>
    <cellStyle name="20% - Accent5 4 4 2 4" xfId="17486"/>
    <cellStyle name="20% - Accent5 4 4 2 4 2" xfId="17487"/>
    <cellStyle name="20% - Accent5 4 4 2 4 2 2" xfId="17488"/>
    <cellStyle name="20% - Accent5 4 4 2 4 2 3" xfId="17489"/>
    <cellStyle name="20% - Accent5 4 4 2 4 3" xfId="17490"/>
    <cellStyle name="20% - Accent5 4 4 2 4 3 2" xfId="17491"/>
    <cellStyle name="20% - Accent5 4 4 2 4 3 3" xfId="17492"/>
    <cellStyle name="20% - Accent5 4 4 2 4 4" xfId="17493"/>
    <cellStyle name="20% - Accent5 4 4 2 4 4 2" xfId="17494"/>
    <cellStyle name="20% - Accent5 4 4 2 4 5" xfId="17495"/>
    <cellStyle name="20% - Accent5 4 4 2 4 6" xfId="17496"/>
    <cellStyle name="20% - Accent5 4 4 2 5" xfId="17497"/>
    <cellStyle name="20% - Accent5 4 4 2 5 2" xfId="17498"/>
    <cellStyle name="20% - Accent5 4 4 2 5 2 2" xfId="17499"/>
    <cellStyle name="20% - Accent5 4 4 2 5 2 3" xfId="17500"/>
    <cellStyle name="20% - Accent5 4 4 2 5 3" xfId="17501"/>
    <cellStyle name="20% - Accent5 4 4 2 5 3 2" xfId="17502"/>
    <cellStyle name="20% - Accent5 4 4 2 5 4" xfId="17503"/>
    <cellStyle name="20% - Accent5 4 4 2 5 5" xfId="17504"/>
    <cellStyle name="20% - Accent5 4 4 2 6" xfId="17505"/>
    <cellStyle name="20% - Accent5 4 4 2 6 2" xfId="17506"/>
    <cellStyle name="20% - Accent5 4 4 2 6 3" xfId="17507"/>
    <cellStyle name="20% - Accent5 4 4 2 7" xfId="17508"/>
    <cellStyle name="20% - Accent5 4 4 2 7 2" xfId="17509"/>
    <cellStyle name="20% - Accent5 4 4 2 7 3" xfId="17510"/>
    <cellStyle name="20% - Accent5 4 4 2 8" xfId="17511"/>
    <cellStyle name="20% - Accent5 4 4 2 8 2" xfId="17512"/>
    <cellStyle name="20% - Accent5 4 4 2 9" xfId="17513"/>
    <cellStyle name="20% - Accent5 4 4 3" xfId="1156"/>
    <cellStyle name="20% - Accent5 4 4 3 2" xfId="17514"/>
    <cellStyle name="20% - Accent5 4 4 3 2 2" xfId="17515"/>
    <cellStyle name="20% - Accent5 4 4 3 2 2 2" xfId="17516"/>
    <cellStyle name="20% - Accent5 4 4 3 2 2 3" xfId="17517"/>
    <cellStyle name="20% - Accent5 4 4 3 2 3" xfId="17518"/>
    <cellStyle name="20% - Accent5 4 4 3 2 3 2" xfId="17519"/>
    <cellStyle name="20% - Accent5 4 4 3 2 3 3" xfId="17520"/>
    <cellStyle name="20% - Accent5 4 4 3 2 4" xfId="17521"/>
    <cellStyle name="20% - Accent5 4 4 3 2 4 2" xfId="17522"/>
    <cellStyle name="20% - Accent5 4 4 3 2 5" xfId="17523"/>
    <cellStyle name="20% - Accent5 4 4 3 2 6" xfId="17524"/>
    <cellStyle name="20% - Accent5 4 4 3 3" xfId="17525"/>
    <cellStyle name="20% - Accent5 4 4 3 3 2" xfId="17526"/>
    <cellStyle name="20% - Accent5 4 4 3 3 2 2" xfId="17527"/>
    <cellStyle name="20% - Accent5 4 4 3 3 2 3" xfId="17528"/>
    <cellStyle name="20% - Accent5 4 4 3 3 3" xfId="17529"/>
    <cellStyle name="20% - Accent5 4 4 3 3 3 2" xfId="17530"/>
    <cellStyle name="20% - Accent5 4 4 3 3 3 3" xfId="17531"/>
    <cellStyle name="20% - Accent5 4 4 3 3 4" xfId="17532"/>
    <cellStyle name="20% - Accent5 4 4 3 3 4 2" xfId="17533"/>
    <cellStyle name="20% - Accent5 4 4 3 3 5" xfId="17534"/>
    <cellStyle name="20% - Accent5 4 4 3 3 6" xfId="17535"/>
    <cellStyle name="20% - Accent5 4 4 3 4" xfId="17536"/>
    <cellStyle name="20% - Accent5 4 4 3 4 2" xfId="17537"/>
    <cellStyle name="20% - Accent5 4 4 3 4 2 2" xfId="17538"/>
    <cellStyle name="20% - Accent5 4 4 3 4 2 3" xfId="17539"/>
    <cellStyle name="20% - Accent5 4 4 3 4 3" xfId="17540"/>
    <cellStyle name="20% - Accent5 4 4 3 4 3 2" xfId="17541"/>
    <cellStyle name="20% - Accent5 4 4 3 4 4" xfId="17542"/>
    <cellStyle name="20% - Accent5 4 4 3 4 5" xfId="17543"/>
    <cellStyle name="20% - Accent5 4 4 3 5" xfId="17544"/>
    <cellStyle name="20% - Accent5 4 4 3 5 2" xfId="17545"/>
    <cellStyle name="20% - Accent5 4 4 3 5 3" xfId="17546"/>
    <cellStyle name="20% - Accent5 4 4 3 6" xfId="17547"/>
    <cellStyle name="20% - Accent5 4 4 3 6 2" xfId="17548"/>
    <cellStyle name="20% - Accent5 4 4 3 6 3" xfId="17549"/>
    <cellStyle name="20% - Accent5 4 4 3 7" xfId="17550"/>
    <cellStyle name="20% - Accent5 4 4 3 7 2" xfId="17551"/>
    <cellStyle name="20% - Accent5 4 4 3 8" xfId="17552"/>
    <cellStyle name="20% - Accent5 4 4 3 9" xfId="17553"/>
    <cellStyle name="20% - Accent5 4 4 4" xfId="17554"/>
    <cellStyle name="20% - Accent5 4 4 4 2" xfId="17555"/>
    <cellStyle name="20% - Accent5 4 4 4 2 2" xfId="17556"/>
    <cellStyle name="20% - Accent5 4 4 4 2 2 2" xfId="17557"/>
    <cellStyle name="20% - Accent5 4 4 4 2 2 3" xfId="17558"/>
    <cellStyle name="20% - Accent5 4 4 4 2 3" xfId="17559"/>
    <cellStyle name="20% - Accent5 4 4 4 2 3 2" xfId="17560"/>
    <cellStyle name="20% - Accent5 4 4 4 2 3 3" xfId="17561"/>
    <cellStyle name="20% - Accent5 4 4 4 2 4" xfId="17562"/>
    <cellStyle name="20% - Accent5 4 4 4 2 4 2" xfId="17563"/>
    <cellStyle name="20% - Accent5 4 4 4 2 5" xfId="17564"/>
    <cellStyle name="20% - Accent5 4 4 4 2 6" xfId="17565"/>
    <cellStyle name="20% - Accent5 4 4 4 3" xfId="17566"/>
    <cellStyle name="20% - Accent5 4 4 4 3 2" xfId="17567"/>
    <cellStyle name="20% - Accent5 4 4 4 3 2 2" xfId="17568"/>
    <cellStyle name="20% - Accent5 4 4 4 3 2 3" xfId="17569"/>
    <cellStyle name="20% - Accent5 4 4 4 3 3" xfId="17570"/>
    <cellStyle name="20% - Accent5 4 4 4 3 3 2" xfId="17571"/>
    <cellStyle name="20% - Accent5 4 4 4 3 3 3" xfId="17572"/>
    <cellStyle name="20% - Accent5 4 4 4 3 4" xfId="17573"/>
    <cellStyle name="20% - Accent5 4 4 4 3 4 2" xfId="17574"/>
    <cellStyle name="20% - Accent5 4 4 4 3 5" xfId="17575"/>
    <cellStyle name="20% - Accent5 4 4 4 3 6" xfId="17576"/>
    <cellStyle name="20% - Accent5 4 4 4 4" xfId="17577"/>
    <cellStyle name="20% - Accent5 4 4 4 4 2" xfId="17578"/>
    <cellStyle name="20% - Accent5 4 4 4 4 2 2" xfId="17579"/>
    <cellStyle name="20% - Accent5 4 4 4 4 2 3" xfId="17580"/>
    <cellStyle name="20% - Accent5 4 4 4 4 3" xfId="17581"/>
    <cellStyle name="20% - Accent5 4 4 4 4 3 2" xfId="17582"/>
    <cellStyle name="20% - Accent5 4 4 4 4 4" xfId="17583"/>
    <cellStyle name="20% - Accent5 4 4 4 4 5" xfId="17584"/>
    <cellStyle name="20% - Accent5 4 4 4 5" xfId="17585"/>
    <cellStyle name="20% - Accent5 4 4 4 5 2" xfId="17586"/>
    <cellStyle name="20% - Accent5 4 4 4 5 3" xfId="17587"/>
    <cellStyle name="20% - Accent5 4 4 4 6" xfId="17588"/>
    <cellStyle name="20% - Accent5 4 4 4 6 2" xfId="17589"/>
    <cellStyle name="20% - Accent5 4 4 4 6 3" xfId="17590"/>
    <cellStyle name="20% - Accent5 4 4 4 7" xfId="17591"/>
    <cellStyle name="20% - Accent5 4 4 4 7 2" xfId="17592"/>
    <cellStyle name="20% - Accent5 4 4 4 8" xfId="17593"/>
    <cellStyle name="20% - Accent5 4 4 4 9" xfId="17594"/>
    <cellStyle name="20% - Accent5 4 4 5" xfId="17595"/>
    <cellStyle name="20% - Accent5 4 4 5 2" xfId="17596"/>
    <cellStyle name="20% - Accent5 4 4 5 2 2" xfId="17597"/>
    <cellStyle name="20% - Accent5 4 4 5 2 3" xfId="17598"/>
    <cellStyle name="20% - Accent5 4 4 5 3" xfId="17599"/>
    <cellStyle name="20% - Accent5 4 4 5 3 2" xfId="17600"/>
    <cellStyle name="20% - Accent5 4 4 5 3 3" xfId="17601"/>
    <cellStyle name="20% - Accent5 4 4 5 4" xfId="17602"/>
    <cellStyle name="20% - Accent5 4 4 5 4 2" xfId="17603"/>
    <cellStyle name="20% - Accent5 4 4 5 5" xfId="17604"/>
    <cellStyle name="20% - Accent5 4 4 5 6" xfId="17605"/>
    <cellStyle name="20% - Accent5 4 4 6" xfId="17606"/>
    <cellStyle name="20% - Accent5 4 4 6 2" xfId="17607"/>
    <cellStyle name="20% - Accent5 4 4 6 2 2" xfId="17608"/>
    <cellStyle name="20% - Accent5 4 4 6 2 3" xfId="17609"/>
    <cellStyle name="20% - Accent5 4 4 6 3" xfId="17610"/>
    <cellStyle name="20% - Accent5 4 4 6 3 2" xfId="17611"/>
    <cellStyle name="20% - Accent5 4 4 6 3 3" xfId="17612"/>
    <cellStyle name="20% - Accent5 4 4 6 4" xfId="17613"/>
    <cellStyle name="20% - Accent5 4 4 6 4 2" xfId="17614"/>
    <cellStyle name="20% - Accent5 4 4 6 5" xfId="17615"/>
    <cellStyle name="20% - Accent5 4 4 6 6" xfId="17616"/>
    <cellStyle name="20% - Accent5 4 4 7" xfId="17617"/>
    <cellStyle name="20% - Accent5 4 4 7 2" xfId="17618"/>
    <cellStyle name="20% - Accent5 4 4 7 2 2" xfId="17619"/>
    <cellStyle name="20% - Accent5 4 4 7 2 3" xfId="17620"/>
    <cellStyle name="20% - Accent5 4 4 7 3" xfId="17621"/>
    <cellStyle name="20% - Accent5 4 4 7 3 2" xfId="17622"/>
    <cellStyle name="20% - Accent5 4 4 7 4" xfId="17623"/>
    <cellStyle name="20% - Accent5 4 4 7 5" xfId="17624"/>
    <cellStyle name="20% - Accent5 4 4 8" xfId="17625"/>
    <cellStyle name="20% - Accent5 4 4 8 2" xfId="17626"/>
    <cellStyle name="20% - Accent5 4 4 8 3" xfId="17627"/>
    <cellStyle name="20% - Accent5 4 4 9" xfId="17628"/>
    <cellStyle name="20% - Accent5 4 4 9 2" xfId="17629"/>
    <cellStyle name="20% - Accent5 4 4 9 3" xfId="17630"/>
    <cellStyle name="20% - Accent5 4 5" xfId="1157"/>
    <cellStyle name="20% - Accent5 4 5 10" xfId="17631"/>
    <cellStyle name="20% - Accent5 4 5 2" xfId="1158"/>
    <cellStyle name="20% - Accent5 4 5 2 2" xfId="17632"/>
    <cellStyle name="20% - Accent5 4 5 2 2 2" xfId="17633"/>
    <cellStyle name="20% - Accent5 4 5 2 2 2 2" xfId="17634"/>
    <cellStyle name="20% - Accent5 4 5 2 2 2 3" xfId="17635"/>
    <cellStyle name="20% - Accent5 4 5 2 2 3" xfId="17636"/>
    <cellStyle name="20% - Accent5 4 5 2 2 3 2" xfId="17637"/>
    <cellStyle name="20% - Accent5 4 5 2 2 3 3" xfId="17638"/>
    <cellStyle name="20% - Accent5 4 5 2 2 4" xfId="17639"/>
    <cellStyle name="20% - Accent5 4 5 2 2 4 2" xfId="17640"/>
    <cellStyle name="20% - Accent5 4 5 2 2 5" xfId="17641"/>
    <cellStyle name="20% - Accent5 4 5 2 2 6" xfId="17642"/>
    <cellStyle name="20% - Accent5 4 5 2 3" xfId="17643"/>
    <cellStyle name="20% - Accent5 4 5 2 3 2" xfId="17644"/>
    <cellStyle name="20% - Accent5 4 5 2 3 2 2" xfId="17645"/>
    <cellStyle name="20% - Accent5 4 5 2 3 2 3" xfId="17646"/>
    <cellStyle name="20% - Accent5 4 5 2 3 3" xfId="17647"/>
    <cellStyle name="20% - Accent5 4 5 2 3 3 2" xfId="17648"/>
    <cellStyle name="20% - Accent5 4 5 2 3 3 3" xfId="17649"/>
    <cellStyle name="20% - Accent5 4 5 2 3 4" xfId="17650"/>
    <cellStyle name="20% - Accent5 4 5 2 3 4 2" xfId="17651"/>
    <cellStyle name="20% - Accent5 4 5 2 3 5" xfId="17652"/>
    <cellStyle name="20% - Accent5 4 5 2 3 6" xfId="17653"/>
    <cellStyle name="20% - Accent5 4 5 2 4" xfId="17654"/>
    <cellStyle name="20% - Accent5 4 5 2 4 2" xfId="17655"/>
    <cellStyle name="20% - Accent5 4 5 2 4 2 2" xfId="17656"/>
    <cellStyle name="20% - Accent5 4 5 2 4 2 3" xfId="17657"/>
    <cellStyle name="20% - Accent5 4 5 2 4 3" xfId="17658"/>
    <cellStyle name="20% - Accent5 4 5 2 4 3 2" xfId="17659"/>
    <cellStyle name="20% - Accent5 4 5 2 4 4" xfId="17660"/>
    <cellStyle name="20% - Accent5 4 5 2 4 5" xfId="17661"/>
    <cellStyle name="20% - Accent5 4 5 2 5" xfId="17662"/>
    <cellStyle name="20% - Accent5 4 5 2 5 2" xfId="17663"/>
    <cellStyle name="20% - Accent5 4 5 2 5 3" xfId="17664"/>
    <cellStyle name="20% - Accent5 4 5 2 6" xfId="17665"/>
    <cellStyle name="20% - Accent5 4 5 2 6 2" xfId="17666"/>
    <cellStyle name="20% - Accent5 4 5 2 6 3" xfId="17667"/>
    <cellStyle name="20% - Accent5 4 5 2 7" xfId="17668"/>
    <cellStyle name="20% - Accent5 4 5 2 7 2" xfId="17669"/>
    <cellStyle name="20% - Accent5 4 5 2 8" xfId="17670"/>
    <cellStyle name="20% - Accent5 4 5 2 9" xfId="17671"/>
    <cellStyle name="20% - Accent5 4 5 3" xfId="17672"/>
    <cellStyle name="20% - Accent5 4 5 3 2" xfId="17673"/>
    <cellStyle name="20% - Accent5 4 5 3 2 2" xfId="17674"/>
    <cellStyle name="20% - Accent5 4 5 3 2 3" xfId="17675"/>
    <cellStyle name="20% - Accent5 4 5 3 3" xfId="17676"/>
    <cellStyle name="20% - Accent5 4 5 3 3 2" xfId="17677"/>
    <cellStyle name="20% - Accent5 4 5 3 3 3" xfId="17678"/>
    <cellStyle name="20% - Accent5 4 5 3 4" xfId="17679"/>
    <cellStyle name="20% - Accent5 4 5 3 4 2" xfId="17680"/>
    <cellStyle name="20% - Accent5 4 5 3 5" xfId="17681"/>
    <cellStyle name="20% - Accent5 4 5 3 6" xfId="17682"/>
    <cellStyle name="20% - Accent5 4 5 4" xfId="17683"/>
    <cellStyle name="20% - Accent5 4 5 4 2" xfId="17684"/>
    <cellStyle name="20% - Accent5 4 5 4 2 2" xfId="17685"/>
    <cellStyle name="20% - Accent5 4 5 4 2 3" xfId="17686"/>
    <cellStyle name="20% - Accent5 4 5 4 3" xfId="17687"/>
    <cellStyle name="20% - Accent5 4 5 4 3 2" xfId="17688"/>
    <cellStyle name="20% - Accent5 4 5 4 3 3" xfId="17689"/>
    <cellStyle name="20% - Accent5 4 5 4 4" xfId="17690"/>
    <cellStyle name="20% - Accent5 4 5 4 4 2" xfId="17691"/>
    <cellStyle name="20% - Accent5 4 5 4 5" xfId="17692"/>
    <cellStyle name="20% - Accent5 4 5 4 6" xfId="17693"/>
    <cellStyle name="20% - Accent5 4 5 5" xfId="17694"/>
    <cellStyle name="20% - Accent5 4 5 5 2" xfId="17695"/>
    <cellStyle name="20% - Accent5 4 5 5 2 2" xfId="17696"/>
    <cellStyle name="20% - Accent5 4 5 5 2 3" xfId="17697"/>
    <cellStyle name="20% - Accent5 4 5 5 3" xfId="17698"/>
    <cellStyle name="20% - Accent5 4 5 5 3 2" xfId="17699"/>
    <cellStyle name="20% - Accent5 4 5 5 4" xfId="17700"/>
    <cellStyle name="20% - Accent5 4 5 5 5" xfId="17701"/>
    <cellStyle name="20% - Accent5 4 5 6" xfId="17702"/>
    <cellStyle name="20% - Accent5 4 5 6 2" xfId="17703"/>
    <cellStyle name="20% - Accent5 4 5 6 3" xfId="17704"/>
    <cellStyle name="20% - Accent5 4 5 7" xfId="17705"/>
    <cellStyle name="20% - Accent5 4 5 7 2" xfId="17706"/>
    <cellStyle name="20% - Accent5 4 5 7 3" xfId="17707"/>
    <cellStyle name="20% - Accent5 4 5 8" xfId="17708"/>
    <cellStyle name="20% - Accent5 4 5 8 2" xfId="17709"/>
    <cellStyle name="20% - Accent5 4 5 9" xfId="17710"/>
    <cellStyle name="20% - Accent5 4 6" xfId="1159"/>
    <cellStyle name="20% - Accent5 4 6 2" xfId="17711"/>
    <cellStyle name="20% - Accent5 4 6 2 2" xfId="17712"/>
    <cellStyle name="20% - Accent5 4 6 2 2 2" xfId="17713"/>
    <cellStyle name="20% - Accent5 4 6 2 2 3" xfId="17714"/>
    <cellStyle name="20% - Accent5 4 6 2 3" xfId="17715"/>
    <cellStyle name="20% - Accent5 4 6 2 3 2" xfId="17716"/>
    <cellStyle name="20% - Accent5 4 6 2 3 3" xfId="17717"/>
    <cellStyle name="20% - Accent5 4 6 2 4" xfId="17718"/>
    <cellStyle name="20% - Accent5 4 6 2 4 2" xfId="17719"/>
    <cellStyle name="20% - Accent5 4 6 2 5" xfId="17720"/>
    <cellStyle name="20% - Accent5 4 6 2 6" xfId="17721"/>
    <cellStyle name="20% - Accent5 4 6 3" xfId="17722"/>
    <cellStyle name="20% - Accent5 4 6 3 2" xfId="17723"/>
    <cellStyle name="20% - Accent5 4 6 3 2 2" xfId="17724"/>
    <cellStyle name="20% - Accent5 4 6 3 2 3" xfId="17725"/>
    <cellStyle name="20% - Accent5 4 6 3 3" xfId="17726"/>
    <cellStyle name="20% - Accent5 4 6 3 3 2" xfId="17727"/>
    <cellStyle name="20% - Accent5 4 6 3 3 3" xfId="17728"/>
    <cellStyle name="20% - Accent5 4 6 3 4" xfId="17729"/>
    <cellStyle name="20% - Accent5 4 6 3 4 2" xfId="17730"/>
    <cellStyle name="20% - Accent5 4 6 3 5" xfId="17731"/>
    <cellStyle name="20% - Accent5 4 6 3 6" xfId="17732"/>
    <cellStyle name="20% - Accent5 4 6 4" xfId="17733"/>
    <cellStyle name="20% - Accent5 4 6 4 2" xfId="17734"/>
    <cellStyle name="20% - Accent5 4 6 4 2 2" xfId="17735"/>
    <cellStyle name="20% - Accent5 4 6 4 2 3" xfId="17736"/>
    <cellStyle name="20% - Accent5 4 6 4 3" xfId="17737"/>
    <cellStyle name="20% - Accent5 4 6 4 3 2" xfId="17738"/>
    <cellStyle name="20% - Accent5 4 6 4 4" xfId="17739"/>
    <cellStyle name="20% - Accent5 4 6 4 5" xfId="17740"/>
    <cellStyle name="20% - Accent5 4 6 5" xfId="17741"/>
    <cellStyle name="20% - Accent5 4 6 5 2" xfId="17742"/>
    <cellStyle name="20% - Accent5 4 6 5 3" xfId="17743"/>
    <cellStyle name="20% - Accent5 4 6 6" xfId="17744"/>
    <cellStyle name="20% - Accent5 4 6 6 2" xfId="17745"/>
    <cellStyle name="20% - Accent5 4 6 6 3" xfId="17746"/>
    <cellStyle name="20% - Accent5 4 6 7" xfId="17747"/>
    <cellStyle name="20% - Accent5 4 6 7 2" xfId="17748"/>
    <cellStyle name="20% - Accent5 4 6 8" xfId="17749"/>
    <cellStyle name="20% - Accent5 4 6 9" xfId="17750"/>
    <cellStyle name="20% - Accent5 4 7" xfId="8982"/>
    <cellStyle name="20% - Accent5 4 7 2" xfId="17751"/>
    <cellStyle name="20% - Accent5 4 7 2 2" xfId="17752"/>
    <cellStyle name="20% - Accent5 4 7 2 2 2" xfId="17753"/>
    <cellStyle name="20% - Accent5 4 7 2 2 3" xfId="17754"/>
    <cellStyle name="20% - Accent5 4 7 2 3" xfId="17755"/>
    <cellStyle name="20% - Accent5 4 7 2 3 2" xfId="17756"/>
    <cellStyle name="20% - Accent5 4 7 2 3 3" xfId="17757"/>
    <cellStyle name="20% - Accent5 4 7 2 4" xfId="17758"/>
    <cellStyle name="20% - Accent5 4 7 2 4 2" xfId="17759"/>
    <cellStyle name="20% - Accent5 4 7 2 5" xfId="17760"/>
    <cellStyle name="20% - Accent5 4 7 2 6" xfId="17761"/>
    <cellStyle name="20% - Accent5 4 7 3" xfId="17762"/>
    <cellStyle name="20% - Accent5 4 7 3 2" xfId="17763"/>
    <cellStyle name="20% - Accent5 4 7 3 2 2" xfId="17764"/>
    <cellStyle name="20% - Accent5 4 7 3 2 3" xfId="17765"/>
    <cellStyle name="20% - Accent5 4 7 3 3" xfId="17766"/>
    <cellStyle name="20% - Accent5 4 7 3 3 2" xfId="17767"/>
    <cellStyle name="20% - Accent5 4 7 3 3 3" xfId="17768"/>
    <cellStyle name="20% - Accent5 4 7 3 4" xfId="17769"/>
    <cellStyle name="20% - Accent5 4 7 3 4 2" xfId="17770"/>
    <cellStyle name="20% - Accent5 4 7 3 5" xfId="17771"/>
    <cellStyle name="20% - Accent5 4 7 3 6" xfId="17772"/>
    <cellStyle name="20% - Accent5 4 7 4" xfId="17773"/>
    <cellStyle name="20% - Accent5 4 7 4 2" xfId="17774"/>
    <cellStyle name="20% - Accent5 4 7 4 2 2" xfId="17775"/>
    <cellStyle name="20% - Accent5 4 7 4 2 3" xfId="17776"/>
    <cellStyle name="20% - Accent5 4 7 4 3" xfId="17777"/>
    <cellStyle name="20% - Accent5 4 7 4 3 2" xfId="17778"/>
    <cellStyle name="20% - Accent5 4 7 4 4" xfId="17779"/>
    <cellStyle name="20% - Accent5 4 7 4 5" xfId="17780"/>
    <cellStyle name="20% - Accent5 4 7 5" xfId="17781"/>
    <cellStyle name="20% - Accent5 4 7 5 2" xfId="17782"/>
    <cellStyle name="20% - Accent5 4 7 5 3" xfId="17783"/>
    <cellStyle name="20% - Accent5 4 7 6" xfId="17784"/>
    <cellStyle name="20% - Accent5 4 7 6 2" xfId="17785"/>
    <cellStyle name="20% - Accent5 4 7 6 3" xfId="17786"/>
    <cellStyle name="20% - Accent5 4 7 7" xfId="17787"/>
    <cellStyle name="20% - Accent5 4 7 7 2" xfId="17788"/>
    <cellStyle name="20% - Accent5 4 7 8" xfId="17789"/>
    <cellStyle name="20% - Accent5 4 7 9" xfId="17790"/>
    <cellStyle name="20% - Accent5 4 8" xfId="17791"/>
    <cellStyle name="20% - Accent5 4 8 2" xfId="17792"/>
    <cellStyle name="20% - Accent5 4 8 2 2" xfId="17793"/>
    <cellStyle name="20% - Accent5 4 8 2 3" xfId="17794"/>
    <cellStyle name="20% - Accent5 4 8 3" xfId="17795"/>
    <cellStyle name="20% - Accent5 4 8 3 2" xfId="17796"/>
    <cellStyle name="20% - Accent5 4 8 3 3" xfId="17797"/>
    <cellStyle name="20% - Accent5 4 8 4" xfId="17798"/>
    <cellStyle name="20% - Accent5 4 8 4 2" xfId="17799"/>
    <cellStyle name="20% - Accent5 4 8 5" xfId="17800"/>
    <cellStyle name="20% - Accent5 4 8 6" xfId="17801"/>
    <cellStyle name="20% - Accent5 4 9" xfId="17802"/>
    <cellStyle name="20% - Accent5 4 9 2" xfId="17803"/>
    <cellStyle name="20% - Accent5 4 9 2 2" xfId="17804"/>
    <cellStyle name="20% - Accent5 4 9 2 3" xfId="17805"/>
    <cellStyle name="20% - Accent5 4 9 3" xfId="17806"/>
    <cellStyle name="20% - Accent5 4 9 3 2" xfId="17807"/>
    <cellStyle name="20% - Accent5 4 9 3 3" xfId="17808"/>
    <cellStyle name="20% - Accent5 4 9 4" xfId="17809"/>
    <cellStyle name="20% - Accent5 4 9 4 2" xfId="17810"/>
    <cellStyle name="20% - Accent5 4 9 5" xfId="17811"/>
    <cellStyle name="20% - Accent5 4 9 6" xfId="17812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84"/>
    <cellStyle name="20% - Accent6 15" xfId="17813"/>
    <cellStyle name="20% - Accent6 16" xfId="17814"/>
    <cellStyle name="20% - Accent6 17" xfId="17815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6"/>
    <cellStyle name="20% - Accent6 4 10 2" xfId="17817"/>
    <cellStyle name="20% - Accent6 4 10 2 2" xfId="17818"/>
    <cellStyle name="20% - Accent6 4 10 2 3" xfId="17819"/>
    <cellStyle name="20% - Accent6 4 10 3" xfId="17820"/>
    <cellStyle name="20% - Accent6 4 10 3 2" xfId="17821"/>
    <cellStyle name="20% - Accent6 4 10 4" xfId="17822"/>
    <cellStyle name="20% - Accent6 4 10 5" xfId="17823"/>
    <cellStyle name="20% - Accent6 4 11" xfId="17824"/>
    <cellStyle name="20% - Accent6 4 11 2" xfId="17825"/>
    <cellStyle name="20% - Accent6 4 11 3" xfId="17826"/>
    <cellStyle name="20% - Accent6 4 12" xfId="17827"/>
    <cellStyle name="20% - Accent6 4 12 2" xfId="17828"/>
    <cellStyle name="20% - Accent6 4 12 3" xfId="17829"/>
    <cellStyle name="20% - Accent6 4 13" xfId="17830"/>
    <cellStyle name="20% - Accent6 4 13 2" xfId="17831"/>
    <cellStyle name="20% - Accent6 4 14" xfId="17832"/>
    <cellStyle name="20% - Accent6 4 15" xfId="17833"/>
    <cellStyle name="20% - Accent6 4 16" xfId="17834"/>
    <cellStyle name="20% - Accent6 4 2" xfId="1346"/>
    <cellStyle name="20% - Accent6 4 2 10" xfId="17835"/>
    <cellStyle name="20% - Accent6 4 2 10 2" xfId="17836"/>
    <cellStyle name="20% - Accent6 4 2 10 3" xfId="17837"/>
    <cellStyle name="20% - Accent6 4 2 11" xfId="17838"/>
    <cellStyle name="20% - Accent6 4 2 11 2" xfId="17839"/>
    <cellStyle name="20% - Accent6 4 2 11 3" xfId="17840"/>
    <cellStyle name="20% - Accent6 4 2 12" xfId="17841"/>
    <cellStyle name="20% - Accent6 4 2 12 2" xfId="17842"/>
    <cellStyle name="20% - Accent6 4 2 13" xfId="17843"/>
    <cellStyle name="20% - Accent6 4 2 14" xfId="17844"/>
    <cellStyle name="20% - Accent6 4 2 15" xfId="17845"/>
    <cellStyle name="20% - Accent6 4 2 2" xfId="1347"/>
    <cellStyle name="20% - Accent6 4 2 2 10" xfId="17846"/>
    <cellStyle name="20% - Accent6 4 2 2 10 2" xfId="17847"/>
    <cellStyle name="20% - Accent6 4 2 2 10 3" xfId="17848"/>
    <cellStyle name="20% - Accent6 4 2 2 11" xfId="17849"/>
    <cellStyle name="20% - Accent6 4 2 2 11 2" xfId="17850"/>
    <cellStyle name="20% - Accent6 4 2 2 12" xfId="17851"/>
    <cellStyle name="20% - Accent6 4 2 2 13" xfId="17852"/>
    <cellStyle name="20% - Accent6 4 2 2 2" xfId="1348"/>
    <cellStyle name="20% - Accent6 4 2 2 2 10" xfId="17853"/>
    <cellStyle name="20% - Accent6 4 2 2 2 10 2" xfId="17854"/>
    <cellStyle name="20% - Accent6 4 2 2 2 11" xfId="17855"/>
    <cellStyle name="20% - Accent6 4 2 2 2 12" xfId="17856"/>
    <cellStyle name="20% - Accent6 4 2 2 2 2" xfId="1349"/>
    <cellStyle name="20% - Accent6 4 2 2 2 2 10" xfId="17857"/>
    <cellStyle name="20% - Accent6 4 2 2 2 2 2" xfId="1350"/>
    <cellStyle name="20% - Accent6 4 2 2 2 2 2 2" xfId="17858"/>
    <cellStyle name="20% - Accent6 4 2 2 2 2 2 2 2" xfId="17859"/>
    <cellStyle name="20% - Accent6 4 2 2 2 2 2 2 2 2" xfId="17860"/>
    <cellStyle name="20% - Accent6 4 2 2 2 2 2 2 2 3" xfId="17861"/>
    <cellStyle name="20% - Accent6 4 2 2 2 2 2 2 3" xfId="17862"/>
    <cellStyle name="20% - Accent6 4 2 2 2 2 2 2 3 2" xfId="17863"/>
    <cellStyle name="20% - Accent6 4 2 2 2 2 2 2 3 3" xfId="17864"/>
    <cellStyle name="20% - Accent6 4 2 2 2 2 2 2 4" xfId="17865"/>
    <cellStyle name="20% - Accent6 4 2 2 2 2 2 2 4 2" xfId="17866"/>
    <cellStyle name="20% - Accent6 4 2 2 2 2 2 2 5" xfId="17867"/>
    <cellStyle name="20% - Accent6 4 2 2 2 2 2 2 6" xfId="17868"/>
    <cellStyle name="20% - Accent6 4 2 2 2 2 2 3" xfId="17869"/>
    <cellStyle name="20% - Accent6 4 2 2 2 2 2 3 2" xfId="17870"/>
    <cellStyle name="20% - Accent6 4 2 2 2 2 2 3 2 2" xfId="17871"/>
    <cellStyle name="20% - Accent6 4 2 2 2 2 2 3 2 3" xfId="17872"/>
    <cellStyle name="20% - Accent6 4 2 2 2 2 2 3 3" xfId="17873"/>
    <cellStyle name="20% - Accent6 4 2 2 2 2 2 3 3 2" xfId="17874"/>
    <cellStyle name="20% - Accent6 4 2 2 2 2 2 3 3 3" xfId="17875"/>
    <cellStyle name="20% - Accent6 4 2 2 2 2 2 3 4" xfId="17876"/>
    <cellStyle name="20% - Accent6 4 2 2 2 2 2 3 4 2" xfId="17877"/>
    <cellStyle name="20% - Accent6 4 2 2 2 2 2 3 5" xfId="17878"/>
    <cellStyle name="20% - Accent6 4 2 2 2 2 2 3 6" xfId="17879"/>
    <cellStyle name="20% - Accent6 4 2 2 2 2 2 4" xfId="17880"/>
    <cellStyle name="20% - Accent6 4 2 2 2 2 2 4 2" xfId="17881"/>
    <cellStyle name="20% - Accent6 4 2 2 2 2 2 4 2 2" xfId="17882"/>
    <cellStyle name="20% - Accent6 4 2 2 2 2 2 4 2 3" xfId="17883"/>
    <cellStyle name="20% - Accent6 4 2 2 2 2 2 4 3" xfId="17884"/>
    <cellStyle name="20% - Accent6 4 2 2 2 2 2 4 3 2" xfId="17885"/>
    <cellStyle name="20% - Accent6 4 2 2 2 2 2 4 4" xfId="17886"/>
    <cellStyle name="20% - Accent6 4 2 2 2 2 2 4 5" xfId="17887"/>
    <cellStyle name="20% - Accent6 4 2 2 2 2 2 5" xfId="17888"/>
    <cellStyle name="20% - Accent6 4 2 2 2 2 2 5 2" xfId="17889"/>
    <cellStyle name="20% - Accent6 4 2 2 2 2 2 5 3" xfId="17890"/>
    <cellStyle name="20% - Accent6 4 2 2 2 2 2 6" xfId="17891"/>
    <cellStyle name="20% - Accent6 4 2 2 2 2 2 6 2" xfId="17892"/>
    <cellStyle name="20% - Accent6 4 2 2 2 2 2 6 3" xfId="17893"/>
    <cellStyle name="20% - Accent6 4 2 2 2 2 2 7" xfId="17894"/>
    <cellStyle name="20% - Accent6 4 2 2 2 2 2 7 2" xfId="17895"/>
    <cellStyle name="20% - Accent6 4 2 2 2 2 2 8" xfId="17896"/>
    <cellStyle name="20% - Accent6 4 2 2 2 2 2 9" xfId="17897"/>
    <cellStyle name="20% - Accent6 4 2 2 2 2 3" xfId="17898"/>
    <cellStyle name="20% - Accent6 4 2 2 2 2 3 2" xfId="17899"/>
    <cellStyle name="20% - Accent6 4 2 2 2 2 3 2 2" xfId="17900"/>
    <cellStyle name="20% - Accent6 4 2 2 2 2 3 2 3" xfId="17901"/>
    <cellStyle name="20% - Accent6 4 2 2 2 2 3 3" xfId="17902"/>
    <cellStyle name="20% - Accent6 4 2 2 2 2 3 3 2" xfId="17903"/>
    <cellStyle name="20% - Accent6 4 2 2 2 2 3 3 3" xfId="17904"/>
    <cellStyle name="20% - Accent6 4 2 2 2 2 3 4" xfId="17905"/>
    <cellStyle name="20% - Accent6 4 2 2 2 2 3 4 2" xfId="17906"/>
    <cellStyle name="20% - Accent6 4 2 2 2 2 3 5" xfId="17907"/>
    <cellStyle name="20% - Accent6 4 2 2 2 2 3 6" xfId="17908"/>
    <cellStyle name="20% - Accent6 4 2 2 2 2 4" xfId="17909"/>
    <cellStyle name="20% - Accent6 4 2 2 2 2 4 2" xfId="17910"/>
    <cellStyle name="20% - Accent6 4 2 2 2 2 4 2 2" xfId="17911"/>
    <cellStyle name="20% - Accent6 4 2 2 2 2 4 2 3" xfId="17912"/>
    <cellStyle name="20% - Accent6 4 2 2 2 2 4 3" xfId="17913"/>
    <cellStyle name="20% - Accent6 4 2 2 2 2 4 3 2" xfId="17914"/>
    <cellStyle name="20% - Accent6 4 2 2 2 2 4 3 3" xfId="17915"/>
    <cellStyle name="20% - Accent6 4 2 2 2 2 4 4" xfId="17916"/>
    <cellStyle name="20% - Accent6 4 2 2 2 2 4 4 2" xfId="17917"/>
    <cellStyle name="20% - Accent6 4 2 2 2 2 4 5" xfId="17918"/>
    <cellStyle name="20% - Accent6 4 2 2 2 2 4 6" xfId="17919"/>
    <cellStyle name="20% - Accent6 4 2 2 2 2 5" xfId="17920"/>
    <cellStyle name="20% - Accent6 4 2 2 2 2 5 2" xfId="17921"/>
    <cellStyle name="20% - Accent6 4 2 2 2 2 5 2 2" xfId="17922"/>
    <cellStyle name="20% - Accent6 4 2 2 2 2 5 2 3" xfId="17923"/>
    <cellStyle name="20% - Accent6 4 2 2 2 2 5 3" xfId="17924"/>
    <cellStyle name="20% - Accent6 4 2 2 2 2 5 3 2" xfId="17925"/>
    <cellStyle name="20% - Accent6 4 2 2 2 2 5 4" xfId="17926"/>
    <cellStyle name="20% - Accent6 4 2 2 2 2 5 5" xfId="17927"/>
    <cellStyle name="20% - Accent6 4 2 2 2 2 6" xfId="17928"/>
    <cellStyle name="20% - Accent6 4 2 2 2 2 6 2" xfId="17929"/>
    <cellStyle name="20% - Accent6 4 2 2 2 2 6 3" xfId="17930"/>
    <cellStyle name="20% - Accent6 4 2 2 2 2 7" xfId="17931"/>
    <cellStyle name="20% - Accent6 4 2 2 2 2 7 2" xfId="17932"/>
    <cellStyle name="20% - Accent6 4 2 2 2 2 7 3" xfId="17933"/>
    <cellStyle name="20% - Accent6 4 2 2 2 2 8" xfId="17934"/>
    <cellStyle name="20% - Accent6 4 2 2 2 2 8 2" xfId="17935"/>
    <cellStyle name="20% - Accent6 4 2 2 2 2 9" xfId="17936"/>
    <cellStyle name="20% - Accent6 4 2 2 2 3" xfId="1351"/>
    <cellStyle name="20% - Accent6 4 2 2 2 3 2" xfId="17937"/>
    <cellStyle name="20% - Accent6 4 2 2 2 3 2 2" xfId="17938"/>
    <cellStyle name="20% - Accent6 4 2 2 2 3 2 2 2" xfId="17939"/>
    <cellStyle name="20% - Accent6 4 2 2 2 3 2 2 3" xfId="17940"/>
    <cellStyle name="20% - Accent6 4 2 2 2 3 2 3" xfId="17941"/>
    <cellStyle name="20% - Accent6 4 2 2 2 3 2 3 2" xfId="17942"/>
    <cellStyle name="20% - Accent6 4 2 2 2 3 2 3 3" xfId="17943"/>
    <cellStyle name="20% - Accent6 4 2 2 2 3 2 4" xfId="17944"/>
    <cellStyle name="20% - Accent6 4 2 2 2 3 2 4 2" xfId="17945"/>
    <cellStyle name="20% - Accent6 4 2 2 2 3 2 5" xfId="17946"/>
    <cellStyle name="20% - Accent6 4 2 2 2 3 2 6" xfId="17947"/>
    <cellStyle name="20% - Accent6 4 2 2 2 3 3" xfId="17948"/>
    <cellStyle name="20% - Accent6 4 2 2 2 3 3 2" xfId="17949"/>
    <cellStyle name="20% - Accent6 4 2 2 2 3 3 2 2" xfId="17950"/>
    <cellStyle name="20% - Accent6 4 2 2 2 3 3 2 3" xfId="17951"/>
    <cellStyle name="20% - Accent6 4 2 2 2 3 3 3" xfId="17952"/>
    <cellStyle name="20% - Accent6 4 2 2 2 3 3 3 2" xfId="17953"/>
    <cellStyle name="20% - Accent6 4 2 2 2 3 3 3 3" xfId="17954"/>
    <cellStyle name="20% - Accent6 4 2 2 2 3 3 4" xfId="17955"/>
    <cellStyle name="20% - Accent6 4 2 2 2 3 3 4 2" xfId="17956"/>
    <cellStyle name="20% - Accent6 4 2 2 2 3 3 5" xfId="17957"/>
    <cellStyle name="20% - Accent6 4 2 2 2 3 3 6" xfId="17958"/>
    <cellStyle name="20% - Accent6 4 2 2 2 3 4" xfId="17959"/>
    <cellStyle name="20% - Accent6 4 2 2 2 3 4 2" xfId="17960"/>
    <cellStyle name="20% - Accent6 4 2 2 2 3 4 2 2" xfId="17961"/>
    <cellStyle name="20% - Accent6 4 2 2 2 3 4 2 3" xfId="17962"/>
    <cellStyle name="20% - Accent6 4 2 2 2 3 4 3" xfId="17963"/>
    <cellStyle name="20% - Accent6 4 2 2 2 3 4 3 2" xfId="17964"/>
    <cellStyle name="20% - Accent6 4 2 2 2 3 4 4" xfId="17965"/>
    <cellStyle name="20% - Accent6 4 2 2 2 3 4 5" xfId="17966"/>
    <cellStyle name="20% - Accent6 4 2 2 2 3 5" xfId="17967"/>
    <cellStyle name="20% - Accent6 4 2 2 2 3 5 2" xfId="17968"/>
    <cellStyle name="20% - Accent6 4 2 2 2 3 5 3" xfId="17969"/>
    <cellStyle name="20% - Accent6 4 2 2 2 3 6" xfId="17970"/>
    <cellStyle name="20% - Accent6 4 2 2 2 3 6 2" xfId="17971"/>
    <cellStyle name="20% - Accent6 4 2 2 2 3 6 3" xfId="17972"/>
    <cellStyle name="20% - Accent6 4 2 2 2 3 7" xfId="17973"/>
    <cellStyle name="20% - Accent6 4 2 2 2 3 7 2" xfId="17974"/>
    <cellStyle name="20% - Accent6 4 2 2 2 3 8" xfId="17975"/>
    <cellStyle name="20% - Accent6 4 2 2 2 3 9" xfId="17976"/>
    <cellStyle name="20% - Accent6 4 2 2 2 4" xfId="17977"/>
    <cellStyle name="20% - Accent6 4 2 2 2 4 2" xfId="17978"/>
    <cellStyle name="20% - Accent6 4 2 2 2 4 2 2" xfId="17979"/>
    <cellStyle name="20% - Accent6 4 2 2 2 4 2 2 2" xfId="17980"/>
    <cellStyle name="20% - Accent6 4 2 2 2 4 2 2 3" xfId="17981"/>
    <cellStyle name="20% - Accent6 4 2 2 2 4 2 3" xfId="17982"/>
    <cellStyle name="20% - Accent6 4 2 2 2 4 2 3 2" xfId="17983"/>
    <cellStyle name="20% - Accent6 4 2 2 2 4 2 3 3" xfId="17984"/>
    <cellStyle name="20% - Accent6 4 2 2 2 4 2 4" xfId="17985"/>
    <cellStyle name="20% - Accent6 4 2 2 2 4 2 4 2" xfId="17986"/>
    <cellStyle name="20% - Accent6 4 2 2 2 4 2 5" xfId="17987"/>
    <cellStyle name="20% - Accent6 4 2 2 2 4 2 6" xfId="17988"/>
    <cellStyle name="20% - Accent6 4 2 2 2 4 3" xfId="17989"/>
    <cellStyle name="20% - Accent6 4 2 2 2 4 3 2" xfId="17990"/>
    <cellStyle name="20% - Accent6 4 2 2 2 4 3 2 2" xfId="17991"/>
    <cellStyle name="20% - Accent6 4 2 2 2 4 3 2 3" xfId="17992"/>
    <cellStyle name="20% - Accent6 4 2 2 2 4 3 3" xfId="17993"/>
    <cellStyle name="20% - Accent6 4 2 2 2 4 3 3 2" xfId="17994"/>
    <cellStyle name="20% - Accent6 4 2 2 2 4 3 3 3" xfId="17995"/>
    <cellStyle name="20% - Accent6 4 2 2 2 4 3 4" xfId="17996"/>
    <cellStyle name="20% - Accent6 4 2 2 2 4 3 4 2" xfId="17997"/>
    <cellStyle name="20% - Accent6 4 2 2 2 4 3 5" xfId="17998"/>
    <cellStyle name="20% - Accent6 4 2 2 2 4 3 6" xfId="17999"/>
    <cellStyle name="20% - Accent6 4 2 2 2 4 4" xfId="18000"/>
    <cellStyle name="20% - Accent6 4 2 2 2 4 4 2" xfId="18001"/>
    <cellStyle name="20% - Accent6 4 2 2 2 4 4 2 2" xfId="18002"/>
    <cellStyle name="20% - Accent6 4 2 2 2 4 4 2 3" xfId="18003"/>
    <cellStyle name="20% - Accent6 4 2 2 2 4 4 3" xfId="18004"/>
    <cellStyle name="20% - Accent6 4 2 2 2 4 4 3 2" xfId="18005"/>
    <cellStyle name="20% - Accent6 4 2 2 2 4 4 4" xfId="18006"/>
    <cellStyle name="20% - Accent6 4 2 2 2 4 4 5" xfId="18007"/>
    <cellStyle name="20% - Accent6 4 2 2 2 4 5" xfId="18008"/>
    <cellStyle name="20% - Accent6 4 2 2 2 4 5 2" xfId="18009"/>
    <cellStyle name="20% - Accent6 4 2 2 2 4 5 3" xfId="18010"/>
    <cellStyle name="20% - Accent6 4 2 2 2 4 6" xfId="18011"/>
    <cellStyle name="20% - Accent6 4 2 2 2 4 6 2" xfId="18012"/>
    <cellStyle name="20% - Accent6 4 2 2 2 4 6 3" xfId="18013"/>
    <cellStyle name="20% - Accent6 4 2 2 2 4 7" xfId="18014"/>
    <cellStyle name="20% - Accent6 4 2 2 2 4 7 2" xfId="18015"/>
    <cellStyle name="20% - Accent6 4 2 2 2 4 8" xfId="18016"/>
    <cellStyle name="20% - Accent6 4 2 2 2 4 9" xfId="18017"/>
    <cellStyle name="20% - Accent6 4 2 2 2 5" xfId="18018"/>
    <cellStyle name="20% - Accent6 4 2 2 2 5 2" xfId="18019"/>
    <cellStyle name="20% - Accent6 4 2 2 2 5 2 2" xfId="18020"/>
    <cellStyle name="20% - Accent6 4 2 2 2 5 2 3" xfId="18021"/>
    <cellStyle name="20% - Accent6 4 2 2 2 5 3" xfId="18022"/>
    <cellStyle name="20% - Accent6 4 2 2 2 5 3 2" xfId="18023"/>
    <cellStyle name="20% - Accent6 4 2 2 2 5 3 3" xfId="18024"/>
    <cellStyle name="20% - Accent6 4 2 2 2 5 4" xfId="18025"/>
    <cellStyle name="20% - Accent6 4 2 2 2 5 4 2" xfId="18026"/>
    <cellStyle name="20% - Accent6 4 2 2 2 5 5" xfId="18027"/>
    <cellStyle name="20% - Accent6 4 2 2 2 5 6" xfId="18028"/>
    <cellStyle name="20% - Accent6 4 2 2 2 6" xfId="18029"/>
    <cellStyle name="20% - Accent6 4 2 2 2 6 2" xfId="18030"/>
    <cellStyle name="20% - Accent6 4 2 2 2 6 2 2" xfId="18031"/>
    <cellStyle name="20% - Accent6 4 2 2 2 6 2 3" xfId="18032"/>
    <cellStyle name="20% - Accent6 4 2 2 2 6 3" xfId="18033"/>
    <cellStyle name="20% - Accent6 4 2 2 2 6 3 2" xfId="18034"/>
    <cellStyle name="20% - Accent6 4 2 2 2 6 3 3" xfId="18035"/>
    <cellStyle name="20% - Accent6 4 2 2 2 6 4" xfId="18036"/>
    <cellStyle name="20% - Accent6 4 2 2 2 6 4 2" xfId="18037"/>
    <cellStyle name="20% - Accent6 4 2 2 2 6 5" xfId="18038"/>
    <cellStyle name="20% - Accent6 4 2 2 2 6 6" xfId="18039"/>
    <cellStyle name="20% - Accent6 4 2 2 2 7" xfId="18040"/>
    <cellStyle name="20% - Accent6 4 2 2 2 7 2" xfId="18041"/>
    <cellStyle name="20% - Accent6 4 2 2 2 7 2 2" xfId="18042"/>
    <cellStyle name="20% - Accent6 4 2 2 2 7 2 3" xfId="18043"/>
    <cellStyle name="20% - Accent6 4 2 2 2 7 3" xfId="18044"/>
    <cellStyle name="20% - Accent6 4 2 2 2 7 3 2" xfId="18045"/>
    <cellStyle name="20% - Accent6 4 2 2 2 7 4" xfId="18046"/>
    <cellStyle name="20% - Accent6 4 2 2 2 7 5" xfId="18047"/>
    <cellStyle name="20% - Accent6 4 2 2 2 8" xfId="18048"/>
    <cellStyle name="20% - Accent6 4 2 2 2 8 2" xfId="18049"/>
    <cellStyle name="20% - Accent6 4 2 2 2 8 3" xfId="18050"/>
    <cellStyle name="20% - Accent6 4 2 2 2 9" xfId="18051"/>
    <cellStyle name="20% - Accent6 4 2 2 2 9 2" xfId="18052"/>
    <cellStyle name="20% - Accent6 4 2 2 2 9 3" xfId="18053"/>
    <cellStyle name="20% - Accent6 4 2 2 3" xfId="1352"/>
    <cellStyle name="20% - Accent6 4 2 2 3 10" xfId="18054"/>
    <cellStyle name="20% - Accent6 4 2 2 3 2" xfId="1353"/>
    <cellStyle name="20% - Accent6 4 2 2 3 2 2" xfId="18055"/>
    <cellStyle name="20% - Accent6 4 2 2 3 2 2 2" xfId="18056"/>
    <cellStyle name="20% - Accent6 4 2 2 3 2 2 2 2" xfId="18057"/>
    <cellStyle name="20% - Accent6 4 2 2 3 2 2 2 3" xfId="18058"/>
    <cellStyle name="20% - Accent6 4 2 2 3 2 2 3" xfId="18059"/>
    <cellStyle name="20% - Accent6 4 2 2 3 2 2 3 2" xfId="18060"/>
    <cellStyle name="20% - Accent6 4 2 2 3 2 2 3 3" xfId="18061"/>
    <cellStyle name="20% - Accent6 4 2 2 3 2 2 4" xfId="18062"/>
    <cellStyle name="20% - Accent6 4 2 2 3 2 2 4 2" xfId="18063"/>
    <cellStyle name="20% - Accent6 4 2 2 3 2 2 5" xfId="18064"/>
    <cellStyle name="20% - Accent6 4 2 2 3 2 2 6" xfId="18065"/>
    <cellStyle name="20% - Accent6 4 2 2 3 2 3" xfId="18066"/>
    <cellStyle name="20% - Accent6 4 2 2 3 2 3 2" xfId="18067"/>
    <cellStyle name="20% - Accent6 4 2 2 3 2 3 2 2" xfId="18068"/>
    <cellStyle name="20% - Accent6 4 2 2 3 2 3 2 3" xfId="18069"/>
    <cellStyle name="20% - Accent6 4 2 2 3 2 3 3" xfId="18070"/>
    <cellStyle name="20% - Accent6 4 2 2 3 2 3 3 2" xfId="18071"/>
    <cellStyle name="20% - Accent6 4 2 2 3 2 3 3 3" xfId="18072"/>
    <cellStyle name="20% - Accent6 4 2 2 3 2 3 4" xfId="18073"/>
    <cellStyle name="20% - Accent6 4 2 2 3 2 3 4 2" xfId="18074"/>
    <cellStyle name="20% - Accent6 4 2 2 3 2 3 5" xfId="18075"/>
    <cellStyle name="20% - Accent6 4 2 2 3 2 3 6" xfId="18076"/>
    <cellStyle name="20% - Accent6 4 2 2 3 2 4" xfId="18077"/>
    <cellStyle name="20% - Accent6 4 2 2 3 2 4 2" xfId="18078"/>
    <cellStyle name="20% - Accent6 4 2 2 3 2 4 2 2" xfId="18079"/>
    <cellStyle name="20% - Accent6 4 2 2 3 2 4 2 3" xfId="18080"/>
    <cellStyle name="20% - Accent6 4 2 2 3 2 4 3" xfId="18081"/>
    <cellStyle name="20% - Accent6 4 2 2 3 2 4 3 2" xfId="18082"/>
    <cellStyle name="20% - Accent6 4 2 2 3 2 4 4" xfId="18083"/>
    <cellStyle name="20% - Accent6 4 2 2 3 2 4 5" xfId="18084"/>
    <cellStyle name="20% - Accent6 4 2 2 3 2 5" xfId="18085"/>
    <cellStyle name="20% - Accent6 4 2 2 3 2 5 2" xfId="18086"/>
    <cellStyle name="20% - Accent6 4 2 2 3 2 5 3" xfId="18087"/>
    <cellStyle name="20% - Accent6 4 2 2 3 2 6" xfId="18088"/>
    <cellStyle name="20% - Accent6 4 2 2 3 2 6 2" xfId="18089"/>
    <cellStyle name="20% - Accent6 4 2 2 3 2 6 3" xfId="18090"/>
    <cellStyle name="20% - Accent6 4 2 2 3 2 7" xfId="18091"/>
    <cellStyle name="20% - Accent6 4 2 2 3 2 7 2" xfId="18092"/>
    <cellStyle name="20% - Accent6 4 2 2 3 2 8" xfId="18093"/>
    <cellStyle name="20% - Accent6 4 2 2 3 2 9" xfId="18094"/>
    <cellStyle name="20% - Accent6 4 2 2 3 3" xfId="18095"/>
    <cellStyle name="20% - Accent6 4 2 2 3 3 2" xfId="18096"/>
    <cellStyle name="20% - Accent6 4 2 2 3 3 2 2" xfId="18097"/>
    <cellStyle name="20% - Accent6 4 2 2 3 3 2 3" xfId="18098"/>
    <cellStyle name="20% - Accent6 4 2 2 3 3 3" xfId="18099"/>
    <cellStyle name="20% - Accent6 4 2 2 3 3 3 2" xfId="18100"/>
    <cellStyle name="20% - Accent6 4 2 2 3 3 3 3" xfId="18101"/>
    <cellStyle name="20% - Accent6 4 2 2 3 3 4" xfId="18102"/>
    <cellStyle name="20% - Accent6 4 2 2 3 3 4 2" xfId="18103"/>
    <cellStyle name="20% - Accent6 4 2 2 3 3 5" xfId="18104"/>
    <cellStyle name="20% - Accent6 4 2 2 3 3 6" xfId="18105"/>
    <cellStyle name="20% - Accent6 4 2 2 3 4" xfId="18106"/>
    <cellStyle name="20% - Accent6 4 2 2 3 4 2" xfId="18107"/>
    <cellStyle name="20% - Accent6 4 2 2 3 4 2 2" xfId="18108"/>
    <cellStyle name="20% - Accent6 4 2 2 3 4 2 3" xfId="18109"/>
    <cellStyle name="20% - Accent6 4 2 2 3 4 3" xfId="18110"/>
    <cellStyle name="20% - Accent6 4 2 2 3 4 3 2" xfId="18111"/>
    <cellStyle name="20% - Accent6 4 2 2 3 4 3 3" xfId="18112"/>
    <cellStyle name="20% - Accent6 4 2 2 3 4 4" xfId="18113"/>
    <cellStyle name="20% - Accent6 4 2 2 3 4 4 2" xfId="18114"/>
    <cellStyle name="20% - Accent6 4 2 2 3 4 5" xfId="18115"/>
    <cellStyle name="20% - Accent6 4 2 2 3 4 6" xfId="18116"/>
    <cellStyle name="20% - Accent6 4 2 2 3 5" xfId="18117"/>
    <cellStyle name="20% - Accent6 4 2 2 3 5 2" xfId="18118"/>
    <cellStyle name="20% - Accent6 4 2 2 3 5 2 2" xfId="18119"/>
    <cellStyle name="20% - Accent6 4 2 2 3 5 2 3" xfId="18120"/>
    <cellStyle name="20% - Accent6 4 2 2 3 5 3" xfId="18121"/>
    <cellStyle name="20% - Accent6 4 2 2 3 5 3 2" xfId="18122"/>
    <cellStyle name="20% - Accent6 4 2 2 3 5 4" xfId="18123"/>
    <cellStyle name="20% - Accent6 4 2 2 3 5 5" xfId="18124"/>
    <cellStyle name="20% - Accent6 4 2 2 3 6" xfId="18125"/>
    <cellStyle name="20% - Accent6 4 2 2 3 6 2" xfId="18126"/>
    <cellStyle name="20% - Accent6 4 2 2 3 6 3" xfId="18127"/>
    <cellStyle name="20% - Accent6 4 2 2 3 7" xfId="18128"/>
    <cellStyle name="20% - Accent6 4 2 2 3 7 2" xfId="18129"/>
    <cellStyle name="20% - Accent6 4 2 2 3 7 3" xfId="18130"/>
    <cellStyle name="20% - Accent6 4 2 2 3 8" xfId="18131"/>
    <cellStyle name="20% - Accent6 4 2 2 3 8 2" xfId="18132"/>
    <cellStyle name="20% - Accent6 4 2 2 3 9" xfId="18133"/>
    <cellStyle name="20% - Accent6 4 2 2 4" xfId="1354"/>
    <cellStyle name="20% - Accent6 4 2 2 4 2" xfId="18134"/>
    <cellStyle name="20% - Accent6 4 2 2 4 2 2" xfId="18135"/>
    <cellStyle name="20% - Accent6 4 2 2 4 2 2 2" xfId="18136"/>
    <cellStyle name="20% - Accent6 4 2 2 4 2 2 3" xfId="18137"/>
    <cellStyle name="20% - Accent6 4 2 2 4 2 3" xfId="18138"/>
    <cellStyle name="20% - Accent6 4 2 2 4 2 3 2" xfId="18139"/>
    <cellStyle name="20% - Accent6 4 2 2 4 2 3 3" xfId="18140"/>
    <cellStyle name="20% - Accent6 4 2 2 4 2 4" xfId="18141"/>
    <cellStyle name="20% - Accent6 4 2 2 4 2 4 2" xfId="18142"/>
    <cellStyle name="20% - Accent6 4 2 2 4 2 5" xfId="18143"/>
    <cellStyle name="20% - Accent6 4 2 2 4 2 6" xfId="18144"/>
    <cellStyle name="20% - Accent6 4 2 2 4 3" xfId="18145"/>
    <cellStyle name="20% - Accent6 4 2 2 4 3 2" xfId="18146"/>
    <cellStyle name="20% - Accent6 4 2 2 4 3 2 2" xfId="18147"/>
    <cellStyle name="20% - Accent6 4 2 2 4 3 2 3" xfId="18148"/>
    <cellStyle name="20% - Accent6 4 2 2 4 3 3" xfId="18149"/>
    <cellStyle name="20% - Accent6 4 2 2 4 3 3 2" xfId="18150"/>
    <cellStyle name="20% - Accent6 4 2 2 4 3 3 3" xfId="18151"/>
    <cellStyle name="20% - Accent6 4 2 2 4 3 4" xfId="18152"/>
    <cellStyle name="20% - Accent6 4 2 2 4 3 4 2" xfId="18153"/>
    <cellStyle name="20% - Accent6 4 2 2 4 3 5" xfId="18154"/>
    <cellStyle name="20% - Accent6 4 2 2 4 3 6" xfId="18155"/>
    <cellStyle name="20% - Accent6 4 2 2 4 4" xfId="18156"/>
    <cellStyle name="20% - Accent6 4 2 2 4 4 2" xfId="18157"/>
    <cellStyle name="20% - Accent6 4 2 2 4 4 2 2" xfId="18158"/>
    <cellStyle name="20% - Accent6 4 2 2 4 4 2 3" xfId="18159"/>
    <cellStyle name="20% - Accent6 4 2 2 4 4 3" xfId="18160"/>
    <cellStyle name="20% - Accent6 4 2 2 4 4 3 2" xfId="18161"/>
    <cellStyle name="20% - Accent6 4 2 2 4 4 4" xfId="18162"/>
    <cellStyle name="20% - Accent6 4 2 2 4 4 5" xfId="18163"/>
    <cellStyle name="20% - Accent6 4 2 2 4 5" xfId="18164"/>
    <cellStyle name="20% - Accent6 4 2 2 4 5 2" xfId="18165"/>
    <cellStyle name="20% - Accent6 4 2 2 4 5 3" xfId="18166"/>
    <cellStyle name="20% - Accent6 4 2 2 4 6" xfId="18167"/>
    <cellStyle name="20% - Accent6 4 2 2 4 6 2" xfId="18168"/>
    <cellStyle name="20% - Accent6 4 2 2 4 6 3" xfId="18169"/>
    <cellStyle name="20% - Accent6 4 2 2 4 7" xfId="18170"/>
    <cellStyle name="20% - Accent6 4 2 2 4 7 2" xfId="18171"/>
    <cellStyle name="20% - Accent6 4 2 2 4 8" xfId="18172"/>
    <cellStyle name="20% - Accent6 4 2 2 4 9" xfId="18173"/>
    <cellStyle name="20% - Accent6 4 2 2 5" xfId="18174"/>
    <cellStyle name="20% - Accent6 4 2 2 5 2" xfId="18175"/>
    <cellStyle name="20% - Accent6 4 2 2 5 2 2" xfId="18176"/>
    <cellStyle name="20% - Accent6 4 2 2 5 2 2 2" xfId="18177"/>
    <cellStyle name="20% - Accent6 4 2 2 5 2 2 3" xfId="18178"/>
    <cellStyle name="20% - Accent6 4 2 2 5 2 3" xfId="18179"/>
    <cellStyle name="20% - Accent6 4 2 2 5 2 3 2" xfId="18180"/>
    <cellStyle name="20% - Accent6 4 2 2 5 2 3 3" xfId="18181"/>
    <cellStyle name="20% - Accent6 4 2 2 5 2 4" xfId="18182"/>
    <cellStyle name="20% - Accent6 4 2 2 5 2 4 2" xfId="18183"/>
    <cellStyle name="20% - Accent6 4 2 2 5 2 5" xfId="18184"/>
    <cellStyle name="20% - Accent6 4 2 2 5 2 6" xfId="18185"/>
    <cellStyle name="20% - Accent6 4 2 2 5 3" xfId="18186"/>
    <cellStyle name="20% - Accent6 4 2 2 5 3 2" xfId="18187"/>
    <cellStyle name="20% - Accent6 4 2 2 5 3 2 2" xfId="18188"/>
    <cellStyle name="20% - Accent6 4 2 2 5 3 2 3" xfId="18189"/>
    <cellStyle name="20% - Accent6 4 2 2 5 3 3" xfId="18190"/>
    <cellStyle name="20% - Accent6 4 2 2 5 3 3 2" xfId="18191"/>
    <cellStyle name="20% - Accent6 4 2 2 5 3 3 3" xfId="18192"/>
    <cellStyle name="20% - Accent6 4 2 2 5 3 4" xfId="18193"/>
    <cellStyle name="20% - Accent6 4 2 2 5 3 4 2" xfId="18194"/>
    <cellStyle name="20% - Accent6 4 2 2 5 3 5" xfId="18195"/>
    <cellStyle name="20% - Accent6 4 2 2 5 3 6" xfId="18196"/>
    <cellStyle name="20% - Accent6 4 2 2 5 4" xfId="18197"/>
    <cellStyle name="20% - Accent6 4 2 2 5 4 2" xfId="18198"/>
    <cellStyle name="20% - Accent6 4 2 2 5 4 2 2" xfId="18199"/>
    <cellStyle name="20% - Accent6 4 2 2 5 4 2 3" xfId="18200"/>
    <cellStyle name="20% - Accent6 4 2 2 5 4 3" xfId="18201"/>
    <cellStyle name="20% - Accent6 4 2 2 5 4 3 2" xfId="18202"/>
    <cellStyle name="20% - Accent6 4 2 2 5 4 4" xfId="18203"/>
    <cellStyle name="20% - Accent6 4 2 2 5 4 5" xfId="18204"/>
    <cellStyle name="20% - Accent6 4 2 2 5 5" xfId="18205"/>
    <cellStyle name="20% - Accent6 4 2 2 5 5 2" xfId="18206"/>
    <cellStyle name="20% - Accent6 4 2 2 5 5 3" xfId="18207"/>
    <cellStyle name="20% - Accent6 4 2 2 5 6" xfId="18208"/>
    <cellStyle name="20% - Accent6 4 2 2 5 6 2" xfId="18209"/>
    <cellStyle name="20% - Accent6 4 2 2 5 6 3" xfId="18210"/>
    <cellStyle name="20% - Accent6 4 2 2 5 7" xfId="18211"/>
    <cellStyle name="20% - Accent6 4 2 2 5 7 2" xfId="18212"/>
    <cellStyle name="20% - Accent6 4 2 2 5 8" xfId="18213"/>
    <cellStyle name="20% - Accent6 4 2 2 5 9" xfId="18214"/>
    <cellStyle name="20% - Accent6 4 2 2 6" xfId="18215"/>
    <cellStyle name="20% - Accent6 4 2 2 6 2" xfId="18216"/>
    <cellStyle name="20% - Accent6 4 2 2 6 2 2" xfId="18217"/>
    <cellStyle name="20% - Accent6 4 2 2 6 2 3" xfId="18218"/>
    <cellStyle name="20% - Accent6 4 2 2 6 3" xfId="18219"/>
    <cellStyle name="20% - Accent6 4 2 2 6 3 2" xfId="18220"/>
    <cellStyle name="20% - Accent6 4 2 2 6 3 3" xfId="18221"/>
    <cellStyle name="20% - Accent6 4 2 2 6 4" xfId="18222"/>
    <cellStyle name="20% - Accent6 4 2 2 6 4 2" xfId="18223"/>
    <cellStyle name="20% - Accent6 4 2 2 6 5" xfId="18224"/>
    <cellStyle name="20% - Accent6 4 2 2 6 6" xfId="18225"/>
    <cellStyle name="20% - Accent6 4 2 2 7" xfId="18226"/>
    <cellStyle name="20% - Accent6 4 2 2 7 2" xfId="18227"/>
    <cellStyle name="20% - Accent6 4 2 2 7 2 2" xfId="18228"/>
    <cellStyle name="20% - Accent6 4 2 2 7 2 3" xfId="18229"/>
    <cellStyle name="20% - Accent6 4 2 2 7 3" xfId="18230"/>
    <cellStyle name="20% - Accent6 4 2 2 7 3 2" xfId="18231"/>
    <cellStyle name="20% - Accent6 4 2 2 7 3 3" xfId="18232"/>
    <cellStyle name="20% - Accent6 4 2 2 7 4" xfId="18233"/>
    <cellStyle name="20% - Accent6 4 2 2 7 4 2" xfId="18234"/>
    <cellStyle name="20% - Accent6 4 2 2 7 5" xfId="18235"/>
    <cellStyle name="20% - Accent6 4 2 2 7 6" xfId="18236"/>
    <cellStyle name="20% - Accent6 4 2 2 8" xfId="18237"/>
    <cellStyle name="20% - Accent6 4 2 2 8 2" xfId="18238"/>
    <cellStyle name="20% - Accent6 4 2 2 8 2 2" xfId="18239"/>
    <cellStyle name="20% - Accent6 4 2 2 8 2 3" xfId="18240"/>
    <cellStyle name="20% - Accent6 4 2 2 8 3" xfId="18241"/>
    <cellStyle name="20% - Accent6 4 2 2 8 3 2" xfId="18242"/>
    <cellStyle name="20% - Accent6 4 2 2 8 4" xfId="18243"/>
    <cellStyle name="20% - Accent6 4 2 2 8 5" xfId="18244"/>
    <cellStyle name="20% - Accent6 4 2 2 9" xfId="18245"/>
    <cellStyle name="20% - Accent6 4 2 2 9 2" xfId="18246"/>
    <cellStyle name="20% - Accent6 4 2 2 9 3" xfId="18247"/>
    <cellStyle name="20% - Accent6 4 2 3" xfId="1355"/>
    <cellStyle name="20% - Accent6 4 2 3 10" xfId="18248"/>
    <cellStyle name="20% - Accent6 4 2 3 10 2" xfId="18249"/>
    <cellStyle name="20% - Accent6 4 2 3 11" xfId="18250"/>
    <cellStyle name="20% - Accent6 4 2 3 12" xfId="18251"/>
    <cellStyle name="20% - Accent6 4 2 3 2" xfId="1356"/>
    <cellStyle name="20% - Accent6 4 2 3 2 10" xfId="18252"/>
    <cellStyle name="20% - Accent6 4 2 3 2 2" xfId="1357"/>
    <cellStyle name="20% - Accent6 4 2 3 2 2 2" xfId="18253"/>
    <cellStyle name="20% - Accent6 4 2 3 2 2 2 2" xfId="18254"/>
    <cellStyle name="20% - Accent6 4 2 3 2 2 2 2 2" xfId="18255"/>
    <cellStyle name="20% - Accent6 4 2 3 2 2 2 2 3" xfId="18256"/>
    <cellStyle name="20% - Accent6 4 2 3 2 2 2 3" xfId="18257"/>
    <cellStyle name="20% - Accent6 4 2 3 2 2 2 3 2" xfId="18258"/>
    <cellStyle name="20% - Accent6 4 2 3 2 2 2 3 3" xfId="18259"/>
    <cellStyle name="20% - Accent6 4 2 3 2 2 2 4" xfId="18260"/>
    <cellStyle name="20% - Accent6 4 2 3 2 2 2 4 2" xfId="18261"/>
    <cellStyle name="20% - Accent6 4 2 3 2 2 2 5" xfId="18262"/>
    <cellStyle name="20% - Accent6 4 2 3 2 2 2 6" xfId="18263"/>
    <cellStyle name="20% - Accent6 4 2 3 2 2 3" xfId="18264"/>
    <cellStyle name="20% - Accent6 4 2 3 2 2 3 2" xfId="18265"/>
    <cellStyle name="20% - Accent6 4 2 3 2 2 3 2 2" xfId="18266"/>
    <cellStyle name="20% - Accent6 4 2 3 2 2 3 2 3" xfId="18267"/>
    <cellStyle name="20% - Accent6 4 2 3 2 2 3 3" xfId="18268"/>
    <cellStyle name="20% - Accent6 4 2 3 2 2 3 3 2" xfId="18269"/>
    <cellStyle name="20% - Accent6 4 2 3 2 2 3 3 3" xfId="18270"/>
    <cellStyle name="20% - Accent6 4 2 3 2 2 3 4" xfId="18271"/>
    <cellStyle name="20% - Accent6 4 2 3 2 2 3 4 2" xfId="18272"/>
    <cellStyle name="20% - Accent6 4 2 3 2 2 3 5" xfId="18273"/>
    <cellStyle name="20% - Accent6 4 2 3 2 2 3 6" xfId="18274"/>
    <cellStyle name="20% - Accent6 4 2 3 2 2 4" xfId="18275"/>
    <cellStyle name="20% - Accent6 4 2 3 2 2 4 2" xfId="18276"/>
    <cellStyle name="20% - Accent6 4 2 3 2 2 4 2 2" xfId="18277"/>
    <cellStyle name="20% - Accent6 4 2 3 2 2 4 2 3" xfId="18278"/>
    <cellStyle name="20% - Accent6 4 2 3 2 2 4 3" xfId="18279"/>
    <cellStyle name="20% - Accent6 4 2 3 2 2 4 3 2" xfId="18280"/>
    <cellStyle name="20% - Accent6 4 2 3 2 2 4 4" xfId="18281"/>
    <cellStyle name="20% - Accent6 4 2 3 2 2 4 5" xfId="18282"/>
    <cellStyle name="20% - Accent6 4 2 3 2 2 5" xfId="18283"/>
    <cellStyle name="20% - Accent6 4 2 3 2 2 5 2" xfId="18284"/>
    <cellStyle name="20% - Accent6 4 2 3 2 2 5 3" xfId="18285"/>
    <cellStyle name="20% - Accent6 4 2 3 2 2 6" xfId="18286"/>
    <cellStyle name="20% - Accent6 4 2 3 2 2 6 2" xfId="18287"/>
    <cellStyle name="20% - Accent6 4 2 3 2 2 6 3" xfId="18288"/>
    <cellStyle name="20% - Accent6 4 2 3 2 2 7" xfId="18289"/>
    <cellStyle name="20% - Accent6 4 2 3 2 2 7 2" xfId="18290"/>
    <cellStyle name="20% - Accent6 4 2 3 2 2 8" xfId="18291"/>
    <cellStyle name="20% - Accent6 4 2 3 2 2 9" xfId="18292"/>
    <cellStyle name="20% - Accent6 4 2 3 2 3" xfId="18293"/>
    <cellStyle name="20% - Accent6 4 2 3 2 3 2" xfId="18294"/>
    <cellStyle name="20% - Accent6 4 2 3 2 3 2 2" xfId="18295"/>
    <cellStyle name="20% - Accent6 4 2 3 2 3 2 3" xfId="18296"/>
    <cellStyle name="20% - Accent6 4 2 3 2 3 3" xfId="18297"/>
    <cellStyle name="20% - Accent6 4 2 3 2 3 3 2" xfId="18298"/>
    <cellStyle name="20% - Accent6 4 2 3 2 3 3 3" xfId="18299"/>
    <cellStyle name="20% - Accent6 4 2 3 2 3 4" xfId="18300"/>
    <cellStyle name="20% - Accent6 4 2 3 2 3 4 2" xfId="18301"/>
    <cellStyle name="20% - Accent6 4 2 3 2 3 5" xfId="18302"/>
    <cellStyle name="20% - Accent6 4 2 3 2 3 6" xfId="18303"/>
    <cellStyle name="20% - Accent6 4 2 3 2 4" xfId="18304"/>
    <cellStyle name="20% - Accent6 4 2 3 2 4 2" xfId="18305"/>
    <cellStyle name="20% - Accent6 4 2 3 2 4 2 2" xfId="18306"/>
    <cellStyle name="20% - Accent6 4 2 3 2 4 2 3" xfId="18307"/>
    <cellStyle name="20% - Accent6 4 2 3 2 4 3" xfId="18308"/>
    <cellStyle name="20% - Accent6 4 2 3 2 4 3 2" xfId="18309"/>
    <cellStyle name="20% - Accent6 4 2 3 2 4 3 3" xfId="18310"/>
    <cellStyle name="20% - Accent6 4 2 3 2 4 4" xfId="18311"/>
    <cellStyle name="20% - Accent6 4 2 3 2 4 4 2" xfId="18312"/>
    <cellStyle name="20% - Accent6 4 2 3 2 4 5" xfId="18313"/>
    <cellStyle name="20% - Accent6 4 2 3 2 4 6" xfId="18314"/>
    <cellStyle name="20% - Accent6 4 2 3 2 5" xfId="18315"/>
    <cellStyle name="20% - Accent6 4 2 3 2 5 2" xfId="18316"/>
    <cellStyle name="20% - Accent6 4 2 3 2 5 2 2" xfId="18317"/>
    <cellStyle name="20% - Accent6 4 2 3 2 5 2 3" xfId="18318"/>
    <cellStyle name="20% - Accent6 4 2 3 2 5 3" xfId="18319"/>
    <cellStyle name="20% - Accent6 4 2 3 2 5 3 2" xfId="18320"/>
    <cellStyle name="20% - Accent6 4 2 3 2 5 4" xfId="18321"/>
    <cellStyle name="20% - Accent6 4 2 3 2 5 5" xfId="18322"/>
    <cellStyle name="20% - Accent6 4 2 3 2 6" xfId="18323"/>
    <cellStyle name="20% - Accent6 4 2 3 2 6 2" xfId="18324"/>
    <cellStyle name="20% - Accent6 4 2 3 2 6 3" xfId="18325"/>
    <cellStyle name="20% - Accent6 4 2 3 2 7" xfId="18326"/>
    <cellStyle name="20% - Accent6 4 2 3 2 7 2" xfId="18327"/>
    <cellStyle name="20% - Accent6 4 2 3 2 7 3" xfId="18328"/>
    <cellStyle name="20% - Accent6 4 2 3 2 8" xfId="18329"/>
    <cellStyle name="20% - Accent6 4 2 3 2 8 2" xfId="18330"/>
    <cellStyle name="20% - Accent6 4 2 3 2 9" xfId="18331"/>
    <cellStyle name="20% - Accent6 4 2 3 3" xfId="1358"/>
    <cellStyle name="20% - Accent6 4 2 3 3 2" xfId="18332"/>
    <cellStyle name="20% - Accent6 4 2 3 3 2 2" xfId="18333"/>
    <cellStyle name="20% - Accent6 4 2 3 3 2 2 2" xfId="18334"/>
    <cellStyle name="20% - Accent6 4 2 3 3 2 2 3" xfId="18335"/>
    <cellStyle name="20% - Accent6 4 2 3 3 2 3" xfId="18336"/>
    <cellStyle name="20% - Accent6 4 2 3 3 2 3 2" xfId="18337"/>
    <cellStyle name="20% - Accent6 4 2 3 3 2 3 3" xfId="18338"/>
    <cellStyle name="20% - Accent6 4 2 3 3 2 4" xfId="18339"/>
    <cellStyle name="20% - Accent6 4 2 3 3 2 4 2" xfId="18340"/>
    <cellStyle name="20% - Accent6 4 2 3 3 2 5" xfId="18341"/>
    <cellStyle name="20% - Accent6 4 2 3 3 2 6" xfId="18342"/>
    <cellStyle name="20% - Accent6 4 2 3 3 3" xfId="18343"/>
    <cellStyle name="20% - Accent6 4 2 3 3 3 2" xfId="18344"/>
    <cellStyle name="20% - Accent6 4 2 3 3 3 2 2" xfId="18345"/>
    <cellStyle name="20% - Accent6 4 2 3 3 3 2 3" xfId="18346"/>
    <cellStyle name="20% - Accent6 4 2 3 3 3 3" xfId="18347"/>
    <cellStyle name="20% - Accent6 4 2 3 3 3 3 2" xfId="18348"/>
    <cellStyle name="20% - Accent6 4 2 3 3 3 3 3" xfId="18349"/>
    <cellStyle name="20% - Accent6 4 2 3 3 3 4" xfId="18350"/>
    <cellStyle name="20% - Accent6 4 2 3 3 3 4 2" xfId="18351"/>
    <cellStyle name="20% - Accent6 4 2 3 3 3 5" xfId="18352"/>
    <cellStyle name="20% - Accent6 4 2 3 3 3 6" xfId="18353"/>
    <cellStyle name="20% - Accent6 4 2 3 3 4" xfId="18354"/>
    <cellStyle name="20% - Accent6 4 2 3 3 4 2" xfId="18355"/>
    <cellStyle name="20% - Accent6 4 2 3 3 4 2 2" xfId="18356"/>
    <cellStyle name="20% - Accent6 4 2 3 3 4 2 3" xfId="18357"/>
    <cellStyle name="20% - Accent6 4 2 3 3 4 3" xfId="18358"/>
    <cellStyle name="20% - Accent6 4 2 3 3 4 3 2" xfId="18359"/>
    <cellStyle name="20% - Accent6 4 2 3 3 4 4" xfId="18360"/>
    <cellStyle name="20% - Accent6 4 2 3 3 4 5" xfId="18361"/>
    <cellStyle name="20% - Accent6 4 2 3 3 5" xfId="18362"/>
    <cellStyle name="20% - Accent6 4 2 3 3 5 2" xfId="18363"/>
    <cellStyle name="20% - Accent6 4 2 3 3 5 3" xfId="18364"/>
    <cellStyle name="20% - Accent6 4 2 3 3 6" xfId="18365"/>
    <cellStyle name="20% - Accent6 4 2 3 3 6 2" xfId="18366"/>
    <cellStyle name="20% - Accent6 4 2 3 3 6 3" xfId="18367"/>
    <cellStyle name="20% - Accent6 4 2 3 3 7" xfId="18368"/>
    <cellStyle name="20% - Accent6 4 2 3 3 7 2" xfId="18369"/>
    <cellStyle name="20% - Accent6 4 2 3 3 8" xfId="18370"/>
    <cellStyle name="20% - Accent6 4 2 3 3 9" xfId="18371"/>
    <cellStyle name="20% - Accent6 4 2 3 4" xfId="18372"/>
    <cellStyle name="20% - Accent6 4 2 3 4 2" xfId="18373"/>
    <cellStyle name="20% - Accent6 4 2 3 4 2 2" xfId="18374"/>
    <cellStyle name="20% - Accent6 4 2 3 4 2 2 2" xfId="18375"/>
    <cellStyle name="20% - Accent6 4 2 3 4 2 2 3" xfId="18376"/>
    <cellStyle name="20% - Accent6 4 2 3 4 2 3" xfId="18377"/>
    <cellStyle name="20% - Accent6 4 2 3 4 2 3 2" xfId="18378"/>
    <cellStyle name="20% - Accent6 4 2 3 4 2 3 3" xfId="18379"/>
    <cellStyle name="20% - Accent6 4 2 3 4 2 4" xfId="18380"/>
    <cellStyle name="20% - Accent6 4 2 3 4 2 4 2" xfId="18381"/>
    <cellStyle name="20% - Accent6 4 2 3 4 2 5" xfId="18382"/>
    <cellStyle name="20% - Accent6 4 2 3 4 2 6" xfId="18383"/>
    <cellStyle name="20% - Accent6 4 2 3 4 3" xfId="18384"/>
    <cellStyle name="20% - Accent6 4 2 3 4 3 2" xfId="18385"/>
    <cellStyle name="20% - Accent6 4 2 3 4 3 2 2" xfId="18386"/>
    <cellStyle name="20% - Accent6 4 2 3 4 3 2 3" xfId="18387"/>
    <cellStyle name="20% - Accent6 4 2 3 4 3 3" xfId="18388"/>
    <cellStyle name="20% - Accent6 4 2 3 4 3 3 2" xfId="18389"/>
    <cellStyle name="20% - Accent6 4 2 3 4 3 3 3" xfId="18390"/>
    <cellStyle name="20% - Accent6 4 2 3 4 3 4" xfId="18391"/>
    <cellStyle name="20% - Accent6 4 2 3 4 3 4 2" xfId="18392"/>
    <cellStyle name="20% - Accent6 4 2 3 4 3 5" xfId="18393"/>
    <cellStyle name="20% - Accent6 4 2 3 4 3 6" xfId="18394"/>
    <cellStyle name="20% - Accent6 4 2 3 4 4" xfId="18395"/>
    <cellStyle name="20% - Accent6 4 2 3 4 4 2" xfId="18396"/>
    <cellStyle name="20% - Accent6 4 2 3 4 4 2 2" xfId="18397"/>
    <cellStyle name="20% - Accent6 4 2 3 4 4 2 3" xfId="18398"/>
    <cellStyle name="20% - Accent6 4 2 3 4 4 3" xfId="18399"/>
    <cellStyle name="20% - Accent6 4 2 3 4 4 3 2" xfId="18400"/>
    <cellStyle name="20% - Accent6 4 2 3 4 4 4" xfId="18401"/>
    <cellStyle name="20% - Accent6 4 2 3 4 4 5" xfId="18402"/>
    <cellStyle name="20% - Accent6 4 2 3 4 5" xfId="18403"/>
    <cellStyle name="20% - Accent6 4 2 3 4 5 2" xfId="18404"/>
    <cellStyle name="20% - Accent6 4 2 3 4 5 3" xfId="18405"/>
    <cellStyle name="20% - Accent6 4 2 3 4 6" xfId="18406"/>
    <cellStyle name="20% - Accent6 4 2 3 4 6 2" xfId="18407"/>
    <cellStyle name="20% - Accent6 4 2 3 4 6 3" xfId="18408"/>
    <cellStyle name="20% - Accent6 4 2 3 4 7" xfId="18409"/>
    <cellStyle name="20% - Accent6 4 2 3 4 7 2" xfId="18410"/>
    <cellStyle name="20% - Accent6 4 2 3 4 8" xfId="18411"/>
    <cellStyle name="20% - Accent6 4 2 3 4 9" xfId="18412"/>
    <cellStyle name="20% - Accent6 4 2 3 5" xfId="18413"/>
    <cellStyle name="20% - Accent6 4 2 3 5 2" xfId="18414"/>
    <cellStyle name="20% - Accent6 4 2 3 5 2 2" xfId="18415"/>
    <cellStyle name="20% - Accent6 4 2 3 5 2 3" xfId="18416"/>
    <cellStyle name="20% - Accent6 4 2 3 5 3" xfId="18417"/>
    <cellStyle name="20% - Accent6 4 2 3 5 3 2" xfId="18418"/>
    <cellStyle name="20% - Accent6 4 2 3 5 3 3" xfId="18419"/>
    <cellStyle name="20% - Accent6 4 2 3 5 4" xfId="18420"/>
    <cellStyle name="20% - Accent6 4 2 3 5 4 2" xfId="18421"/>
    <cellStyle name="20% - Accent6 4 2 3 5 5" xfId="18422"/>
    <cellStyle name="20% - Accent6 4 2 3 5 6" xfId="18423"/>
    <cellStyle name="20% - Accent6 4 2 3 6" xfId="18424"/>
    <cellStyle name="20% - Accent6 4 2 3 6 2" xfId="18425"/>
    <cellStyle name="20% - Accent6 4 2 3 6 2 2" xfId="18426"/>
    <cellStyle name="20% - Accent6 4 2 3 6 2 3" xfId="18427"/>
    <cellStyle name="20% - Accent6 4 2 3 6 3" xfId="18428"/>
    <cellStyle name="20% - Accent6 4 2 3 6 3 2" xfId="18429"/>
    <cellStyle name="20% - Accent6 4 2 3 6 3 3" xfId="18430"/>
    <cellStyle name="20% - Accent6 4 2 3 6 4" xfId="18431"/>
    <cellStyle name="20% - Accent6 4 2 3 6 4 2" xfId="18432"/>
    <cellStyle name="20% - Accent6 4 2 3 6 5" xfId="18433"/>
    <cellStyle name="20% - Accent6 4 2 3 6 6" xfId="18434"/>
    <cellStyle name="20% - Accent6 4 2 3 7" xfId="18435"/>
    <cellStyle name="20% - Accent6 4 2 3 7 2" xfId="18436"/>
    <cellStyle name="20% - Accent6 4 2 3 7 2 2" xfId="18437"/>
    <cellStyle name="20% - Accent6 4 2 3 7 2 3" xfId="18438"/>
    <cellStyle name="20% - Accent6 4 2 3 7 3" xfId="18439"/>
    <cellStyle name="20% - Accent6 4 2 3 7 3 2" xfId="18440"/>
    <cellStyle name="20% - Accent6 4 2 3 7 4" xfId="18441"/>
    <cellStyle name="20% - Accent6 4 2 3 7 5" xfId="18442"/>
    <cellStyle name="20% - Accent6 4 2 3 8" xfId="18443"/>
    <cellStyle name="20% - Accent6 4 2 3 8 2" xfId="18444"/>
    <cellStyle name="20% - Accent6 4 2 3 8 3" xfId="18445"/>
    <cellStyle name="20% - Accent6 4 2 3 9" xfId="18446"/>
    <cellStyle name="20% - Accent6 4 2 3 9 2" xfId="18447"/>
    <cellStyle name="20% - Accent6 4 2 3 9 3" xfId="18448"/>
    <cellStyle name="20% - Accent6 4 2 4" xfId="1359"/>
    <cellStyle name="20% - Accent6 4 2 4 10" xfId="18449"/>
    <cellStyle name="20% - Accent6 4 2 4 2" xfId="1360"/>
    <cellStyle name="20% - Accent6 4 2 4 2 2" xfId="18450"/>
    <cellStyle name="20% - Accent6 4 2 4 2 2 2" xfId="18451"/>
    <cellStyle name="20% - Accent6 4 2 4 2 2 2 2" xfId="18452"/>
    <cellStyle name="20% - Accent6 4 2 4 2 2 2 3" xfId="18453"/>
    <cellStyle name="20% - Accent6 4 2 4 2 2 3" xfId="18454"/>
    <cellStyle name="20% - Accent6 4 2 4 2 2 3 2" xfId="18455"/>
    <cellStyle name="20% - Accent6 4 2 4 2 2 3 3" xfId="18456"/>
    <cellStyle name="20% - Accent6 4 2 4 2 2 4" xfId="18457"/>
    <cellStyle name="20% - Accent6 4 2 4 2 2 4 2" xfId="18458"/>
    <cellStyle name="20% - Accent6 4 2 4 2 2 5" xfId="18459"/>
    <cellStyle name="20% - Accent6 4 2 4 2 2 6" xfId="18460"/>
    <cellStyle name="20% - Accent6 4 2 4 2 3" xfId="18461"/>
    <cellStyle name="20% - Accent6 4 2 4 2 3 2" xfId="18462"/>
    <cellStyle name="20% - Accent6 4 2 4 2 3 2 2" xfId="18463"/>
    <cellStyle name="20% - Accent6 4 2 4 2 3 2 3" xfId="18464"/>
    <cellStyle name="20% - Accent6 4 2 4 2 3 3" xfId="18465"/>
    <cellStyle name="20% - Accent6 4 2 4 2 3 3 2" xfId="18466"/>
    <cellStyle name="20% - Accent6 4 2 4 2 3 3 3" xfId="18467"/>
    <cellStyle name="20% - Accent6 4 2 4 2 3 4" xfId="18468"/>
    <cellStyle name="20% - Accent6 4 2 4 2 3 4 2" xfId="18469"/>
    <cellStyle name="20% - Accent6 4 2 4 2 3 5" xfId="18470"/>
    <cellStyle name="20% - Accent6 4 2 4 2 3 6" xfId="18471"/>
    <cellStyle name="20% - Accent6 4 2 4 2 4" xfId="18472"/>
    <cellStyle name="20% - Accent6 4 2 4 2 4 2" xfId="18473"/>
    <cellStyle name="20% - Accent6 4 2 4 2 4 2 2" xfId="18474"/>
    <cellStyle name="20% - Accent6 4 2 4 2 4 2 3" xfId="18475"/>
    <cellStyle name="20% - Accent6 4 2 4 2 4 3" xfId="18476"/>
    <cellStyle name="20% - Accent6 4 2 4 2 4 3 2" xfId="18477"/>
    <cellStyle name="20% - Accent6 4 2 4 2 4 4" xfId="18478"/>
    <cellStyle name="20% - Accent6 4 2 4 2 4 5" xfId="18479"/>
    <cellStyle name="20% - Accent6 4 2 4 2 5" xfId="18480"/>
    <cellStyle name="20% - Accent6 4 2 4 2 5 2" xfId="18481"/>
    <cellStyle name="20% - Accent6 4 2 4 2 5 3" xfId="18482"/>
    <cellStyle name="20% - Accent6 4 2 4 2 6" xfId="18483"/>
    <cellStyle name="20% - Accent6 4 2 4 2 6 2" xfId="18484"/>
    <cellStyle name="20% - Accent6 4 2 4 2 6 3" xfId="18485"/>
    <cellStyle name="20% - Accent6 4 2 4 2 7" xfId="18486"/>
    <cellStyle name="20% - Accent6 4 2 4 2 7 2" xfId="18487"/>
    <cellStyle name="20% - Accent6 4 2 4 2 8" xfId="18488"/>
    <cellStyle name="20% - Accent6 4 2 4 2 9" xfId="18489"/>
    <cellStyle name="20% - Accent6 4 2 4 3" xfId="18490"/>
    <cellStyle name="20% - Accent6 4 2 4 3 2" xfId="18491"/>
    <cellStyle name="20% - Accent6 4 2 4 3 2 2" xfId="18492"/>
    <cellStyle name="20% - Accent6 4 2 4 3 2 3" xfId="18493"/>
    <cellStyle name="20% - Accent6 4 2 4 3 3" xfId="18494"/>
    <cellStyle name="20% - Accent6 4 2 4 3 3 2" xfId="18495"/>
    <cellStyle name="20% - Accent6 4 2 4 3 3 3" xfId="18496"/>
    <cellStyle name="20% - Accent6 4 2 4 3 4" xfId="18497"/>
    <cellStyle name="20% - Accent6 4 2 4 3 4 2" xfId="18498"/>
    <cellStyle name="20% - Accent6 4 2 4 3 5" xfId="18499"/>
    <cellStyle name="20% - Accent6 4 2 4 3 6" xfId="18500"/>
    <cellStyle name="20% - Accent6 4 2 4 4" xfId="18501"/>
    <cellStyle name="20% - Accent6 4 2 4 4 2" xfId="18502"/>
    <cellStyle name="20% - Accent6 4 2 4 4 2 2" xfId="18503"/>
    <cellStyle name="20% - Accent6 4 2 4 4 2 3" xfId="18504"/>
    <cellStyle name="20% - Accent6 4 2 4 4 3" xfId="18505"/>
    <cellStyle name="20% - Accent6 4 2 4 4 3 2" xfId="18506"/>
    <cellStyle name="20% - Accent6 4 2 4 4 3 3" xfId="18507"/>
    <cellStyle name="20% - Accent6 4 2 4 4 4" xfId="18508"/>
    <cellStyle name="20% - Accent6 4 2 4 4 4 2" xfId="18509"/>
    <cellStyle name="20% - Accent6 4 2 4 4 5" xfId="18510"/>
    <cellStyle name="20% - Accent6 4 2 4 4 6" xfId="18511"/>
    <cellStyle name="20% - Accent6 4 2 4 5" xfId="18512"/>
    <cellStyle name="20% - Accent6 4 2 4 5 2" xfId="18513"/>
    <cellStyle name="20% - Accent6 4 2 4 5 2 2" xfId="18514"/>
    <cellStyle name="20% - Accent6 4 2 4 5 2 3" xfId="18515"/>
    <cellStyle name="20% - Accent6 4 2 4 5 3" xfId="18516"/>
    <cellStyle name="20% - Accent6 4 2 4 5 3 2" xfId="18517"/>
    <cellStyle name="20% - Accent6 4 2 4 5 4" xfId="18518"/>
    <cellStyle name="20% - Accent6 4 2 4 5 5" xfId="18519"/>
    <cellStyle name="20% - Accent6 4 2 4 6" xfId="18520"/>
    <cellStyle name="20% - Accent6 4 2 4 6 2" xfId="18521"/>
    <cellStyle name="20% - Accent6 4 2 4 6 3" xfId="18522"/>
    <cellStyle name="20% - Accent6 4 2 4 7" xfId="18523"/>
    <cellStyle name="20% - Accent6 4 2 4 7 2" xfId="18524"/>
    <cellStyle name="20% - Accent6 4 2 4 7 3" xfId="18525"/>
    <cellStyle name="20% - Accent6 4 2 4 8" xfId="18526"/>
    <cellStyle name="20% - Accent6 4 2 4 8 2" xfId="18527"/>
    <cellStyle name="20% - Accent6 4 2 4 9" xfId="18528"/>
    <cellStyle name="20% - Accent6 4 2 5" xfId="1361"/>
    <cellStyle name="20% - Accent6 4 2 5 2" xfId="18529"/>
    <cellStyle name="20% - Accent6 4 2 5 2 2" xfId="18530"/>
    <cellStyle name="20% - Accent6 4 2 5 2 2 2" xfId="18531"/>
    <cellStyle name="20% - Accent6 4 2 5 2 2 3" xfId="18532"/>
    <cellStyle name="20% - Accent6 4 2 5 2 3" xfId="18533"/>
    <cellStyle name="20% - Accent6 4 2 5 2 3 2" xfId="18534"/>
    <cellStyle name="20% - Accent6 4 2 5 2 3 3" xfId="18535"/>
    <cellStyle name="20% - Accent6 4 2 5 2 4" xfId="18536"/>
    <cellStyle name="20% - Accent6 4 2 5 2 4 2" xfId="18537"/>
    <cellStyle name="20% - Accent6 4 2 5 2 5" xfId="18538"/>
    <cellStyle name="20% - Accent6 4 2 5 2 6" xfId="18539"/>
    <cellStyle name="20% - Accent6 4 2 5 3" xfId="18540"/>
    <cellStyle name="20% - Accent6 4 2 5 3 2" xfId="18541"/>
    <cellStyle name="20% - Accent6 4 2 5 3 2 2" xfId="18542"/>
    <cellStyle name="20% - Accent6 4 2 5 3 2 3" xfId="18543"/>
    <cellStyle name="20% - Accent6 4 2 5 3 3" xfId="18544"/>
    <cellStyle name="20% - Accent6 4 2 5 3 3 2" xfId="18545"/>
    <cellStyle name="20% - Accent6 4 2 5 3 3 3" xfId="18546"/>
    <cellStyle name="20% - Accent6 4 2 5 3 4" xfId="18547"/>
    <cellStyle name="20% - Accent6 4 2 5 3 4 2" xfId="18548"/>
    <cellStyle name="20% - Accent6 4 2 5 3 5" xfId="18549"/>
    <cellStyle name="20% - Accent6 4 2 5 3 6" xfId="18550"/>
    <cellStyle name="20% - Accent6 4 2 5 4" xfId="18551"/>
    <cellStyle name="20% - Accent6 4 2 5 4 2" xfId="18552"/>
    <cellStyle name="20% - Accent6 4 2 5 4 2 2" xfId="18553"/>
    <cellStyle name="20% - Accent6 4 2 5 4 2 3" xfId="18554"/>
    <cellStyle name="20% - Accent6 4 2 5 4 3" xfId="18555"/>
    <cellStyle name="20% - Accent6 4 2 5 4 3 2" xfId="18556"/>
    <cellStyle name="20% - Accent6 4 2 5 4 4" xfId="18557"/>
    <cellStyle name="20% - Accent6 4 2 5 4 5" xfId="18558"/>
    <cellStyle name="20% - Accent6 4 2 5 5" xfId="18559"/>
    <cellStyle name="20% - Accent6 4 2 5 5 2" xfId="18560"/>
    <cellStyle name="20% - Accent6 4 2 5 5 3" xfId="18561"/>
    <cellStyle name="20% - Accent6 4 2 5 6" xfId="18562"/>
    <cellStyle name="20% - Accent6 4 2 5 6 2" xfId="18563"/>
    <cellStyle name="20% - Accent6 4 2 5 6 3" xfId="18564"/>
    <cellStyle name="20% - Accent6 4 2 5 7" xfId="18565"/>
    <cellStyle name="20% - Accent6 4 2 5 7 2" xfId="18566"/>
    <cellStyle name="20% - Accent6 4 2 5 8" xfId="18567"/>
    <cellStyle name="20% - Accent6 4 2 5 9" xfId="18568"/>
    <cellStyle name="20% - Accent6 4 2 6" xfId="18569"/>
    <cellStyle name="20% - Accent6 4 2 6 2" xfId="18570"/>
    <cellStyle name="20% - Accent6 4 2 6 2 2" xfId="18571"/>
    <cellStyle name="20% - Accent6 4 2 6 2 2 2" xfId="18572"/>
    <cellStyle name="20% - Accent6 4 2 6 2 2 3" xfId="18573"/>
    <cellStyle name="20% - Accent6 4 2 6 2 3" xfId="18574"/>
    <cellStyle name="20% - Accent6 4 2 6 2 3 2" xfId="18575"/>
    <cellStyle name="20% - Accent6 4 2 6 2 3 3" xfId="18576"/>
    <cellStyle name="20% - Accent6 4 2 6 2 4" xfId="18577"/>
    <cellStyle name="20% - Accent6 4 2 6 2 4 2" xfId="18578"/>
    <cellStyle name="20% - Accent6 4 2 6 2 5" xfId="18579"/>
    <cellStyle name="20% - Accent6 4 2 6 2 6" xfId="18580"/>
    <cellStyle name="20% - Accent6 4 2 6 3" xfId="18581"/>
    <cellStyle name="20% - Accent6 4 2 6 3 2" xfId="18582"/>
    <cellStyle name="20% - Accent6 4 2 6 3 2 2" xfId="18583"/>
    <cellStyle name="20% - Accent6 4 2 6 3 2 3" xfId="18584"/>
    <cellStyle name="20% - Accent6 4 2 6 3 3" xfId="18585"/>
    <cellStyle name="20% - Accent6 4 2 6 3 3 2" xfId="18586"/>
    <cellStyle name="20% - Accent6 4 2 6 3 3 3" xfId="18587"/>
    <cellStyle name="20% - Accent6 4 2 6 3 4" xfId="18588"/>
    <cellStyle name="20% - Accent6 4 2 6 3 4 2" xfId="18589"/>
    <cellStyle name="20% - Accent6 4 2 6 3 5" xfId="18590"/>
    <cellStyle name="20% - Accent6 4 2 6 3 6" xfId="18591"/>
    <cellStyle name="20% - Accent6 4 2 6 4" xfId="18592"/>
    <cellStyle name="20% - Accent6 4 2 6 4 2" xfId="18593"/>
    <cellStyle name="20% - Accent6 4 2 6 4 2 2" xfId="18594"/>
    <cellStyle name="20% - Accent6 4 2 6 4 2 3" xfId="18595"/>
    <cellStyle name="20% - Accent6 4 2 6 4 3" xfId="18596"/>
    <cellStyle name="20% - Accent6 4 2 6 4 3 2" xfId="18597"/>
    <cellStyle name="20% - Accent6 4 2 6 4 4" xfId="18598"/>
    <cellStyle name="20% - Accent6 4 2 6 4 5" xfId="18599"/>
    <cellStyle name="20% - Accent6 4 2 6 5" xfId="18600"/>
    <cellStyle name="20% - Accent6 4 2 6 5 2" xfId="18601"/>
    <cellStyle name="20% - Accent6 4 2 6 5 3" xfId="18602"/>
    <cellStyle name="20% - Accent6 4 2 6 6" xfId="18603"/>
    <cellStyle name="20% - Accent6 4 2 6 6 2" xfId="18604"/>
    <cellStyle name="20% - Accent6 4 2 6 6 3" xfId="18605"/>
    <cellStyle name="20% - Accent6 4 2 6 7" xfId="18606"/>
    <cellStyle name="20% - Accent6 4 2 6 7 2" xfId="18607"/>
    <cellStyle name="20% - Accent6 4 2 6 8" xfId="18608"/>
    <cellStyle name="20% - Accent6 4 2 6 9" xfId="18609"/>
    <cellStyle name="20% - Accent6 4 2 7" xfId="18610"/>
    <cellStyle name="20% - Accent6 4 2 7 2" xfId="18611"/>
    <cellStyle name="20% - Accent6 4 2 7 2 2" xfId="18612"/>
    <cellStyle name="20% - Accent6 4 2 7 2 3" xfId="18613"/>
    <cellStyle name="20% - Accent6 4 2 7 3" xfId="18614"/>
    <cellStyle name="20% - Accent6 4 2 7 3 2" xfId="18615"/>
    <cellStyle name="20% - Accent6 4 2 7 3 3" xfId="18616"/>
    <cellStyle name="20% - Accent6 4 2 7 4" xfId="18617"/>
    <cellStyle name="20% - Accent6 4 2 7 4 2" xfId="18618"/>
    <cellStyle name="20% - Accent6 4 2 7 5" xfId="18619"/>
    <cellStyle name="20% - Accent6 4 2 7 6" xfId="18620"/>
    <cellStyle name="20% - Accent6 4 2 8" xfId="18621"/>
    <cellStyle name="20% - Accent6 4 2 8 2" xfId="18622"/>
    <cellStyle name="20% - Accent6 4 2 8 2 2" xfId="18623"/>
    <cellStyle name="20% - Accent6 4 2 8 2 3" xfId="18624"/>
    <cellStyle name="20% - Accent6 4 2 8 3" xfId="18625"/>
    <cellStyle name="20% - Accent6 4 2 8 3 2" xfId="18626"/>
    <cellStyle name="20% - Accent6 4 2 8 3 3" xfId="18627"/>
    <cellStyle name="20% - Accent6 4 2 8 4" xfId="18628"/>
    <cellStyle name="20% - Accent6 4 2 8 4 2" xfId="18629"/>
    <cellStyle name="20% - Accent6 4 2 8 5" xfId="18630"/>
    <cellStyle name="20% - Accent6 4 2 8 6" xfId="18631"/>
    <cellStyle name="20% - Accent6 4 2 9" xfId="18632"/>
    <cellStyle name="20% - Accent6 4 2 9 2" xfId="18633"/>
    <cellStyle name="20% - Accent6 4 2 9 2 2" xfId="18634"/>
    <cellStyle name="20% - Accent6 4 2 9 2 3" xfId="18635"/>
    <cellStyle name="20% - Accent6 4 2 9 3" xfId="18636"/>
    <cellStyle name="20% - Accent6 4 2 9 3 2" xfId="18637"/>
    <cellStyle name="20% - Accent6 4 2 9 4" xfId="18638"/>
    <cellStyle name="20% - Accent6 4 2 9 5" xfId="18639"/>
    <cellStyle name="20% - Accent6 4 3" xfId="1362"/>
    <cellStyle name="20% - Accent6 4 3 10" xfId="18640"/>
    <cellStyle name="20% - Accent6 4 3 10 2" xfId="18641"/>
    <cellStyle name="20% - Accent6 4 3 10 3" xfId="18642"/>
    <cellStyle name="20% - Accent6 4 3 11" xfId="18643"/>
    <cellStyle name="20% - Accent6 4 3 11 2" xfId="18644"/>
    <cellStyle name="20% - Accent6 4 3 12" xfId="18645"/>
    <cellStyle name="20% - Accent6 4 3 13" xfId="18646"/>
    <cellStyle name="20% - Accent6 4 3 14" xfId="18647"/>
    <cellStyle name="20% - Accent6 4 3 2" xfId="1363"/>
    <cellStyle name="20% - Accent6 4 3 2 10" xfId="18648"/>
    <cellStyle name="20% - Accent6 4 3 2 10 2" xfId="18649"/>
    <cellStyle name="20% - Accent6 4 3 2 11" xfId="18650"/>
    <cellStyle name="20% - Accent6 4 3 2 12" xfId="18651"/>
    <cellStyle name="20% - Accent6 4 3 2 2" xfId="1364"/>
    <cellStyle name="20% - Accent6 4 3 2 2 10" xfId="18652"/>
    <cellStyle name="20% - Accent6 4 3 2 2 2" xfId="1365"/>
    <cellStyle name="20% - Accent6 4 3 2 2 2 2" xfId="18653"/>
    <cellStyle name="20% - Accent6 4 3 2 2 2 2 2" xfId="18654"/>
    <cellStyle name="20% - Accent6 4 3 2 2 2 2 2 2" xfId="18655"/>
    <cellStyle name="20% - Accent6 4 3 2 2 2 2 2 3" xfId="18656"/>
    <cellStyle name="20% - Accent6 4 3 2 2 2 2 3" xfId="18657"/>
    <cellStyle name="20% - Accent6 4 3 2 2 2 2 3 2" xfId="18658"/>
    <cellStyle name="20% - Accent6 4 3 2 2 2 2 3 3" xfId="18659"/>
    <cellStyle name="20% - Accent6 4 3 2 2 2 2 4" xfId="18660"/>
    <cellStyle name="20% - Accent6 4 3 2 2 2 2 4 2" xfId="18661"/>
    <cellStyle name="20% - Accent6 4 3 2 2 2 2 5" xfId="18662"/>
    <cellStyle name="20% - Accent6 4 3 2 2 2 2 6" xfId="18663"/>
    <cellStyle name="20% - Accent6 4 3 2 2 2 3" xfId="18664"/>
    <cellStyle name="20% - Accent6 4 3 2 2 2 3 2" xfId="18665"/>
    <cellStyle name="20% - Accent6 4 3 2 2 2 3 2 2" xfId="18666"/>
    <cellStyle name="20% - Accent6 4 3 2 2 2 3 2 3" xfId="18667"/>
    <cellStyle name="20% - Accent6 4 3 2 2 2 3 3" xfId="18668"/>
    <cellStyle name="20% - Accent6 4 3 2 2 2 3 3 2" xfId="18669"/>
    <cellStyle name="20% - Accent6 4 3 2 2 2 3 3 3" xfId="18670"/>
    <cellStyle name="20% - Accent6 4 3 2 2 2 3 4" xfId="18671"/>
    <cellStyle name="20% - Accent6 4 3 2 2 2 3 4 2" xfId="18672"/>
    <cellStyle name="20% - Accent6 4 3 2 2 2 3 5" xfId="18673"/>
    <cellStyle name="20% - Accent6 4 3 2 2 2 3 6" xfId="18674"/>
    <cellStyle name="20% - Accent6 4 3 2 2 2 4" xfId="18675"/>
    <cellStyle name="20% - Accent6 4 3 2 2 2 4 2" xfId="18676"/>
    <cellStyle name="20% - Accent6 4 3 2 2 2 4 2 2" xfId="18677"/>
    <cellStyle name="20% - Accent6 4 3 2 2 2 4 2 3" xfId="18678"/>
    <cellStyle name="20% - Accent6 4 3 2 2 2 4 3" xfId="18679"/>
    <cellStyle name="20% - Accent6 4 3 2 2 2 4 3 2" xfId="18680"/>
    <cellStyle name="20% - Accent6 4 3 2 2 2 4 4" xfId="18681"/>
    <cellStyle name="20% - Accent6 4 3 2 2 2 4 5" xfId="18682"/>
    <cellStyle name="20% - Accent6 4 3 2 2 2 5" xfId="18683"/>
    <cellStyle name="20% - Accent6 4 3 2 2 2 5 2" xfId="18684"/>
    <cellStyle name="20% - Accent6 4 3 2 2 2 5 3" xfId="18685"/>
    <cellStyle name="20% - Accent6 4 3 2 2 2 6" xfId="18686"/>
    <cellStyle name="20% - Accent6 4 3 2 2 2 6 2" xfId="18687"/>
    <cellStyle name="20% - Accent6 4 3 2 2 2 6 3" xfId="18688"/>
    <cellStyle name="20% - Accent6 4 3 2 2 2 7" xfId="18689"/>
    <cellStyle name="20% - Accent6 4 3 2 2 2 7 2" xfId="18690"/>
    <cellStyle name="20% - Accent6 4 3 2 2 2 8" xfId="18691"/>
    <cellStyle name="20% - Accent6 4 3 2 2 2 9" xfId="18692"/>
    <cellStyle name="20% - Accent6 4 3 2 2 3" xfId="18693"/>
    <cellStyle name="20% - Accent6 4 3 2 2 3 2" xfId="18694"/>
    <cellStyle name="20% - Accent6 4 3 2 2 3 2 2" xfId="18695"/>
    <cellStyle name="20% - Accent6 4 3 2 2 3 2 3" xfId="18696"/>
    <cellStyle name="20% - Accent6 4 3 2 2 3 3" xfId="18697"/>
    <cellStyle name="20% - Accent6 4 3 2 2 3 3 2" xfId="18698"/>
    <cellStyle name="20% - Accent6 4 3 2 2 3 3 3" xfId="18699"/>
    <cellStyle name="20% - Accent6 4 3 2 2 3 4" xfId="18700"/>
    <cellStyle name="20% - Accent6 4 3 2 2 3 4 2" xfId="18701"/>
    <cellStyle name="20% - Accent6 4 3 2 2 3 5" xfId="18702"/>
    <cellStyle name="20% - Accent6 4 3 2 2 3 6" xfId="18703"/>
    <cellStyle name="20% - Accent6 4 3 2 2 4" xfId="18704"/>
    <cellStyle name="20% - Accent6 4 3 2 2 4 2" xfId="18705"/>
    <cellStyle name="20% - Accent6 4 3 2 2 4 2 2" xfId="18706"/>
    <cellStyle name="20% - Accent6 4 3 2 2 4 2 3" xfId="18707"/>
    <cellStyle name="20% - Accent6 4 3 2 2 4 3" xfId="18708"/>
    <cellStyle name="20% - Accent6 4 3 2 2 4 3 2" xfId="18709"/>
    <cellStyle name="20% - Accent6 4 3 2 2 4 3 3" xfId="18710"/>
    <cellStyle name="20% - Accent6 4 3 2 2 4 4" xfId="18711"/>
    <cellStyle name="20% - Accent6 4 3 2 2 4 4 2" xfId="18712"/>
    <cellStyle name="20% - Accent6 4 3 2 2 4 5" xfId="18713"/>
    <cellStyle name="20% - Accent6 4 3 2 2 4 6" xfId="18714"/>
    <cellStyle name="20% - Accent6 4 3 2 2 5" xfId="18715"/>
    <cellStyle name="20% - Accent6 4 3 2 2 5 2" xfId="18716"/>
    <cellStyle name="20% - Accent6 4 3 2 2 5 2 2" xfId="18717"/>
    <cellStyle name="20% - Accent6 4 3 2 2 5 2 3" xfId="18718"/>
    <cellStyle name="20% - Accent6 4 3 2 2 5 3" xfId="18719"/>
    <cellStyle name="20% - Accent6 4 3 2 2 5 3 2" xfId="18720"/>
    <cellStyle name="20% - Accent6 4 3 2 2 5 4" xfId="18721"/>
    <cellStyle name="20% - Accent6 4 3 2 2 5 5" xfId="18722"/>
    <cellStyle name="20% - Accent6 4 3 2 2 6" xfId="18723"/>
    <cellStyle name="20% - Accent6 4 3 2 2 6 2" xfId="18724"/>
    <cellStyle name="20% - Accent6 4 3 2 2 6 3" xfId="18725"/>
    <cellStyle name="20% - Accent6 4 3 2 2 7" xfId="18726"/>
    <cellStyle name="20% - Accent6 4 3 2 2 7 2" xfId="18727"/>
    <cellStyle name="20% - Accent6 4 3 2 2 7 3" xfId="18728"/>
    <cellStyle name="20% - Accent6 4 3 2 2 8" xfId="18729"/>
    <cellStyle name="20% - Accent6 4 3 2 2 8 2" xfId="18730"/>
    <cellStyle name="20% - Accent6 4 3 2 2 9" xfId="18731"/>
    <cellStyle name="20% - Accent6 4 3 2 3" xfId="1366"/>
    <cellStyle name="20% - Accent6 4 3 2 3 2" xfId="18732"/>
    <cellStyle name="20% - Accent6 4 3 2 3 2 2" xfId="18733"/>
    <cellStyle name="20% - Accent6 4 3 2 3 2 2 2" xfId="18734"/>
    <cellStyle name="20% - Accent6 4 3 2 3 2 2 3" xfId="18735"/>
    <cellStyle name="20% - Accent6 4 3 2 3 2 3" xfId="18736"/>
    <cellStyle name="20% - Accent6 4 3 2 3 2 3 2" xfId="18737"/>
    <cellStyle name="20% - Accent6 4 3 2 3 2 3 3" xfId="18738"/>
    <cellStyle name="20% - Accent6 4 3 2 3 2 4" xfId="18739"/>
    <cellStyle name="20% - Accent6 4 3 2 3 2 4 2" xfId="18740"/>
    <cellStyle name="20% - Accent6 4 3 2 3 2 5" xfId="18741"/>
    <cellStyle name="20% - Accent6 4 3 2 3 2 6" xfId="18742"/>
    <cellStyle name="20% - Accent6 4 3 2 3 3" xfId="18743"/>
    <cellStyle name="20% - Accent6 4 3 2 3 3 2" xfId="18744"/>
    <cellStyle name="20% - Accent6 4 3 2 3 3 2 2" xfId="18745"/>
    <cellStyle name="20% - Accent6 4 3 2 3 3 2 3" xfId="18746"/>
    <cellStyle name="20% - Accent6 4 3 2 3 3 3" xfId="18747"/>
    <cellStyle name="20% - Accent6 4 3 2 3 3 3 2" xfId="18748"/>
    <cellStyle name="20% - Accent6 4 3 2 3 3 3 3" xfId="18749"/>
    <cellStyle name="20% - Accent6 4 3 2 3 3 4" xfId="18750"/>
    <cellStyle name="20% - Accent6 4 3 2 3 3 4 2" xfId="18751"/>
    <cellStyle name="20% - Accent6 4 3 2 3 3 5" xfId="18752"/>
    <cellStyle name="20% - Accent6 4 3 2 3 3 6" xfId="18753"/>
    <cellStyle name="20% - Accent6 4 3 2 3 4" xfId="18754"/>
    <cellStyle name="20% - Accent6 4 3 2 3 4 2" xfId="18755"/>
    <cellStyle name="20% - Accent6 4 3 2 3 4 2 2" xfId="18756"/>
    <cellStyle name="20% - Accent6 4 3 2 3 4 2 3" xfId="18757"/>
    <cellStyle name="20% - Accent6 4 3 2 3 4 3" xfId="18758"/>
    <cellStyle name="20% - Accent6 4 3 2 3 4 3 2" xfId="18759"/>
    <cellStyle name="20% - Accent6 4 3 2 3 4 4" xfId="18760"/>
    <cellStyle name="20% - Accent6 4 3 2 3 4 5" xfId="18761"/>
    <cellStyle name="20% - Accent6 4 3 2 3 5" xfId="18762"/>
    <cellStyle name="20% - Accent6 4 3 2 3 5 2" xfId="18763"/>
    <cellStyle name="20% - Accent6 4 3 2 3 5 3" xfId="18764"/>
    <cellStyle name="20% - Accent6 4 3 2 3 6" xfId="18765"/>
    <cellStyle name="20% - Accent6 4 3 2 3 6 2" xfId="18766"/>
    <cellStyle name="20% - Accent6 4 3 2 3 6 3" xfId="18767"/>
    <cellStyle name="20% - Accent6 4 3 2 3 7" xfId="18768"/>
    <cellStyle name="20% - Accent6 4 3 2 3 7 2" xfId="18769"/>
    <cellStyle name="20% - Accent6 4 3 2 3 8" xfId="18770"/>
    <cellStyle name="20% - Accent6 4 3 2 3 9" xfId="18771"/>
    <cellStyle name="20% - Accent6 4 3 2 4" xfId="18772"/>
    <cellStyle name="20% - Accent6 4 3 2 4 2" xfId="18773"/>
    <cellStyle name="20% - Accent6 4 3 2 4 2 2" xfId="18774"/>
    <cellStyle name="20% - Accent6 4 3 2 4 2 2 2" xfId="18775"/>
    <cellStyle name="20% - Accent6 4 3 2 4 2 2 3" xfId="18776"/>
    <cellStyle name="20% - Accent6 4 3 2 4 2 3" xfId="18777"/>
    <cellStyle name="20% - Accent6 4 3 2 4 2 3 2" xfId="18778"/>
    <cellStyle name="20% - Accent6 4 3 2 4 2 3 3" xfId="18779"/>
    <cellStyle name="20% - Accent6 4 3 2 4 2 4" xfId="18780"/>
    <cellStyle name="20% - Accent6 4 3 2 4 2 4 2" xfId="18781"/>
    <cellStyle name="20% - Accent6 4 3 2 4 2 5" xfId="18782"/>
    <cellStyle name="20% - Accent6 4 3 2 4 2 6" xfId="18783"/>
    <cellStyle name="20% - Accent6 4 3 2 4 3" xfId="18784"/>
    <cellStyle name="20% - Accent6 4 3 2 4 3 2" xfId="18785"/>
    <cellStyle name="20% - Accent6 4 3 2 4 3 2 2" xfId="18786"/>
    <cellStyle name="20% - Accent6 4 3 2 4 3 2 3" xfId="18787"/>
    <cellStyle name="20% - Accent6 4 3 2 4 3 3" xfId="18788"/>
    <cellStyle name="20% - Accent6 4 3 2 4 3 3 2" xfId="18789"/>
    <cellStyle name="20% - Accent6 4 3 2 4 3 3 3" xfId="18790"/>
    <cellStyle name="20% - Accent6 4 3 2 4 3 4" xfId="18791"/>
    <cellStyle name="20% - Accent6 4 3 2 4 3 4 2" xfId="18792"/>
    <cellStyle name="20% - Accent6 4 3 2 4 3 5" xfId="18793"/>
    <cellStyle name="20% - Accent6 4 3 2 4 3 6" xfId="18794"/>
    <cellStyle name="20% - Accent6 4 3 2 4 4" xfId="18795"/>
    <cellStyle name="20% - Accent6 4 3 2 4 4 2" xfId="18796"/>
    <cellStyle name="20% - Accent6 4 3 2 4 4 2 2" xfId="18797"/>
    <cellStyle name="20% - Accent6 4 3 2 4 4 2 3" xfId="18798"/>
    <cellStyle name="20% - Accent6 4 3 2 4 4 3" xfId="18799"/>
    <cellStyle name="20% - Accent6 4 3 2 4 4 3 2" xfId="18800"/>
    <cellStyle name="20% - Accent6 4 3 2 4 4 4" xfId="18801"/>
    <cellStyle name="20% - Accent6 4 3 2 4 4 5" xfId="18802"/>
    <cellStyle name="20% - Accent6 4 3 2 4 5" xfId="18803"/>
    <cellStyle name="20% - Accent6 4 3 2 4 5 2" xfId="18804"/>
    <cellStyle name="20% - Accent6 4 3 2 4 5 3" xfId="18805"/>
    <cellStyle name="20% - Accent6 4 3 2 4 6" xfId="18806"/>
    <cellStyle name="20% - Accent6 4 3 2 4 6 2" xfId="18807"/>
    <cellStyle name="20% - Accent6 4 3 2 4 6 3" xfId="18808"/>
    <cellStyle name="20% - Accent6 4 3 2 4 7" xfId="18809"/>
    <cellStyle name="20% - Accent6 4 3 2 4 7 2" xfId="18810"/>
    <cellStyle name="20% - Accent6 4 3 2 4 8" xfId="18811"/>
    <cellStyle name="20% - Accent6 4 3 2 4 9" xfId="18812"/>
    <cellStyle name="20% - Accent6 4 3 2 5" xfId="18813"/>
    <cellStyle name="20% - Accent6 4 3 2 5 2" xfId="18814"/>
    <cellStyle name="20% - Accent6 4 3 2 5 2 2" xfId="18815"/>
    <cellStyle name="20% - Accent6 4 3 2 5 2 3" xfId="18816"/>
    <cellStyle name="20% - Accent6 4 3 2 5 3" xfId="18817"/>
    <cellStyle name="20% - Accent6 4 3 2 5 3 2" xfId="18818"/>
    <cellStyle name="20% - Accent6 4 3 2 5 3 3" xfId="18819"/>
    <cellStyle name="20% - Accent6 4 3 2 5 4" xfId="18820"/>
    <cellStyle name="20% - Accent6 4 3 2 5 4 2" xfId="18821"/>
    <cellStyle name="20% - Accent6 4 3 2 5 5" xfId="18822"/>
    <cellStyle name="20% - Accent6 4 3 2 5 6" xfId="18823"/>
    <cellStyle name="20% - Accent6 4 3 2 6" xfId="18824"/>
    <cellStyle name="20% - Accent6 4 3 2 6 2" xfId="18825"/>
    <cellStyle name="20% - Accent6 4 3 2 6 2 2" xfId="18826"/>
    <cellStyle name="20% - Accent6 4 3 2 6 2 3" xfId="18827"/>
    <cellStyle name="20% - Accent6 4 3 2 6 3" xfId="18828"/>
    <cellStyle name="20% - Accent6 4 3 2 6 3 2" xfId="18829"/>
    <cellStyle name="20% - Accent6 4 3 2 6 3 3" xfId="18830"/>
    <cellStyle name="20% - Accent6 4 3 2 6 4" xfId="18831"/>
    <cellStyle name="20% - Accent6 4 3 2 6 4 2" xfId="18832"/>
    <cellStyle name="20% - Accent6 4 3 2 6 5" xfId="18833"/>
    <cellStyle name="20% - Accent6 4 3 2 6 6" xfId="18834"/>
    <cellStyle name="20% - Accent6 4 3 2 7" xfId="18835"/>
    <cellStyle name="20% - Accent6 4 3 2 7 2" xfId="18836"/>
    <cellStyle name="20% - Accent6 4 3 2 7 2 2" xfId="18837"/>
    <cellStyle name="20% - Accent6 4 3 2 7 2 3" xfId="18838"/>
    <cellStyle name="20% - Accent6 4 3 2 7 3" xfId="18839"/>
    <cellStyle name="20% - Accent6 4 3 2 7 3 2" xfId="18840"/>
    <cellStyle name="20% - Accent6 4 3 2 7 4" xfId="18841"/>
    <cellStyle name="20% - Accent6 4 3 2 7 5" xfId="18842"/>
    <cellStyle name="20% - Accent6 4 3 2 8" xfId="18843"/>
    <cellStyle name="20% - Accent6 4 3 2 8 2" xfId="18844"/>
    <cellStyle name="20% - Accent6 4 3 2 8 3" xfId="18845"/>
    <cellStyle name="20% - Accent6 4 3 2 9" xfId="18846"/>
    <cellStyle name="20% - Accent6 4 3 2 9 2" xfId="18847"/>
    <cellStyle name="20% - Accent6 4 3 2 9 3" xfId="18848"/>
    <cellStyle name="20% - Accent6 4 3 3" xfId="1367"/>
    <cellStyle name="20% - Accent6 4 3 3 10" xfId="18849"/>
    <cellStyle name="20% - Accent6 4 3 3 2" xfId="1368"/>
    <cellStyle name="20% - Accent6 4 3 3 2 2" xfId="18850"/>
    <cellStyle name="20% - Accent6 4 3 3 2 2 2" xfId="18851"/>
    <cellStyle name="20% - Accent6 4 3 3 2 2 2 2" xfId="18852"/>
    <cellStyle name="20% - Accent6 4 3 3 2 2 2 3" xfId="18853"/>
    <cellStyle name="20% - Accent6 4 3 3 2 2 3" xfId="18854"/>
    <cellStyle name="20% - Accent6 4 3 3 2 2 3 2" xfId="18855"/>
    <cellStyle name="20% - Accent6 4 3 3 2 2 3 3" xfId="18856"/>
    <cellStyle name="20% - Accent6 4 3 3 2 2 4" xfId="18857"/>
    <cellStyle name="20% - Accent6 4 3 3 2 2 4 2" xfId="18858"/>
    <cellStyle name="20% - Accent6 4 3 3 2 2 5" xfId="18859"/>
    <cellStyle name="20% - Accent6 4 3 3 2 2 6" xfId="18860"/>
    <cellStyle name="20% - Accent6 4 3 3 2 3" xfId="18861"/>
    <cellStyle name="20% - Accent6 4 3 3 2 3 2" xfId="18862"/>
    <cellStyle name="20% - Accent6 4 3 3 2 3 2 2" xfId="18863"/>
    <cellStyle name="20% - Accent6 4 3 3 2 3 2 3" xfId="18864"/>
    <cellStyle name="20% - Accent6 4 3 3 2 3 3" xfId="18865"/>
    <cellStyle name="20% - Accent6 4 3 3 2 3 3 2" xfId="18866"/>
    <cellStyle name="20% - Accent6 4 3 3 2 3 3 3" xfId="18867"/>
    <cellStyle name="20% - Accent6 4 3 3 2 3 4" xfId="18868"/>
    <cellStyle name="20% - Accent6 4 3 3 2 3 4 2" xfId="18869"/>
    <cellStyle name="20% - Accent6 4 3 3 2 3 5" xfId="18870"/>
    <cellStyle name="20% - Accent6 4 3 3 2 3 6" xfId="18871"/>
    <cellStyle name="20% - Accent6 4 3 3 2 4" xfId="18872"/>
    <cellStyle name="20% - Accent6 4 3 3 2 4 2" xfId="18873"/>
    <cellStyle name="20% - Accent6 4 3 3 2 4 2 2" xfId="18874"/>
    <cellStyle name="20% - Accent6 4 3 3 2 4 2 3" xfId="18875"/>
    <cellStyle name="20% - Accent6 4 3 3 2 4 3" xfId="18876"/>
    <cellStyle name="20% - Accent6 4 3 3 2 4 3 2" xfId="18877"/>
    <cellStyle name="20% - Accent6 4 3 3 2 4 4" xfId="18878"/>
    <cellStyle name="20% - Accent6 4 3 3 2 4 5" xfId="18879"/>
    <cellStyle name="20% - Accent6 4 3 3 2 5" xfId="18880"/>
    <cellStyle name="20% - Accent6 4 3 3 2 5 2" xfId="18881"/>
    <cellStyle name="20% - Accent6 4 3 3 2 5 3" xfId="18882"/>
    <cellStyle name="20% - Accent6 4 3 3 2 6" xfId="18883"/>
    <cellStyle name="20% - Accent6 4 3 3 2 6 2" xfId="18884"/>
    <cellStyle name="20% - Accent6 4 3 3 2 6 3" xfId="18885"/>
    <cellStyle name="20% - Accent6 4 3 3 2 7" xfId="18886"/>
    <cellStyle name="20% - Accent6 4 3 3 2 7 2" xfId="18887"/>
    <cellStyle name="20% - Accent6 4 3 3 2 8" xfId="18888"/>
    <cellStyle name="20% - Accent6 4 3 3 2 9" xfId="18889"/>
    <cellStyle name="20% - Accent6 4 3 3 3" xfId="18890"/>
    <cellStyle name="20% - Accent6 4 3 3 3 2" xfId="18891"/>
    <cellStyle name="20% - Accent6 4 3 3 3 2 2" xfId="18892"/>
    <cellStyle name="20% - Accent6 4 3 3 3 2 3" xfId="18893"/>
    <cellStyle name="20% - Accent6 4 3 3 3 3" xfId="18894"/>
    <cellStyle name="20% - Accent6 4 3 3 3 3 2" xfId="18895"/>
    <cellStyle name="20% - Accent6 4 3 3 3 3 3" xfId="18896"/>
    <cellStyle name="20% - Accent6 4 3 3 3 4" xfId="18897"/>
    <cellStyle name="20% - Accent6 4 3 3 3 4 2" xfId="18898"/>
    <cellStyle name="20% - Accent6 4 3 3 3 5" xfId="18899"/>
    <cellStyle name="20% - Accent6 4 3 3 3 6" xfId="18900"/>
    <cellStyle name="20% - Accent6 4 3 3 4" xfId="18901"/>
    <cellStyle name="20% - Accent6 4 3 3 4 2" xfId="18902"/>
    <cellStyle name="20% - Accent6 4 3 3 4 2 2" xfId="18903"/>
    <cellStyle name="20% - Accent6 4 3 3 4 2 3" xfId="18904"/>
    <cellStyle name="20% - Accent6 4 3 3 4 3" xfId="18905"/>
    <cellStyle name="20% - Accent6 4 3 3 4 3 2" xfId="18906"/>
    <cellStyle name="20% - Accent6 4 3 3 4 3 3" xfId="18907"/>
    <cellStyle name="20% - Accent6 4 3 3 4 4" xfId="18908"/>
    <cellStyle name="20% - Accent6 4 3 3 4 4 2" xfId="18909"/>
    <cellStyle name="20% - Accent6 4 3 3 4 5" xfId="18910"/>
    <cellStyle name="20% - Accent6 4 3 3 4 6" xfId="18911"/>
    <cellStyle name="20% - Accent6 4 3 3 5" xfId="18912"/>
    <cellStyle name="20% - Accent6 4 3 3 5 2" xfId="18913"/>
    <cellStyle name="20% - Accent6 4 3 3 5 2 2" xfId="18914"/>
    <cellStyle name="20% - Accent6 4 3 3 5 2 3" xfId="18915"/>
    <cellStyle name="20% - Accent6 4 3 3 5 3" xfId="18916"/>
    <cellStyle name="20% - Accent6 4 3 3 5 3 2" xfId="18917"/>
    <cellStyle name="20% - Accent6 4 3 3 5 4" xfId="18918"/>
    <cellStyle name="20% - Accent6 4 3 3 5 5" xfId="18919"/>
    <cellStyle name="20% - Accent6 4 3 3 6" xfId="18920"/>
    <cellStyle name="20% - Accent6 4 3 3 6 2" xfId="18921"/>
    <cellStyle name="20% - Accent6 4 3 3 6 3" xfId="18922"/>
    <cellStyle name="20% - Accent6 4 3 3 7" xfId="18923"/>
    <cellStyle name="20% - Accent6 4 3 3 7 2" xfId="18924"/>
    <cellStyle name="20% - Accent6 4 3 3 7 3" xfId="18925"/>
    <cellStyle name="20% - Accent6 4 3 3 8" xfId="18926"/>
    <cellStyle name="20% - Accent6 4 3 3 8 2" xfId="18927"/>
    <cellStyle name="20% - Accent6 4 3 3 9" xfId="18928"/>
    <cellStyle name="20% - Accent6 4 3 4" xfId="1369"/>
    <cellStyle name="20% - Accent6 4 3 4 2" xfId="18929"/>
    <cellStyle name="20% - Accent6 4 3 4 2 2" xfId="18930"/>
    <cellStyle name="20% - Accent6 4 3 4 2 2 2" xfId="18931"/>
    <cellStyle name="20% - Accent6 4 3 4 2 2 3" xfId="18932"/>
    <cellStyle name="20% - Accent6 4 3 4 2 3" xfId="18933"/>
    <cellStyle name="20% - Accent6 4 3 4 2 3 2" xfId="18934"/>
    <cellStyle name="20% - Accent6 4 3 4 2 3 3" xfId="18935"/>
    <cellStyle name="20% - Accent6 4 3 4 2 4" xfId="18936"/>
    <cellStyle name="20% - Accent6 4 3 4 2 4 2" xfId="18937"/>
    <cellStyle name="20% - Accent6 4 3 4 2 5" xfId="18938"/>
    <cellStyle name="20% - Accent6 4 3 4 2 6" xfId="18939"/>
    <cellStyle name="20% - Accent6 4 3 4 3" xfId="18940"/>
    <cellStyle name="20% - Accent6 4 3 4 3 2" xfId="18941"/>
    <cellStyle name="20% - Accent6 4 3 4 3 2 2" xfId="18942"/>
    <cellStyle name="20% - Accent6 4 3 4 3 2 3" xfId="18943"/>
    <cellStyle name="20% - Accent6 4 3 4 3 3" xfId="18944"/>
    <cellStyle name="20% - Accent6 4 3 4 3 3 2" xfId="18945"/>
    <cellStyle name="20% - Accent6 4 3 4 3 3 3" xfId="18946"/>
    <cellStyle name="20% - Accent6 4 3 4 3 4" xfId="18947"/>
    <cellStyle name="20% - Accent6 4 3 4 3 4 2" xfId="18948"/>
    <cellStyle name="20% - Accent6 4 3 4 3 5" xfId="18949"/>
    <cellStyle name="20% - Accent6 4 3 4 3 6" xfId="18950"/>
    <cellStyle name="20% - Accent6 4 3 4 4" xfId="18951"/>
    <cellStyle name="20% - Accent6 4 3 4 4 2" xfId="18952"/>
    <cellStyle name="20% - Accent6 4 3 4 4 2 2" xfId="18953"/>
    <cellStyle name="20% - Accent6 4 3 4 4 2 3" xfId="18954"/>
    <cellStyle name="20% - Accent6 4 3 4 4 3" xfId="18955"/>
    <cellStyle name="20% - Accent6 4 3 4 4 3 2" xfId="18956"/>
    <cellStyle name="20% - Accent6 4 3 4 4 4" xfId="18957"/>
    <cellStyle name="20% - Accent6 4 3 4 4 5" xfId="18958"/>
    <cellStyle name="20% - Accent6 4 3 4 5" xfId="18959"/>
    <cellStyle name="20% - Accent6 4 3 4 5 2" xfId="18960"/>
    <cellStyle name="20% - Accent6 4 3 4 5 3" xfId="18961"/>
    <cellStyle name="20% - Accent6 4 3 4 6" xfId="18962"/>
    <cellStyle name="20% - Accent6 4 3 4 6 2" xfId="18963"/>
    <cellStyle name="20% - Accent6 4 3 4 6 3" xfId="18964"/>
    <cellStyle name="20% - Accent6 4 3 4 7" xfId="18965"/>
    <cellStyle name="20% - Accent6 4 3 4 7 2" xfId="18966"/>
    <cellStyle name="20% - Accent6 4 3 4 8" xfId="18967"/>
    <cellStyle name="20% - Accent6 4 3 4 9" xfId="18968"/>
    <cellStyle name="20% - Accent6 4 3 5" xfId="18969"/>
    <cellStyle name="20% - Accent6 4 3 5 2" xfId="18970"/>
    <cellStyle name="20% - Accent6 4 3 5 2 2" xfId="18971"/>
    <cellStyle name="20% - Accent6 4 3 5 2 2 2" xfId="18972"/>
    <cellStyle name="20% - Accent6 4 3 5 2 2 3" xfId="18973"/>
    <cellStyle name="20% - Accent6 4 3 5 2 3" xfId="18974"/>
    <cellStyle name="20% - Accent6 4 3 5 2 3 2" xfId="18975"/>
    <cellStyle name="20% - Accent6 4 3 5 2 3 3" xfId="18976"/>
    <cellStyle name="20% - Accent6 4 3 5 2 4" xfId="18977"/>
    <cellStyle name="20% - Accent6 4 3 5 2 4 2" xfId="18978"/>
    <cellStyle name="20% - Accent6 4 3 5 2 5" xfId="18979"/>
    <cellStyle name="20% - Accent6 4 3 5 2 6" xfId="18980"/>
    <cellStyle name="20% - Accent6 4 3 5 3" xfId="18981"/>
    <cellStyle name="20% - Accent6 4 3 5 3 2" xfId="18982"/>
    <cellStyle name="20% - Accent6 4 3 5 3 2 2" xfId="18983"/>
    <cellStyle name="20% - Accent6 4 3 5 3 2 3" xfId="18984"/>
    <cellStyle name="20% - Accent6 4 3 5 3 3" xfId="18985"/>
    <cellStyle name="20% - Accent6 4 3 5 3 3 2" xfId="18986"/>
    <cellStyle name="20% - Accent6 4 3 5 3 3 3" xfId="18987"/>
    <cellStyle name="20% - Accent6 4 3 5 3 4" xfId="18988"/>
    <cellStyle name="20% - Accent6 4 3 5 3 4 2" xfId="18989"/>
    <cellStyle name="20% - Accent6 4 3 5 3 5" xfId="18990"/>
    <cellStyle name="20% - Accent6 4 3 5 3 6" xfId="18991"/>
    <cellStyle name="20% - Accent6 4 3 5 4" xfId="18992"/>
    <cellStyle name="20% - Accent6 4 3 5 4 2" xfId="18993"/>
    <cellStyle name="20% - Accent6 4 3 5 4 2 2" xfId="18994"/>
    <cellStyle name="20% - Accent6 4 3 5 4 2 3" xfId="18995"/>
    <cellStyle name="20% - Accent6 4 3 5 4 3" xfId="18996"/>
    <cellStyle name="20% - Accent6 4 3 5 4 3 2" xfId="18997"/>
    <cellStyle name="20% - Accent6 4 3 5 4 4" xfId="18998"/>
    <cellStyle name="20% - Accent6 4 3 5 4 5" xfId="18999"/>
    <cellStyle name="20% - Accent6 4 3 5 5" xfId="19000"/>
    <cellStyle name="20% - Accent6 4 3 5 5 2" xfId="19001"/>
    <cellStyle name="20% - Accent6 4 3 5 5 3" xfId="19002"/>
    <cellStyle name="20% - Accent6 4 3 5 6" xfId="19003"/>
    <cellStyle name="20% - Accent6 4 3 5 6 2" xfId="19004"/>
    <cellStyle name="20% - Accent6 4 3 5 6 3" xfId="19005"/>
    <cellStyle name="20% - Accent6 4 3 5 7" xfId="19006"/>
    <cellStyle name="20% - Accent6 4 3 5 7 2" xfId="19007"/>
    <cellStyle name="20% - Accent6 4 3 5 8" xfId="19008"/>
    <cellStyle name="20% - Accent6 4 3 5 9" xfId="19009"/>
    <cellStyle name="20% - Accent6 4 3 6" xfId="19010"/>
    <cellStyle name="20% - Accent6 4 3 6 2" xfId="19011"/>
    <cellStyle name="20% - Accent6 4 3 6 2 2" xfId="19012"/>
    <cellStyle name="20% - Accent6 4 3 6 2 3" xfId="19013"/>
    <cellStyle name="20% - Accent6 4 3 6 3" xfId="19014"/>
    <cellStyle name="20% - Accent6 4 3 6 3 2" xfId="19015"/>
    <cellStyle name="20% - Accent6 4 3 6 3 3" xfId="19016"/>
    <cellStyle name="20% - Accent6 4 3 6 4" xfId="19017"/>
    <cellStyle name="20% - Accent6 4 3 6 4 2" xfId="19018"/>
    <cellStyle name="20% - Accent6 4 3 6 5" xfId="19019"/>
    <cellStyle name="20% - Accent6 4 3 6 6" xfId="19020"/>
    <cellStyle name="20% - Accent6 4 3 7" xfId="19021"/>
    <cellStyle name="20% - Accent6 4 3 7 2" xfId="19022"/>
    <cellStyle name="20% - Accent6 4 3 7 2 2" xfId="19023"/>
    <cellStyle name="20% - Accent6 4 3 7 2 3" xfId="19024"/>
    <cellStyle name="20% - Accent6 4 3 7 3" xfId="19025"/>
    <cellStyle name="20% - Accent6 4 3 7 3 2" xfId="19026"/>
    <cellStyle name="20% - Accent6 4 3 7 3 3" xfId="19027"/>
    <cellStyle name="20% - Accent6 4 3 7 4" xfId="19028"/>
    <cellStyle name="20% - Accent6 4 3 7 4 2" xfId="19029"/>
    <cellStyle name="20% - Accent6 4 3 7 5" xfId="19030"/>
    <cellStyle name="20% - Accent6 4 3 7 6" xfId="19031"/>
    <cellStyle name="20% - Accent6 4 3 8" xfId="19032"/>
    <cellStyle name="20% - Accent6 4 3 8 2" xfId="19033"/>
    <cellStyle name="20% - Accent6 4 3 8 2 2" xfId="19034"/>
    <cellStyle name="20% - Accent6 4 3 8 2 3" xfId="19035"/>
    <cellStyle name="20% - Accent6 4 3 8 3" xfId="19036"/>
    <cellStyle name="20% - Accent6 4 3 8 3 2" xfId="19037"/>
    <cellStyle name="20% - Accent6 4 3 8 4" xfId="19038"/>
    <cellStyle name="20% - Accent6 4 3 8 5" xfId="19039"/>
    <cellStyle name="20% - Accent6 4 3 9" xfId="19040"/>
    <cellStyle name="20% - Accent6 4 3 9 2" xfId="19041"/>
    <cellStyle name="20% - Accent6 4 3 9 3" xfId="19042"/>
    <cellStyle name="20% - Accent6 4 4" xfId="1370"/>
    <cellStyle name="20% - Accent6 4 4 10" xfId="19043"/>
    <cellStyle name="20% - Accent6 4 4 10 2" xfId="19044"/>
    <cellStyle name="20% - Accent6 4 4 11" xfId="19045"/>
    <cellStyle name="20% - Accent6 4 4 12" xfId="19046"/>
    <cellStyle name="20% - Accent6 4 4 2" xfId="1371"/>
    <cellStyle name="20% - Accent6 4 4 2 10" xfId="19047"/>
    <cellStyle name="20% - Accent6 4 4 2 2" xfId="1372"/>
    <cellStyle name="20% - Accent6 4 4 2 2 2" xfId="19048"/>
    <cellStyle name="20% - Accent6 4 4 2 2 2 2" xfId="19049"/>
    <cellStyle name="20% - Accent6 4 4 2 2 2 2 2" xfId="19050"/>
    <cellStyle name="20% - Accent6 4 4 2 2 2 2 3" xfId="19051"/>
    <cellStyle name="20% - Accent6 4 4 2 2 2 3" xfId="19052"/>
    <cellStyle name="20% - Accent6 4 4 2 2 2 3 2" xfId="19053"/>
    <cellStyle name="20% - Accent6 4 4 2 2 2 3 3" xfId="19054"/>
    <cellStyle name="20% - Accent6 4 4 2 2 2 4" xfId="19055"/>
    <cellStyle name="20% - Accent6 4 4 2 2 2 4 2" xfId="19056"/>
    <cellStyle name="20% - Accent6 4 4 2 2 2 5" xfId="19057"/>
    <cellStyle name="20% - Accent6 4 4 2 2 2 6" xfId="19058"/>
    <cellStyle name="20% - Accent6 4 4 2 2 3" xfId="19059"/>
    <cellStyle name="20% - Accent6 4 4 2 2 3 2" xfId="19060"/>
    <cellStyle name="20% - Accent6 4 4 2 2 3 2 2" xfId="19061"/>
    <cellStyle name="20% - Accent6 4 4 2 2 3 2 3" xfId="19062"/>
    <cellStyle name="20% - Accent6 4 4 2 2 3 3" xfId="19063"/>
    <cellStyle name="20% - Accent6 4 4 2 2 3 3 2" xfId="19064"/>
    <cellStyle name="20% - Accent6 4 4 2 2 3 3 3" xfId="19065"/>
    <cellStyle name="20% - Accent6 4 4 2 2 3 4" xfId="19066"/>
    <cellStyle name="20% - Accent6 4 4 2 2 3 4 2" xfId="19067"/>
    <cellStyle name="20% - Accent6 4 4 2 2 3 5" xfId="19068"/>
    <cellStyle name="20% - Accent6 4 4 2 2 3 6" xfId="19069"/>
    <cellStyle name="20% - Accent6 4 4 2 2 4" xfId="19070"/>
    <cellStyle name="20% - Accent6 4 4 2 2 4 2" xfId="19071"/>
    <cellStyle name="20% - Accent6 4 4 2 2 4 2 2" xfId="19072"/>
    <cellStyle name="20% - Accent6 4 4 2 2 4 2 3" xfId="19073"/>
    <cellStyle name="20% - Accent6 4 4 2 2 4 3" xfId="19074"/>
    <cellStyle name="20% - Accent6 4 4 2 2 4 3 2" xfId="19075"/>
    <cellStyle name="20% - Accent6 4 4 2 2 4 4" xfId="19076"/>
    <cellStyle name="20% - Accent6 4 4 2 2 4 5" xfId="19077"/>
    <cellStyle name="20% - Accent6 4 4 2 2 5" xfId="19078"/>
    <cellStyle name="20% - Accent6 4 4 2 2 5 2" xfId="19079"/>
    <cellStyle name="20% - Accent6 4 4 2 2 5 3" xfId="19080"/>
    <cellStyle name="20% - Accent6 4 4 2 2 6" xfId="19081"/>
    <cellStyle name="20% - Accent6 4 4 2 2 6 2" xfId="19082"/>
    <cellStyle name="20% - Accent6 4 4 2 2 6 3" xfId="19083"/>
    <cellStyle name="20% - Accent6 4 4 2 2 7" xfId="19084"/>
    <cellStyle name="20% - Accent6 4 4 2 2 7 2" xfId="19085"/>
    <cellStyle name="20% - Accent6 4 4 2 2 8" xfId="19086"/>
    <cellStyle name="20% - Accent6 4 4 2 2 9" xfId="19087"/>
    <cellStyle name="20% - Accent6 4 4 2 3" xfId="19088"/>
    <cellStyle name="20% - Accent6 4 4 2 3 2" xfId="19089"/>
    <cellStyle name="20% - Accent6 4 4 2 3 2 2" xfId="19090"/>
    <cellStyle name="20% - Accent6 4 4 2 3 2 3" xfId="19091"/>
    <cellStyle name="20% - Accent6 4 4 2 3 3" xfId="19092"/>
    <cellStyle name="20% - Accent6 4 4 2 3 3 2" xfId="19093"/>
    <cellStyle name="20% - Accent6 4 4 2 3 3 3" xfId="19094"/>
    <cellStyle name="20% - Accent6 4 4 2 3 4" xfId="19095"/>
    <cellStyle name="20% - Accent6 4 4 2 3 4 2" xfId="19096"/>
    <cellStyle name="20% - Accent6 4 4 2 3 5" xfId="19097"/>
    <cellStyle name="20% - Accent6 4 4 2 3 6" xfId="19098"/>
    <cellStyle name="20% - Accent6 4 4 2 4" xfId="19099"/>
    <cellStyle name="20% - Accent6 4 4 2 4 2" xfId="19100"/>
    <cellStyle name="20% - Accent6 4 4 2 4 2 2" xfId="19101"/>
    <cellStyle name="20% - Accent6 4 4 2 4 2 3" xfId="19102"/>
    <cellStyle name="20% - Accent6 4 4 2 4 3" xfId="19103"/>
    <cellStyle name="20% - Accent6 4 4 2 4 3 2" xfId="19104"/>
    <cellStyle name="20% - Accent6 4 4 2 4 3 3" xfId="19105"/>
    <cellStyle name="20% - Accent6 4 4 2 4 4" xfId="19106"/>
    <cellStyle name="20% - Accent6 4 4 2 4 4 2" xfId="19107"/>
    <cellStyle name="20% - Accent6 4 4 2 4 5" xfId="19108"/>
    <cellStyle name="20% - Accent6 4 4 2 4 6" xfId="19109"/>
    <cellStyle name="20% - Accent6 4 4 2 5" xfId="19110"/>
    <cellStyle name="20% - Accent6 4 4 2 5 2" xfId="19111"/>
    <cellStyle name="20% - Accent6 4 4 2 5 2 2" xfId="19112"/>
    <cellStyle name="20% - Accent6 4 4 2 5 2 3" xfId="19113"/>
    <cellStyle name="20% - Accent6 4 4 2 5 3" xfId="19114"/>
    <cellStyle name="20% - Accent6 4 4 2 5 3 2" xfId="19115"/>
    <cellStyle name="20% - Accent6 4 4 2 5 4" xfId="19116"/>
    <cellStyle name="20% - Accent6 4 4 2 5 5" xfId="19117"/>
    <cellStyle name="20% - Accent6 4 4 2 6" xfId="19118"/>
    <cellStyle name="20% - Accent6 4 4 2 6 2" xfId="19119"/>
    <cellStyle name="20% - Accent6 4 4 2 6 3" xfId="19120"/>
    <cellStyle name="20% - Accent6 4 4 2 7" xfId="19121"/>
    <cellStyle name="20% - Accent6 4 4 2 7 2" xfId="19122"/>
    <cellStyle name="20% - Accent6 4 4 2 7 3" xfId="19123"/>
    <cellStyle name="20% - Accent6 4 4 2 8" xfId="19124"/>
    <cellStyle name="20% - Accent6 4 4 2 8 2" xfId="19125"/>
    <cellStyle name="20% - Accent6 4 4 2 9" xfId="19126"/>
    <cellStyle name="20% - Accent6 4 4 3" xfId="1373"/>
    <cellStyle name="20% - Accent6 4 4 3 2" xfId="19127"/>
    <cellStyle name="20% - Accent6 4 4 3 2 2" xfId="19128"/>
    <cellStyle name="20% - Accent6 4 4 3 2 2 2" xfId="19129"/>
    <cellStyle name="20% - Accent6 4 4 3 2 2 3" xfId="19130"/>
    <cellStyle name="20% - Accent6 4 4 3 2 3" xfId="19131"/>
    <cellStyle name="20% - Accent6 4 4 3 2 3 2" xfId="19132"/>
    <cellStyle name="20% - Accent6 4 4 3 2 3 3" xfId="19133"/>
    <cellStyle name="20% - Accent6 4 4 3 2 4" xfId="19134"/>
    <cellStyle name="20% - Accent6 4 4 3 2 4 2" xfId="19135"/>
    <cellStyle name="20% - Accent6 4 4 3 2 5" xfId="19136"/>
    <cellStyle name="20% - Accent6 4 4 3 2 6" xfId="19137"/>
    <cellStyle name="20% - Accent6 4 4 3 3" xfId="19138"/>
    <cellStyle name="20% - Accent6 4 4 3 3 2" xfId="19139"/>
    <cellStyle name="20% - Accent6 4 4 3 3 2 2" xfId="19140"/>
    <cellStyle name="20% - Accent6 4 4 3 3 2 3" xfId="19141"/>
    <cellStyle name="20% - Accent6 4 4 3 3 3" xfId="19142"/>
    <cellStyle name="20% - Accent6 4 4 3 3 3 2" xfId="19143"/>
    <cellStyle name="20% - Accent6 4 4 3 3 3 3" xfId="19144"/>
    <cellStyle name="20% - Accent6 4 4 3 3 4" xfId="19145"/>
    <cellStyle name="20% - Accent6 4 4 3 3 4 2" xfId="19146"/>
    <cellStyle name="20% - Accent6 4 4 3 3 5" xfId="19147"/>
    <cellStyle name="20% - Accent6 4 4 3 3 6" xfId="19148"/>
    <cellStyle name="20% - Accent6 4 4 3 4" xfId="19149"/>
    <cellStyle name="20% - Accent6 4 4 3 4 2" xfId="19150"/>
    <cellStyle name="20% - Accent6 4 4 3 4 2 2" xfId="19151"/>
    <cellStyle name="20% - Accent6 4 4 3 4 2 3" xfId="19152"/>
    <cellStyle name="20% - Accent6 4 4 3 4 3" xfId="19153"/>
    <cellStyle name="20% - Accent6 4 4 3 4 3 2" xfId="19154"/>
    <cellStyle name="20% - Accent6 4 4 3 4 4" xfId="19155"/>
    <cellStyle name="20% - Accent6 4 4 3 4 5" xfId="19156"/>
    <cellStyle name="20% - Accent6 4 4 3 5" xfId="19157"/>
    <cellStyle name="20% - Accent6 4 4 3 5 2" xfId="19158"/>
    <cellStyle name="20% - Accent6 4 4 3 5 3" xfId="19159"/>
    <cellStyle name="20% - Accent6 4 4 3 6" xfId="19160"/>
    <cellStyle name="20% - Accent6 4 4 3 6 2" xfId="19161"/>
    <cellStyle name="20% - Accent6 4 4 3 6 3" xfId="19162"/>
    <cellStyle name="20% - Accent6 4 4 3 7" xfId="19163"/>
    <cellStyle name="20% - Accent6 4 4 3 7 2" xfId="19164"/>
    <cellStyle name="20% - Accent6 4 4 3 8" xfId="19165"/>
    <cellStyle name="20% - Accent6 4 4 3 9" xfId="19166"/>
    <cellStyle name="20% - Accent6 4 4 4" xfId="19167"/>
    <cellStyle name="20% - Accent6 4 4 4 2" xfId="19168"/>
    <cellStyle name="20% - Accent6 4 4 4 2 2" xfId="19169"/>
    <cellStyle name="20% - Accent6 4 4 4 2 2 2" xfId="19170"/>
    <cellStyle name="20% - Accent6 4 4 4 2 2 3" xfId="19171"/>
    <cellStyle name="20% - Accent6 4 4 4 2 3" xfId="19172"/>
    <cellStyle name="20% - Accent6 4 4 4 2 3 2" xfId="19173"/>
    <cellStyle name="20% - Accent6 4 4 4 2 3 3" xfId="19174"/>
    <cellStyle name="20% - Accent6 4 4 4 2 4" xfId="19175"/>
    <cellStyle name="20% - Accent6 4 4 4 2 4 2" xfId="19176"/>
    <cellStyle name="20% - Accent6 4 4 4 2 5" xfId="19177"/>
    <cellStyle name="20% - Accent6 4 4 4 2 6" xfId="19178"/>
    <cellStyle name="20% - Accent6 4 4 4 3" xfId="19179"/>
    <cellStyle name="20% - Accent6 4 4 4 3 2" xfId="19180"/>
    <cellStyle name="20% - Accent6 4 4 4 3 2 2" xfId="19181"/>
    <cellStyle name="20% - Accent6 4 4 4 3 2 3" xfId="19182"/>
    <cellStyle name="20% - Accent6 4 4 4 3 3" xfId="19183"/>
    <cellStyle name="20% - Accent6 4 4 4 3 3 2" xfId="19184"/>
    <cellStyle name="20% - Accent6 4 4 4 3 3 3" xfId="19185"/>
    <cellStyle name="20% - Accent6 4 4 4 3 4" xfId="19186"/>
    <cellStyle name="20% - Accent6 4 4 4 3 4 2" xfId="19187"/>
    <cellStyle name="20% - Accent6 4 4 4 3 5" xfId="19188"/>
    <cellStyle name="20% - Accent6 4 4 4 3 6" xfId="19189"/>
    <cellStyle name="20% - Accent6 4 4 4 4" xfId="19190"/>
    <cellStyle name="20% - Accent6 4 4 4 4 2" xfId="19191"/>
    <cellStyle name="20% - Accent6 4 4 4 4 2 2" xfId="19192"/>
    <cellStyle name="20% - Accent6 4 4 4 4 2 3" xfId="19193"/>
    <cellStyle name="20% - Accent6 4 4 4 4 3" xfId="19194"/>
    <cellStyle name="20% - Accent6 4 4 4 4 3 2" xfId="19195"/>
    <cellStyle name="20% - Accent6 4 4 4 4 4" xfId="19196"/>
    <cellStyle name="20% - Accent6 4 4 4 4 5" xfId="19197"/>
    <cellStyle name="20% - Accent6 4 4 4 5" xfId="19198"/>
    <cellStyle name="20% - Accent6 4 4 4 5 2" xfId="19199"/>
    <cellStyle name="20% - Accent6 4 4 4 5 3" xfId="19200"/>
    <cellStyle name="20% - Accent6 4 4 4 6" xfId="19201"/>
    <cellStyle name="20% - Accent6 4 4 4 6 2" xfId="19202"/>
    <cellStyle name="20% - Accent6 4 4 4 6 3" xfId="19203"/>
    <cellStyle name="20% - Accent6 4 4 4 7" xfId="19204"/>
    <cellStyle name="20% - Accent6 4 4 4 7 2" xfId="19205"/>
    <cellStyle name="20% - Accent6 4 4 4 8" xfId="19206"/>
    <cellStyle name="20% - Accent6 4 4 4 9" xfId="19207"/>
    <cellStyle name="20% - Accent6 4 4 5" xfId="19208"/>
    <cellStyle name="20% - Accent6 4 4 5 2" xfId="19209"/>
    <cellStyle name="20% - Accent6 4 4 5 2 2" xfId="19210"/>
    <cellStyle name="20% - Accent6 4 4 5 2 3" xfId="19211"/>
    <cellStyle name="20% - Accent6 4 4 5 3" xfId="19212"/>
    <cellStyle name="20% - Accent6 4 4 5 3 2" xfId="19213"/>
    <cellStyle name="20% - Accent6 4 4 5 3 3" xfId="19214"/>
    <cellStyle name="20% - Accent6 4 4 5 4" xfId="19215"/>
    <cellStyle name="20% - Accent6 4 4 5 4 2" xfId="19216"/>
    <cellStyle name="20% - Accent6 4 4 5 5" xfId="19217"/>
    <cellStyle name="20% - Accent6 4 4 5 6" xfId="19218"/>
    <cellStyle name="20% - Accent6 4 4 6" xfId="19219"/>
    <cellStyle name="20% - Accent6 4 4 6 2" xfId="19220"/>
    <cellStyle name="20% - Accent6 4 4 6 2 2" xfId="19221"/>
    <cellStyle name="20% - Accent6 4 4 6 2 3" xfId="19222"/>
    <cellStyle name="20% - Accent6 4 4 6 3" xfId="19223"/>
    <cellStyle name="20% - Accent6 4 4 6 3 2" xfId="19224"/>
    <cellStyle name="20% - Accent6 4 4 6 3 3" xfId="19225"/>
    <cellStyle name="20% - Accent6 4 4 6 4" xfId="19226"/>
    <cellStyle name="20% - Accent6 4 4 6 4 2" xfId="19227"/>
    <cellStyle name="20% - Accent6 4 4 6 5" xfId="19228"/>
    <cellStyle name="20% - Accent6 4 4 6 6" xfId="19229"/>
    <cellStyle name="20% - Accent6 4 4 7" xfId="19230"/>
    <cellStyle name="20% - Accent6 4 4 7 2" xfId="19231"/>
    <cellStyle name="20% - Accent6 4 4 7 2 2" xfId="19232"/>
    <cellStyle name="20% - Accent6 4 4 7 2 3" xfId="19233"/>
    <cellStyle name="20% - Accent6 4 4 7 3" xfId="19234"/>
    <cellStyle name="20% - Accent6 4 4 7 3 2" xfId="19235"/>
    <cellStyle name="20% - Accent6 4 4 7 4" xfId="19236"/>
    <cellStyle name="20% - Accent6 4 4 7 5" xfId="19237"/>
    <cellStyle name="20% - Accent6 4 4 8" xfId="19238"/>
    <cellStyle name="20% - Accent6 4 4 8 2" xfId="19239"/>
    <cellStyle name="20% - Accent6 4 4 8 3" xfId="19240"/>
    <cellStyle name="20% - Accent6 4 4 9" xfId="19241"/>
    <cellStyle name="20% - Accent6 4 4 9 2" xfId="19242"/>
    <cellStyle name="20% - Accent6 4 4 9 3" xfId="19243"/>
    <cellStyle name="20% - Accent6 4 5" xfId="1374"/>
    <cellStyle name="20% - Accent6 4 5 10" xfId="19244"/>
    <cellStyle name="20% - Accent6 4 5 2" xfId="1375"/>
    <cellStyle name="20% - Accent6 4 5 2 2" xfId="19245"/>
    <cellStyle name="20% - Accent6 4 5 2 2 2" xfId="19246"/>
    <cellStyle name="20% - Accent6 4 5 2 2 2 2" xfId="19247"/>
    <cellStyle name="20% - Accent6 4 5 2 2 2 3" xfId="19248"/>
    <cellStyle name="20% - Accent6 4 5 2 2 3" xfId="19249"/>
    <cellStyle name="20% - Accent6 4 5 2 2 3 2" xfId="19250"/>
    <cellStyle name="20% - Accent6 4 5 2 2 3 3" xfId="19251"/>
    <cellStyle name="20% - Accent6 4 5 2 2 4" xfId="19252"/>
    <cellStyle name="20% - Accent6 4 5 2 2 4 2" xfId="19253"/>
    <cellStyle name="20% - Accent6 4 5 2 2 5" xfId="19254"/>
    <cellStyle name="20% - Accent6 4 5 2 2 6" xfId="19255"/>
    <cellStyle name="20% - Accent6 4 5 2 3" xfId="19256"/>
    <cellStyle name="20% - Accent6 4 5 2 3 2" xfId="19257"/>
    <cellStyle name="20% - Accent6 4 5 2 3 2 2" xfId="19258"/>
    <cellStyle name="20% - Accent6 4 5 2 3 2 3" xfId="19259"/>
    <cellStyle name="20% - Accent6 4 5 2 3 3" xfId="19260"/>
    <cellStyle name="20% - Accent6 4 5 2 3 3 2" xfId="19261"/>
    <cellStyle name="20% - Accent6 4 5 2 3 3 3" xfId="19262"/>
    <cellStyle name="20% - Accent6 4 5 2 3 4" xfId="19263"/>
    <cellStyle name="20% - Accent6 4 5 2 3 4 2" xfId="19264"/>
    <cellStyle name="20% - Accent6 4 5 2 3 5" xfId="19265"/>
    <cellStyle name="20% - Accent6 4 5 2 3 6" xfId="19266"/>
    <cellStyle name="20% - Accent6 4 5 2 4" xfId="19267"/>
    <cellStyle name="20% - Accent6 4 5 2 4 2" xfId="19268"/>
    <cellStyle name="20% - Accent6 4 5 2 4 2 2" xfId="19269"/>
    <cellStyle name="20% - Accent6 4 5 2 4 2 3" xfId="19270"/>
    <cellStyle name="20% - Accent6 4 5 2 4 3" xfId="19271"/>
    <cellStyle name="20% - Accent6 4 5 2 4 3 2" xfId="19272"/>
    <cellStyle name="20% - Accent6 4 5 2 4 4" xfId="19273"/>
    <cellStyle name="20% - Accent6 4 5 2 4 5" xfId="19274"/>
    <cellStyle name="20% - Accent6 4 5 2 5" xfId="19275"/>
    <cellStyle name="20% - Accent6 4 5 2 5 2" xfId="19276"/>
    <cellStyle name="20% - Accent6 4 5 2 5 3" xfId="19277"/>
    <cellStyle name="20% - Accent6 4 5 2 6" xfId="19278"/>
    <cellStyle name="20% - Accent6 4 5 2 6 2" xfId="19279"/>
    <cellStyle name="20% - Accent6 4 5 2 6 3" xfId="19280"/>
    <cellStyle name="20% - Accent6 4 5 2 7" xfId="19281"/>
    <cellStyle name="20% - Accent6 4 5 2 7 2" xfId="19282"/>
    <cellStyle name="20% - Accent6 4 5 2 8" xfId="19283"/>
    <cellStyle name="20% - Accent6 4 5 2 9" xfId="19284"/>
    <cellStyle name="20% - Accent6 4 5 3" xfId="19285"/>
    <cellStyle name="20% - Accent6 4 5 3 2" xfId="19286"/>
    <cellStyle name="20% - Accent6 4 5 3 2 2" xfId="19287"/>
    <cellStyle name="20% - Accent6 4 5 3 2 3" xfId="19288"/>
    <cellStyle name="20% - Accent6 4 5 3 3" xfId="19289"/>
    <cellStyle name="20% - Accent6 4 5 3 3 2" xfId="19290"/>
    <cellStyle name="20% - Accent6 4 5 3 3 3" xfId="19291"/>
    <cellStyle name="20% - Accent6 4 5 3 4" xfId="19292"/>
    <cellStyle name="20% - Accent6 4 5 3 4 2" xfId="19293"/>
    <cellStyle name="20% - Accent6 4 5 3 5" xfId="19294"/>
    <cellStyle name="20% - Accent6 4 5 3 6" xfId="19295"/>
    <cellStyle name="20% - Accent6 4 5 4" xfId="19296"/>
    <cellStyle name="20% - Accent6 4 5 4 2" xfId="19297"/>
    <cellStyle name="20% - Accent6 4 5 4 2 2" xfId="19298"/>
    <cellStyle name="20% - Accent6 4 5 4 2 3" xfId="19299"/>
    <cellStyle name="20% - Accent6 4 5 4 3" xfId="19300"/>
    <cellStyle name="20% - Accent6 4 5 4 3 2" xfId="19301"/>
    <cellStyle name="20% - Accent6 4 5 4 3 3" xfId="19302"/>
    <cellStyle name="20% - Accent6 4 5 4 4" xfId="19303"/>
    <cellStyle name="20% - Accent6 4 5 4 4 2" xfId="19304"/>
    <cellStyle name="20% - Accent6 4 5 4 5" xfId="19305"/>
    <cellStyle name="20% - Accent6 4 5 4 6" xfId="19306"/>
    <cellStyle name="20% - Accent6 4 5 5" xfId="19307"/>
    <cellStyle name="20% - Accent6 4 5 5 2" xfId="19308"/>
    <cellStyle name="20% - Accent6 4 5 5 2 2" xfId="19309"/>
    <cellStyle name="20% - Accent6 4 5 5 2 3" xfId="19310"/>
    <cellStyle name="20% - Accent6 4 5 5 3" xfId="19311"/>
    <cellStyle name="20% - Accent6 4 5 5 3 2" xfId="19312"/>
    <cellStyle name="20% - Accent6 4 5 5 4" xfId="19313"/>
    <cellStyle name="20% - Accent6 4 5 5 5" xfId="19314"/>
    <cellStyle name="20% - Accent6 4 5 6" xfId="19315"/>
    <cellStyle name="20% - Accent6 4 5 6 2" xfId="19316"/>
    <cellStyle name="20% - Accent6 4 5 6 3" xfId="19317"/>
    <cellStyle name="20% - Accent6 4 5 7" xfId="19318"/>
    <cellStyle name="20% - Accent6 4 5 7 2" xfId="19319"/>
    <cellStyle name="20% - Accent6 4 5 7 3" xfId="19320"/>
    <cellStyle name="20% - Accent6 4 5 8" xfId="19321"/>
    <cellStyle name="20% - Accent6 4 5 8 2" xfId="19322"/>
    <cellStyle name="20% - Accent6 4 5 9" xfId="19323"/>
    <cellStyle name="20% - Accent6 4 6" xfId="1376"/>
    <cellStyle name="20% - Accent6 4 6 2" xfId="19324"/>
    <cellStyle name="20% - Accent6 4 6 2 2" xfId="19325"/>
    <cellStyle name="20% - Accent6 4 6 2 2 2" xfId="19326"/>
    <cellStyle name="20% - Accent6 4 6 2 2 3" xfId="19327"/>
    <cellStyle name="20% - Accent6 4 6 2 3" xfId="19328"/>
    <cellStyle name="20% - Accent6 4 6 2 3 2" xfId="19329"/>
    <cellStyle name="20% - Accent6 4 6 2 3 3" xfId="19330"/>
    <cellStyle name="20% - Accent6 4 6 2 4" xfId="19331"/>
    <cellStyle name="20% - Accent6 4 6 2 4 2" xfId="19332"/>
    <cellStyle name="20% - Accent6 4 6 2 5" xfId="19333"/>
    <cellStyle name="20% - Accent6 4 6 2 6" xfId="19334"/>
    <cellStyle name="20% - Accent6 4 6 3" xfId="19335"/>
    <cellStyle name="20% - Accent6 4 6 3 2" xfId="19336"/>
    <cellStyle name="20% - Accent6 4 6 3 2 2" xfId="19337"/>
    <cellStyle name="20% - Accent6 4 6 3 2 3" xfId="19338"/>
    <cellStyle name="20% - Accent6 4 6 3 3" xfId="19339"/>
    <cellStyle name="20% - Accent6 4 6 3 3 2" xfId="19340"/>
    <cellStyle name="20% - Accent6 4 6 3 3 3" xfId="19341"/>
    <cellStyle name="20% - Accent6 4 6 3 4" xfId="19342"/>
    <cellStyle name="20% - Accent6 4 6 3 4 2" xfId="19343"/>
    <cellStyle name="20% - Accent6 4 6 3 5" xfId="19344"/>
    <cellStyle name="20% - Accent6 4 6 3 6" xfId="19345"/>
    <cellStyle name="20% - Accent6 4 6 4" xfId="19346"/>
    <cellStyle name="20% - Accent6 4 6 4 2" xfId="19347"/>
    <cellStyle name="20% - Accent6 4 6 4 2 2" xfId="19348"/>
    <cellStyle name="20% - Accent6 4 6 4 2 3" xfId="19349"/>
    <cellStyle name="20% - Accent6 4 6 4 3" xfId="19350"/>
    <cellStyle name="20% - Accent6 4 6 4 3 2" xfId="19351"/>
    <cellStyle name="20% - Accent6 4 6 4 4" xfId="19352"/>
    <cellStyle name="20% - Accent6 4 6 4 5" xfId="19353"/>
    <cellStyle name="20% - Accent6 4 6 5" xfId="19354"/>
    <cellStyle name="20% - Accent6 4 6 5 2" xfId="19355"/>
    <cellStyle name="20% - Accent6 4 6 5 3" xfId="19356"/>
    <cellStyle name="20% - Accent6 4 6 6" xfId="19357"/>
    <cellStyle name="20% - Accent6 4 6 6 2" xfId="19358"/>
    <cellStyle name="20% - Accent6 4 6 6 3" xfId="19359"/>
    <cellStyle name="20% - Accent6 4 6 7" xfId="19360"/>
    <cellStyle name="20% - Accent6 4 6 7 2" xfId="19361"/>
    <cellStyle name="20% - Accent6 4 6 8" xfId="19362"/>
    <cellStyle name="20% - Accent6 4 6 9" xfId="19363"/>
    <cellStyle name="20% - Accent6 4 7" xfId="8993"/>
    <cellStyle name="20% - Accent6 4 7 2" xfId="19364"/>
    <cellStyle name="20% - Accent6 4 7 2 2" xfId="19365"/>
    <cellStyle name="20% - Accent6 4 7 2 2 2" xfId="19366"/>
    <cellStyle name="20% - Accent6 4 7 2 2 3" xfId="19367"/>
    <cellStyle name="20% - Accent6 4 7 2 3" xfId="19368"/>
    <cellStyle name="20% - Accent6 4 7 2 3 2" xfId="19369"/>
    <cellStyle name="20% - Accent6 4 7 2 3 3" xfId="19370"/>
    <cellStyle name="20% - Accent6 4 7 2 4" xfId="19371"/>
    <cellStyle name="20% - Accent6 4 7 2 4 2" xfId="19372"/>
    <cellStyle name="20% - Accent6 4 7 2 5" xfId="19373"/>
    <cellStyle name="20% - Accent6 4 7 2 6" xfId="19374"/>
    <cellStyle name="20% - Accent6 4 7 3" xfId="19375"/>
    <cellStyle name="20% - Accent6 4 7 3 2" xfId="19376"/>
    <cellStyle name="20% - Accent6 4 7 3 2 2" xfId="19377"/>
    <cellStyle name="20% - Accent6 4 7 3 2 3" xfId="19378"/>
    <cellStyle name="20% - Accent6 4 7 3 3" xfId="19379"/>
    <cellStyle name="20% - Accent6 4 7 3 3 2" xfId="19380"/>
    <cellStyle name="20% - Accent6 4 7 3 3 3" xfId="19381"/>
    <cellStyle name="20% - Accent6 4 7 3 4" xfId="19382"/>
    <cellStyle name="20% - Accent6 4 7 3 4 2" xfId="19383"/>
    <cellStyle name="20% - Accent6 4 7 3 5" xfId="19384"/>
    <cellStyle name="20% - Accent6 4 7 3 6" xfId="19385"/>
    <cellStyle name="20% - Accent6 4 7 4" xfId="19386"/>
    <cellStyle name="20% - Accent6 4 7 4 2" xfId="19387"/>
    <cellStyle name="20% - Accent6 4 7 4 2 2" xfId="19388"/>
    <cellStyle name="20% - Accent6 4 7 4 2 3" xfId="19389"/>
    <cellStyle name="20% - Accent6 4 7 4 3" xfId="19390"/>
    <cellStyle name="20% - Accent6 4 7 4 3 2" xfId="19391"/>
    <cellStyle name="20% - Accent6 4 7 4 4" xfId="19392"/>
    <cellStyle name="20% - Accent6 4 7 4 5" xfId="19393"/>
    <cellStyle name="20% - Accent6 4 7 5" xfId="19394"/>
    <cellStyle name="20% - Accent6 4 7 5 2" xfId="19395"/>
    <cellStyle name="20% - Accent6 4 7 5 3" xfId="19396"/>
    <cellStyle name="20% - Accent6 4 7 6" xfId="19397"/>
    <cellStyle name="20% - Accent6 4 7 6 2" xfId="19398"/>
    <cellStyle name="20% - Accent6 4 7 6 3" xfId="19399"/>
    <cellStyle name="20% - Accent6 4 7 7" xfId="19400"/>
    <cellStyle name="20% - Accent6 4 7 7 2" xfId="19401"/>
    <cellStyle name="20% - Accent6 4 7 8" xfId="19402"/>
    <cellStyle name="20% - Accent6 4 7 9" xfId="19403"/>
    <cellStyle name="20% - Accent6 4 8" xfId="19404"/>
    <cellStyle name="20% - Accent6 4 8 2" xfId="19405"/>
    <cellStyle name="20% - Accent6 4 8 2 2" xfId="19406"/>
    <cellStyle name="20% - Accent6 4 8 2 3" xfId="19407"/>
    <cellStyle name="20% - Accent6 4 8 3" xfId="19408"/>
    <cellStyle name="20% - Accent6 4 8 3 2" xfId="19409"/>
    <cellStyle name="20% - Accent6 4 8 3 3" xfId="19410"/>
    <cellStyle name="20% - Accent6 4 8 4" xfId="19411"/>
    <cellStyle name="20% - Accent6 4 8 4 2" xfId="19412"/>
    <cellStyle name="20% - Accent6 4 8 5" xfId="19413"/>
    <cellStyle name="20% - Accent6 4 8 6" xfId="19414"/>
    <cellStyle name="20% - Accent6 4 9" xfId="19415"/>
    <cellStyle name="20% - Accent6 4 9 2" xfId="19416"/>
    <cellStyle name="20% - Accent6 4 9 2 2" xfId="19417"/>
    <cellStyle name="20% - Accent6 4 9 2 3" xfId="19418"/>
    <cellStyle name="20% - Accent6 4 9 3" xfId="19419"/>
    <cellStyle name="20% - Accent6 4 9 3 2" xfId="19420"/>
    <cellStyle name="20% - Accent6 4 9 3 3" xfId="19421"/>
    <cellStyle name="20% - Accent6 4 9 4" xfId="19422"/>
    <cellStyle name="20% - Accent6 4 9 4 2" xfId="19423"/>
    <cellStyle name="20% - Accent6 4 9 5" xfId="19424"/>
    <cellStyle name="20% - Accent6 4 9 6" xfId="19425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95"/>
    <cellStyle name="40% - Accent1 15" xfId="19426"/>
    <cellStyle name="40% - Accent1 16" xfId="19427"/>
    <cellStyle name="40% - Accent1 17" xfId="19428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29"/>
    <cellStyle name="40% - Accent1 4 10 2" xfId="19430"/>
    <cellStyle name="40% - Accent1 4 10 2 2" xfId="19431"/>
    <cellStyle name="40% - Accent1 4 10 2 3" xfId="19432"/>
    <cellStyle name="40% - Accent1 4 10 3" xfId="19433"/>
    <cellStyle name="40% - Accent1 4 10 3 2" xfId="19434"/>
    <cellStyle name="40% - Accent1 4 10 4" xfId="19435"/>
    <cellStyle name="40% - Accent1 4 10 5" xfId="19436"/>
    <cellStyle name="40% - Accent1 4 11" xfId="19437"/>
    <cellStyle name="40% - Accent1 4 11 2" xfId="19438"/>
    <cellStyle name="40% - Accent1 4 11 3" xfId="19439"/>
    <cellStyle name="40% - Accent1 4 12" xfId="19440"/>
    <cellStyle name="40% - Accent1 4 12 2" xfId="19441"/>
    <cellStyle name="40% - Accent1 4 12 3" xfId="19442"/>
    <cellStyle name="40% - Accent1 4 13" xfId="19443"/>
    <cellStyle name="40% - Accent1 4 13 2" xfId="19444"/>
    <cellStyle name="40% - Accent1 4 14" xfId="19445"/>
    <cellStyle name="40% - Accent1 4 15" xfId="19446"/>
    <cellStyle name="40% - Accent1 4 16" xfId="19447"/>
    <cellStyle name="40% - Accent1 4 2" xfId="1563"/>
    <cellStyle name="40% - Accent1 4 2 10" xfId="19448"/>
    <cellStyle name="40% - Accent1 4 2 10 2" xfId="19449"/>
    <cellStyle name="40% - Accent1 4 2 10 3" xfId="19450"/>
    <cellStyle name="40% - Accent1 4 2 11" xfId="19451"/>
    <cellStyle name="40% - Accent1 4 2 11 2" xfId="19452"/>
    <cellStyle name="40% - Accent1 4 2 11 3" xfId="19453"/>
    <cellStyle name="40% - Accent1 4 2 12" xfId="19454"/>
    <cellStyle name="40% - Accent1 4 2 12 2" xfId="19455"/>
    <cellStyle name="40% - Accent1 4 2 13" xfId="19456"/>
    <cellStyle name="40% - Accent1 4 2 14" xfId="19457"/>
    <cellStyle name="40% - Accent1 4 2 15" xfId="19458"/>
    <cellStyle name="40% - Accent1 4 2 2" xfId="1564"/>
    <cellStyle name="40% - Accent1 4 2 2 10" xfId="19459"/>
    <cellStyle name="40% - Accent1 4 2 2 10 2" xfId="19460"/>
    <cellStyle name="40% - Accent1 4 2 2 10 3" xfId="19461"/>
    <cellStyle name="40% - Accent1 4 2 2 11" xfId="19462"/>
    <cellStyle name="40% - Accent1 4 2 2 11 2" xfId="19463"/>
    <cellStyle name="40% - Accent1 4 2 2 12" xfId="19464"/>
    <cellStyle name="40% - Accent1 4 2 2 13" xfId="19465"/>
    <cellStyle name="40% - Accent1 4 2 2 2" xfId="1565"/>
    <cellStyle name="40% - Accent1 4 2 2 2 10" xfId="19466"/>
    <cellStyle name="40% - Accent1 4 2 2 2 10 2" xfId="19467"/>
    <cellStyle name="40% - Accent1 4 2 2 2 11" xfId="19468"/>
    <cellStyle name="40% - Accent1 4 2 2 2 12" xfId="19469"/>
    <cellStyle name="40% - Accent1 4 2 2 2 2" xfId="1566"/>
    <cellStyle name="40% - Accent1 4 2 2 2 2 10" xfId="19470"/>
    <cellStyle name="40% - Accent1 4 2 2 2 2 2" xfId="1567"/>
    <cellStyle name="40% - Accent1 4 2 2 2 2 2 2" xfId="19471"/>
    <cellStyle name="40% - Accent1 4 2 2 2 2 2 2 2" xfId="19472"/>
    <cellStyle name="40% - Accent1 4 2 2 2 2 2 2 2 2" xfId="19473"/>
    <cellStyle name="40% - Accent1 4 2 2 2 2 2 2 2 3" xfId="19474"/>
    <cellStyle name="40% - Accent1 4 2 2 2 2 2 2 3" xfId="19475"/>
    <cellStyle name="40% - Accent1 4 2 2 2 2 2 2 3 2" xfId="19476"/>
    <cellStyle name="40% - Accent1 4 2 2 2 2 2 2 3 3" xfId="19477"/>
    <cellStyle name="40% - Accent1 4 2 2 2 2 2 2 4" xfId="19478"/>
    <cellStyle name="40% - Accent1 4 2 2 2 2 2 2 4 2" xfId="19479"/>
    <cellStyle name="40% - Accent1 4 2 2 2 2 2 2 5" xfId="19480"/>
    <cellStyle name="40% - Accent1 4 2 2 2 2 2 2 6" xfId="19481"/>
    <cellStyle name="40% - Accent1 4 2 2 2 2 2 3" xfId="19482"/>
    <cellStyle name="40% - Accent1 4 2 2 2 2 2 3 2" xfId="19483"/>
    <cellStyle name="40% - Accent1 4 2 2 2 2 2 3 2 2" xfId="19484"/>
    <cellStyle name="40% - Accent1 4 2 2 2 2 2 3 2 3" xfId="19485"/>
    <cellStyle name="40% - Accent1 4 2 2 2 2 2 3 3" xfId="19486"/>
    <cellStyle name="40% - Accent1 4 2 2 2 2 2 3 3 2" xfId="19487"/>
    <cellStyle name="40% - Accent1 4 2 2 2 2 2 3 3 3" xfId="19488"/>
    <cellStyle name="40% - Accent1 4 2 2 2 2 2 3 4" xfId="19489"/>
    <cellStyle name="40% - Accent1 4 2 2 2 2 2 3 4 2" xfId="19490"/>
    <cellStyle name="40% - Accent1 4 2 2 2 2 2 3 5" xfId="19491"/>
    <cellStyle name="40% - Accent1 4 2 2 2 2 2 3 6" xfId="19492"/>
    <cellStyle name="40% - Accent1 4 2 2 2 2 2 4" xfId="19493"/>
    <cellStyle name="40% - Accent1 4 2 2 2 2 2 4 2" xfId="19494"/>
    <cellStyle name="40% - Accent1 4 2 2 2 2 2 4 2 2" xfId="19495"/>
    <cellStyle name="40% - Accent1 4 2 2 2 2 2 4 2 3" xfId="19496"/>
    <cellStyle name="40% - Accent1 4 2 2 2 2 2 4 3" xfId="19497"/>
    <cellStyle name="40% - Accent1 4 2 2 2 2 2 4 3 2" xfId="19498"/>
    <cellStyle name="40% - Accent1 4 2 2 2 2 2 4 4" xfId="19499"/>
    <cellStyle name="40% - Accent1 4 2 2 2 2 2 4 5" xfId="19500"/>
    <cellStyle name="40% - Accent1 4 2 2 2 2 2 5" xfId="19501"/>
    <cellStyle name="40% - Accent1 4 2 2 2 2 2 5 2" xfId="19502"/>
    <cellStyle name="40% - Accent1 4 2 2 2 2 2 5 3" xfId="19503"/>
    <cellStyle name="40% - Accent1 4 2 2 2 2 2 6" xfId="19504"/>
    <cellStyle name="40% - Accent1 4 2 2 2 2 2 6 2" xfId="19505"/>
    <cellStyle name="40% - Accent1 4 2 2 2 2 2 6 3" xfId="19506"/>
    <cellStyle name="40% - Accent1 4 2 2 2 2 2 7" xfId="19507"/>
    <cellStyle name="40% - Accent1 4 2 2 2 2 2 7 2" xfId="19508"/>
    <cellStyle name="40% - Accent1 4 2 2 2 2 2 8" xfId="19509"/>
    <cellStyle name="40% - Accent1 4 2 2 2 2 2 9" xfId="19510"/>
    <cellStyle name="40% - Accent1 4 2 2 2 2 3" xfId="19511"/>
    <cellStyle name="40% - Accent1 4 2 2 2 2 3 2" xfId="19512"/>
    <cellStyle name="40% - Accent1 4 2 2 2 2 3 2 2" xfId="19513"/>
    <cellStyle name="40% - Accent1 4 2 2 2 2 3 2 3" xfId="19514"/>
    <cellStyle name="40% - Accent1 4 2 2 2 2 3 3" xfId="19515"/>
    <cellStyle name="40% - Accent1 4 2 2 2 2 3 3 2" xfId="19516"/>
    <cellStyle name="40% - Accent1 4 2 2 2 2 3 3 3" xfId="19517"/>
    <cellStyle name="40% - Accent1 4 2 2 2 2 3 4" xfId="19518"/>
    <cellStyle name="40% - Accent1 4 2 2 2 2 3 4 2" xfId="19519"/>
    <cellStyle name="40% - Accent1 4 2 2 2 2 3 5" xfId="19520"/>
    <cellStyle name="40% - Accent1 4 2 2 2 2 3 6" xfId="19521"/>
    <cellStyle name="40% - Accent1 4 2 2 2 2 4" xfId="19522"/>
    <cellStyle name="40% - Accent1 4 2 2 2 2 4 2" xfId="19523"/>
    <cellStyle name="40% - Accent1 4 2 2 2 2 4 2 2" xfId="19524"/>
    <cellStyle name="40% - Accent1 4 2 2 2 2 4 2 3" xfId="19525"/>
    <cellStyle name="40% - Accent1 4 2 2 2 2 4 3" xfId="19526"/>
    <cellStyle name="40% - Accent1 4 2 2 2 2 4 3 2" xfId="19527"/>
    <cellStyle name="40% - Accent1 4 2 2 2 2 4 3 3" xfId="19528"/>
    <cellStyle name="40% - Accent1 4 2 2 2 2 4 4" xfId="19529"/>
    <cellStyle name="40% - Accent1 4 2 2 2 2 4 4 2" xfId="19530"/>
    <cellStyle name="40% - Accent1 4 2 2 2 2 4 5" xfId="19531"/>
    <cellStyle name="40% - Accent1 4 2 2 2 2 4 6" xfId="19532"/>
    <cellStyle name="40% - Accent1 4 2 2 2 2 5" xfId="19533"/>
    <cellStyle name="40% - Accent1 4 2 2 2 2 5 2" xfId="19534"/>
    <cellStyle name="40% - Accent1 4 2 2 2 2 5 2 2" xfId="19535"/>
    <cellStyle name="40% - Accent1 4 2 2 2 2 5 2 3" xfId="19536"/>
    <cellStyle name="40% - Accent1 4 2 2 2 2 5 3" xfId="19537"/>
    <cellStyle name="40% - Accent1 4 2 2 2 2 5 3 2" xfId="19538"/>
    <cellStyle name="40% - Accent1 4 2 2 2 2 5 4" xfId="19539"/>
    <cellStyle name="40% - Accent1 4 2 2 2 2 5 5" xfId="19540"/>
    <cellStyle name="40% - Accent1 4 2 2 2 2 6" xfId="19541"/>
    <cellStyle name="40% - Accent1 4 2 2 2 2 6 2" xfId="19542"/>
    <cellStyle name="40% - Accent1 4 2 2 2 2 6 3" xfId="19543"/>
    <cellStyle name="40% - Accent1 4 2 2 2 2 7" xfId="19544"/>
    <cellStyle name="40% - Accent1 4 2 2 2 2 7 2" xfId="19545"/>
    <cellStyle name="40% - Accent1 4 2 2 2 2 7 3" xfId="19546"/>
    <cellStyle name="40% - Accent1 4 2 2 2 2 8" xfId="19547"/>
    <cellStyle name="40% - Accent1 4 2 2 2 2 8 2" xfId="19548"/>
    <cellStyle name="40% - Accent1 4 2 2 2 2 9" xfId="19549"/>
    <cellStyle name="40% - Accent1 4 2 2 2 3" xfId="1568"/>
    <cellStyle name="40% - Accent1 4 2 2 2 3 2" xfId="19550"/>
    <cellStyle name="40% - Accent1 4 2 2 2 3 2 2" xfId="19551"/>
    <cellStyle name="40% - Accent1 4 2 2 2 3 2 2 2" xfId="19552"/>
    <cellStyle name="40% - Accent1 4 2 2 2 3 2 2 3" xfId="19553"/>
    <cellStyle name="40% - Accent1 4 2 2 2 3 2 3" xfId="19554"/>
    <cellStyle name="40% - Accent1 4 2 2 2 3 2 3 2" xfId="19555"/>
    <cellStyle name="40% - Accent1 4 2 2 2 3 2 3 3" xfId="19556"/>
    <cellStyle name="40% - Accent1 4 2 2 2 3 2 4" xfId="19557"/>
    <cellStyle name="40% - Accent1 4 2 2 2 3 2 4 2" xfId="19558"/>
    <cellStyle name="40% - Accent1 4 2 2 2 3 2 5" xfId="19559"/>
    <cellStyle name="40% - Accent1 4 2 2 2 3 2 6" xfId="19560"/>
    <cellStyle name="40% - Accent1 4 2 2 2 3 3" xfId="19561"/>
    <cellStyle name="40% - Accent1 4 2 2 2 3 3 2" xfId="19562"/>
    <cellStyle name="40% - Accent1 4 2 2 2 3 3 2 2" xfId="19563"/>
    <cellStyle name="40% - Accent1 4 2 2 2 3 3 2 3" xfId="19564"/>
    <cellStyle name="40% - Accent1 4 2 2 2 3 3 3" xfId="19565"/>
    <cellStyle name="40% - Accent1 4 2 2 2 3 3 3 2" xfId="19566"/>
    <cellStyle name="40% - Accent1 4 2 2 2 3 3 3 3" xfId="19567"/>
    <cellStyle name="40% - Accent1 4 2 2 2 3 3 4" xfId="19568"/>
    <cellStyle name="40% - Accent1 4 2 2 2 3 3 4 2" xfId="19569"/>
    <cellStyle name="40% - Accent1 4 2 2 2 3 3 5" xfId="19570"/>
    <cellStyle name="40% - Accent1 4 2 2 2 3 3 6" xfId="19571"/>
    <cellStyle name="40% - Accent1 4 2 2 2 3 4" xfId="19572"/>
    <cellStyle name="40% - Accent1 4 2 2 2 3 4 2" xfId="19573"/>
    <cellStyle name="40% - Accent1 4 2 2 2 3 4 2 2" xfId="19574"/>
    <cellStyle name="40% - Accent1 4 2 2 2 3 4 2 3" xfId="19575"/>
    <cellStyle name="40% - Accent1 4 2 2 2 3 4 3" xfId="19576"/>
    <cellStyle name="40% - Accent1 4 2 2 2 3 4 3 2" xfId="19577"/>
    <cellStyle name="40% - Accent1 4 2 2 2 3 4 4" xfId="19578"/>
    <cellStyle name="40% - Accent1 4 2 2 2 3 4 5" xfId="19579"/>
    <cellStyle name="40% - Accent1 4 2 2 2 3 5" xfId="19580"/>
    <cellStyle name="40% - Accent1 4 2 2 2 3 5 2" xfId="19581"/>
    <cellStyle name="40% - Accent1 4 2 2 2 3 5 3" xfId="19582"/>
    <cellStyle name="40% - Accent1 4 2 2 2 3 6" xfId="19583"/>
    <cellStyle name="40% - Accent1 4 2 2 2 3 6 2" xfId="19584"/>
    <cellStyle name="40% - Accent1 4 2 2 2 3 6 3" xfId="19585"/>
    <cellStyle name="40% - Accent1 4 2 2 2 3 7" xfId="19586"/>
    <cellStyle name="40% - Accent1 4 2 2 2 3 7 2" xfId="19587"/>
    <cellStyle name="40% - Accent1 4 2 2 2 3 8" xfId="19588"/>
    <cellStyle name="40% - Accent1 4 2 2 2 3 9" xfId="19589"/>
    <cellStyle name="40% - Accent1 4 2 2 2 4" xfId="19590"/>
    <cellStyle name="40% - Accent1 4 2 2 2 4 2" xfId="19591"/>
    <cellStyle name="40% - Accent1 4 2 2 2 4 2 2" xfId="19592"/>
    <cellStyle name="40% - Accent1 4 2 2 2 4 2 2 2" xfId="19593"/>
    <cellStyle name="40% - Accent1 4 2 2 2 4 2 2 3" xfId="19594"/>
    <cellStyle name="40% - Accent1 4 2 2 2 4 2 3" xfId="19595"/>
    <cellStyle name="40% - Accent1 4 2 2 2 4 2 3 2" xfId="19596"/>
    <cellStyle name="40% - Accent1 4 2 2 2 4 2 3 3" xfId="19597"/>
    <cellStyle name="40% - Accent1 4 2 2 2 4 2 4" xfId="19598"/>
    <cellStyle name="40% - Accent1 4 2 2 2 4 2 4 2" xfId="19599"/>
    <cellStyle name="40% - Accent1 4 2 2 2 4 2 5" xfId="19600"/>
    <cellStyle name="40% - Accent1 4 2 2 2 4 2 6" xfId="19601"/>
    <cellStyle name="40% - Accent1 4 2 2 2 4 3" xfId="19602"/>
    <cellStyle name="40% - Accent1 4 2 2 2 4 3 2" xfId="19603"/>
    <cellStyle name="40% - Accent1 4 2 2 2 4 3 2 2" xfId="19604"/>
    <cellStyle name="40% - Accent1 4 2 2 2 4 3 2 3" xfId="19605"/>
    <cellStyle name="40% - Accent1 4 2 2 2 4 3 3" xfId="19606"/>
    <cellStyle name="40% - Accent1 4 2 2 2 4 3 3 2" xfId="19607"/>
    <cellStyle name="40% - Accent1 4 2 2 2 4 3 3 3" xfId="19608"/>
    <cellStyle name="40% - Accent1 4 2 2 2 4 3 4" xfId="19609"/>
    <cellStyle name="40% - Accent1 4 2 2 2 4 3 4 2" xfId="19610"/>
    <cellStyle name="40% - Accent1 4 2 2 2 4 3 5" xfId="19611"/>
    <cellStyle name="40% - Accent1 4 2 2 2 4 3 6" xfId="19612"/>
    <cellStyle name="40% - Accent1 4 2 2 2 4 4" xfId="19613"/>
    <cellStyle name="40% - Accent1 4 2 2 2 4 4 2" xfId="19614"/>
    <cellStyle name="40% - Accent1 4 2 2 2 4 4 2 2" xfId="19615"/>
    <cellStyle name="40% - Accent1 4 2 2 2 4 4 2 3" xfId="19616"/>
    <cellStyle name="40% - Accent1 4 2 2 2 4 4 3" xfId="19617"/>
    <cellStyle name="40% - Accent1 4 2 2 2 4 4 3 2" xfId="19618"/>
    <cellStyle name="40% - Accent1 4 2 2 2 4 4 4" xfId="19619"/>
    <cellStyle name="40% - Accent1 4 2 2 2 4 4 5" xfId="19620"/>
    <cellStyle name="40% - Accent1 4 2 2 2 4 5" xfId="19621"/>
    <cellStyle name="40% - Accent1 4 2 2 2 4 5 2" xfId="19622"/>
    <cellStyle name="40% - Accent1 4 2 2 2 4 5 3" xfId="19623"/>
    <cellStyle name="40% - Accent1 4 2 2 2 4 6" xfId="19624"/>
    <cellStyle name="40% - Accent1 4 2 2 2 4 6 2" xfId="19625"/>
    <cellStyle name="40% - Accent1 4 2 2 2 4 6 3" xfId="19626"/>
    <cellStyle name="40% - Accent1 4 2 2 2 4 7" xfId="19627"/>
    <cellStyle name="40% - Accent1 4 2 2 2 4 7 2" xfId="19628"/>
    <cellStyle name="40% - Accent1 4 2 2 2 4 8" xfId="19629"/>
    <cellStyle name="40% - Accent1 4 2 2 2 4 9" xfId="19630"/>
    <cellStyle name="40% - Accent1 4 2 2 2 5" xfId="19631"/>
    <cellStyle name="40% - Accent1 4 2 2 2 5 2" xfId="19632"/>
    <cellStyle name="40% - Accent1 4 2 2 2 5 2 2" xfId="19633"/>
    <cellStyle name="40% - Accent1 4 2 2 2 5 2 3" xfId="19634"/>
    <cellStyle name="40% - Accent1 4 2 2 2 5 3" xfId="19635"/>
    <cellStyle name="40% - Accent1 4 2 2 2 5 3 2" xfId="19636"/>
    <cellStyle name="40% - Accent1 4 2 2 2 5 3 3" xfId="19637"/>
    <cellStyle name="40% - Accent1 4 2 2 2 5 4" xfId="19638"/>
    <cellStyle name="40% - Accent1 4 2 2 2 5 4 2" xfId="19639"/>
    <cellStyle name="40% - Accent1 4 2 2 2 5 5" xfId="19640"/>
    <cellStyle name="40% - Accent1 4 2 2 2 5 6" xfId="19641"/>
    <cellStyle name="40% - Accent1 4 2 2 2 6" xfId="19642"/>
    <cellStyle name="40% - Accent1 4 2 2 2 6 2" xfId="19643"/>
    <cellStyle name="40% - Accent1 4 2 2 2 6 2 2" xfId="19644"/>
    <cellStyle name="40% - Accent1 4 2 2 2 6 2 3" xfId="19645"/>
    <cellStyle name="40% - Accent1 4 2 2 2 6 3" xfId="19646"/>
    <cellStyle name="40% - Accent1 4 2 2 2 6 3 2" xfId="19647"/>
    <cellStyle name="40% - Accent1 4 2 2 2 6 3 3" xfId="19648"/>
    <cellStyle name="40% - Accent1 4 2 2 2 6 4" xfId="19649"/>
    <cellStyle name="40% - Accent1 4 2 2 2 6 4 2" xfId="19650"/>
    <cellStyle name="40% - Accent1 4 2 2 2 6 5" xfId="19651"/>
    <cellStyle name="40% - Accent1 4 2 2 2 6 6" xfId="19652"/>
    <cellStyle name="40% - Accent1 4 2 2 2 7" xfId="19653"/>
    <cellStyle name="40% - Accent1 4 2 2 2 7 2" xfId="19654"/>
    <cellStyle name="40% - Accent1 4 2 2 2 7 2 2" xfId="19655"/>
    <cellStyle name="40% - Accent1 4 2 2 2 7 2 3" xfId="19656"/>
    <cellStyle name="40% - Accent1 4 2 2 2 7 3" xfId="19657"/>
    <cellStyle name="40% - Accent1 4 2 2 2 7 3 2" xfId="19658"/>
    <cellStyle name="40% - Accent1 4 2 2 2 7 4" xfId="19659"/>
    <cellStyle name="40% - Accent1 4 2 2 2 7 5" xfId="19660"/>
    <cellStyle name="40% - Accent1 4 2 2 2 8" xfId="19661"/>
    <cellStyle name="40% - Accent1 4 2 2 2 8 2" xfId="19662"/>
    <cellStyle name="40% - Accent1 4 2 2 2 8 3" xfId="19663"/>
    <cellStyle name="40% - Accent1 4 2 2 2 9" xfId="19664"/>
    <cellStyle name="40% - Accent1 4 2 2 2 9 2" xfId="19665"/>
    <cellStyle name="40% - Accent1 4 2 2 2 9 3" xfId="19666"/>
    <cellStyle name="40% - Accent1 4 2 2 3" xfId="1569"/>
    <cellStyle name="40% - Accent1 4 2 2 3 10" xfId="19667"/>
    <cellStyle name="40% - Accent1 4 2 2 3 2" xfId="1570"/>
    <cellStyle name="40% - Accent1 4 2 2 3 2 2" xfId="19668"/>
    <cellStyle name="40% - Accent1 4 2 2 3 2 2 2" xfId="19669"/>
    <cellStyle name="40% - Accent1 4 2 2 3 2 2 2 2" xfId="19670"/>
    <cellStyle name="40% - Accent1 4 2 2 3 2 2 2 3" xfId="19671"/>
    <cellStyle name="40% - Accent1 4 2 2 3 2 2 3" xfId="19672"/>
    <cellStyle name="40% - Accent1 4 2 2 3 2 2 3 2" xfId="19673"/>
    <cellStyle name="40% - Accent1 4 2 2 3 2 2 3 3" xfId="19674"/>
    <cellStyle name="40% - Accent1 4 2 2 3 2 2 4" xfId="19675"/>
    <cellStyle name="40% - Accent1 4 2 2 3 2 2 4 2" xfId="19676"/>
    <cellStyle name="40% - Accent1 4 2 2 3 2 2 5" xfId="19677"/>
    <cellStyle name="40% - Accent1 4 2 2 3 2 2 6" xfId="19678"/>
    <cellStyle name="40% - Accent1 4 2 2 3 2 3" xfId="19679"/>
    <cellStyle name="40% - Accent1 4 2 2 3 2 3 2" xfId="19680"/>
    <cellStyle name="40% - Accent1 4 2 2 3 2 3 2 2" xfId="19681"/>
    <cellStyle name="40% - Accent1 4 2 2 3 2 3 2 3" xfId="19682"/>
    <cellStyle name="40% - Accent1 4 2 2 3 2 3 3" xfId="19683"/>
    <cellStyle name="40% - Accent1 4 2 2 3 2 3 3 2" xfId="19684"/>
    <cellStyle name="40% - Accent1 4 2 2 3 2 3 3 3" xfId="19685"/>
    <cellStyle name="40% - Accent1 4 2 2 3 2 3 4" xfId="19686"/>
    <cellStyle name="40% - Accent1 4 2 2 3 2 3 4 2" xfId="19687"/>
    <cellStyle name="40% - Accent1 4 2 2 3 2 3 5" xfId="19688"/>
    <cellStyle name="40% - Accent1 4 2 2 3 2 3 6" xfId="19689"/>
    <cellStyle name="40% - Accent1 4 2 2 3 2 4" xfId="19690"/>
    <cellStyle name="40% - Accent1 4 2 2 3 2 4 2" xfId="19691"/>
    <cellStyle name="40% - Accent1 4 2 2 3 2 4 2 2" xfId="19692"/>
    <cellStyle name="40% - Accent1 4 2 2 3 2 4 2 3" xfId="19693"/>
    <cellStyle name="40% - Accent1 4 2 2 3 2 4 3" xfId="19694"/>
    <cellStyle name="40% - Accent1 4 2 2 3 2 4 3 2" xfId="19695"/>
    <cellStyle name="40% - Accent1 4 2 2 3 2 4 4" xfId="19696"/>
    <cellStyle name="40% - Accent1 4 2 2 3 2 4 5" xfId="19697"/>
    <cellStyle name="40% - Accent1 4 2 2 3 2 5" xfId="19698"/>
    <cellStyle name="40% - Accent1 4 2 2 3 2 5 2" xfId="19699"/>
    <cellStyle name="40% - Accent1 4 2 2 3 2 5 3" xfId="19700"/>
    <cellStyle name="40% - Accent1 4 2 2 3 2 6" xfId="19701"/>
    <cellStyle name="40% - Accent1 4 2 2 3 2 6 2" xfId="19702"/>
    <cellStyle name="40% - Accent1 4 2 2 3 2 6 3" xfId="19703"/>
    <cellStyle name="40% - Accent1 4 2 2 3 2 7" xfId="19704"/>
    <cellStyle name="40% - Accent1 4 2 2 3 2 7 2" xfId="19705"/>
    <cellStyle name="40% - Accent1 4 2 2 3 2 8" xfId="19706"/>
    <cellStyle name="40% - Accent1 4 2 2 3 2 9" xfId="19707"/>
    <cellStyle name="40% - Accent1 4 2 2 3 3" xfId="19708"/>
    <cellStyle name="40% - Accent1 4 2 2 3 3 2" xfId="19709"/>
    <cellStyle name="40% - Accent1 4 2 2 3 3 2 2" xfId="19710"/>
    <cellStyle name="40% - Accent1 4 2 2 3 3 2 3" xfId="19711"/>
    <cellStyle name="40% - Accent1 4 2 2 3 3 3" xfId="19712"/>
    <cellStyle name="40% - Accent1 4 2 2 3 3 3 2" xfId="19713"/>
    <cellStyle name="40% - Accent1 4 2 2 3 3 3 3" xfId="19714"/>
    <cellStyle name="40% - Accent1 4 2 2 3 3 4" xfId="19715"/>
    <cellStyle name="40% - Accent1 4 2 2 3 3 4 2" xfId="19716"/>
    <cellStyle name="40% - Accent1 4 2 2 3 3 5" xfId="19717"/>
    <cellStyle name="40% - Accent1 4 2 2 3 3 6" xfId="19718"/>
    <cellStyle name="40% - Accent1 4 2 2 3 4" xfId="19719"/>
    <cellStyle name="40% - Accent1 4 2 2 3 4 2" xfId="19720"/>
    <cellStyle name="40% - Accent1 4 2 2 3 4 2 2" xfId="19721"/>
    <cellStyle name="40% - Accent1 4 2 2 3 4 2 3" xfId="19722"/>
    <cellStyle name="40% - Accent1 4 2 2 3 4 3" xfId="19723"/>
    <cellStyle name="40% - Accent1 4 2 2 3 4 3 2" xfId="19724"/>
    <cellStyle name="40% - Accent1 4 2 2 3 4 3 3" xfId="19725"/>
    <cellStyle name="40% - Accent1 4 2 2 3 4 4" xfId="19726"/>
    <cellStyle name="40% - Accent1 4 2 2 3 4 4 2" xfId="19727"/>
    <cellStyle name="40% - Accent1 4 2 2 3 4 5" xfId="19728"/>
    <cellStyle name="40% - Accent1 4 2 2 3 4 6" xfId="19729"/>
    <cellStyle name="40% - Accent1 4 2 2 3 5" xfId="19730"/>
    <cellStyle name="40% - Accent1 4 2 2 3 5 2" xfId="19731"/>
    <cellStyle name="40% - Accent1 4 2 2 3 5 2 2" xfId="19732"/>
    <cellStyle name="40% - Accent1 4 2 2 3 5 2 3" xfId="19733"/>
    <cellStyle name="40% - Accent1 4 2 2 3 5 3" xfId="19734"/>
    <cellStyle name="40% - Accent1 4 2 2 3 5 3 2" xfId="19735"/>
    <cellStyle name="40% - Accent1 4 2 2 3 5 4" xfId="19736"/>
    <cellStyle name="40% - Accent1 4 2 2 3 5 5" xfId="19737"/>
    <cellStyle name="40% - Accent1 4 2 2 3 6" xfId="19738"/>
    <cellStyle name="40% - Accent1 4 2 2 3 6 2" xfId="19739"/>
    <cellStyle name="40% - Accent1 4 2 2 3 6 3" xfId="19740"/>
    <cellStyle name="40% - Accent1 4 2 2 3 7" xfId="19741"/>
    <cellStyle name="40% - Accent1 4 2 2 3 7 2" xfId="19742"/>
    <cellStyle name="40% - Accent1 4 2 2 3 7 3" xfId="19743"/>
    <cellStyle name="40% - Accent1 4 2 2 3 8" xfId="19744"/>
    <cellStyle name="40% - Accent1 4 2 2 3 8 2" xfId="19745"/>
    <cellStyle name="40% - Accent1 4 2 2 3 9" xfId="19746"/>
    <cellStyle name="40% - Accent1 4 2 2 4" xfId="1571"/>
    <cellStyle name="40% - Accent1 4 2 2 4 2" xfId="19747"/>
    <cellStyle name="40% - Accent1 4 2 2 4 2 2" xfId="19748"/>
    <cellStyle name="40% - Accent1 4 2 2 4 2 2 2" xfId="19749"/>
    <cellStyle name="40% - Accent1 4 2 2 4 2 2 3" xfId="19750"/>
    <cellStyle name="40% - Accent1 4 2 2 4 2 3" xfId="19751"/>
    <cellStyle name="40% - Accent1 4 2 2 4 2 3 2" xfId="19752"/>
    <cellStyle name="40% - Accent1 4 2 2 4 2 3 3" xfId="19753"/>
    <cellStyle name="40% - Accent1 4 2 2 4 2 4" xfId="19754"/>
    <cellStyle name="40% - Accent1 4 2 2 4 2 4 2" xfId="19755"/>
    <cellStyle name="40% - Accent1 4 2 2 4 2 5" xfId="19756"/>
    <cellStyle name="40% - Accent1 4 2 2 4 2 6" xfId="19757"/>
    <cellStyle name="40% - Accent1 4 2 2 4 3" xfId="19758"/>
    <cellStyle name="40% - Accent1 4 2 2 4 3 2" xfId="19759"/>
    <cellStyle name="40% - Accent1 4 2 2 4 3 2 2" xfId="19760"/>
    <cellStyle name="40% - Accent1 4 2 2 4 3 2 3" xfId="19761"/>
    <cellStyle name="40% - Accent1 4 2 2 4 3 3" xfId="19762"/>
    <cellStyle name="40% - Accent1 4 2 2 4 3 3 2" xfId="19763"/>
    <cellStyle name="40% - Accent1 4 2 2 4 3 3 3" xfId="19764"/>
    <cellStyle name="40% - Accent1 4 2 2 4 3 4" xfId="19765"/>
    <cellStyle name="40% - Accent1 4 2 2 4 3 4 2" xfId="19766"/>
    <cellStyle name="40% - Accent1 4 2 2 4 3 5" xfId="19767"/>
    <cellStyle name="40% - Accent1 4 2 2 4 3 6" xfId="19768"/>
    <cellStyle name="40% - Accent1 4 2 2 4 4" xfId="19769"/>
    <cellStyle name="40% - Accent1 4 2 2 4 4 2" xfId="19770"/>
    <cellStyle name="40% - Accent1 4 2 2 4 4 2 2" xfId="19771"/>
    <cellStyle name="40% - Accent1 4 2 2 4 4 2 3" xfId="19772"/>
    <cellStyle name="40% - Accent1 4 2 2 4 4 3" xfId="19773"/>
    <cellStyle name="40% - Accent1 4 2 2 4 4 3 2" xfId="19774"/>
    <cellStyle name="40% - Accent1 4 2 2 4 4 4" xfId="19775"/>
    <cellStyle name="40% - Accent1 4 2 2 4 4 5" xfId="19776"/>
    <cellStyle name="40% - Accent1 4 2 2 4 5" xfId="19777"/>
    <cellStyle name="40% - Accent1 4 2 2 4 5 2" xfId="19778"/>
    <cellStyle name="40% - Accent1 4 2 2 4 5 3" xfId="19779"/>
    <cellStyle name="40% - Accent1 4 2 2 4 6" xfId="19780"/>
    <cellStyle name="40% - Accent1 4 2 2 4 6 2" xfId="19781"/>
    <cellStyle name="40% - Accent1 4 2 2 4 6 3" xfId="19782"/>
    <cellStyle name="40% - Accent1 4 2 2 4 7" xfId="19783"/>
    <cellStyle name="40% - Accent1 4 2 2 4 7 2" xfId="19784"/>
    <cellStyle name="40% - Accent1 4 2 2 4 8" xfId="19785"/>
    <cellStyle name="40% - Accent1 4 2 2 4 9" xfId="19786"/>
    <cellStyle name="40% - Accent1 4 2 2 5" xfId="19787"/>
    <cellStyle name="40% - Accent1 4 2 2 5 2" xfId="19788"/>
    <cellStyle name="40% - Accent1 4 2 2 5 2 2" xfId="19789"/>
    <cellStyle name="40% - Accent1 4 2 2 5 2 2 2" xfId="19790"/>
    <cellStyle name="40% - Accent1 4 2 2 5 2 2 3" xfId="19791"/>
    <cellStyle name="40% - Accent1 4 2 2 5 2 3" xfId="19792"/>
    <cellStyle name="40% - Accent1 4 2 2 5 2 3 2" xfId="19793"/>
    <cellStyle name="40% - Accent1 4 2 2 5 2 3 3" xfId="19794"/>
    <cellStyle name="40% - Accent1 4 2 2 5 2 4" xfId="19795"/>
    <cellStyle name="40% - Accent1 4 2 2 5 2 4 2" xfId="19796"/>
    <cellStyle name="40% - Accent1 4 2 2 5 2 5" xfId="19797"/>
    <cellStyle name="40% - Accent1 4 2 2 5 2 6" xfId="19798"/>
    <cellStyle name="40% - Accent1 4 2 2 5 3" xfId="19799"/>
    <cellStyle name="40% - Accent1 4 2 2 5 3 2" xfId="19800"/>
    <cellStyle name="40% - Accent1 4 2 2 5 3 2 2" xfId="19801"/>
    <cellStyle name="40% - Accent1 4 2 2 5 3 2 3" xfId="19802"/>
    <cellStyle name="40% - Accent1 4 2 2 5 3 3" xfId="19803"/>
    <cellStyle name="40% - Accent1 4 2 2 5 3 3 2" xfId="19804"/>
    <cellStyle name="40% - Accent1 4 2 2 5 3 3 3" xfId="19805"/>
    <cellStyle name="40% - Accent1 4 2 2 5 3 4" xfId="19806"/>
    <cellStyle name="40% - Accent1 4 2 2 5 3 4 2" xfId="19807"/>
    <cellStyle name="40% - Accent1 4 2 2 5 3 5" xfId="19808"/>
    <cellStyle name="40% - Accent1 4 2 2 5 3 6" xfId="19809"/>
    <cellStyle name="40% - Accent1 4 2 2 5 4" xfId="19810"/>
    <cellStyle name="40% - Accent1 4 2 2 5 4 2" xfId="19811"/>
    <cellStyle name="40% - Accent1 4 2 2 5 4 2 2" xfId="19812"/>
    <cellStyle name="40% - Accent1 4 2 2 5 4 2 3" xfId="19813"/>
    <cellStyle name="40% - Accent1 4 2 2 5 4 3" xfId="19814"/>
    <cellStyle name="40% - Accent1 4 2 2 5 4 3 2" xfId="19815"/>
    <cellStyle name="40% - Accent1 4 2 2 5 4 4" xfId="19816"/>
    <cellStyle name="40% - Accent1 4 2 2 5 4 5" xfId="19817"/>
    <cellStyle name="40% - Accent1 4 2 2 5 5" xfId="19818"/>
    <cellStyle name="40% - Accent1 4 2 2 5 5 2" xfId="19819"/>
    <cellStyle name="40% - Accent1 4 2 2 5 5 3" xfId="19820"/>
    <cellStyle name="40% - Accent1 4 2 2 5 6" xfId="19821"/>
    <cellStyle name="40% - Accent1 4 2 2 5 6 2" xfId="19822"/>
    <cellStyle name="40% - Accent1 4 2 2 5 6 3" xfId="19823"/>
    <cellStyle name="40% - Accent1 4 2 2 5 7" xfId="19824"/>
    <cellStyle name="40% - Accent1 4 2 2 5 7 2" xfId="19825"/>
    <cellStyle name="40% - Accent1 4 2 2 5 8" xfId="19826"/>
    <cellStyle name="40% - Accent1 4 2 2 5 9" xfId="19827"/>
    <cellStyle name="40% - Accent1 4 2 2 6" xfId="19828"/>
    <cellStyle name="40% - Accent1 4 2 2 6 2" xfId="19829"/>
    <cellStyle name="40% - Accent1 4 2 2 6 2 2" xfId="19830"/>
    <cellStyle name="40% - Accent1 4 2 2 6 2 3" xfId="19831"/>
    <cellStyle name="40% - Accent1 4 2 2 6 3" xfId="19832"/>
    <cellStyle name="40% - Accent1 4 2 2 6 3 2" xfId="19833"/>
    <cellStyle name="40% - Accent1 4 2 2 6 3 3" xfId="19834"/>
    <cellStyle name="40% - Accent1 4 2 2 6 4" xfId="19835"/>
    <cellStyle name="40% - Accent1 4 2 2 6 4 2" xfId="19836"/>
    <cellStyle name="40% - Accent1 4 2 2 6 5" xfId="19837"/>
    <cellStyle name="40% - Accent1 4 2 2 6 6" xfId="19838"/>
    <cellStyle name="40% - Accent1 4 2 2 7" xfId="19839"/>
    <cellStyle name="40% - Accent1 4 2 2 7 2" xfId="19840"/>
    <cellStyle name="40% - Accent1 4 2 2 7 2 2" xfId="19841"/>
    <cellStyle name="40% - Accent1 4 2 2 7 2 3" xfId="19842"/>
    <cellStyle name="40% - Accent1 4 2 2 7 3" xfId="19843"/>
    <cellStyle name="40% - Accent1 4 2 2 7 3 2" xfId="19844"/>
    <cellStyle name="40% - Accent1 4 2 2 7 3 3" xfId="19845"/>
    <cellStyle name="40% - Accent1 4 2 2 7 4" xfId="19846"/>
    <cellStyle name="40% - Accent1 4 2 2 7 4 2" xfId="19847"/>
    <cellStyle name="40% - Accent1 4 2 2 7 5" xfId="19848"/>
    <cellStyle name="40% - Accent1 4 2 2 7 6" xfId="19849"/>
    <cellStyle name="40% - Accent1 4 2 2 8" xfId="19850"/>
    <cellStyle name="40% - Accent1 4 2 2 8 2" xfId="19851"/>
    <cellStyle name="40% - Accent1 4 2 2 8 2 2" xfId="19852"/>
    <cellStyle name="40% - Accent1 4 2 2 8 2 3" xfId="19853"/>
    <cellStyle name="40% - Accent1 4 2 2 8 3" xfId="19854"/>
    <cellStyle name="40% - Accent1 4 2 2 8 3 2" xfId="19855"/>
    <cellStyle name="40% - Accent1 4 2 2 8 4" xfId="19856"/>
    <cellStyle name="40% - Accent1 4 2 2 8 5" xfId="19857"/>
    <cellStyle name="40% - Accent1 4 2 2 9" xfId="19858"/>
    <cellStyle name="40% - Accent1 4 2 2 9 2" xfId="19859"/>
    <cellStyle name="40% - Accent1 4 2 2 9 3" xfId="19860"/>
    <cellStyle name="40% - Accent1 4 2 3" xfId="1572"/>
    <cellStyle name="40% - Accent1 4 2 3 10" xfId="19861"/>
    <cellStyle name="40% - Accent1 4 2 3 10 2" xfId="19862"/>
    <cellStyle name="40% - Accent1 4 2 3 11" xfId="19863"/>
    <cellStyle name="40% - Accent1 4 2 3 12" xfId="19864"/>
    <cellStyle name="40% - Accent1 4 2 3 2" xfId="1573"/>
    <cellStyle name="40% - Accent1 4 2 3 2 10" xfId="19865"/>
    <cellStyle name="40% - Accent1 4 2 3 2 2" xfId="1574"/>
    <cellStyle name="40% - Accent1 4 2 3 2 2 2" xfId="19866"/>
    <cellStyle name="40% - Accent1 4 2 3 2 2 2 2" xfId="19867"/>
    <cellStyle name="40% - Accent1 4 2 3 2 2 2 2 2" xfId="19868"/>
    <cellStyle name="40% - Accent1 4 2 3 2 2 2 2 3" xfId="19869"/>
    <cellStyle name="40% - Accent1 4 2 3 2 2 2 3" xfId="19870"/>
    <cellStyle name="40% - Accent1 4 2 3 2 2 2 3 2" xfId="19871"/>
    <cellStyle name="40% - Accent1 4 2 3 2 2 2 3 3" xfId="19872"/>
    <cellStyle name="40% - Accent1 4 2 3 2 2 2 4" xfId="19873"/>
    <cellStyle name="40% - Accent1 4 2 3 2 2 2 4 2" xfId="19874"/>
    <cellStyle name="40% - Accent1 4 2 3 2 2 2 5" xfId="19875"/>
    <cellStyle name="40% - Accent1 4 2 3 2 2 2 6" xfId="19876"/>
    <cellStyle name="40% - Accent1 4 2 3 2 2 3" xfId="19877"/>
    <cellStyle name="40% - Accent1 4 2 3 2 2 3 2" xfId="19878"/>
    <cellStyle name="40% - Accent1 4 2 3 2 2 3 2 2" xfId="19879"/>
    <cellStyle name="40% - Accent1 4 2 3 2 2 3 2 3" xfId="19880"/>
    <cellStyle name="40% - Accent1 4 2 3 2 2 3 3" xfId="19881"/>
    <cellStyle name="40% - Accent1 4 2 3 2 2 3 3 2" xfId="19882"/>
    <cellStyle name="40% - Accent1 4 2 3 2 2 3 3 3" xfId="19883"/>
    <cellStyle name="40% - Accent1 4 2 3 2 2 3 4" xfId="19884"/>
    <cellStyle name="40% - Accent1 4 2 3 2 2 3 4 2" xfId="19885"/>
    <cellStyle name="40% - Accent1 4 2 3 2 2 3 5" xfId="19886"/>
    <cellStyle name="40% - Accent1 4 2 3 2 2 3 6" xfId="19887"/>
    <cellStyle name="40% - Accent1 4 2 3 2 2 4" xfId="19888"/>
    <cellStyle name="40% - Accent1 4 2 3 2 2 4 2" xfId="19889"/>
    <cellStyle name="40% - Accent1 4 2 3 2 2 4 2 2" xfId="19890"/>
    <cellStyle name="40% - Accent1 4 2 3 2 2 4 2 3" xfId="19891"/>
    <cellStyle name="40% - Accent1 4 2 3 2 2 4 3" xfId="19892"/>
    <cellStyle name="40% - Accent1 4 2 3 2 2 4 3 2" xfId="19893"/>
    <cellStyle name="40% - Accent1 4 2 3 2 2 4 4" xfId="19894"/>
    <cellStyle name="40% - Accent1 4 2 3 2 2 4 5" xfId="19895"/>
    <cellStyle name="40% - Accent1 4 2 3 2 2 5" xfId="19896"/>
    <cellStyle name="40% - Accent1 4 2 3 2 2 5 2" xfId="19897"/>
    <cellStyle name="40% - Accent1 4 2 3 2 2 5 3" xfId="19898"/>
    <cellStyle name="40% - Accent1 4 2 3 2 2 6" xfId="19899"/>
    <cellStyle name="40% - Accent1 4 2 3 2 2 6 2" xfId="19900"/>
    <cellStyle name="40% - Accent1 4 2 3 2 2 6 3" xfId="19901"/>
    <cellStyle name="40% - Accent1 4 2 3 2 2 7" xfId="19902"/>
    <cellStyle name="40% - Accent1 4 2 3 2 2 7 2" xfId="19903"/>
    <cellStyle name="40% - Accent1 4 2 3 2 2 8" xfId="19904"/>
    <cellStyle name="40% - Accent1 4 2 3 2 2 9" xfId="19905"/>
    <cellStyle name="40% - Accent1 4 2 3 2 3" xfId="19906"/>
    <cellStyle name="40% - Accent1 4 2 3 2 3 2" xfId="19907"/>
    <cellStyle name="40% - Accent1 4 2 3 2 3 2 2" xfId="19908"/>
    <cellStyle name="40% - Accent1 4 2 3 2 3 2 3" xfId="19909"/>
    <cellStyle name="40% - Accent1 4 2 3 2 3 3" xfId="19910"/>
    <cellStyle name="40% - Accent1 4 2 3 2 3 3 2" xfId="19911"/>
    <cellStyle name="40% - Accent1 4 2 3 2 3 3 3" xfId="19912"/>
    <cellStyle name="40% - Accent1 4 2 3 2 3 4" xfId="19913"/>
    <cellStyle name="40% - Accent1 4 2 3 2 3 4 2" xfId="19914"/>
    <cellStyle name="40% - Accent1 4 2 3 2 3 5" xfId="19915"/>
    <cellStyle name="40% - Accent1 4 2 3 2 3 6" xfId="19916"/>
    <cellStyle name="40% - Accent1 4 2 3 2 4" xfId="19917"/>
    <cellStyle name="40% - Accent1 4 2 3 2 4 2" xfId="19918"/>
    <cellStyle name="40% - Accent1 4 2 3 2 4 2 2" xfId="19919"/>
    <cellStyle name="40% - Accent1 4 2 3 2 4 2 3" xfId="19920"/>
    <cellStyle name="40% - Accent1 4 2 3 2 4 3" xfId="19921"/>
    <cellStyle name="40% - Accent1 4 2 3 2 4 3 2" xfId="19922"/>
    <cellStyle name="40% - Accent1 4 2 3 2 4 3 3" xfId="19923"/>
    <cellStyle name="40% - Accent1 4 2 3 2 4 4" xfId="19924"/>
    <cellStyle name="40% - Accent1 4 2 3 2 4 4 2" xfId="19925"/>
    <cellStyle name="40% - Accent1 4 2 3 2 4 5" xfId="19926"/>
    <cellStyle name="40% - Accent1 4 2 3 2 4 6" xfId="19927"/>
    <cellStyle name="40% - Accent1 4 2 3 2 5" xfId="19928"/>
    <cellStyle name="40% - Accent1 4 2 3 2 5 2" xfId="19929"/>
    <cellStyle name="40% - Accent1 4 2 3 2 5 2 2" xfId="19930"/>
    <cellStyle name="40% - Accent1 4 2 3 2 5 2 3" xfId="19931"/>
    <cellStyle name="40% - Accent1 4 2 3 2 5 3" xfId="19932"/>
    <cellStyle name="40% - Accent1 4 2 3 2 5 3 2" xfId="19933"/>
    <cellStyle name="40% - Accent1 4 2 3 2 5 4" xfId="19934"/>
    <cellStyle name="40% - Accent1 4 2 3 2 5 5" xfId="19935"/>
    <cellStyle name="40% - Accent1 4 2 3 2 6" xfId="19936"/>
    <cellStyle name="40% - Accent1 4 2 3 2 6 2" xfId="19937"/>
    <cellStyle name="40% - Accent1 4 2 3 2 6 3" xfId="19938"/>
    <cellStyle name="40% - Accent1 4 2 3 2 7" xfId="19939"/>
    <cellStyle name="40% - Accent1 4 2 3 2 7 2" xfId="19940"/>
    <cellStyle name="40% - Accent1 4 2 3 2 7 3" xfId="19941"/>
    <cellStyle name="40% - Accent1 4 2 3 2 8" xfId="19942"/>
    <cellStyle name="40% - Accent1 4 2 3 2 8 2" xfId="19943"/>
    <cellStyle name="40% - Accent1 4 2 3 2 9" xfId="19944"/>
    <cellStyle name="40% - Accent1 4 2 3 3" xfId="1575"/>
    <cellStyle name="40% - Accent1 4 2 3 3 2" xfId="19945"/>
    <cellStyle name="40% - Accent1 4 2 3 3 2 2" xfId="19946"/>
    <cellStyle name="40% - Accent1 4 2 3 3 2 2 2" xfId="19947"/>
    <cellStyle name="40% - Accent1 4 2 3 3 2 2 3" xfId="19948"/>
    <cellStyle name="40% - Accent1 4 2 3 3 2 3" xfId="19949"/>
    <cellStyle name="40% - Accent1 4 2 3 3 2 3 2" xfId="19950"/>
    <cellStyle name="40% - Accent1 4 2 3 3 2 3 3" xfId="19951"/>
    <cellStyle name="40% - Accent1 4 2 3 3 2 4" xfId="19952"/>
    <cellStyle name="40% - Accent1 4 2 3 3 2 4 2" xfId="19953"/>
    <cellStyle name="40% - Accent1 4 2 3 3 2 5" xfId="19954"/>
    <cellStyle name="40% - Accent1 4 2 3 3 2 6" xfId="19955"/>
    <cellStyle name="40% - Accent1 4 2 3 3 3" xfId="19956"/>
    <cellStyle name="40% - Accent1 4 2 3 3 3 2" xfId="19957"/>
    <cellStyle name="40% - Accent1 4 2 3 3 3 2 2" xfId="19958"/>
    <cellStyle name="40% - Accent1 4 2 3 3 3 2 3" xfId="19959"/>
    <cellStyle name="40% - Accent1 4 2 3 3 3 3" xfId="19960"/>
    <cellStyle name="40% - Accent1 4 2 3 3 3 3 2" xfId="19961"/>
    <cellStyle name="40% - Accent1 4 2 3 3 3 3 3" xfId="19962"/>
    <cellStyle name="40% - Accent1 4 2 3 3 3 4" xfId="19963"/>
    <cellStyle name="40% - Accent1 4 2 3 3 3 4 2" xfId="19964"/>
    <cellStyle name="40% - Accent1 4 2 3 3 3 5" xfId="19965"/>
    <cellStyle name="40% - Accent1 4 2 3 3 3 6" xfId="19966"/>
    <cellStyle name="40% - Accent1 4 2 3 3 4" xfId="19967"/>
    <cellStyle name="40% - Accent1 4 2 3 3 4 2" xfId="19968"/>
    <cellStyle name="40% - Accent1 4 2 3 3 4 2 2" xfId="19969"/>
    <cellStyle name="40% - Accent1 4 2 3 3 4 2 3" xfId="19970"/>
    <cellStyle name="40% - Accent1 4 2 3 3 4 3" xfId="19971"/>
    <cellStyle name="40% - Accent1 4 2 3 3 4 3 2" xfId="19972"/>
    <cellStyle name="40% - Accent1 4 2 3 3 4 4" xfId="19973"/>
    <cellStyle name="40% - Accent1 4 2 3 3 4 5" xfId="19974"/>
    <cellStyle name="40% - Accent1 4 2 3 3 5" xfId="19975"/>
    <cellStyle name="40% - Accent1 4 2 3 3 5 2" xfId="19976"/>
    <cellStyle name="40% - Accent1 4 2 3 3 5 3" xfId="19977"/>
    <cellStyle name="40% - Accent1 4 2 3 3 6" xfId="19978"/>
    <cellStyle name="40% - Accent1 4 2 3 3 6 2" xfId="19979"/>
    <cellStyle name="40% - Accent1 4 2 3 3 6 3" xfId="19980"/>
    <cellStyle name="40% - Accent1 4 2 3 3 7" xfId="19981"/>
    <cellStyle name="40% - Accent1 4 2 3 3 7 2" xfId="19982"/>
    <cellStyle name="40% - Accent1 4 2 3 3 8" xfId="19983"/>
    <cellStyle name="40% - Accent1 4 2 3 3 9" xfId="19984"/>
    <cellStyle name="40% - Accent1 4 2 3 4" xfId="19985"/>
    <cellStyle name="40% - Accent1 4 2 3 4 2" xfId="19986"/>
    <cellStyle name="40% - Accent1 4 2 3 4 2 2" xfId="19987"/>
    <cellStyle name="40% - Accent1 4 2 3 4 2 2 2" xfId="19988"/>
    <cellStyle name="40% - Accent1 4 2 3 4 2 2 3" xfId="19989"/>
    <cellStyle name="40% - Accent1 4 2 3 4 2 3" xfId="19990"/>
    <cellStyle name="40% - Accent1 4 2 3 4 2 3 2" xfId="19991"/>
    <cellStyle name="40% - Accent1 4 2 3 4 2 3 3" xfId="19992"/>
    <cellStyle name="40% - Accent1 4 2 3 4 2 4" xfId="19993"/>
    <cellStyle name="40% - Accent1 4 2 3 4 2 4 2" xfId="19994"/>
    <cellStyle name="40% - Accent1 4 2 3 4 2 5" xfId="19995"/>
    <cellStyle name="40% - Accent1 4 2 3 4 2 6" xfId="19996"/>
    <cellStyle name="40% - Accent1 4 2 3 4 3" xfId="19997"/>
    <cellStyle name="40% - Accent1 4 2 3 4 3 2" xfId="19998"/>
    <cellStyle name="40% - Accent1 4 2 3 4 3 2 2" xfId="19999"/>
    <cellStyle name="40% - Accent1 4 2 3 4 3 2 3" xfId="20000"/>
    <cellStyle name="40% - Accent1 4 2 3 4 3 3" xfId="20001"/>
    <cellStyle name="40% - Accent1 4 2 3 4 3 3 2" xfId="20002"/>
    <cellStyle name="40% - Accent1 4 2 3 4 3 3 3" xfId="20003"/>
    <cellStyle name="40% - Accent1 4 2 3 4 3 4" xfId="20004"/>
    <cellStyle name="40% - Accent1 4 2 3 4 3 4 2" xfId="20005"/>
    <cellStyle name="40% - Accent1 4 2 3 4 3 5" xfId="20006"/>
    <cellStyle name="40% - Accent1 4 2 3 4 3 6" xfId="20007"/>
    <cellStyle name="40% - Accent1 4 2 3 4 4" xfId="20008"/>
    <cellStyle name="40% - Accent1 4 2 3 4 4 2" xfId="20009"/>
    <cellStyle name="40% - Accent1 4 2 3 4 4 2 2" xfId="20010"/>
    <cellStyle name="40% - Accent1 4 2 3 4 4 2 3" xfId="20011"/>
    <cellStyle name="40% - Accent1 4 2 3 4 4 3" xfId="20012"/>
    <cellStyle name="40% - Accent1 4 2 3 4 4 3 2" xfId="20013"/>
    <cellStyle name="40% - Accent1 4 2 3 4 4 4" xfId="20014"/>
    <cellStyle name="40% - Accent1 4 2 3 4 4 5" xfId="20015"/>
    <cellStyle name="40% - Accent1 4 2 3 4 5" xfId="20016"/>
    <cellStyle name="40% - Accent1 4 2 3 4 5 2" xfId="20017"/>
    <cellStyle name="40% - Accent1 4 2 3 4 5 3" xfId="20018"/>
    <cellStyle name="40% - Accent1 4 2 3 4 6" xfId="20019"/>
    <cellStyle name="40% - Accent1 4 2 3 4 6 2" xfId="20020"/>
    <cellStyle name="40% - Accent1 4 2 3 4 6 3" xfId="20021"/>
    <cellStyle name="40% - Accent1 4 2 3 4 7" xfId="20022"/>
    <cellStyle name="40% - Accent1 4 2 3 4 7 2" xfId="20023"/>
    <cellStyle name="40% - Accent1 4 2 3 4 8" xfId="20024"/>
    <cellStyle name="40% - Accent1 4 2 3 4 9" xfId="20025"/>
    <cellStyle name="40% - Accent1 4 2 3 5" xfId="20026"/>
    <cellStyle name="40% - Accent1 4 2 3 5 2" xfId="20027"/>
    <cellStyle name="40% - Accent1 4 2 3 5 2 2" xfId="20028"/>
    <cellStyle name="40% - Accent1 4 2 3 5 2 3" xfId="20029"/>
    <cellStyle name="40% - Accent1 4 2 3 5 3" xfId="20030"/>
    <cellStyle name="40% - Accent1 4 2 3 5 3 2" xfId="20031"/>
    <cellStyle name="40% - Accent1 4 2 3 5 3 3" xfId="20032"/>
    <cellStyle name="40% - Accent1 4 2 3 5 4" xfId="20033"/>
    <cellStyle name="40% - Accent1 4 2 3 5 4 2" xfId="20034"/>
    <cellStyle name="40% - Accent1 4 2 3 5 5" xfId="20035"/>
    <cellStyle name="40% - Accent1 4 2 3 5 6" xfId="20036"/>
    <cellStyle name="40% - Accent1 4 2 3 6" xfId="20037"/>
    <cellStyle name="40% - Accent1 4 2 3 6 2" xfId="20038"/>
    <cellStyle name="40% - Accent1 4 2 3 6 2 2" xfId="20039"/>
    <cellStyle name="40% - Accent1 4 2 3 6 2 3" xfId="20040"/>
    <cellStyle name="40% - Accent1 4 2 3 6 3" xfId="20041"/>
    <cellStyle name="40% - Accent1 4 2 3 6 3 2" xfId="20042"/>
    <cellStyle name="40% - Accent1 4 2 3 6 3 3" xfId="20043"/>
    <cellStyle name="40% - Accent1 4 2 3 6 4" xfId="20044"/>
    <cellStyle name="40% - Accent1 4 2 3 6 4 2" xfId="20045"/>
    <cellStyle name="40% - Accent1 4 2 3 6 5" xfId="20046"/>
    <cellStyle name="40% - Accent1 4 2 3 6 6" xfId="20047"/>
    <cellStyle name="40% - Accent1 4 2 3 7" xfId="20048"/>
    <cellStyle name="40% - Accent1 4 2 3 7 2" xfId="20049"/>
    <cellStyle name="40% - Accent1 4 2 3 7 2 2" xfId="20050"/>
    <cellStyle name="40% - Accent1 4 2 3 7 2 3" xfId="20051"/>
    <cellStyle name="40% - Accent1 4 2 3 7 3" xfId="20052"/>
    <cellStyle name="40% - Accent1 4 2 3 7 3 2" xfId="20053"/>
    <cellStyle name="40% - Accent1 4 2 3 7 4" xfId="20054"/>
    <cellStyle name="40% - Accent1 4 2 3 7 5" xfId="20055"/>
    <cellStyle name="40% - Accent1 4 2 3 8" xfId="20056"/>
    <cellStyle name="40% - Accent1 4 2 3 8 2" xfId="20057"/>
    <cellStyle name="40% - Accent1 4 2 3 8 3" xfId="20058"/>
    <cellStyle name="40% - Accent1 4 2 3 9" xfId="20059"/>
    <cellStyle name="40% - Accent1 4 2 3 9 2" xfId="20060"/>
    <cellStyle name="40% - Accent1 4 2 3 9 3" xfId="20061"/>
    <cellStyle name="40% - Accent1 4 2 4" xfId="1576"/>
    <cellStyle name="40% - Accent1 4 2 4 10" xfId="20062"/>
    <cellStyle name="40% - Accent1 4 2 4 2" xfId="1577"/>
    <cellStyle name="40% - Accent1 4 2 4 2 2" xfId="20063"/>
    <cellStyle name="40% - Accent1 4 2 4 2 2 2" xfId="20064"/>
    <cellStyle name="40% - Accent1 4 2 4 2 2 2 2" xfId="20065"/>
    <cellStyle name="40% - Accent1 4 2 4 2 2 2 3" xfId="20066"/>
    <cellStyle name="40% - Accent1 4 2 4 2 2 3" xfId="20067"/>
    <cellStyle name="40% - Accent1 4 2 4 2 2 3 2" xfId="20068"/>
    <cellStyle name="40% - Accent1 4 2 4 2 2 3 3" xfId="20069"/>
    <cellStyle name="40% - Accent1 4 2 4 2 2 4" xfId="20070"/>
    <cellStyle name="40% - Accent1 4 2 4 2 2 4 2" xfId="20071"/>
    <cellStyle name="40% - Accent1 4 2 4 2 2 5" xfId="20072"/>
    <cellStyle name="40% - Accent1 4 2 4 2 2 6" xfId="20073"/>
    <cellStyle name="40% - Accent1 4 2 4 2 3" xfId="20074"/>
    <cellStyle name="40% - Accent1 4 2 4 2 3 2" xfId="20075"/>
    <cellStyle name="40% - Accent1 4 2 4 2 3 2 2" xfId="20076"/>
    <cellStyle name="40% - Accent1 4 2 4 2 3 2 3" xfId="20077"/>
    <cellStyle name="40% - Accent1 4 2 4 2 3 3" xfId="20078"/>
    <cellStyle name="40% - Accent1 4 2 4 2 3 3 2" xfId="20079"/>
    <cellStyle name="40% - Accent1 4 2 4 2 3 3 3" xfId="20080"/>
    <cellStyle name="40% - Accent1 4 2 4 2 3 4" xfId="20081"/>
    <cellStyle name="40% - Accent1 4 2 4 2 3 4 2" xfId="20082"/>
    <cellStyle name="40% - Accent1 4 2 4 2 3 5" xfId="20083"/>
    <cellStyle name="40% - Accent1 4 2 4 2 3 6" xfId="20084"/>
    <cellStyle name="40% - Accent1 4 2 4 2 4" xfId="20085"/>
    <cellStyle name="40% - Accent1 4 2 4 2 4 2" xfId="20086"/>
    <cellStyle name="40% - Accent1 4 2 4 2 4 2 2" xfId="20087"/>
    <cellStyle name="40% - Accent1 4 2 4 2 4 2 3" xfId="20088"/>
    <cellStyle name="40% - Accent1 4 2 4 2 4 3" xfId="20089"/>
    <cellStyle name="40% - Accent1 4 2 4 2 4 3 2" xfId="20090"/>
    <cellStyle name="40% - Accent1 4 2 4 2 4 4" xfId="20091"/>
    <cellStyle name="40% - Accent1 4 2 4 2 4 5" xfId="20092"/>
    <cellStyle name="40% - Accent1 4 2 4 2 5" xfId="20093"/>
    <cellStyle name="40% - Accent1 4 2 4 2 5 2" xfId="20094"/>
    <cellStyle name="40% - Accent1 4 2 4 2 5 3" xfId="20095"/>
    <cellStyle name="40% - Accent1 4 2 4 2 6" xfId="20096"/>
    <cellStyle name="40% - Accent1 4 2 4 2 6 2" xfId="20097"/>
    <cellStyle name="40% - Accent1 4 2 4 2 6 3" xfId="20098"/>
    <cellStyle name="40% - Accent1 4 2 4 2 7" xfId="20099"/>
    <cellStyle name="40% - Accent1 4 2 4 2 7 2" xfId="20100"/>
    <cellStyle name="40% - Accent1 4 2 4 2 8" xfId="20101"/>
    <cellStyle name="40% - Accent1 4 2 4 2 9" xfId="20102"/>
    <cellStyle name="40% - Accent1 4 2 4 3" xfId="20103"/>
    <cellStyle name="40% - Accent1 4 2 4 3 2" xfId="20104"/>
    <cellStyle name="40% - Accent1 4 2 4 3 2 2" xfId="20105"/>
    <cellStyle name="40% - Accent1 4 2 4 3 2 3" xfId="20106"/>
    <cellStyle name="40% - Accent1 4 2 4 3 3" xfId="20107"/>
    <cellStyle name="40% - Accent1 4 2 4 3 3 2" xfId="20108"/>
    <cellStyle name="40% - Accent1 4 2 4 3 3 3" xfId="20109"/>
    <cellStyle name="40% - Accent1 4 2 4 3 4" xfId="20110"/>
    <cellStyle name="40% - Accent1 4 2 4 3 4 2" xfId="20111"/>
    <cellStyle name="40% - Accent1 4 2 4 3 5" xfId="20112"/>
    <cellStyle name="40% - Accent1 4 2 4 3 6" xfId="20113"/>
    <cellStyle name="40% - Accent1 4 2 4 4" xfId="20114"/>
    <cellStyle name="40% - Accent1 4 2 4 4 2" xfId="20115"/>
    <cellStyle name="40% - Accent1 4 2 4 4 2 2" xfId="20116"/>
    <cellStyle name="40% - Accent1 4 2 4 4 2 3" xfId="20117"/>
    <cellStyle name="40% - Accent1 4 2 4 4 3" xfId="20118"/>
    <cellStyle name="40% - Accent1 4 2 4 4 3 2" xfId="20119"/>
    <cellStyle name="40% - Accent1 4 2 4 4 3 3" xfId="20120"/>
    <cellStyle name="40% - Accent1 4 2 4 4 4" xfId="20121"/>
    <cellStyle name="40% - Accent1 4 2 4 4 4 2" xfId="20122"/>
    <cellStyle name="40% - Accent1 4 2 4 4 5" xfId="20123"/>
    <cellStyle name="40% - Accent1 4 2 4 4 6" xfId="20124"/>
    <cellStyle name="40% - Accent1 4 2 4 5" xfId="20125"/>
    <cellStyle name="40% - Accent1 4 2 4 5 2" xfId="20126"/>
    <cellStyle name="40% - Accent1 4 2 4 5 2 2" xfId="20127"/>
    <cellStyle name="40% - Accent1 4 2 4 5 2 3" xfId="20128"/>
    <cellStyle name="40% - Accent1 4 2 4 5 3" xfId="20129"/>
    <cellStyle name="40% - Accent1 4 2 4 5 3 2" xfId="20130"/>
    <cellStyle name="40% - Accent1 4 2 4 5 4" xfId="20131"/>
    <cellStyle name="40% - Accent1 4 2 4 5 5" xfId="20132"/>
    <cellStyle name="40% - Accent1 4 2 4 6" xfId="20133"/>
    <cellStyle name="40% - Accent1 4 2 4 6 2" xfId="20134"/>
    <cellStyle name="40% - Accent1 4 2 4 6 3" xfId="20135"/>
    <cellStyle name="40% - Accent1 4 2 4 7" xfId="20136"/>
    <cellStyle name="40% - Accent1 4 2 4 7 2" xfId="20137"/>
    <cellStyle name="40% - Accent1 4 2 4 7 3" xfId="20138"/>
    <cellStyle name="40% - Accent1 4 2 4 8" xfId="20139"/>
    <cellStyle name="40% - Accent1 4 2 4 8 2" xfId="20140"/>
    <cellStyle name="40% - Accent1 4 2 4 9" xfId="20141"/>
    <cellStyle name="40% - Accent1 4 2 5" xfId="1578"/>
    <cellStyle name="40% - Accent1 4 2 5 2" xfId="20142"/>
    <cellStyle name="40% - Accent1 4 2 5 2 2" xfId="20143"/>
    <cellStyle name="40% - Accent1 4 2 5 2 2 2" xfId="20144"/>
    <cellStyle name="40% - Accent1 4 2 5 2 2 3" xfId="20145"/>
    <cellStyle name="40% - Accent1 4 2 5 2 3" xfId="20146"/>
    <cellStyle name="40% - Accent1 4 2 5 2 3 2" xfId="20147"/>
    <cellStyle name="40% - Accent1 4 2 5 2 3 3" xfId="20148"/>
    <cellStyle name="40% - Accent1 4 2 5 2 4" xfId="20149"/>
    <cellStyle name="40% - Accent1 4 2 5 2 4 2" xfId="20150"/>
    <cellStyle name="40% - Accent1 4 2 5 2 5" xfId="20151"/>
    <cellStyle name="40% - Accent1 4 2 5 2 6" xfId="20152"/>
    <cellStyle name="40% - Accent1 4 2 5 3" xfId="20153"/>
    <cellStyle name="40% - Accent1 4 2 5 3 2" xfId="20154"/>
    <cellStyle name="40% - Accent1 4 2 5 3 2 2" xfId="20155"/>
    <cellStyle name="40% - Accent1 4 2 5 3 2 3" xfId="20156"/>
    <cellStyle name="40% - Accent1 4 2 5 3 3" xfId="20157"/>
    <cellStyle name="40% - Accent1 4 2 5 3 3 2" xfId="20158"/>
    <cellStyle name="40% - Accent1 4 2 5 3 3 3" xfId="20159"/>
    <cellStyle name="40% - Accent1 4 2 5 3 4" xfId="20160"/>
    <cellStyle name="40% - Accent1 4 2 5 3 4 2" xfId="20161"/>
    <cellStyle name="40% - Accent1 4 2 5 3 5" xfId="20162"/>
    <cellStyle name="40% - Accent1 4 2 5 3 6" xfId="20163"/>
    <cellStyle name="40% - Accent1 4 2 5 4" xfId="20164"/>
    <cellStyle name="40% - Accent1 4 2 5 4 2" xfId="20165"/>
    <cellStyle name="40% - Accent1 4 2 5 4 2 2" xfId="20166"/>
    <cellStyle name="40% - Accent1 4 2 5 4 2 3" xfId="20167"/>
    <cellStyle name="40% - Accent1 4 2 5 4 3" xfId="20168"/>
    <cellStyle name="40% - Accent1 4 2 5 4 3 2" xfId="20169"/>
    <cellStyle name="40% - Accent1 4 2 5 4 4" xfId="20170"/>
    <cellStyle name="40% - Accent1 4 2 5 4 5" xfId="20171"/>
    <cellStyle name="40% - Accent1 4 2 5 5" xfId="20172"/>
    <cellStyle name="40% - Accent1 4 2 5 5 2" xfId="20173"/>
    <cellStyle name="40% - Accent1 4 2 5 5 3" xfId="20174"/>
    <cellStyle name="40% - Accent1 4 2 5 6" xfId="20175"/>
    <cellStyle name="40% - Accent1 4 2 5 6 2" xfId="20176"/>
    <cellStyle name="40% - Accent1 4 2 5 6 3" xfId="20177"/>
    <cellStyle name="40% - Accent1 4 2 5 7" xfId="20178"/>
    <cellStyle name="40% - Accent1 4 2 5 7 2" xfId="20179"/>
    <cellStyle name="40% - Accent1 4 2 5 8" xfId="20180"/>
    <cellStyle name="40% - Accent1 4 2 5 9" xfId="20181"/>
    <cellStyle name="40% - Accent1 4 2 6" xfId="20182"/>
    <cellStyle name="40% - Accent1 4 2 6 2" xfId="20183"/>
    <cellStyle name="40% - Accent1 4 2 6 2 2" xfId="20184"/>
    <cellStyle name="40% - Accent1 4 2 6 2 2 2" xfId="20185"/>
    <cellStyle name="40% - Accent1 4 2 6 2 2 3" xfId="20186"/>
    <cellStyle name="40% - Accent1 4 2 6 2 3" xfId="20187"/>
    <cellStyle name="40% - Accent1 4 2 6 2 3 2" xfId="20188"/>
    <cellStyle name="40% - Accent1 4 2 6 2 3 3" xfId="20189"/>
    <cellStyle name="40% - Accent1 4 2 6 2 4" xfId="20190"/>
    <cellStyle name="40% - Accent1 4 2 6 2 4 2" xfId="20191"/>
    <cellStyle name="40% - Accent1 4 2 6 2 5" xfId="20192"/>
    <cellStyle name="40% - Accent1 4 2 6 2 6" xfId="20193"/>
    <cellStyle name="40% - Accent1 4 2 6 3" xfId="20194"/>
    <cellStyle name="40% - Accent1 4 2 6 3 2" xfId="20195"/>
    <cellStyle name="40% - Accent1 4 2 6 3 2 2" xfId="20196"/>
    <cellStyle name="40% - Accent1 4 2 6 3 2 3" xfId="20197"/>
    <cellStyle name="40% - Accent1 4 2 6 3 3" xfId="20198"/>
    <cellStyle name="40% - Accent1 4 2 6 3 3 2" xfId="20199"/>
    <cellStyle name="40% - Accent1 4 2 6 3 3 3" xfId="20200"/>
    <cellStyle name="40% - Accent1 4 2 6 3 4" xfId="20201"/>
    <cellStyle name="40% - Accent1 4 2 6 3 4 2" xfId="20202"/>
    <cellStyle name="40% - Accent1 4 2 6 3 5" xfId="20203"/>
    <cellStyle name="40% - Accent1 4 2 6 3 6" xfId="20204"/>
    <cellStyle name="40% - Accent1 4 2 6 4" xfId="20205"/>
    <cellStyle name="40% - Accent1 4 2 6 4 2" xfId="20206"/>
    <cellStyle name="40% - Accent1 4 2 6 4 2 2" xfId="20207"/>
    <cellStyle name="40% - Accent1 4 2 6 4 2 3" xfId="20208"/>
    <cellStyle name="40% - Accent1 4 2 6 4 3" xfId="20209"/>
    <cellStyle name="40% - Accent1 4 2 6 4 3 2" xfId="20210"/>
    <cellStyle name="40% - Accent1 4 2 6 4 4" xfId="20211"/>
    <cellStyle name="40% - Accent1 4 2 6 4 5" xfId="20212"/>
    <cellStyle name="40% - Accent1 4 2 6 5" xfId="20213"/>
    <cellStyle name="40% - Accent1 4 2 6 5 2" xfId="20214"/>
    <cellStyle name="40% - Accent1 4 2 6 5 3" xfId="20215"/>
    <cellStyle name="40% - Accent1 4 2 6 6" xfId="20216"/>
    <cellStyle name="40% - Accent1 4 2 6 6 2" xfId="20217"/>
    <cellStyle name="40% - Accent1 4 2 6 6 3" xfId="20218"/>
    <cellStyle name="40% - Accent1 4 2 6 7" xfId="20219"/>
    <cellStyle name="40% - Accent1 4 2 6 7 2" xfId="20220"/>
    <cellStyle name="40% - Accent1 4 2 6 8" xfId="20221"/>
    <cellStyle name="40% - Accent1 4 2 6 9" xfId="20222"/>
    <cellStyle name="40% - Accent1 4 2 7" xfId="20223"/>
    <cellStyle name="40% - Accent1 4 2 7 2" xfId="20224"/>
    <cellStyle name="40% - Accent1 4 2 7 2 2" xfId="20225"/>
    <cellStyle name="40% - Accent1 4 2 7 2 3" xfId="20226"/>
    <cellStyle name="40% - Accent1 4 2 7 3" xfId="20227"/>
    <cellStyle name="40% - Accent1 4 2 7 3 2" xfId="20228"/>
    <cellStyle name="40% - Accent1 4 2 7 3 3" xfId="20229"/>
    <cellStyle name="40% - Accent1 4 2 7 4" xfId="20230"/>
    <cellStyle name="40% - Accent1 4 2 7 4 2" xfId="20231"/>
    <cellStyle name="40% - Accent1 4 2 7 5" xfId="20232"/>
    <cellStyle name="40% - Accent1 4 2 7 6" xfId="20233"/>
    <cellStyle name="40% - Accent1 4 2 8" xfId="20234"/>
    <cellStyle name="40% - Accent1 4 2 8 2" xfId="20235"/>
    <cellStyle name="40% - Accent1 4 2 8 2 2" xfId="20236"/>
    <cellStyle name="40% - Accent1 4 2 8 2 3" xfId="20237"/>
    <cellStyle name="40% - Accent1 4 2 8 3" xfId="20238"/>
    <cellStyle name="40% - Accent1 4 2 8 3 2" xfId="20239"/>
    <cellStyle name="40% - Accent1 4 2 8 3 3" xfId="20240"/>
    <cellStyle name="40% - Accent1 4 2 8 4" xfId="20241"/>
    <cellStyle name="40% - Accent1 4 2 8 4 2" xfId="20242"/>
    <cellStyle name="40% - Accent1 4 2 8 5" xfId="20243"/>
    <cellStyle name="40% - Accent1 4 2 8 6" xfId="20244"/>
    <cellStyle name="40% - Accent1 4 2 9" xfId="20245"/>
    <cellStyle name="40% - Accent1 4 2 9 2" xfId="20246"/>
    <cellStyle name="40% - Accent1 4 2 9 2 2" xfId="20247"/>
    <cellStyle name="40% - Accent1 4 2 9 2 3" xfId="20248"/>
    <cellStyle name="40% - Accent1 4 2 9 3" xfId="20249"/>
    <cellStyle name="40% - Accent1 4 2 9 3 2" xfId="20250"/>
    <cellStyle name="40% - Accent1 4 2 9 4" xfId="20251"/>
    <cellStyle name="40% - Accent1 4 2 9 5" xfId="20252"/>
    <cellStyle name="40% - Accent1 4 3" xfId="1579"/>
    <cellStyle name="40% - Accent1 4 3 10" xfId="20253"/>
    <cellStyle name="40% - Accent1 4 3 10 2" xfId="20254"/>
    <cellStyle name="40% - Accent1 4 3 10 3" xfId="20255"/>
    <cellStyle name="40% - Accent1 4 3 11" xfId="20256"/>
    <cellStyle name="40% - Accent1 4 3 11 2" xfId="20257"/>
    <cellStyle name="40% - Accent1 4 3 12" xfId="20258"/>
    <cellStyle name="40% - Accent1 4 3 13" xfId="20259"/>
    <cellStyle name="40% - Accent1 4 3 14" xfId="20260"/>
    <cellStyle name="40% - Accent1 4 3 2" xfId="1580"/>
    <cellStyle name="40% - Accent1 4 3 2 10" xfId="20261"/>
    <cellStyle name="40% - Accent1 4 3 2 10 2" xfId="20262"/>
    <cellStyle name="40% - Accent1 4 3 2 11" xfId="20263"/>
    <cellStyle name="40% - Accent1 4 3 2 12" xfId="20264"/>
    <cellStyle name="40% - Accent1 4 3 2 2" xfId="1581"/>
    <cellStyle name="40% - Accent1 4 3 2 2 10" xfId="20265"/>
    <cellStyle name="40% - Accent1 4 3 2 2 2" xfId="1582"/>
    <cellStyle name="40% - Accent1 4 3 2 2 2 2" xfId="20266"/>
    <cellStyle name="40% - Accent1 4 3 2 2 2 2 2" xfId="20267"/>
    <cellStyle name="40% - Accent1 4 3 2 2 2 2 2 2" xfId="20268"/>
    <cellStyle name="40% - Accent1 4 3 2 2 2 2 2 3" xfId="20269"/>
    <cellStyle name="40% - Accent1 4 3 2 2 2 2 3" xfId="20270"/>
    <cellStyle name="40% - Accent1 4 3 2 2 2 2 3 2" xfId="20271"/>
    <cellStyle name="40% - Accent1 4 3 2 2 2 2 3 3" xfId="20272"/>
    <cellStyle name="40% - Accent1 4 3 2 2 2 2 4" xfId="20273"/>
    <cellStyle name="40% - Accent1 4 3 2 2 2 2 4 2" xfId="20274"/>
    <cellStyle name="40% - Accent1 4 3 2 2 2 2 5" xfId="20275"/>
    <cellStyle name="40% - Accent1 4 3 2 2 2 2 6" xfId="20276"/>
    <cellStyle name="40% - Accent1 4 3 2 2 2 3" xfId="20277"/>
    <cellStyle name="40% - Accent1 4 3 2 2 2 3 2" xfId="20278"/>
    <cellStyle name="40% - Accent1 4 3 2 2 2 3 2 2" xfId="20279"/>
    <cellStyle name="40% - Accent1 4 3 2 2 2 3 2 3" xfId="20280"/>
    <cellStyle name="40% - Accent1 4 3 2 2 2 3 3" xfId="20281"/>
    <cellStyle name="40% - Accent1 4 3 2 2 2 3 3 2" xfId="20282"/>
    <cellStyle name="40% - Accent1 4 3 2 2 2 3 3 3" xfId="20283"/>
    <cellStyle name="40% - Accent1 4 3 2 2 2 3 4" xfId="20284"/>
    <cellStyle name="40% - Accent1 4 3 2 2 2 3 4 2" xfId="20285"/>
    <cellStyle name="40% - Accent1 4 3 2 2 2 3 5" xfId="20286"/>
    <cellStyle name="40% - Accent1 4 3 2 2 2 3 6" xfId="20287"/>
    <cellStyle name="40% - Accent1 4 3 2 2 2 4" xfId="20288"/>
    <cellStyle name="40% - Accent1 4 3 2 2 2 4 2" xfId="20289"/>
    <cellStyle name="40% - Accent1 4 3 2 2 2 4 2 2" xfId="20290"/>
    <cellStyle name="40% - Accent1 4 3 2 2 2 4 2 3" xfId="20291"/>
    <cellStyle name="40% - Accent1 4 3 2 2 2 4 3" xfId="20292"/>
    <cellStyle name="40% - Accent1 4 3 2 2 2 4 3 2" xfId="20293"/>
    <cellStyle name="40% - Accent1 4 3 2 2 2 4 4" xfId="20294"/>
    <cellStyle name="40% - Accent1 4 3 2 2 2 4 5" xfId="20295"/>
    <cellStyle name="40% - Accent1 4 3 2 2 2 5" xfId="20296"/>
    <cellStyle name="40% - Accent1 4 3 2 2 2 5 2" xfId="20297"/>
    <cellStyle name="40% - Accent1 4 3 2 2 2 5 3" xfId="20298"/>
    <cellStyle name="40% - Accent1 4 3 2 2 2 6" xfId="20299"/>
    <cellStyle name="40% - Accent1 4 3 2 2 2 6 2" xfId="20300"/>
    <cellStyle name="40% - Accent1 4 3 2 2 2 6 3" xfId="20301"/>
    <cellStyle name="40% - Accent1 4 3 2 2 2 7" xfId="20302"/>
    <cellStyle name="40% - Accent1 4 3 2 2 2 7 2" xfId="20303"/>
    <cellStyle name="40% - Accent1 4 3 2 2 2 8" xfId="20304"/>
    <cellStyle name="40% - Accent1 4 3 2 2 2 9" xfId="20305"/>
    <cellStyle name="40% - Accent1 4 3 2 2 3" xfId="20306"/>
    <cellStyle name="40% - Accent1 4 3 2 2 3 2" xfId="20307"/>
    <cellStyle name="40% - Accent1 4 3 2 2 3 2 2" xfId="20308"/>
    <cellStyle name="40% - Accent1 4 3 2 2 3 2 3" xfId="20309"/>
    <cellStyle name="40% - Accent1 4 3 2 2 3 3" xfId="20310"/>
    <cellStyle name="40% - Accent1 4 3 2 2 3 3 2" xfId="20311"/>
    <cellStyle name="40% - Accent1 4 3 2 2 3 3 3" xfId="20312"/>
    <cellStyle name="40% - Accent1 4 3 2 2 3 4" xfId="20313"/>
    <cellStyle name="40% - Accent1 4 3 2 2 3 4 2" xfId="20314"/>
    <cellStyle name="40% - Accent1 4 3 2 2 3 5" xfId="20315"/>
    <cellStyle name="40% - Accent1 4 3 2 2 3 6" xfId="20316"/>
    <cellStyle name="40% - Accent1 4 3 2 2 4" xfId="20317"/>
    <cellStyle name="40% - Accent1 4 3 2 2 4 2" xfId="20318"/>
    <cellStyle name="40% - Accent1 4 3 2 2 4 2 2" xfId="20319"/>
    <cellStyle name="40% - Accent1 4 3 2 2 4 2 3" xfId="20320"/>
    <cellStyle name="40% - Accent1 4 3 2 2 4 3" xfId="20321"/>
    <cellStyle name="40% - Accent1 4 3 2 2 4 3 2" xfId="20322"/>
    <cellStyle name="40% - Accent1 4 3 2 2 4 3 3" xfId="20323"/>
    <cellStyle name="40% - Accent1 4 3 2 2 4 4" xfId="20324"/>
    <cellStyle name="40% - Accent1 4 3 2 2 4 4 2" xfId="20325"/>
    <cellStyle name="40% - Accent1 4 3 2 2 4 5" xfId="20326"/>
    <cellStyle name="40% - Accent1 4 3 2 2 4 6" xfId="20327"/>
    <cellStyle name="40% - Accent1 4 3 2 2 5" xfId="20328"/>
    <cellStyle name="40% - Accent1 4 3 2 2 5 2" xfId="20329"/>
    <cellStyle name="40% - Accent1 4 3 2 2 5 2 2" xfId="20330"/>
    <cellStyle name="40% - Accent1 4 3 2 2 5 2 3" xfId="20331"/>
    <cellStyle name="40% - Accent1 4 3 2 2 5 3" xfId="20332"/>
    <cellStyle name="40% - Accent1 4 3 2 2 5 3 2" xfId="20333"/>
    <cellStyle name="40% - Accent1 4 3 2 2 5 4" xfId="20334"/>
    <cellStyle name="40% - Accent1 4 3 2 2 5 5" xfId="20335"/>
    <cellStyle name="40% - Accent1 4 3 2 2 6" xfId="20336"/>
    <cellStyle name="40% - Accent1 4 3 2 2 6 2" xfId="20337"/>
    <cellStyle name="40% - Accent1 4 3 2 2 6 3" xfId="20338"/>
    <cellStyle name="40% - Accent1 4 3 2 2 7" xfId="20339"/>
    <cellStyle name="40% - Accent1 4 3 2 2 7 2" xfId="20340"/>
    <cellStyle name="40% - Accent1 4 3 2 2 7 3" xfId="20341"/>
    <cellStyle name="40% - Accent1 4 3 2 2 8" xfId="20342"/>
    <cellStyle name="40% - Accent1 4 3 2 2 8 2" xfId="20343"/>
    <cellStyle name="40% - Accent1 4 3 2 2 9" xfId="20344"/>
    <cellStyle name="40% - Accent1 4 3 2 3" xfId="1583"/>
    <cellStyle name="40% - Accent1 4 3 2 3 2" xfId="20345"/>
    <cellStyle name="40% - Accent1 4 3 2 3 2 2" xfId="20346"/>
    <cellStyle name="40% - Accent1 4 3 2 3 2 2 2" xfId="20347"/>
    <cellStyle name="40% - Accent1 4 3 2 3 2 2 3" xfId="20348"/>
    <cellStyle name="40% - Accent1 4 3 2 3 2 3" xfId="20349"/>
    <cellStyle name="40% - Accent1 4 3 2 3 2 3 2" xfId="20350"/>
    <cellStyle name="40% - Accent1 4 3 2 3 2 3 3" xfId="20351"/>
    <cellStyle name="40% - Accent1 4 3 2 3 2 4" xfId="20352"/>
    <cellStyle name="40% - Accent1 4 3 2 3 2 4 2" xfId="20353"/>
    <cellStyle name="40% - Accent1 4 3 2 3 2 5" xfId="20354"/>
    <cellStyle name="40% - Accent1 4 3 2 3 2 6" xfId="20355"/>
    <cellStyle name="40% - Accent1 4 3 2 3 3" xfId="20356"/>
    <cellStyle name="40% - Accent1 4 3 2 3 3 2" xfId="20357"/>
    <cellStyle name="40% - Accent1 4 3 2 3 3 2 2" xfId="20358"/>
    <cellStyle name="40% - Accent1 4 3 2 3 3 2 3" xfId="20359"/>
    <cellStyle name="40% - Accent1 4 3 2 3 3 3" xfId="20360"/>
    <cellStyle name="40% - Accent1 4 3 2 3 3 3 2" xfId="20361"/>
    <cellStyle name="40% - Accent1 4 3 2 3 3 3 3" xfId="20362"/>
    <cellStyle name="40% - Accent1 4 3 2 3 3 4" xfId="20363"/>
    <cellStyle name="40% - Accent1 4 3 2 3 3 4 2" xfId="20364"/>
    <cellStyle name="40% - Accent1 4 3 2 3 3 5" xfId="20365"/>
    <cellStyle name="40% - Accent1 4 3 2 3 3 6" xfId="20366"/>
    <cellStyle name="40% - Accent1 4 3 2 3 4" xfId="20367"/>
    <cellStyle name="40% - Accent1 4 3 2 3 4 2" xfId="20368"/>
    <cellStyle name="40% - Accent1 4 3 2 3 4 2 2" xfId="20369"/>
    <cellStyle name="40% - Accent1 4 3 2 3 4 2 3" xfId="20370"/>
    <cellStyle name="40% - Accent1 4 3 2 3 4 3" xfId="20371"/>
    <cellStyle name="40% - Accent1 4 3 2 3 4 3 2" xfId="20372"/>
    <cellStyle name="40% - Accent1 4 3 2 3 4 4" xfId="20373"/>
    <cellStyle name="40% - Accent1 4 3 2 3 4 5" xfId="20374"/>
    <cellStyle name="40% - Accent1 4 3 2 3 5" xfId="20375"/>
    <cellStyle name="40% - Accent1 4 3 2 3 5 2" xfId="20376"/>
    <cellStyle name="40% - Accent1 4 3 2 3 5 3" xfId="20377"/>
    <cellStyle name="40% - Accent1 4 3 2 3 6" xfId="20378"/>
    <cellStyle name="40% - Accent1 4 3 2 3 6 2" xfId="20379"/>
    <cellStyle name="40% - Accent1 4 3 2 3 6 3" xfId="20380"/>
    <cellStyle name="40% - Accent1 4 3 2 3 7" xfId="20381"/>
    <cellStyle name="40% - Accent1 4 3 2 3 7 2" xfId="20382"/>
    <cellStyle name="40% - Accent1 4 3 2 3 8" xfId="20383"/>
    <cellStyle name="40% - Accent1 4 3 2 3 9" xfId="20384"/>
    <cellStyle name="40% - Accent1 4 3 2 4" xfId="20385"/>
    <cellStyle name="40% - Accent1 4 3 2 4 2" xfId="20386"/>
    <cellStyle name="40% - Accent1 4 3 2 4 2 2" xfId="20387"/>
    <cellStyle name="40% - Accent1 4 3 2 4 2 2 2" xfId="20388"/>
    <cellStyle name="40% - Accent1 4 3 2 4 2 2 3" xfId="20389"/>
    <cellStyle name="40% - Accent1 4 3 2 4 2 3" xfId="20390"/>
    <cellStyle name="40% - Accent1 4 3 2 4 2 3 2" xfId="20391"/>
    <cellStyle name="40% - Accent1 4 3 2 4 2 3 3" xfId="20392"/>
    <cellStyle name="40% - Accent1 4 3 2 4 2 4" xfId="20393"/>
    <cellStyle name="40% - Accent1 4 3 2 4 2 4 2" xfId="20394"/>
    <cellStyle name="40% - Accent1 4 3 2 4 2 5" xfId="20395"/>
    <cellStyle name="40% - Accent1 4 3 2 4 2 6" xfId="20396"/>
    <cellStyle name="40% - Accent1 4 3 2 4 3" xfId="20397"/>
    <cellStyle name="40% - Accent1 4 3 2 4 3 2" xfId="20398"/>
    <cellStyle name="40% - Accent1 4 3 2 4 3 2 2" xfId="20399"/>
    <cellStyle name="40% - Accent1 4 3 2 4 3 2 3" xfId="20400"/>
    <cellStyle name="40% - Accent1 4 3 2 4 3 3" xfId="20401"/>
    <cellStyle name="40% - Accent1 4 3 2 4 3 3 2" xfId="20402"/>
    <cellStyle name="40% - Accent1 4 3 2 4 3 3 3" xfId="20403"/>
    <cellStyle name="40% - Accent1 4 3 2 4 3 4" xfId="20404"/>
    <cellStyle name="40% - Accent1 4 3 2 4 3 4 2" xfId="20405"/>
    <cellStyle name="40% - Accent1 4 3 2 4 3 5" xfId="20406"/>
    <cellStyle name="40% - Accent1 4 3 2 4 3 6" xfId="20407"/>
    <cellStyle name="40% - Accent1 4 3 2 4 4" xfId="20408"/>
    <cellStyle name="40% - Accent1 4 3 2 4 4 2" xfId="20409"/>
    <cellStyle name="40% - Accent1 4 3 2 4 4 2 2" xfId="20410"/>
    <cellStyle name="40% - Accent1 4 3 2 4 4 2 3" xfId="20411"/>
    <cellStyle name="40% - Accent1 4 3 2 4 4 3" xfId="20412"/>
    <cellStyle name="40% - Accent1 4 3 2 4 4 3 2" xfId="20413"/>
    <cellStyle name="40% - Accent1 4 3 2 4 4 4" xfId="20414"/>
    <cellStyle name="40% - Accent1 4 3 2 4 4 5" xfId="20415"/>
    <cellStyle name="40% - Accent1 4 3 2 4 5" xfId="20416"/>
    <cellStyle name="40% - Accent1 4 3 2 4 5 2" xfId="20417"/>
    <cellStyle name="40% - Accent1 4 3 2 4 5 3" xfId="20418"/>
    <cellStyle name="40% - Accent1 4 3 2 4 6" xfId="20419"/>
    <cellStyle name="40% - Accent1 4 3 2 4 6 2" xfId="20420"/>
    <cellStyle name="40% - Accent1 4 3 2 4 6 3" xfId="20421"/>
    <cellStyle name="40% - Accent1 4 3 2 4 7" xfId="20422"/>
    <cellStyle name="40% - Accent1 4 3 2 4 7 2" xfId="20423"/>
    <cellStyle name="40% - Accent1 4 3 2 4 8" xfId="20424"/>
    <cellStyle name="40% - Accent1 4 3 2 4 9" xfId="20425"/>
    <cellStyle name="40% - Accent1 4 3 2 5" xfId="20426"/>
    <cellStyle name="40% - Accent1 4 3 2 5 2" xfId="20427"/>
    <cellStyle name="40% - Accent1 4 3 2 5 2 2" xfId="20428"/>
    <cellStyle name="40% - Accent1 4 3 2 5 2 3" xfId="20429"/>
    <cellStyle name="40% - Accent1 4 3 2 5 3" xfId="20430"/>
    <cellStyle name="40% - Accent1 4 3 2 5 3 2" xfId="20431"/>
    <cellStyle name="40% - Accent1 4 3 2 5 3 3" xfId="20432"/>
    <cellStyle name="40% - Accent1 4 3 2 5 4" xfId="20433"/>
    <cellStyle name="40% - Accent1 4 3 2 5 4 2" xfId="20434"/>
    <cellStyle name="40% - Accent1 4 3 2 5 5" xfId="20435"/>
    <cellStyle name="40% - Accent1 4 3 2 5 6" xfId="20436"/>
    <cellStyle name="40% - Accent1 4 3 2 6" xfId="20437"/>
    <cellStyle name="40% - Accent1 4 3 2 6 2" xfId="20438"/>
    <cellStyle name="40% - Accent1 4 3 2 6 2 2" xfId="20439"/>
    <cellStyle name="40% - Accent1 4 3 2 6 2 3" xfId="20440"/>
    <cellStyle name="40% - Accent1 4 3 2 6 3" xfId="20441"/>
    <cellStyle name="40% - Accent1 4 3 2 6 3 2" xfId="20442"/>
    <cellStyle name="40% - Accent1 4 3 2 6 3 3" xfId="20443"/>
    <cellStyle name="40% - Accent1 4 3 2 6 4" xfId="20444"/>
    <cellStyle name="40% - Accent1 4 3 2 6 4 2" xfId="20445"/>
    <cellStyle name="40% - Accent1 4 3 2 6 5" xfId="20446"/>
    <cellStyle name="40% - Accent1 4 3 2 6 6" xfId="20447"/>
    <cellStyle name="40% - Accent1 4 3 2 7" xfId="20448"/>
    <cellStyle name="40% - Accent1 4 3 2 7 2" xfId="20449"/>
    <cellStyle name="40% - Accent1 4 3 2 7 2 2" xfId="20450"/>
    <cellStyle name="40% - Accent1 4 3 2 7 2 3" xfId="20451"/>
    <cellStyle name="40% - Accent1 4 3 2 7 3" xfId="20452"/>
    <cellStyle name="40% - Accent1 4 3 2 7 3 2" xfId="20453"/>
    <cellStyle name="40% - Accent1 4 3 2 7 4" xfId="20454"/>
    <cellStyle name="40% - Accent1 4 3 2 7 5" xfId="20455"/>
    <cellStyle name="40% - Accent1 4 3 2 8" xfId="20456"/>
    <cellStyle name="40% - Accent1 4 3 2 8 2" xfId="20457"/>
    <cellStyle name="40% - Accent1 4 3 2 8 3" xfId="20458"/>
    <cellStyle name="40% - Accent1 4 3 2 9" xfId="20459"/>
    <cellStyle name="40% - Accent1 4 3 2 9 2" xfId="20460"/>
    <cellStyle name="40% - Accent1 4 3 2 9 3" xfId="20461"/>
    <cellStyle name="40% - Accent1 4 3 3" xfId="1584"/>
    <cellStyle name="40% - Accent1 4 3 3 10" xfId="20462"/>
    <cellStyle name="40% - Accent1 4 3 3 2" xfId="1585"/>
    <cellStyle name="40% - Accent1 4 3 3 2 2" xfId="20463"/>
    <cellStyle name="40% - Accent1 4 3 3 2 2 2" xfId="20464"/>
    <cellStyle name="40% - Accent1 4 3 3 2 2 2 2" xfId="20465"/>
    <cellStyle name="40% - Accent1 4 3 3 2 2 2 3" xfId="20466"/>
    <cellStyle name="40% - Accent1 4 3 3 2 2 3" xfId="20467"/>
    <cellStyle name="40% - Accent1 4 3 3 2 2 3 2" xfId="20468"/>
    <cellStyle name="40% - Accent1 4 3 3 2 2 3 3" xfId="20469"/>
    <cellStyle name="40% - Accent1 4 3 3 2 2 4" xfId="20470"/>
    <cellStyle name="40% - Accent1 4 3 3 2 2 4 2" xfId="20471"/>
    <cellStyle name="40% - Accent1 4 3 3 2 2 5" xfId="20472"/>
    <cellStyle name="40% - Accent1 4 3 3 2 2 6" xfId="20473"/>
    <cellStyle name="40% - Accent1 4 3 3 2 3" xfId="20474"/>
    <cellStyle name="40% - Accent1 4 3 3 2 3 2" xfId="20475"/>
    <cellStyle name="40% - Accent1 4 3 3 2 3 2 2" xfId="20476"/>
    <cellStyle name="40% - Accent1 4 3 3 2 3 2 3" xfId="20477"/>
    <cellStyle name="40% - Accent1 4 3 3 2 3 3" xfId="20478"/>
    <cellStyle name="40% - Accent1 4 3 3 2 3 3 2" xfId="20479"/>
    <cellStyle name="40% - Accent1 4 3 3 2 3 3 3" xfId="20480"/>
    <cellStyle name="40% - Accent1 4 3 3 2 3 4" xfId="20481"/>
    <cellStyle name="40% - Accent1 4 3 3 2 3 4 2" xfId="20482"/>
    <cellStyle name="40% - Accent1 4 3 3 2 3 5" xfId="20483"/>
    <cellStyle name="40% - Accent1 4 3 3 2 3 6" xfId="20484"/>
    <cellStyle name="40% - Accent1 4 3 3 2 4" xfId="20485"/>
    <cellStyle name="40% - Accent1 4 3 3 2 4 2" xfId="20486"/>
    <cellStyle name="40% - Accent1 4 3 3 2 4 2 2" xfId="20487"/>
    <cellStyle name="40% - Accent1 4 3 3 2 4 2 3" xfId="20488"/>
    <cellStyle name="40% - Accent1 4 3 3 2 4 3" xfId="20489"/>
    <cellStyle name="40% - Accent1 4 3 3 2 4 3 2" xfId="20490"/>
    <cellStyle name="40% - Accent1 4 3 3 2 4 4" xfId="20491"/>
    <cellStyle name="40% - Accent1 4 3 3 2 4 5" xfId="20492"/>
    <cellStyle name="40% - Accent1 4 3 3 2 5" xfId="20493"/>
    <cellStyle name="40% - Accent1 4 3 3 2 5 2" xfId="20494"/>
    <cellStyle name="40% - Accent1 4 3 3 2 5 3" xfId="20495"/>
    <cellStyle name="40% - Accent1 4 3 3 2 6" xfId="20496"/>
    <cellStyle name="40% - Accent1 4 3 3 2 6 2" xfId="20497"/>
    <cellStyle name="40% - Accent1 4 3 3 2 6 3" xfId="20498"/>
    <cellStyle name="40% - Accent1 4 3 3 2 7" xfId="20499"/>
    <cellStyle name="40% - Accent1 4 3 3 2 7 2" xfId="20500"/>
    <cellStyle name="40% - Accent1 4 3 3 2 8" xfId="20501"/>
    <cellStyle name="40% - Accent1 4 3 3 2 9" xfId="20502"/>
    <cellStyle name="40% - Accent1 4 3 3 3" xfId="20503"/>
    <cellStyle name="40% - Accent1 4 3 3 3 2" xfId="20504"/>
    <cellStyle name="40% - Accent1 4 3 3 3 2 2" xfId="20505"/>
    <cellStyle name="40% - Accent1 4 3 3 3 2 3" xfId="20506"/>
    <cellStyle name="40% - Accent1 4 3 3 3 3" xfId="20507"/>
    <cellStyle name="40% - Accent1 4 3 3 3 3 2" xfId="20508"/>
    <cellStyle name="40% - Accent1 4 3 3 3 3 3" xfId="20509"/>
    <cellStyle name="40% - Accent1 4 3 3 3 4" xfId="20510"/>
    <cellStyle name="40% - Accent1 4 3 3 3 4 2" xfId="20511"/>
    <cellStyle name="40% - Accent1 4 3 3 3 5" xfId="20512"/>
    <cellStyle name="40% - Accent1 4 3 3 3 6" xfId="20513"/>
    <cellStyle name="40% - Accent1 4 3 3 4" xfId="20514"/>
    <cellStyle name="40% - Accent1 4 3 3 4 2" xfId="20515"/>
    <cellStyle name="40% - Accent1 4 3 3 4 2 2" xfId="20516"/>
    <cellStyle name="40% - Accent1 4 3 3 4 2 3" xfId="20517"/>
    <cellStyle name="40% - Accent1 4 3 3 4 3" xfId="20518"/>
    <cellStyle name="40% - Accent1 4 3 3 4 3 2" xfId="20519"/>
    <cellStyle name="40% - Accent1 4 3 3 4 3 3" xfId="20520"/>
    <cellStyle name="40% - Accent1 4 3 3 4 4" xfId="20521"/>
    <cellStyle name="40% - Accent1 4 3 3 4 4 2" xfId="20522"/>
    <cellStyle name="40% - Accent1 4 3 3 4 5" xfId="20523"/>
    <cellStyle name="40% - Accent1 4 3 3 4 6" xfId="20524"/>
    <cellStyle name="40% - Accent1 4 3 3 5" xfId="20525"/>
    <cellStyle name="40% - Accent1 4 3 3 5 2" xfId="20526"/>
    <cellStyle name="40% - Accent1 4 3 3 5 2 2" xfId="20527"/>
    <cellStyle name="40% - Accent1 4 3 3 5 2 3" xfId="20528"/>
    <cellStyle name="40% - Accent1 4 3 3 5 3" xfId="20529"/>
    <cellStyle name="40% - Accent1 4 3 3 5 3 2" xfId="20530"/>
    <cellStyle name="40% - Accent1 4 3 3 5 4" xfId="20531"/>
    <cellStyle name="40% - Accent1 4 3 3 5 5" xfId="20532"/>
    <cellStyle name="40% - Accent1 4 3 3 6" xfId="20533"/>
    <cellStyle name="40% - Accent1 4 3 3 6 2" xfId="20534"/>
    <cellStyle name="40% - Accent1 4 3 3 6 3" xfId="20535"/>
    <cellStyle name="40% - Accent1 4 3 3 7" xfId="20536"/>
    <cellStyle name="40% - Accent1 4 3 3 7 2" xfId="20537"/>
    <cellStyle name="40% - Accent1 4 3 3 7 3" xfId="20538"/>
    <cellStyle name="40% - Accent1 4 3 3 8" xfId="20539"/>
    <cellStyle name="40% - Accent1 4 3 3 8 2" xfId="20540"/>
    <cellStyle name="40% - Accent1 4 3 3 9" xfId="20541"/>
    <cellStyle name="40% - Accent1 4 3 4" xfId="1586"/>
    <cellStyle name="40% - Accent1 4 3 4 2" xfId="20542"/>
    <cellStyle name="40% - Accent1 4 3 4 2 2" xfId="20543"/>
    <cellStyle name="40% - Accent1 4 3 4 2 2 2" xfId="20544"/>
    <cellStyle name="40% - Accent1 4 3 4 2 2 3" xfId="20545"/>
    <cellStyle name="40% - Accent1 4 3 4 2 3" xfId="20546"/>
    <cellStyle name="40% - Accent1 4 3 4 2 3 2" xfId="20547"/>
    <cellStyle name="40% - Accent1 4 3 4 2 3 3" xfId="20548"/>
    <cellStyle name="40% - Accent1 4 3 4 2 4" xfId="20549"/>
    <cellStyle name="40% - Accent1 4 3 4 2 4 2" xfId="20550"/>
    <cellStyle name="40% - Accent1 4 3 4 2 5" xfId="20551"/>
    <cellStyle name="40% - Accent1 4 3 4 2 6" xfId="20552"/>
    <cellStyle name="40% - Accent1 4 3 4 3" xfId="20553"/>
    <cellStyle name="40% - Accent1 4 3 4 3 2" xfId="20554"/>
    <cellStyle name="40% - Accent1 4 3 4 3 2 2" xfId="20555"/>
    <cellStyle name="40% - Accent1 4 3 4 3 2 3" xfId="20556"/>
    <cellStyle name="40% - Accent1 4 3 4 3 3" xfId="20557"/>
    <cellStyle name="40% - Accent1 4 3 4 3 3 2" xfId="20558"/>
    <cellStyle name="40% - Accent1 4 3 4 3 3 3" xfId="20559"/>
    <cellStyle name="40% - Accent1 4 3 4 3 4" xfId="20560"/>
    <cellStyle name="40% - Accent1 4 3 4 3 4 2" xfId="20561"/>
    <cellStyle name="40% - Accent1 4 3 4 3 5" xfId="20562"/>
    <cellStyle name="40% - Accent1 4 3 4 3 6" xfId="20563"/>
    <cellStyle name="40% - Accent1 4 3 4 4" xfId="20564"/>
    <cellStyle name="40% - Accent1 4 3 4 4 2" xfId="20565"/>
    <cellStyle name="40% - Accent1 4 3 4 4 2 2" xfId="20566"/>
    <cellStyle name="40% - Accent1 4 3 4 4 2 3" xfId="20567"/>
    <cellStyle name="40% - Accent1 4 3 4 4 3" xfId="20568"/>
    <cellStyle name="40% - Accent1 4 3 4 4 3 2" xfId="20569"/>
    <cellStyle name="40% - Accent1 4 3 4 4 4" xfId="20570"/>
    <cellStyle name="40% - Accent1 4 3 4 4 5" xfId="20571"/>
    <cellStyle name="40% - Accent1 4 3 4 5" xfId="20572"/>
    <cellStyle name="40% - Accent1 4 3 4 5 2" xfId="20573"/>
    <cellStyle name="40% - Accent1 4 3 4 5 3" xfId="20574"/>
    <cellStyle name="40% - Accent1 4 3 4 6" xfId="20575"/>
    <cellStyle name="40% - Accent1 4 3 4 6 2" xfId="20576"/>
    <cellStyle name="40% - Accent1 4 3 4 6 3" xfId="20577"/>
    <cellStyle name="40% - Accent1 4 3 4 7" xfId="20578"/>
    <cellStyle name="40% - Accent1 4 3 4 7 2" xfId="20579"/>
    <cellStyle name="40% - Accent1 4 3 4 8" xfId="20580"/>
    <cellStyle name="40% - Accent1 4 3 4 9" xfId="20581"/>
    <cellStyle name="40% - Accent1 4 3 5" xfId="20582"/>
    <cellStyle name="40% - Accent1 4 3 5 2" xfId="20583"/>
    <cellStyle name="40% - Accent1 4 3 5 2 2" xfId="20584"/>
    <cellStyle name="40% - Accent1 4 3 5 2 2 2" xfId="20585"/>
    <cellStyle name="40% - Accent1 4 3 5 2 2 3" xfId="20586"/>
    <cellStyle name="40% - Accent1 4 3 5 2 3" xfId="20587"/>
    <cellStyle name="40% - Accent1 4 3 5 2 3 2" xfId="20588"/>
    <cellStyle name="40% - Accent1 4 3 5 2 3 3" xfId="20589"/>
    <cellStyle name="40% - Accent1 4 3 5 2 4" xfId="20590"/>
    <cellStyle name="40% - Accent1 4 3 5 2 4 2" xfId="20591"/>
    <cellStyle name="40% - Accent1 4 3 5 2 5" xfId="20592"/>
    <cellStyle name="40% - Accent1 4 3 5 2 6" xfId="20593"/>
    <cellStyle name="40% - Accent1 4 3 5 3" xfId="20594"/>
    <cellStyle name="40% - Accent1 4 3 5 3 2" xfId="20595"/>
    <cellStyle name="40% - Accent1 4 3 5 3 2 2" xfId="20596"/>
    <cellStyle name="40% - Accent1 4 3 5 3 2 3" xfId="20597"/>
    <cellStyle name="40% - Accent1 4 3 5 3 3" xfId="20598"/>
    <cellStyle name="40% - Accent1 4 3 5 3 3 2" xfId="20599"/>
    <cellStyle name="40% - Accent1 4 3 5 3 3 3" xfId="20600"/>
    <cellStyle name="40% - Accent1 4 3 5 3 4" xfId="20601"/>
    <cellStyle name="40% - Accent1 4 3 5 3 4 2" xfId="20602"/>
    <cellStyle name="40% - Accent1 4 3 5 3 5" xfId="20603"/>
    <cellStyle name="40% - Accent1 4 3 5 3 6" xfId="20604"/>
    <cellStyle name="40% - Accent1 4 3 5 4" xfId="20605"/>
    <cellStyle name="40% - Accent1 4 3 5 4 2" xfId="20606"/>
    <cellStyle name="40% - Accent1 4 3 5 4 2 2" xfId="20607"/>
    <cellStyle name="40% - Accent1 4 3 5 4 2 3" xfId="20608"/>
    <cellStyle name="40% - Accent1 4 3 5 4 3" xfId="20609"/>
    <cellStyle name="40% - Accent1 4 3 5 4 3 2" xfId="20610"/>
    <cellStyle name="40% - Accent1 4 3 5 4 4" xfId="20611"/>
    <cellStyle name="40% - Accent1 4 3 5 4 5" xfId="20612"/>
    <cellStyle name="40% - Accent1 4 3 5 5" xfId="20613"/>
    <cellStyle name="40% - Accent1 4 3 5 5 2" xfId="20614"/>
    <cellStyle name="40% - Accent1 4 3 5 5 3" xfId="20615"/>
    <cellStyle name="40% - Accent1 4 3 5 6" xfId="20616"/>
    <cellStyle name="40% - Accent1 4 3 5 6 2" xfId="20617"/>
    <cellStyle name="40% - Accent1 4 3 5 6 3" xfId="20618"/>
    <cellStyle name="40% - Accent1 4 3 5 7" xfId="20619"/>
    <cellStyle name="40% - Accent1 4 3 5 7 2" xfId="20620"/>
    <cellStyle name="40% - Accent1 4 3 5 8" xfId="20621"/>
    <cellStyle name="40% - Accent1 4 3 5 9" xfId="20622"/>
    <cellStyle name="40% - Accent1 4 3 6" xfId="20623"/>
    <cellStyle name="40% - Accent1 4 3 6 2" xfId="20624"/>
    <cellStyle name="40% - Accent1 4 3 6 2 2" xfId="20625"/>
    <cellStyle name="40% - Accent1 4 3 6 2 3" xfId="20626"/>
    <cellStyle name="40% - Accent1 4 3 6 3" xfId="20627"/>
    <cellStyle name="40% - Accent1 4 3 6 3 2" xfId="20628"/>
    <cellStyle name="40% - Accent1 4 3 6 3 3" xfId="20629"/>
    <cellStyle name="40% - Accent1 4 3 6 4" xfId="20630"/>
    <cellStyle name="40% - Accent1 4 3 6 4 2" xfId="20631"/>
    <cellStyle name="40% - Accent1 4 3 6 5" xfId="20632"/>
    <cellStyle name="40% - Accent1 4 3 6 6" xfId="20633"/>
    <cellStyle name="40% - Accent1 4 3 7" xfId="20634"/>
    <cellStyle name="40% - Accent1 4 3 7 2" xfId="20635"/>
    <cellStyle name="40% - Accent1 4 3 7 2 2" xfId="20636"/>
    <cellStyle name="40% - Accent1 4 3 7 2 3" xfId="20637"/>
    <cellStyle name="40% - Accent1 4 3 7 3" xfId="20638"/>
    <cellStyle name="40% - Accent1 4 3 7 3 2" xfId="20639"/>
    <cellStyle name="40% - Accent1 4 3 7 3 3" xfId="20640"/>
    <cellStyle name="40% - Accent1 4 3 7 4" xfId="20641"/>
    <cellStyle name="40% - Accent1 4 3 7 4 2" xfId="20642"/>
    <cellStyle name="40% - Accent1 4 3 7 5" xfId="20643"/>
    <cellStyle name="40% - Accent1 4 3 7 6" xfId="20644"/>
    <cellStyle name="40% - Accent1 4 3 8" xfId="20645"/>
    <cellStyle name="40% - Accent1 4 3 8 2" xfId="20646"/>
    <cellStyle name="40% - Accent1 4 3 8 2 2" xfId="20647"/>
    <cellStyle name="40% - Accent1 4 3 8 2 3" xfId="20648"/>
    <cellStyle name="40% - Accent1 4 3 8 3" xfId="20649"/>
    <cellStyle name="40% - Accent1 4 3 8 3 2" xfId="20650"/>
    <cellStyle name="40% - Accent1 4 3 8 4" xfId="20651"/>
    <cellStyle name="40% - Accent1 4 3 8 5" xfId="20652"/>
    <cellStyle name="40% - Accent1 4 3 9" xfId="20653"/>
    <cellStyle name="40% - Accent1 4 3 9 2" xfId="20654"/>
    <cellStyle name="40% - Accent1 4 3 9 3" xfId="20655"/>
    <cellStyle name="40% - Accent1 4 4" xfId="1587"/>
    <cellStyle name="40% - Accent1 4 4 10" xfId="20656"/>
    <cellStyle name="40% - Accent1 4 4 10 2" xfId="20657"/>
    <cellStyle name="40% - Accent1 4 4 11" xfId="20658"/>
    <cellStyle name="40% - Accent1 4 4 12" xfId="20659"/>
    <cellStyle name="40% - Accent1 4 4 2" xfId="1588"/>
    <cellStyle name="40% - Accent1 4 4 2 10" xfId="20660"/>
    <cellStyle name="40% - Accent1 4 4 2 2" xfId="1589"/>
    <cellStyle name="40% - Accent1 4 4 2 2 2" xfId="20661"/>
    <cellStyle name="40% - Accent1 4 4 2 2 2 2" xfId="20662"/>
    <cellStyle name="40% - Accent1 4 4 2 2 2 2 2" xfId="20663"/>
    <cellStyle name="40% - Accent1 4 4 2 2 2 2 3" xfId="20664"/>
    <cellStyle name="40% - Accent1 4 4 2 2 2 3" xfId="20665"/>
    <cellStyle name="40% - Accent1 4 4 2 2 2 3 2" xfId="20666"/>
    <cellStyle name="40% - Accent1 4 4 2 2 2 3 3" xfId="20667"/>
    <cellStyle name="40% - Accent1 4 4 2 2 2 4" xfId="20668"/>
    <cellStyle name="40% - Accent1 4 4 2 2 2 4 2" xfId="20669"/>
    <cellStyle name="40% - Accent1 4 4 2 2 2 5" xfId="20670"/>
    <cellStyle name="40% - Accent1 4 4 2 2 2 6" xfId="20671"/>
    <cellStyle name="40% - Accent1 4 4 2 2 3" xfId="20672"/>
    <cellStyle name="40% - Accent1 4 4 2 2 3 2" xfId="20673"/>
    <cellStyle name="40% - Accent1 4 4 2 2 3 2 2" xfId="20674"/>
    <cellStyle name="40% - Accent1 4 4 2 2 3 2 3" xfId="20675"/>
    <cellStyle name="40% - Accent1 4 4 2 2 3 3" xfId="20676"/>
    <cellStyle name="40% - Accent1 4 4 2 2 3 3 2" xfId="20677"/>
    <cellStyle name="40% - Accent1 4 4 2 2 3 3 3" xfId="20678"/>
    <cellStyle name="40% - Accent1 4 4 2 2 3 4" xfId="20679"/>
    <cellStyle name="40% - Accent1 4 4 2 2 3 4 2" xfId="20680"/>
    <cellStyle name="40% - Accent1 4 4 2 2 3 5" xfId="20681"/>
    <cellStyle name="40% - Accent1 4 4 2 2 3 6" xfId="20682"/>
    <cellStyle name="40% - Accent1 4 4 2 2 4" xfId="20683"/>
    <cellStyle name="40% - Accent1 4 4 2 2 4 2" xfId="20684"/>
    <cellStyle name="40% - Accent1 4 4 2 2 4 2 2" xfId="20685"/>
    <cellStyle name="40% - Accent1 4 4 2 2 4 2 3" xfId="20686"/>
    <cellStyle name="40% - Accent1 4 4 2 2 4 3" xfId="20687"/>
    <cellStyle name="40% - Accent1 4 4 2 2 4 3 2" xfId="20688"/>
    <cellStyle name="40% - Accent1 4 4 2 2 4 4" xfId="20689"/>
    <cellStyle name="40% - Accent1 4 4 2 2 4 5" xfId="20690"/>
    <cellStyle name="40% - Accent1 4 4 2 2 5" xfId="20691"/>
    <cellStyle name="40% - Accent1 4 4 2 2 5 2" xfId="20692"/>
    <cellStyle name="40% - Accent1 4 4 2 2 5 3" xfId="20693"/>
    <cellStyle name="40% - Accent1 4 4 2 2 6" xfId="20694"/>
    <cellStyle name="40% - Accent1 4 4 2 2 6 2" xfId="20695"/>
    <cellStyle name="40% - Accent1 4 4 2 2 6 3" xfId="20696"/>
    <cellStyle name="40% - Accent1 4 4 2 2 7" xfId="20697"/>
    <cellStyle name="40% - Accent1 4 4 2 2 7 2" xfId="20698"/>
    <cellStyle name="40% - Accent1 4 4 2 2 8" xfId="20699"/>
    <cellStyle name="40% - Accent1 4 4 2 2 9" xfId="20700"/>
    <cellStyle name="40% - Accent1 4 4 2 3" xfId="20701"/>
    <cellStyle name="40% - Accent1 4 4 2 3 2" xfId="20702"/>
    <cellStyle name="40% - Accent1 4 4 2 3 2 2" xfId="20703"/>
    <cellStyle name="40% - Accent1 4 4 2 3 2 3" xfId="20704"/>
    <cellStyle name="40% - Accent1 4 4 2 3 3" xfId="20705"/>
    <cellStyle name="40% - Accent1 4 4 2 3 3 2" xfId="20706"/>
    <cellStyle name="40% - Accent1 4 4 2 3 3 3" xfId="20707"/>
    <cellStyle name="40% - Accent1 4 4 2 3 4" xfId="20708"/>
    <cellStyle name="40% - Accent1 4 4 2 3 4 2" xfId="20709"/>
    <cellStyle name="40% - Accent1 4 4 2 3 5" xfId="20710"/>
    <cellStyle name="40% - Accent1 4 4 2 3 6" xfId="20711"/>
    <cellStyle name="40% - Accent1 4 4 2 4" xfId="20712"/>
    <cellStyle name="40% - Accent1 4 4 2 4 2" xfId="20713"/>
    <cellStyle name="40% - Accent1 4 4 2 4 2 2" xfId="20714"/>
    <cellStyle name="40% - Accent1 4 4 2 4 2 3" xfId="20715"/>
    <cellStyle name="40% - Accent1 4 4 2 4 3" xfId="20716"/>
    <cellStyle name="40% - Accent1 4 4 2 4 3 2" xfId="20717"/>
    <cellStyle name="40% - Accent1 4 4 2 4 3 3" xfId="20718"/>
    <cellStyle name="40% - Accent1 4 4 2 4 4" xfId="20719"/>
    <cellStyle name="40% - Accent1 4 4 2 4 4 2" xfId="20720"/>
    <cellStyle name="40% - Accent1 4 4 2 4 5" xfId="20721"/>
    <cellStyle name="40% - Accent1 4 4 2 4 6" xfId="20722"/>
    <cellStyle name="40% - Accent1 4 4 2 5" xfId="20723"/>
    <cellStyle name="40% - Accent1 4 4 2 5 2" xfId="20724"/>
    <cellStyle name="40% - Accent1 4 4 2 5 2 2" xfId="20725"/>
    <cellStyle name="40% - Accent1 4 4 2 5 2 3" xfId="20726"/>
    <cellStyle name="40% - Accent1 4 4 2 5 3" xfId="20727"/>
    <cellStyle name="40% - Accent1 4 4 2 5 3 2" xfId="20728"/>
    <cellStyle name="40% - Accent1 4 4 2 5 4" xfId="20729"/>
    <cellStyle name="40% - Accent1 4 4 2 5 5" xfId="20730"/>
    <cellStyle name="40% - Accent1 4 4 2 6" xfId="20731"/>
    <cellStyle name="40% - Accent1 4 4 2 6 2" xfId="20732"/>
    <cellStyle name="40% - Accent1 4 4 2 6 3" xfId="20733"/>
    <cellStyle name="40% - Accent1 4 4 2 7" xfId="20734"/>
    <cellStyle name="40% - Accent1 4 4 2 7 2" xfId="20735"/>
    <cellStyle name="40% - Accent1 4 4 2 7 3" xfId="20736"/>
    <cellStyle name="40% - Accent1 4 4 2 8" xfId="20737"/>
    <cellStyle name="40% - Accent1 4 4 2 8 2" xfId="20738"/>
    <cellStyle name="40% - Accent1 4 4 2 9" xfId="20739"/>
    <cellStyle name="40% - Accent1 4 4 3" xfId="1590"/>
    <cellStyle name="40% - Accent1 4 4 3 2" xfId="20740"/>
    <cellStyle name="40% - Accent1 4 4 3 2 2" xfId="20741"/>
    <cellStyle name="40% - Accent1 4 4 3 2 2 2" xfId="20742"/>
    <cellStyle name="40% - Accent1 4 4 3 2 2 3" xfId="20743"/>
    <cellStyle name="40% - Accent1 4 4 3 2 3" xfId="20744"/>
    <cellStyle name="40% - Accent1 4 4 3 2 3 2" xfId="20745"/>
    <cellStyle name="40% - Accent1 4 4 3 2 3 3" xfId="20746"/>
    <cellStyle name="40% - Accent1 4 4 3 2 4" xfId="20747"/>
    <cellStyle name="40% - Accent1 4 4 3 2 4 2" xfId="20748"/>
    <cellStyle name="40% - Accent1 4 4 3 2 5" xfId="20749"/>
    <cellStyle name="40% - Accent1 4 4 3 2 6" xfId="20750"/>
    <cellStyle name="40% - Accent1 4 4 3 3" xfId="20751"/>
    <cellStyle name="40% - Accent1 4 4 3 3 2" xfId="20752"/>
    <cellStyle name="40% - Accent1 4 4 3 3 2 2" xfId="20753"/>
    <cellStyle name="40% - Accent1 4 4 3 3 2 3" xfId="20754"/>
    <cellStyle name="40% - Accent1 4 4 3 3 3" xfId="20755"/>
    <cellStyle name="40% - Accent1 4 4 3 3 3 2" xfId="20756"/>
    <cellStyle name="40% - Accent1 4 4 3 3 3 3" xfId="20757"/>
    <cellStyle name="40% - Accent1 4 4 3 3 4" xfId="20758"/>
    <cellStyle name="40% - Accent1 4 4 3 3 4 2" xfId="20759"/>
    <cellStyle name="40% - Accent1 4 4 3 3 5" xfId="20760"/>
    <cellStyle name="40% - Accent1 4 4 3 3 6" xfId="20761"/>
    <cellStyle name="40% - Accent1 4 4 3 4" xfId="20762"/>
    <cellStyle name="40% - Accent1 4 4 3 4 2" xfId="20763"/>
    <cellStyle name="40% - Accent1 4 4 3 4 2 2" xfId="20764"/>
    <cellStyle name="40% - Accent1 4 4 3 4 2 3" xfId="20765"/>
    <cellStyle name="40% - Accent1 4 4 3 4 3" xfId="20766"/>
    <cellStyle name="40% - Accent1 4 4 3 4 3 2" xfId="20767"/>
    <cellStyle name="40% - Accent1 4 4 3 4 4" xfId="20768"/>
    <cellStyle name="40% - Accent1 4 4 3 4 5" xfId="20769"/>
    <cellStyle name="40% - Accent1 4 4 3 5" xfId="20770"/>
    <cellStyle name="40% - Accent1 4 4 3 5 2" xfId="20771"/>
    <cellStyle name="40% - Accent1 4 4 3 5 3" xfId="20772"/>
    <cellStyle name="40% - Accent1 4 4 3 6" xfId="20773"/>
    <cellStyle name="40% - Accent1 4 4 3 6 2" xfId="20774"/>
    <cellStyle name="40% - Accent1 4 4 3 6 3" xfId="20775"/>
    <cellStyle name="40% - Accent1 4 4 3 7" xfId="20776"/>
    <cellStyle name="40% - Accent1 4 4 3 7 2" xfId="20777"/>
    <cellStyle name="40% - Accent1 4 4 3 8" xfId="20778"/>
    <cellStyle name="40% - Accent1 4 4 3 9" xfId="20779"/>
    <cellStyle name="40% - Accent1 4 4 4" xfId="20780"/>
    <cellStyle name="40% - Accent1 4 4 4 2" xfId="20781"/>
    <cellStyle name="40% - Accent1 4 4 4 2 2" xfId="20782"/>
    <cellStyle name="40% - Accent1 4 4 4 2 2 2" xfId="20783"/>
    <cellStyle name="40% - Accent1 4 4 4 2 2 3" xfId="20784"/>
    <cellStyle name="40% - Accent1 4 4 4 2 3" xfId="20785"/>
    <cellStyle name="40% - Accent1 4 4 4 2 3 2" xfId="20786"/>
    <cellStyle name="40% - Accent1 4 4 4 2 3 3" xfId="20787"/>
    <cellStyle name="40% - Accent1 4 4 4 2 4" xfId="20788"/>
    <cellStyle name="40% - Accent1 4 4 4 2 4 2" xfId="20789"/>
    <cellStyle name="40% - Accent1 4 4 4 2 5" xfId="20790"/>
    <cellStyle name="40% - Accent1 4 4 4 2 6" xfId="20791"/>
    <cellStyle name="40% - Accent1 4 4 4 3" xfId="20792"/>
    <cellStyle name="40% - Accent1 4 4 4 3 2" xfId="20793"/>
    <cellStyle name="40% - Accent1 4 4 4 3 2 2" xfId="20794"/>
    <cellStyle name="40% - Accent1 4 4 4 3 2 3" xfId="20795"/>
    <cellStyle name="40% - Accent1 4 4 4 3 3" xfId="20796"/>
    <cellStyle name="40% - Accent1 4 4 4 3 3 2" xfId="20797"/>
    <cellStyle name="40% - Accent1 4 4 4 3 3 3" xfId="20798"/>
    <cellStyle name="40% - Accent1 4 4 4 3 4" xfId="20799"/>
    <cellStyle name="40% - Accent1 4 4 4 3 4 2" xfId="20800"/>
    <cellStyle name="40% - Accent1 4 4 4 3 5" xfId="20801"/>
    <cellStyle name="40% - Accent1 4 4 4 3 6" xfId="20802"/>
    <cellStyle name="40% - Accent1 4 4 4 4" xfId="20803"/>
    <cellStyle name="40% - Accent1 4 4 4 4 2" xfId="20804"/>
    <cellStyle name="40% - Accent1 4 4 4 4 2 2" xfId="20805"/>
    <cellStyle name="40% - Accent1 4 4 4 4 2 3" xfId="20806"/>
    <cellStyle name="40% - Accent1 4 4 4 4 3" xfId="20807"/>
    <cellStyle name="40% - Accent1 4 4 4 4 3 2" xfId="20808"/>
    <cellStyle name="40% - Accent1 4 4 4 4 4" xfId="20809"/>
    <cellStyle name="40% - Accent1 4 4 4 4 5" xfId="20810"/>
    <cellStyle name="40% - Accent1 4 4 4 5" xfId="20811"/>
    <cellStyle name="40% - Accent1 4 4 4 5 2" xfId="20812"/>
    <cellStyle name="40% - Accent1 4 4 4 5 3" xfId="20813"/>
    <cellStyle name="40% - Accent1 4 4 4 6" xfId="20814"/>
    <cellStyle name="40% - Accent1 4 4 4 6 2" xfId="20815"/>
    <cellStyle name="40% - Accent1 4 4 4 6 3" xfId="20816"/>
    <cellStyle name="40% - Accent1 4 4 4 7" xfId="20817"/>
    <cellStyle name="40% - Accent1 4 4 4 7 2" xfId="20818"/>
    <cellStyle name="40% - Accent1 4 4 4 8" xfId="20819"/>
    <cellStyle name="40% - Accent1 4 4 4 9" xfId="20820"/>
    <cellStyle name="40% - Accent1 4 4 5" xfId="20821"/>
    <cellStyle name="40% - Accent1 4 4 5 2" xfId="20822"/>
    <cellStyle name="40% - Accent1 4 4 5 2 2" xfId="20823"/>
    <cellStyle name="40% - Accent1 4 4 5 2 3" xfId="20824"/>
    <cellStyle name="40% - Accent1 4 4 5 3" xfId="20825"/>
    <cellStyle name="40% - Accent1 4 4 5 3 2" xfId="20826"/>
    <cellStyle name="40% - Accent1 4 4 5 3 3" xfId="20827"/>
    <cellStyle name="40% - Accent1 4 4 5 4" xfId="20828"/>
    <cellStyle name="40% - Accent1 4 4 5 4 2" xfId="20829"/>
    <cellStyle name="40% - Accent1 4 4 5 5" xfId="20830"/>
    <cellStyle name="40% - Accent1 4 4 5 6" xfId="20831"/>
    <cellStyle name="40% - Accent1 4 4 6" xfId="20832"/>
    <cellStyle name="40% - Accent1 4 4 6 2" xfId="20833"/>
    <cellStyle name="40% - Accent1 4 4 6 2 2" xfId="20834"/>
    <cellStyle name="40% - Accent1 4 4 6 2 3" xfId="20835"/>
    <cellStyle name="40% - Accent1 4 4 6 3" xfId="20836"/>
    <cellStyle name="40% - Accent1 4 4 6 3 2" xfId="20837"/>
    <cellStyle name="40% - Accent1 4 4 6 3 3" xfId="20838"/>
    <cellStyle name="40% - Accent1 4 4 6 4" xfId="20839"/>
    <cellStyle name="40% - Accent1 4 4 6 4 2" xfId="20840"/>
    <cellStyle name="40% - Accent1 4 4 6 5" xfId="20841"/>
    <cellStyle name="40% - Accent1 4 4 6 6" xfId="20842"/>
    <cellStyle name="40% - Accent1 4 4 7" xfId="20843"/>
    <cellStyle name="40% - Accent1 4 4 7 2" xfId="20844"/>
    <cellStyle name="40% - Accent1 4 4 7 2 2" xfId="20845"/>
    <cellStyle name="40% - Accent1 4 4 7 2 3" xfId="20846"/>
    <cellStyle name="40% - Accent1 4 4 7 3" xfId="20847"/>
    <cellStyle name="40% - Accent1 4 4 7 3 2" xfId="20848"/>
    <cellStyle name="40% - Accent1 4 4 7 4" xfId="20849"/>
    <cellStyle name="40% - Accent1 4 4 7 5" xfId="20850"/>
    <cellStyle name="40% - Accent1 4 4 8" xfId="20851"/>
    <cellStyle name="40% - Accent1 4 4 8 2" xfId="20852"/>
    <cellStyle name="40% - Accent1 4 4 8 3" xfId="20853"/>
    <cellStyle name="40% - Accent1 4 4 9" xfId="20854"/>
    <cellStyle name="40% - Accent1 4 4 9 2" xfId="20855"/>
    <cellStyle name="40% - Accent1 4 4 9 3" xfId="20856"/>
    <cellStyle name="40% - Accent1 4 5" xfId="1591"/>
    <cellStyle name="40% - Accent1 4 5 10" xfId="20857"/>
    <cellStyle name="40% - Accent1 4 5 2" xfId="1592"/>
    <cellStyle name="40% - Accent1 4 5 2 2" xfId="20858"/>
    <cellStyle name="40% - Accent1 4 5 2 2 2" xfId="20859"/>
    <cellStyle name="40% - Accent1 4 5 2 2 2 2" xfId="20860"/>
    <cellStyle name="40% - Accent1 4 5 2 2 2 3" xfId="20861"/>
    <cellStyle name="40% - Accent1 4 5 2 2 3" xfId="20862"/>
    <cellStyle name="40% - Accent1 4 5 2 2 3 2" xfId="20863"/>
    <cellStyle name="40% - Accent1 4 5 2 2 3 3" xfId="20864"/>
    <cellStyle name="40% - Accent1 4 5 2 2 4" xfId="20865"/>
    <cellStyle name="40% - Accent1 4 5 2 2 4 2" xfId="20866"/>
    <cellStyle name="40% - Accent1 4 5 2 2 5" xfId="20867"/>
    <cellStyle name="40% - Accent1 4 5 2 2 6" xfId="20868"/>
    <cellStyle name="40% - Accent1 4 5 2 3" xfId="20869"/>
    <cellStyle name="40% - Accent1 4 5 2 3 2" xfId="20870"/>
    <cellStyle name="40% - Accent1 4 5 2 3 2 2" xfId="20871"/>
    <cellStyle name="40% - Accent1 4 5 2 3 2 3" xfId="20872"/>
    <cellStyle name="40% - Accent1 4 5 2 3 3" xfId="20873"/>
    <cellStyle name="40% - Accent1 4 5 2 3 3 2" xfId="20874"/>
    <cellStyle name="40% - Accent1 4 5 2 3 3 3" xfId="20875"/>
    <cellStyle name="40% - Accent1 4 5 2 3 4" xfId="20876"/>
    <cellStyle name="40% - Accent1 4 5 2 3 4 2" xfId="20877"/>
    <cellStyle name="40% - Accent1 4 5 2 3 5" xfId="20878"/>
    <cellStyle name="40% - Accent1 4 5 2 3 6" xfId="20879"/>
    <cellStyle name="40% - Accent1 4 5 2 4" xfId="20880"/>
    <cellStyle name="40% - Accent1 4 5 2 4 2" xfId="20881"/>
    <cellStyle name="40% - Accent1 4 5 2 4 2 2" xfId="20882"/>
    <cellStyle name="40% - Accent1 4 5 2 4 2 3" xfId="20883"/>
    <cellStyle name="40% - Accent1 4 5 2 4 3" xfId="20884"/>
    <cellStyle name="40% - Accent1 4 5 2 4 3 2" xfId="20885"/>
    <cellStyle name="40% - Accent1 4 5 2 4 4" xfId="20886"/>
    <cellStyle name="40% - Accent1 4 5 2 4 5" xfId="20887"/>
    <cellStyle name="40% - Accent1 4 5 2 5" xfId="20888"/>
    <cellStyle name="40% - Accent1 4 5 2 5 2" xfId="20889"/>
    <cellStyle name="40% - Accent1 4 5 2 5 3" xfId="20890"/>
    <cellStyle name="40% - Accent1 4 5 2 6" xfId="20891"/>
    <cellStyle name="40% - Accent1 4 5 2 6 2" xfId="20892"/>
    <cellStyle name="40% - Accent1 4 5 2 6 3" xfId="20893"/>
    <cellStyle name="40% - Accent1 4 5 2 7" xfId="20894"/>
    <cellStyle name="40% - Accent1 4 5 2 7 2" xfId="20895"/>
    <cellStyle name="40% - Accent1 4 5 2 8" xfId="20896"/>
    <cellStyle name="40% - Accent1 4 5 2 9" xfId="20897"/>
    <cellStyle name="40% - Accent1 4 5 3" xfId="20898"/>
    <cellStyle name="40% - Accent1 4 5 3 2" xfId="20899"/>
    <cellStyle name="40% - Accent1 4 5 3 2 2" xfId="20900"/>
    <cellStyle name="40% - Accent1 4 5 3 2 3" xfId="20901"/>
    <cellStyle name="40% - Accent1 4 5 3 3" xfId="20902"/>
    <cellStyle name="40% - Accent1 4 5 3 3 2" xfId="20903"/>
    <cellStyle name="40% - Accent1 4 5 3 3 3" xfId="20904"/>
    <cellStyle name="40% - Accent1 4 5 3 4" xfId="20905"/>
    <cellStyle name="40% - Accent1 4 5 3 4 2" xfId="20906"/>
    <cellStyle name="40% - Accent1 4 5 3 5" xfId="20907"/>
    <cellStyle name="40% - Accent1 4 5 3 6" xfId="20908"/>
    <cellStyle name="40% - Accent1 4 5 4" xfId="20909"/>
    <cellStyle name="40% - Accent1 4 5 4 2" xfId="20910"/>
    <cellStyle name="40% - Accent1 4 5 4 2 2" xfId="20911"/>
    <cellStyle name="40% - Accent1 4 5 4 2 3" xfId="20912"/>
    <cellStyle name="40% - Accent1 4 5 4 3" xfId="20913"/>
    <cellStyle name="40% - Accent1 4 5 4 3 2" xfId="20914"/>
    <cellStyle name="40% - Accent1 4 5 4 3 3" xfId="20915"/>
    <cellStyle name="40% - Accent1 4 5 4 4" xfId="20916"/>
    <cellStyle name="40% - Accent1 4 5 4 4 2" xfId="20917"/>
    <cellStyle name="40% - Accent1 4 5 4 5" xfId="20918"/>
    <cellStyle name="40% - Accent1 4 5 4 6" xfId="20919"/>
    <cellStyle name="40% - Accent1 4 5 5" xfId="20920"/>
    <cellStyle name="40% - Accent1 4 5 5 2" xfId="20921"/>
    <cellStyle name="40% - Accent1 4 5 5 2 2" xfId="20922"/>
    <cellStyle name="40% - Accent1 4 5 5 2 3" xfId="20923"/>
    <cellStyle name="40% - Accent1 4 5 5 3" xfId="20924"/>
    <cellStyle name="40% - Accent1 4 5 5 3 2" xfId="20925"/>
    <cellStyle name="40% - Accent1 4 5 5 4" xfId="20926"/>
    <cellStyle name="40% - Accent1 4 5 5 5" xfId="20927"/>
    <cellStyle name="40% - Accent1 4 5 6" xfId="20928"/>
    <cellStyle name="40% - Accent1 4 5 6 2" xfId="20929"/>
    <cellStyle name="40% - Accent1 4 5 6 3" xfId="20930"/>
    <cellStyle name="40% - Accent1 4 5 7" xfId="20931"/>
    <cellStyle name="40% - Accent1 4 5 7 2" xfId="20932"/>
    <cellStyle name="40% - Accent1 4 5 7 3" xfId="20933"/>
    <cellStyle name="40% - Accent1 4 5 8" xfId="20934"/>
    <cellStyle name="40% - Accent1 4 5 8 2" xfId="20935"/>
    <cellStyle name="40% - Accent1 4 5 9" xfId="20936"/>
    <cellStyle name="40% - Accent1 4 6" xfId="1593"/>
    <cellStyle name="40% - Accent1 4 6 2" xfId="20937"/>
    <cellStyle name="40% - Accent1 4 6 2 2" xfId="20938"/>
    <cellStyle name="40% - Accent1 4 6 2 2 2" xfId="20939"/>
    <cellStyle name="40% - Accent1 4 6 2 2 3" xfId="20940"/>
    <cellStyle name="40% - Accent1 4 6 2 3" xfId="20941"/>
    <cellStyle name="40% - Accent1 4 6 2 3 2" xfId="20942"/>
    <cellStyle name="40% - Accent1 4 6 2 3 3" xfId="20943"/>
    <cellStyle name="40% - Accent1 4 6 2 4" xfId="20944"/>
    <cellStyle name="40% - Accent1 4 6 2 4 2" xfId="20945"/>
    <cellStyle name="40% - Accent1 4 6 2 5" xfId="20946"/>
    <cellStyle name="40% - Accent1 4 6 2 6" xfId="20947"/>
    <cellStyle name="40% - Accent1 4 6 3" xfId="20948"/>
    <cellStyle name="40% - Accent1 4 6 3 2" xfId="20949"/>
    <cellStyle name="40% - Accent1 4 6 3 2 2" xfId="20950"/>
    <cellStyle name="40% - Accent1 4 6 3 2 3" xfId="20951"/>
    <cellStyle name="40% - Accent1 4 6 3 3" xfId="20952"/>
    <cellStyle name="40% - Accent1 4 6 3 3 2" xfId="20953"/>
    <cellStyle name="40% - Accent1 4 6 3 3 3" xfId="20954"/>
    <cellStyle name="40% - Accent1 4 6 3 4" xfId="20955"/>
    <cellStyle name="40% - Accent1 4 6 3 4 2" xfId="20956"/>
    <cellStyle name="40% - Accent1 4 6 3 5" xfId="20957"/>
    <cellStyle name="40% - Accent1 4 6 3 6" xfId="20958"/>
    <cellStyle name="40% - Accent1 4 6 4" xfId="20959"/>
    <cellStyle name="40% - Accent1 4 6 4 2" xfId="20960"/>
    <cellStyle name="40% - Accent1 4 6 4 2 2" xfId="20961"/>
    <cellStyle name="40% - Accent1 4 6 4 2 3" xfId="20962"/>
    <cellStyle name="40% - Accent1 4 6 4 3" xfId="20963"/>
    <cellStyle name="40% - Accent1 4 6 4 3 2" xfId="20964"/>
    <cellStyle name="40% - Accent1 4 6 4 4" xfId="20965"/>
    <cellStyle name="40% - Accent1 4 6 4 5" xfId="20966"/>
    <cellStyle name="40% - Accent1 4 6 5" xfId="20967"/>
    <cellStyle name="40% - Accent1 4 6 5 2" xfId="20968"/>
    <cellStyle name="40% - Accent1 4 6 5 3" xfId="20969"/>
    <cellStyle name="40% - Accent1 4 6 6" xfId="20970"/>
    <cellStyle name="40% - Accent1 4 6 6 2" xfId="20971"/>
    <cellStyle name="40% - Accent1 4 6 6 3" xfId="20972"/>
    <cellStyle name="40% - Accent1 4 6 7" xfId="20973"/>
    <cellStyle name="40% - Accent1 4 6 7 2" xfId="20974"/>
    <cellStyle name="40% - Accent1 4 6 8" xfId="20975"/>
    <cellStyle name="40% - Accent1 4 6 9" xfId="20976"/>
    <cellStyle name="40% - Accent1 4 7" xfId="9004"/>
    <cellStyle name="40% - Accent1 4 7 2" xfId="20977"/>
    <cellStyle name="40% - Accent1 4 7 2 2" xfId="20978"/>
    <cellStyle name="40% - Accent1 4 7 2 2 2" xfId="20979"/>
    <cellStyle name="40% - Accent1 4 7 2 2 3" xfId="20980"/>
    <cellStyle name="40% - Accent1 4 7 2 3" xfId="20981"/>
    <cellStyle name="40% - Accent1 4 7 2 3 2" xfId="20982"/>
    <cellStyle name="40% - Accent1 4 7 2 3 3" xfId="20983"/>
    <cellStyle name="40% - Accent1 4 7 2 4" xfId="20984"/>
    <cellStyle name="40% - Accent1 4 7 2 4 2" xfId="20985"/>
    <cellStyle name="40% - Accent1 4 7 2 5" xfId="20986"/>
    <cellStyle name="40% - Accent1 4 7 2 6" xfId="20987"/>
    <cellStyle name="40% - Accent1 4 7 3" xfId="20988"/>
    <cellStyle name="40% - Accent1 4 7 3 2" xfId="20989"/>
    <cellStyle name="40% - Accent1 4 7 3 2 2" xfId="20990"/>
    <cellStyle name="40% - Accent1 4 7 3 2 3" xfId="20991"/>
    <cellStyle name="40% - Accent1 4 7 3 3" xfId="20992"/>
    <cellStyle name="40% - Accent1 4 7 3 3 2" xfId="20993"/>
    <cellStyle name="40% - Accent1 4 7 3 3 3" xfId="20994"/>
    <cellStyle name="40% - Accent1 4 7 3 4" xfId="20995"/>
    <cellStyle name="40% - Accent1 4 7 3 4 2" xfId="20996"/>
    <cellStyle name="40% - Accent1 4 7 3 5" xfId="20997"/>
    <cellStyle name="40% - Accent1 4 7 3 6" xfId="20998"/>
    <cellStyle name="40% - Accent1 4 7 4" xfId="20999"/>
    <cellStyle name="40% - Accent1 4 7 4 2" xfId="21000"/>
    <cellStyle name="40% - Accent1 4 7 4 2 2" xfId="21001"/>
    <cellStyle name="40% - Accent1 4 7 4 2 3" xfId="21002"/>
    <cellStyle name="40% - Accent1 4 7 4 3" xfId="21003"/>
    <cellStyle name="40% - Accent1 4 7 4 3 2" xfId="21004"/>
    <cellStyle name="40% - Accent1 4 7 4 4" xfId="21005"/>
    <cellStyle name="40% - Accent1 4 7 4 5" xfId="21006"/>
    <cellStyle name="40% - Accent1 4 7 5" xfId="21007"/>
    <cellStyle name="40% - Accent1 4 7 5 2" xfId="21008"/>
    <cellStyle name="40% - Accent1 4 7 5 3" xfId="21009"/>
    <cellStyle name="40% - Accent1 4 7 6" xfId="21010"/>
    <cellStyle name="40% - Accent1 4 7 6 2" xfId="21011"/>
    <cellStyle name="40% - Accent1 4 7 6 3" xfId="21012"/>
    <cellStyle name="40% - Accent1 4 7 7" xfId="21013"/>
    <cellStyle name="40% - Accent1 4 7 7 2" xfId="21014"/>
    <cellStyle name="40% - Accent1 4 7 8" xfId="21015"/>
    <cellStyle name="40% - Accent1 4 7 9" xfId="21016"/>
    <cellStyle name="40% - Accent1 4 8" xfId="21017"/>
    <cellStyle name="40% - Accent1 4 8 2" xfId="21018"/>
    <cellStyle name="40% - Accent1 4 8 2 2" xfId="21019"/>
    <cellStyle name="40% - Accent1 4 8 2 3" xfId="21020"/>
    <cellStyle name="40% - Accent1 4 8 3" xfId="21021"/>
    <cellStyle name="40% - Accent1 4 8 3 2" xfId="21022"/>
    <cellStyle name="40% - Accent1 4 8 3 3" xfId="21023"/>
    <cellStyle name="40% - Accent1 4 8 4" xfId="21024"/>
    <cellStyle name="40% - Accent1 4 8 4 2" xfId="21025"/>
    <cellStyle name="40% - Accent1 4 8 5" xfId="21026"/>
    <cellStyle name="40% - Accent1 4 8 6" xfId="21027"/>
    <cellStyle name="40% - Accent1 4 9" xfId="21028"/>
    <cellStyle name="40% - Accent1 4 9 2" xfId="21029"/>
    <cellStyle name="40% - Accent1 4 9 2 2" xfId="21030"/>
    <cellStyle name="40% - Accent1 4 9 2 3" xfId="21031"/>
    <cellStyle name="40% - Accent1 4 9 3" xfId="21032"/>
    <cellStyle name="40% - Accent1 4 9 3 2" xfId="21033"/>
    <cellStyle name="40% - Accent1 4 9 3 3" xfId="21034"/>
    <cellStyle name="40% - Accent1 4 9 4" xfId="21035"/>
    <cellStyle name="40% - Accent1 4 9 4 2" xfId="21036"/>
    <cellStyle name="40% - Accent1 4 9 5" xfId="21037"/>
    <cellStyle name="40% - Accent1 4 9 6" xfId="21038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9006"/>
    <cellStyle name="40% - Accent2 15" xfId="21039"/>
    <cellStyle name="40% - Accent2 16" xfId="21040"/>
    <cellStyle name="40% - Accent2 17" xfId="21041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2"/>
    <cellStyle name="40% - Accent2 4 10 2" xfId="21043"/>
    <cellStyle name="40% - Accent2 4 10 2 2" xfId="21044"/>
    <cellStyle name="40% - Accent2 4 10 2 3" xfId="21045"/>
    <cellStyle name="40% - Accent2 4 10 3" xfId="21046"/>
    <cellStyle name="40% - Accent2 4 10 3 2" xfId="21047"/>
    <cellStyle name="40% - Accent2 4 10 4" xfId="21048"/>
    <cellStyle name="40% - Accent2 4 10 5" xfId="21049"/>
    <cellStyle name="40% - Accent2 4 11" xfId="21050"/>
    <cellStyle name="40% - Accent2 4 11 2" xfId="21051"/>
    <cellStyle name="40% - Accent2 4 11 3" xfId="21052"/>
    <cellStyle name="40% - Accent2 4 12" xfId="21053"/>
    <cellStyle name="40% - Accent2 4 12 2" xfId="21054"/>
    <cellStyle name="40% - Accent2 4 12 3" xfId="21055"/>
    <cellStyle name="40% - Accent2 4 13" xfId="21056"/>
    <cellStyle name="40% - Accent2 4 13 2" xfId="21057"/>
    <cellStyle name="40% - Accent2 4 14" xfId="21058"/>
    <cellStyle name="40% - Accent2 4 15" xfId="21059"/>
    <cellStyle name="40% - Accent2 4 16" xfId="21060"/>
    <cellStyle name="40% - Accent2 4 2" xfId="1780"/>
    <cellStyle name="40% - Accent2 4 2 10" xfId="21061"/>
    <cellStyle name="40% - Accent2 4 2 10 2" xfId="21062"/>
    <cellStyle name="40% - Accent2 4 2 10 3" xfId="21063"/>
    <cellStyle name="40% - Accent2 4 2 11" xfId="21064"/>
    <cellStyle name="40% - Accent2 4 2 11 2" xfId="21065"/>
    <cellStyle name="40% - Accent2 4 2 11 3" xfId="21066"/>
    <cellStyle name="40% - Accent2 4 2 12" xfId="21067"/>
    <cellStyle name="40% - Accent2 4 2 12 2" xfId="21068"/>
    <cellStyle name="40% - Accent2 4 2 13" xfId="21069"/>
    <cellStyle name="40% - Accent2 4 2 14" xfId="21070"/>
    <cellStyle name="40% - Accent2 4 2 15" xfId="21071"/>
    <cellStyle name="40% - Accent2 4 2 2" xfId="1781"/>
    <cellStyle name="40% - Accent2 4 2 2 10" xfId="21072"/>
    <cellStyle name="40% - Accent2 4 2 2 10 2" xfId="21073"/>
    <cellStyle name="40% - Accent2 4 2 2 10 3" xfId="21074"/>
    <cellStyle name="40% - Accent2 4 2 2 11" xfId="21075"/>
    <cellStyle name="40% - Accent2 4 2 2 11 2" xfId="21076"/>
    <cellStyle name="40% - Accent2 4 2 2 12" xfId="21077"/>
    <cellStyle name="40% - Accent2 4 2 2 13" xfId="21078"/>
    <cellStyle name="40% - Accent2 4 2 2 2" xfId="1782"/>
    <cellStyle name="40% - Accent2 4 2 2 2 10" xfId="21079"/>
    <cellStyle name="40% - Accent2 4 2 2 2 10 2" xfId="21080"/>
    <cellStyle name="40% - Accent2 4 2 2 2 11" xfId="21081"/>
    <cellStyle name="40% - Accent2 4 2 2 2 12" xfId="21082"/>
    <cellStyle name="40% - Accent2 4 2 2 2 2" xfId="1783"/>
    <cellStyle name="40% - Accent2 4 2 2 2 2 10" xfId="21083"/>
    <cellStyle name="40% - Accent2 4 2 2 2 2 2" xfId="1784"/>
    <cellStyle name="40% - Accent2 4 2 2 2 2 2 2" xfId="21084"/>
    <cellStyle name="40% - Accent2 4 2 2 2 2 2 2 2" xfId="21085"/>
    <cellStyle name="40% - Accent2 4 2 2 2 2 2 2 2 2" xfId="21086"/>
    <cellStyle name="40% - Accent2 4 2 2 2 2 2 2 2 3" xfId="21087"/>
    <cellStyle name="40% - Accent2 4 2 2 2 2 2 2 3" xfId="21088"/>
    <cellStyle name="40% - Accent2 4 2 2 2 2 2 2 3 2" xfId="21089"/>
    <cellStyle name="40% - Accent2 4 2 2 2 2 2 2 3 3" xfId="21090"/>
    <cellStyle name="40% - Accent2 4 2 2 2 2 2 2 4" xfId="21091"/>
    <cellStyle name="40% - Accent2 4 2 2 2 2 2 2 4 2" xfId="21092"/>
    <cellStyle name="40% - Accent2 4 2 2 2 2 2 2 5" xfId="21093"/>
    <cellStyle name="40% - Accent2 4 2 2 2 2 2 2 6" xfId="21094"/>
    <cellStyle name="40% - Accent2 4 2 2 2 2 2 3" xfId="21095"/>
    <cellStyle name="40% - Accent2 4 2 2 2 2 2 3 2" xfId="21096"/>
    <cellStyle name="40% - Accent2 4 2 2 2 2 2 3 2 2" xfId="21097"/>
    <cellStyle name="40% - Accent2 4 2 2 2 2 2 3 2 3" xfId="21098"/>
    <cellStyle name="40% - Accent2 4 2 2 2 2 2 3 3" xfId="21099"/>
    <cellStyle name="40% - Accent2 4 2 2 2 2 2 3 3 2" xfId="21100"/>
    <cellStyle name="40% - Accent2 4 2 2 2 2 2 3 3 3" xfId="21101"/>
    <cellStyle name="40% - Accent2 4 2 2 2 2 2 3 4" xfId="21102"/>
    <cellStyle name="40% - Accent2 4 2 2 2 2 2 3 4 2" xfId="21103"/>
    <cellStyle name="40% - Accent2 4 2 2 2 2 2 3 5" xfId="21104"/>
    <cellStyle name="40% - Accent2 4 2 2 2 2 2 3 6" xfId="21105"/>
    <cellStyle name="40% - Accent2 4 2 2 2 2 2 4" xfId="21106"/>
    <cellStyle name="40% - Accent2 4 2 2 2 2 2 4 2" xfId="21107"/>
    <cellStyle name="40% - Accent2 4 2 2 2 2 2 4 2 2" xfId="21108"/>
    <cellStyle name="40% - Accent2 4 2 2 2 2 2 4 2 3" xfId="21109"/>
    <cellStyle name="40% - Accent2 4 2 2 2 2 2 4 3" xfId="21110"/>
    <cellStyle name="40% - Accent2 4 2 2 2 2 2 4 3 2" xfId="21111"/>
    <cellStyle name="40% - Accent2 4 2 2 2 2 2 4 4" xfId="21112"/>
    <cellStyle name="40% - Accent2 4 2 2 2 2 2 4 5" xfId="21113"/>
    <cellStyle name="40% - Accent2 4 2 2 2 2 2 5" xfId="21114"/>
    <cellStyle name="40% - Accent2 4 2 2 2 2 2 5 2" xfId="21115"/>
    <cellStyle name="40% - Accent2 4 2 2 2 2 2 5 3" xfId="21116"/>
    <cellStyle name="40% - Accent2 4 2 2 2 2 2 6" xfId="21117"/>
    <cellStyle name="40% - Accent2 4 2 2 2 2 2 6 2" xfId="21118"/>
    <cellStyle name="40% - Accent2 4 2 2 2 2 2 6 3" xfId="21119"/>
    <cellStyle name="40% - Accent2 4 2 2 2 2 2 7" xfId="21120"/>
    <cellStyle name="40% - Accent2 4 2 2 2 2 2 7 2" xfId="21121"/>
    <cellStyle name="40% - Accent2 4 2 2 2 2 2 8" xfId="21122"/>
    <cellStyle name="40% - Accent2 4 2 2 2 2 2 9" xfId="21123"/>
    <cellStyle name="40% - Accent2 4 2 2 2 2 3" xfId="21124"/>
    <cellStyle name="40% - Accent2 4 2 2 2 2 3 2" xfId="21125"/>
    <cellStyle name="40% - Accent2 4 2 2 2 2 3 2 2" xfId="21126"/>
    <cellStyle name="40% - Accent2 4 2 2 2 2 3 2 3" xfId="21127"/>
    <cellStyle name="40% - Accent2 4 2 2 2 2 3 3" xfId="21128"/>
    <cellStyle name="40% - Accent2 4 2 2 2 2 3 3 2" xfId="21129"/>
    <cellStyle name="40% - Accent2 4 2 2 2 2 3 3 3" xfId="21130"/>
    <cellStyle name="40% - Accent2 4 2 2 2 2 3 4" xfId="21131"/>
    <cellStyle name="40% - Accent2 4 2 2 2 2 3 4 2" xfId="21132"/>
    <cellStyle name="40% - Accent2 4 2 2 2 2 3 5" xfId="21133"/>
    <cellStyle name="40% - Accent2 4 2 2 2 2 3 6" xfId="21134"/>
    <cellStyle name="40% - Accent2 4 2 2 2 2 4" xfId="21135"/>
    <cellStyle name="40% - Accent2 4 2 2 2 2 4 2" xfId="21136"/>
    <cellStyle name="40% - Accent2 4 2 2 2 2 4 2 2" xfId="21137"/>
    <cellStyle name="40% - Accent2 4 2 2 2 2 4 2 3" xfId="21138"/>
    <cellStyle name="40% - Accent2 4 2 2 2 2 4 3" xfId="21139"/>
    <cellStyle name="40% - Accent2 4 2 2 2 2 4 3 2" xfId="21140"/>
    <cellStyle name="40% - Accent2 4 2 2 2 2 4 3 3" xfId="21141"/>
    <cellStyle name="40% - Accent2 4 2 2 2 2 4 4" xfId="21142"/>
    <cellStyle name="40% - Accent2 4 2 2 2 2 4 4 2" xfId="21143"/>
    <cellStyle name="40% - Accent2 4 2 2 2 2 4 5" xfId="21144"/>
    <cellStyle name="40% - Accent2 4 2 2 2 2 4 6" xfId="21145"/>
    <cellStyle name="40% - Accent2 4 2 2 2 2 5" xfId="21146"/>
    <cellStyle name="40% - Accent2 4 2 2 2 2 5 2" xfId="21147"/>
    <cellStyle name="40% - Accent2 4 2 2 2 2 5 2 2" xfId="21148"/>
    <cellStyle name="40% - Accent2 4 2 2 2 2 5 2 3" xfId="21149"/>
    <cellStyle name="40% - Accent2 4 2 2 2 2 5 3" xfId="21150"/>
    <cellStyle name="40% - Accent2 4 2 2 2 2 5 3 2" xfId="21151"/>
    <cellStyle name="40% - Accent2 4 2 2 2 2 5 4" xfId="21152"/>
    <cellStyle name="40% - Accent2 4 2 2 2 2 5 5" xfId="21153"/>
    <cellStyle name="40% - Accent2 4 2 2 2 2 6" xfId="21154"/>
    <cellStyle name="40% - Accent2 4 2 2 2 2 6 2" xfId="21155"/>
    <cellStyle name="40% - Accent2 4 2 2 2 2 6 3" xfId="21156"/>
    <cellStyle name="40% - Accent2 4 2 2 2 2 7" xfId="21157"/>
    <cellStyle name="40% - Accent2 4 2 2 2 2 7 2" xfId="21158"/>
    <cellStyle name="40% - Accent2 4 2 2 2 2 7 3" xfId="21159"/>
    <cellStyle name="40% - Accent2 4 2 2 2 2 8" xfId="21160"/>
    <cellStyle name="40% - Accent2 4 2 2 2 2 8 2" xfId="21161"/>
    <cellStyle name="40% - Accent2 4 2 2 2 2 9" xfId="21162"/>
    <cellStyle name="40% - Accent2 4 2 2 2 3" xfId="1785"/>
    <cellStyle name="40% - Accent2 4 2 2 2 3 2" xfId="21163"/>
    <cellStyle name="40% - Accent2 4 2 2 2 3 2 2" xfId="21164"/>
    <cellStyle name="40% - Accent2 4 2 2 2 3 2 2 2" xfId="21165"/>
    <cellStyle name="40% - Accent2 4 2 2 2 3 2 2 3" xfId="21166"/>
    <cellStyle name="40% - Accent2 4 2 2 2 3 2 3" xfId="21167"/>
    <cellStyle name="40% - Accent2 4 2 2 2 3 2 3 2" xfId="21168"/>
    <cellStyle name="40% - Accent2 4 2 2 2 3 2 3 3" xfId="21169"/>
    <cellStyle name="40% - Accent2 4 2 2 2 3 2 4" xfId="21170"/>
    <cellStyle name="40% - Accent2 4 2 2 2 3 2 4 2" xfId="21171"/>
    <cellStyle name="40% - Accent2 4 2 2 2 3 2 5" xfId="21172"/>
    <cellStyle name="40% - Accent2 4 2 2 2 3 2 6" xfId="21173"/>
    <cellStyle name="40% - Accent2 4 2 2 2 3 3" xfId="21174"/>
    <cellStyle name="40% - Accent2 4 2 2 2 3 3 2" xfId="21175"/>
    <cellStyle name="40% - Accent2 4 2 2 2 3 3 2 2" xfId="21176"/>
    <cellStyle name="40% - Accent2 4 2 2 2 3 3 2 3" xfId="21177"/>
    <cellStyle name="40% - Accent2 4 2 2 2 3 3 3" xfId="21178"/>
    <cellStyle name="40% - Accent2 4 2 2 2 3 3 3 2" xfId="21179"/>
    <cellStyle name="40% - Accent2 4 2 2 2 3 3 3 3" xfId="21180"/>
    <cellStyle name="40% - Accent2 4 2 2 2 3 3 4" xfId="21181"/>
    <cellStyle name="40% - Accent2 4 2 2 2 3 3 4 2" xfId="21182"/>
    <cellStyle name="40% - Accent2 4 2 2 2 3 3 5" xfId="21183"/>
    <cellStyle name="40% - Accent2 4 2 2 2 3 3 6" xfId="21184"/>
    <cellStyle name="40% - Accent2 4 2 2 2 3 4" xfId="21185"/>
    <cellStyle name="40% - Accent2 4 2 2 2 3 4 2" xfId="21186"/>
    <cellStyle name="40% - Accent2 4 2 2 2 3 4 2 2" xfId="21187"/>
    <cellStyle name="40% - Accent2 4 2 2 2 3 4 2 3" xfId="21188"/>
    <cellStyle name="40% - Accent2 4 2 2 2 3 4 3" xfId="21189"/>
    <cellStyle name="40% - Accent2 4 2 2 2 3 4 3 2" xfId="21190"/>
    <cellStyle name="40% - Accent2 4 2 2 2 3 4 4" xfId="21191"/>
    <cellStyle name="40% - Accent2 4 2 2 2 3 4 5" xfId="21192"/>
    <cellStyle name="40% - Accent2 4 2 2 2 3 5" xfId="21193"/>
    <cellStyle name="40% - Accent2 4 2 2 2 3 5 2" xfId="21194"/>
    <cellStyle name="40% - Accent2 4 2 2 2 3 5 3" xfId="21195"/>
    <cellStyle name="40% - Accent2 4 2 2 2 3 6" xfId="21196"/>
    <cellStyle name="40% - Accent2 4 2 2 2 3 6 2" xfId="21197"/>
    <cellStyle name="40% - Accent2 4 2 2 2 3 6 3" xfId="21198"/>
    <cellStyle name="40% - Accent2 4 2 2 2 3 7" xfId="21199"/>
    <cellStyle name="40% - Accent2 4 2 2 2 3 7 2" xfId="21200"/>
    <cellStyle name="40% - Accent2 4 2 2 2 3 8" xfId="21201"/>
    <cellStyle name="40% - Accent2 4 2 2 2 3 9" xfId="21202"/>
    <cellStyle name="40% - Accent2 4 2 2 2 4" xfId="21203"/>
    <cellStyle name="40% - Accent2 4 2 2 2 4 2" xfId="21204"/>
    <cellStyle name="40% - Accent2 4 2 2 2 4 2 2" xfId="21205"/>
    <cellStyle name="40% - Accent2 4 2 2 2 4 2 2 2" xfId="21206"/>
    <cellStyle name="40% - Accent2 4 2 2 2 4 2 2 3" xfId="21207"/>
    <cellStyle name="40% - Accent2 4 2 2 2 4 2 3" xfId="21208"/>
    <cellStyle name="40% - Accent2 4 2 2 2 4 2 3 2" xfId="21209"/>
    <cellStyle name="40% - Accent2 4 2 2 2 4 2 3 3" xfId="21210"/>
    <cellStyle name="40% - Accent2 4 2 2 2 4 2 4" xfId="21211"/>
    <cellStyle name="40% - Accent2 4 2 2 2 4 2 4 2" xfId="21212"/>
    <cellStyle name="40% - Accent2 4 2 2 2 4 2 5" xfId="21213"/>
    <cellStyle name="40% - Accent2 4 2 2 2 4 2 6" xfId="21214"/>
    <cellStyle name="40% - Accent2 4 2 2 2 4 3" xfId="21215"/>
    <cellStyle name="40% - Accent2 4 2 2 2 4 3 2" xfId="21216"/>
    <cellStyle name="40% - Accent2 4 2 2 2 4 3 2 2" xfId="21217"/>
    <cellStyle name="40% - Accent2 4 2 2 2 4 3 2 3" xfId="21218"/>
    <cellStyle name="40% - Accent2 4 2 2 2 4 3 3" xfId="21219"/>
    <cellStyle name="40% - Accent2 4 2 2 2 4 3 3 2" xfId="21220"/>
    <cellStyle name="40% - Accent2 4 2 2 2 4 3 3 3" xfId="21221"/>
    <cellStyle name="40% - Accent2 4 2 2 2 4 3 4" xfId="21222"/>
    <cellStyle name="40% - Accent2 4 2 2 2 4 3 4 2" xfId="21223"/>
    <cellStyle name="40% - Accent2 4 2 2 2 4 3 5" xfId="21224"/>
    <cellStyle name="40% - Accent2 4 2 2 2 4 3 6" xfId="21225"/>
    <cellStyle name="40% - Accent2 4 2 2 2 4 4" xfId="21226"/>
    <cellStyle name="40% - Accent2 4 2 2 2 4 4 2" xfId="21227"/>
    <cellStyle name="40% - Accent2 4 2 2 2 4 4 2 2" xfId="21228"/>
    <cellStyle name="40% - Accent2 4 2 2 2 4 4 2 3" xfId="21229"/>
    <cellStyle name="40% - Accent2 4 2 2 2 4 4 3" xfId="21230"/>
    <cellStyle name="40% - Accent2 4 2 2 2 4 4 3 2" xfId="21231"/>
    <cellStyle name="40% - Accent2 4 2 2 2 4 4 4" xfId="21232"/>
    <cellStyle name="40% - Accent2 4 2 2 2 4 4 5" xfId="21233"/>
    <cellStyle name="40% - Accent2 4 2 2 2 4 5" xfId="21234"/>
    <cellStyle name="40% - Accent2 4 2 2 2 4 5 2" xfId="21235"/>
    <cellStyle name="40% - Accent2 4 2 2 2 4 5 3" xfId="21236"/>
    <cellStyle name="40% - Accent2 4 2 2 2 4 6" xfId="21237"/>
    <cellStyle name="40% - Accent2 4 2 2 2 4 6 2" xfId="21238"/>
    <cellStyle name="40% - Accent2 4 2 2 2 4 6 3" xfId="21239"/>
    <cellStyle name="40% - Accent2 4 2 2 2 4 7" xfId="21240"/>
    <cellStyle name="40% - Accent2 4 2 2 2 4 7 2" xfId="21241"/>
    <cellStyle name="40% - Accent2 4 2 2 2 4 8" xfId="21242"/>
    <cellStyle name="40% - Accent2 4 2 2 2 4 9" xfId="21243"/>
    <cellStyle name="40% - Accent2 4 2 2 2 5" xfId="21244"/>
    <cellStyle name="40% - Accent2 4 2 2 2 5 2" xfId="21245"/>
    <cellStyle name="40% - Accent2 4 2 2 2 5 2 2" xfId="21246"/>
    <cellStyle name="40% - Accent2 4 2 2 2 5 2 3" xfId="21247"/>
    <cellStyle name="40% - Accent2 4 2 2 2 5 3" xfId="21248"/>
    <cellStyle name="40% - Accent2 4 2 2 2 5 3 2" xfId="21249"/>
    <cellStyle name="40% - Accent2 4 2 2 2 5 3 3" xfId="21250"/>
    <cellStyle name="40% - Accent2 4 2 2 2 5 4" xfId="21251"/>
    <cellStyle name="40% - Accent2 4 2 2 2 5 4 2" xfId="21252"/>
    <cellStyle name="40% - Accent2 4 2 2 2 5 5" xfId="21253"/>
    <cellStyle name="40% - Accent2 4 2 2 2 5 6" xfId="21254"/>
    <cellStyle name="40% - Accent2 4 2 2 2 6" xfId="21255"/>
    <cellStyle name="40% - Accent2 4 2 2 2 6 2" xfId="21256"/>
    <cellStyle name="40% - Accent2 4 2 2 2 6 2 2" xfId="21257"/>
    <cellStyle name="40% - Accent2 4 2 2 2 6 2 3" xfId="21258"/>
    <cellStyle name="40% - Accent2 4 2 2 2 6 3" xfId="21259"/>
    <cellStyle name="40% - Accent2 4 2 2 2 6 3 2" xfId="21260"/>
    <cellStyle name="40% - Accent2 4 2 2 2 6 3 3" xfId="21261"/>
    <cellStyle name="40% - Accent2 4 2 2 2 6 4" xfId="21262"/>
    <cellStyle name="40% - Accent2 4 2 2 2 6 4 2" xfId="21263"/>
    <cellStyle name="40% - Accent2 4 2 2 2 6 5" xfId="21264"/>
    <cellStyle name="40% - Accent2 4 2 2 2 6 6" xfId="21265"/>
    <cellStyle name="40% - Accent2 4 2 2 2 7" xfId="21266"/>
    <cellStyle name="40% - Accent2 4 2 2 2 7 2" xfId="21267"/>
    <cellStyle name="40% - Accent2 4 2 2 2 7 2 2" xfId="21268"/>
    <cellStyle name="40% - Accent2 4 2 2 2 7 2 3" xfId="21269"/>
    <cellStyle name="40% - Accent2 4 2 2 2 7 3" xfId="21270"/>
    <cellStyle name="40% - Accent2 4 2 2 2 7 3 2" xfId="21271"/>
    <cellStyle name="40% - Accent2 4 2 2 2 7 4" xfId="21272"/>
    <cellStyle name="40% - Accent2 4 2 2 2 7 5" xfId="21273"/>
    <cellStyle name="40% - Accent2 4 2 2 2 8" xfId="21274"/>
    <cellStyle name="40% - Accent2 4 2 2 2 8 2" xfId="21275"/>
    <cellStyle name="40% - Accent2 4 2 2 2 8 3" xfId="21276"/>
    <cellStyle name="40% - Accent2 4 2 2 2 9" xfId="21277"/>
    <cellStyle name="40% - Accent2 4 2 2 2 9 2" xfId="21278"/>
    <cellStyle name="40% - Accent2 4 2 2 2 9 3" xfId="21279"/>
    <cellStyle name="40% - Accent2 4 2 2 3" xfId="1786"/>
    <cellStyle name="40% - Accent2 4 2 2 3 10" xfId="21280"/>
    <cellStyle name="40% - Accent2 4 2 2 3 2" xfId="1787"/>
    <cellStyle name="40% - Accent2 4 2 2 3 2 2" xfId="21281"/>
    <cellStyle name="40% - Accent2 4 2 2 3 2 2 2" xfId="21282"/>
    <cellStyle name="40% - Accent2 4 2 2 3 2 2 2 2" xfId="21283"/>
    <cellStyle name="40% - Accent2 4 2 2 3 2 2 2 3" xfId="21284"/>
    <cellStyle name="40% - Accent2 4 2 2 3 2 2 3" xfId="21285"/>
    <cellStyle name="40% - Accent2 4 2 2 3 2 2 3 2" xfId="21286"/>
    <cellStyle name="40% - Accent2 4 2 2 3 2 2 3 3" xfId="21287"/>
    <cellStyle name="40% - Accent2 4 2 2 3 2 2 4" xfId="21288"/>
    <cellStyle name="40% - Accent2 4 2 2 3 2 2 4 2" xfId="21289"/>
    <cellStyle name="40% - Accent2 4 2 2 3 2 2 5" xfId="21290"/>
    <cellStyle name="40% - Accent2 4 2 2 3 2 2 6" xfId="21291"/>
    <cellStyle name="40% - Accent2 4 2 2 3 2 3" xfId="21292"/>
    <cellStyle name="40% - Accent2 4 2 2 3 2 3 2" xfId="21293"/>
    <cellStyle name="40% - Accent2 4 2 2 3 2 3 2 2" xfId="21294"/>
    <cellStyle name="40% - Accent2 4 2 2 3 2 3 2 3" xfId="21295"/>
    <cellStyle name="40% - Accent2 4 2 2 3 2 3 3" xfId="21296"/>
    <cellStyle name="40% - Accent2 4 2 2 3 2 3 3 2" xfId="21297"/>
    <cellStyle name="40% - Accent2 4 2 2 3 2 3 3 3" xfId="21298"/>
    <cellStyle name="40% - Accent2 4 2 2 3 2 3 4" xfId="21299"/>
    <cellStyle name="40% - Accent2 4 2 2 3 2 3 4 2" xfId="21300"/>
    <cellStyle name="40% - Accent2 4 2 2 3 2 3 5" xfId="21301"/>
    <cellStyle name="40% - Accent2 4 2 2 3 2 3 6" xfId="21302"/>
    <cellStyle name="40% - Accent2 4 2 2 3 2 4" xfId="21303"/>
    <cellStyle name="40% - Accent2 4 2 2 3 2 4 2" xfId="21304"/>
    <cellStyle name="40% - Accent2 4 2 2 3 2 4 2 2" xfId="21305"/>
    <cellStyle name="40% - Accent2 4 2 2 3 2 4 2 3" xfId="21306"/>
    <cellStyle name="40% - Accent2 4 2 2 3 2 4 3" xfId="21307"/>
    <cellStyle name="40% - Accent2 4 2 2 3 2 4 3 2" xfId="21308"/>
    <cellStyle name="40% - Accent2 4 2 2 3 2 4 4" xfId="21309"/>
    <cellStyle name="40% - Accent2 4 2 2 3 2 4 5" xfId="21310"/>
    <cellStyle name="40% - Accent2 4 2 2 3 2 5" xfId="21311"/>
    <cellStyle name="40% - Accent2 4 2 2 3 2 5 2" xfId="21312"/>
    <cellStyle name="40% - Accent2 4 2 2 3 2 5 3" xfId="21313"/>
    <cellStyle name="40% - Accent2 4 2 2 3 2 6" xfId="21314"/>
    <cellStyle name="40% - Accent2 4 2 2 3 2 6 2" xfId="21315"/>
    <cellStyle name="40% - Accent2 4 2 2 3 2 6 3" xfId="21316"/>
    <cellStyle name="40% - Accent2 4 2 2 3 2 7" xfId="21317"/>
    <cellStyle name="40% - Accent2 4 2 2 3 2 7 2" xfId="21318"/>
    <cellStyle name="40% - Accent2 4 2 2 3 2 8" xfId="21319"/>
    <cellStyle name="40% - Accent2 4 2 2 3 2 9" xfId="21320"/>
    <cellStyle name="40% - Accent2 4 2 2 3 3" xfId="21321"/>
    <cellStyle name="40% - Accent2 4 2 2 3 3 2" xfId="21322"/>
    <cellStyle name="40% - Accent2 4 2 2 3 3 2 2" xfId="21323"/>
    <cellStyle name="40% - Accent2 4 2 2 3 3 2 3" xfId="21324"/>
    <cellStyle name="40% - Accent2 4 2 2 3 3 3" xfId="21325"/>
    <cellStyle name="40% - Accent2 4 2 2 3 3 3 2" xfId="21326"/>
    <cellStyle name="40% - Accent2 4 2 2 3 3 3 3" xfId="21327"/>
    <cellStyle name="40% - Accent2 4 2 2 3 3 4" xfId="21328"/>
    <cellStyle name="40% - Accent2 4 2 2 3 3 4 2" xfId="21329"/>
    <cellStyle name="40% - Accent2 4 2 2 3 3 5" xfId="21330"/>
    <cellStyle name="40% - Accent2 4 2 2 3 3 6" xfId="21331"/>
    <cellStyle name="40% - Accent2 4 2 2 3 4" xfId="21332"/>
    <cellStyle name="40% - Accent2 4 2 2 3 4 2" xfId="21333"/>
    <cellStyle name="40% - Accent2 4 2 2 3 4 2 2" xfId="21334"/>
    <cellStyle name="40% - Accent2 4 2 2 3 4 2 3" xfId="21335"/>
    <cellStyle name="40% - Accent2 4 2 2 3 4 3" xfId="21336"/>
    <cellStyle name="40% - Accent2 4 2 2 3 4 3 2" xfId="21337"/>
    <cellStyle name="40% - Accent2 4 2 2 3 4 3 3" xfId="21338"/>
    <cellStyle name="40% - Accent2 4 2 2 3 4 4" xfId="21339"/>
    <cellStyle name="40% - Accent2 4 2 2 3 4 4 2" xfId="21340"/>
    <cellStyle name="40% - Accent2 4 2 2 3 4 5" xfId="21341"/>
    <cellStyle name="40% - Accent2 4 2 2 3 4 6" xfId="21342"/>
    <cellStyle name="40% - Accent2 4 2 2 3 5" xfId="21343"/>
    <cellStyle name="40% - Accent2 4 2 2 3 5 2" xfId="21344"/>
    <cellStyle name="40% - Accent2 4 2 2 3 5 2 2" xfId="21345"/>
    <cellStyle name="40% - Accent2 4 2 2 3 5 2 3" xfId="21346"/>
    <cellStyle name="40% - Accent2 4 2 2 3 5 3" xfId="21347"/>
    <cellStyle name="40% - Accent2 4 2 2 3 5 3 2" xfId="21348"/>
    <cellStyle name="40% - Accent2 4 2 2 3 5 4" xfId="21349"/>
    <cellStyle name="40% - Accent2 4 2 2 3 5 5" xfId="21350"/>
    <cellStyle name="40% - Accent2 4 2 2 3 6" xfId="21351"/>
    <cellStyle name="40% - Accent2 4 2 2 3 6 2" xfId="21352"/>
    <cellStyle name="40% - Accent2 4 2 2 3 6 3" xfId="21353"/>
    <cellStyle name="40% - Accent2 4 2 2 3 7" xfId="21354"/>
    <cellStyle name="40% - Accent2 4 2 2 3 7 2" xfId="21355"/>
    <cellStyle name="40% - Accent2 4 2 2 3 7 3" xfId="21356"/>
    <cellStyle name="40% - Accent2 4 2 2 3 8" xfId="21357"/>
    <cellStyle name="40% - Accent2 4 2 2 3 8 2" xfId="21358"/>
    <cellStyle name="40% - Accent2 4 2 2 3 9" xfId="21359"/>
    <cellStyle name="40% - Accent2 4 2 2 4" xfId="1788"/>
    <cellStyle name="40% - Accent2 4 2 2 4 2" xfId="21360"/>
    <cellStyle name="40% - Accent2 4 2 2 4 2 2" xfId="21361"/>
    <cellStyle name="40% - Accent2 4 2 2 4 2 2 2" xfId="21362"/>
    <cellStyle name="40% - Accent2 4 2 2 4 2 2 3" xfId="21363"/>
    <cellStyle name="40% - Accent2 4 2 2 4 2 3" xfId="21364"/>
    <cellStyle name="40% - Accent2 4 2 2 4 2 3 2" xfId="21365"/>
    <cellStyle name="40% - Accent2 4 2 2 4 2 3 3" xfId="21366"/>
    <cellStyle name="40% - Accent2 4 2 2 4 2 4" xfId="21367"/>
    <cellStyle name="40% - Accent2 4 2 2 4 2 4 2" xfId="21368"/>
    <cellStyle name="40% - Accent2 4 2 2 4 2 5" xfId="21369"/>
    <cellStyle name="40% - Accent2 4 2 2 4 2 6" xfId="21370"/>
    <cellStyle name="40% - Accent2 4 2 2 4 3" xfId="21371"/>
    <cellStyle name="40% - Accent2 4 2 2 4 3 2" xfId="21372"/>
    <cellStyle name="40% - Accent2 4 2 2 4 3 2 2" xfId="21373"/>
    <cellStyle name="40% - Accent2 4 2 2 4 3 2 3" xfId="21374"/>
    <cellStyle name="40% - Accent2 4 2 2 4 3 3" xfId="21375"/>
    <cellStyle name="40% - Accent2 4 2 2 4 3 3 2" xfId="21376"/>
    <cellStyle name="40% - Accent2 4 2 2 4 3 3 3" xfId="21377"/>
    <cellStyle name="40% - Accent2 4 2 2 4 3 4" xfId="21378"/>
    <cellStyle name="40% - Accent2 4 2 2 4 3 4 2" xfId="21379"/>
    <cellStyle name="40% - Accent2 4 2 2 4 3 5" xfId="21380"/>
    <cellStyle name="40% - Accent2 4 2 2 4 3 6" xfId="21381"/>
    <cellStyle name="40% - Accent2 4 2 2 4 4" xfId="21382"/>
    <cellStyle name="40% - Accent2 4 2 2 4 4 2" xfId="21383"/>
    <cellStyle name="40% - Accent2 4 2 2 4 4 2 2" xfId="21384"/>
    <cellStyle name="40% - Accent2 4 2 2 4 4 2 3" xfId="21385"/>
    <cellStyle name="40% - Accent2 4 2 2 4 4 3" xfId="21386"/>
    <cellStyle name="40% - Accent2 4 2 2 4 4 3 2" xfId="21387"/>
    <cellStyle name="40% - Accent2 4 2 2 4 4 4" xfId="21388"/>
    <cellStyle name="40% - Accent2 4 2 2 4 4 5" xfId="21389"/>
    <cellStyle name="40% - Accent2 4 2 2 4 5" xfId="21390"/>
    <cellStyle name="40% - Accent2 4 2 2 4 5 2" xfId="21391"/>
    <cellStyle name="40% - Accent2 4 2 2 4 5 3" xfId="21392"/>
    <cellStyle name="40% - Accent2 4 2 2 4 6" xfId="21393"/>
    <cellStyle name="40% - Accent2 4 2 2 4 6 2" xfId="21394"/>
    <cellStyle name="40% - Accent2 4 2 2 4 6 3" xfId="21395"/>
    <cellStyle name="40% - Accent2 4 2 2 4 7" xfId="21396"/>
    <cellStyle name="40% - Accent2 4 2 2 4 7 2" xfId="21397"/>
    <cellStyle name="40% - Accent2 4 2 2 4 8" xfId="21398"/>
    <cellStyle name="40% - Accent2 4 2 2 4 9" xfId="21399"/>
    <cellStyle name="40% - Accent2 4 2 2 5" xfId="21400"/>
    <cellStyle name="40% - Accent2 4 2 2 5 2" xfId="21401"/>
    <cellStyle name="40% - Accent2 4 2 2 5 2 2" xfId="21402"/>
    <cellStyle name="40% - Accent2 4 2 2 5 2 2 2" xfId="21403"/>
    <cellStyle name="40% - Accent2 4 2 2 5 2 2 3" xfId="21404"/>
    <cellStyle name="40% - Accent2 4 2 2 5 2 3" xfId="21405"/>
    <cellStyle name="40% - Accent2 4 2 2 5 2 3 2" xfId="21406"/>
    <cellStyle name="40% - Accent2 4 2 2 5 2 3 3" xfId="21407"/>
    <cellStyle name="40% - Accent2 4 2 2 5 2 4" xfId="21408"/>
    <cellStyle name="40% - Accent2 4 2 2 5 2 4 2" xfId="21409"/>
    <cellStyle name="40% - Accent2 4 2 2 5 2 5" xfId="21410"/>
    <cellStyle name="40% - Accent2 4 2 2 5 2 6" xfId="21411"/>
    <cellStyle name="40% - Accent2 4 2 2 5 3" xfId="21412"/>
    <cellStyle name="40% - Accent2 4 2 2 5 3 2" xfId="21413"/>
    <cellStyle name="40% - Accent2 4 2 2 5 3 2 2" xfId="21414"/>
    <cellStyle name="40% - Accent2 4 2 2 5 3 2 3" xfId="21415"/>
    <cellStyle name="40% - Accent2 4 2 2 5 3 3" xfId="21416"/>
    <cellStyle name="40% - Accent2 4 2 2 5 3 3 2" xfId="21417"/>
    <cellStyle name="40% - Accent2 4 2 2 5 3 3 3" xfId="21418"/>
    <cellStyle name="40% - Accent2 4 2 2 5 3 4" xfId="21419"/>
    <cellStyle name="40% - Accent2 4 2 2 5 3 4 2" xfId="21420"/>
    <cellStyle name="40% - Accent2 4 2 2 5 3 5" xfId="21421"/>
    <cellStyle name="40% - Accent2 4 2 2 5 3 6" xfId="21422"/>
    <cellStyle name="40% - Accent2 4 2 2 5 4" xfId="21423"/>
    <cellStyle name="40% - Accent2 4 2 2 5 4 2" xfId="21424"/>
    <cellStyle name="40% - Accent2 4 2 2 5 4 2 2" xfId="21425"/>
    <cellStyle name="40% - Accent2 4 2 2 5 4 2 3" xfId="21426"/>
    <cellStyle name="40% - Accent2 4 2 2 5 4 3" xfId="21427"/>
    <cellStyle name="40% - Accent2 4 2 2 5 4 3 2" xfId="21428"/>
    <cellStyle name="40% - Accent2 4 2 2 5 4 4" xfId="21429"/>
    <cellStyle name="40% - Accent2 4 2 2 5 4 5" xfId="21430"/>
    <cellStyle name="40% - Accent2 4 2 2 5 5" xfId="21431"/>
    <cellStyle name="40% - Accent2 4 2 2 5 5 2" xfId="21432"/>
    <cellStyle name="40% - Accent2 4 2 2 5 5 3" xfId="21433"/>
    <cellStyle name="40% - Accent2 4 2 2 5 6" xfId="21434"/>
    <cellStyle name="40% - Accent2 4 2 2 5 6 2" xfId="21435"/>
    <cellStyle name="40% - Accent2 4 2 2 5 6 3" xfId="21436"/>
    <cellStyle name="40% - Accent2 4 2 2 5 7" xfId="21437"/>
    <cellStyle name="40% - Accent2 4 2 2 5 7 2" xfId="21438"/>
    <cellStyle name="40% - Accent2 4 2 2 5 8" xfId="21439"/>
    <cellStyle name="40% - Accent2 4 2 2 5 9" xfId="21440"/>
    <cellStyle name="40% - Accent2 4 2 2 6" xfId="21441"/>
    <cellStyle name="40% - Accent2 4 2 2 6 2" xfId="21442"/>
    <cellStyle name="40% - Accent2 4 2 2 6 2 2" xfId="21443"/>
    <cellStyle name="40% - Accent2 4 2 2 6 2 3" xfId="21444"/>
    <cellStyle name="40% - Accent2 4 2 2 6 3" xfId="21445"/>
    <cellStyle name="40% - Accent2 4 2 2 6 3 2" xfId="21446"/>
    <cellStyle name="40% - Accent2 4 2 2 6 3 3" xfId="21447"/>
    <cellStyle name="40% - Accent2 4 2 2 6 4" xfId="21448"/>
    <cellStyle name="40% - Accent2 4 2 2 6 4 2" xfId="21449"/>
    <cellStyle name="40% - Accent2 4 2 2 6 5" xfId="21450"/>
    <cellStyle name="40% - Accent2 4 2 2 6 6" xfId="21451"/>
    <cellStyle name="40% - Accent2 4 2 2 7" xfId="21452"/>
    <cellStyle name="40% - Accent2 4 2 2 7 2" xfId="21453"/>
    <cellStyle name="40% - Accent2 4 2 2 7 2 2" xfId="21454"/>
    <cellStyle name="40% - Accent2 4 2 2 7 2 3" xfId="21455"/>
    <cellStyle name="40% - Accent2 4 2 2 7 3" xfId="21456"/>
    <cellStyle name="40% - Accent2 4 2 2 7 3 2" xfId="21457"/>
    <cellStyle name="40% - Accent2 4 2 2 7 3 3" xfId="21458"/>
    <cellStyle name="40% - Accent2 4 2 2 7 4" xfId="21459"/>
    <cellStyle name="40% - Accent2 4 2 2 7 4 2" xfId="21460"/>
    <cellStyle name="40% - Accent2 4 2 2 7 5" xfId="21461"/>
    <cellStyle name="40% - Accent2 4 2 2 7 6" xfId="21462"/>
    <cellStyle name="40% - Accent2 4 2 2 8" xfId="21463"/>
    <cellStyle name="40% - Accent2 4 2 2 8 2" xfId="21464"/>
    <cellStyle name="40% - Accent2 4 2 2 8 2 2" xfId="21465"/>
    <cellStyle name="40% - Accent2 4 2 2 8 2 3" xfId="21466"/>
    <cellStyle name="40% - Accent2 4 2 2 8 3" xfId="21467"/>
    <cellStyle name="40% - Accent2 4 2 2 8 3 2" xfId="21468"/>
    <cellStyle name="40% - Accent2 4 2 2 8 4" xfId="21469"/>
    <cellStyle name="40% - Accent2 4 2 2 8 5" xfId="21470"/>
    <cellStyle name="40% - Accent2 4 2 2 9" xfId="21471"/>
    <cellStyle name="40% - Accent2 4 2 2 9 2" xfId="21472"/>
    <cellStyle name="40% - Accent2 4 2 2 9 3" xfId="21473"/>
    <cellStyle name="40% - Accent2 4 2 3" xfId="1789"/>
    <cellStyle name="40% - Accent2 4 2 3 10" xfId="21474"/>
    <cellStyle name="40% - Accent2 4 2 3 10 2" xfId="21475"/>
    <cellStyle name="40% - Accent2 4 2 3 11" xfId="21476"/>
    <cellStyle name="40% - Accent2 4 2 3 12" xfId="21477"/>
    <cellStyle name="40% - Accent2 4 2 3 2" xfId="1790"/>
    <cellStyle name="40% - Accent2 4 2 3 2 10" xfId="21478"/>
    <cellStyle name="40% - Accent2 4 2 3 2 2" xfId="1791"/>
    <cellStyle name="40% - Accent2 4 2 3 2 2 2" xfId="21479"/>
    <cellStyle name="40% - Accent2 4 2 3 2 2 2 2" xfId="21480"/>
    <cellStyle name="40% - Accent2 4 2 3 2 2 2 2 2" xfId="21481"/>
    <cellStyle name="40% - Accent2 4 2 3 2 2 2 2 3" xfId="21482"/>
    <cellStyle name="40% - Accent2 4 2 3 2 2 2 3" xfId="21483"/>
    <cellStyle name="40% - Accent2 4 2 3 2 2 2 3 2" xfId="21484"/>
    <cellStyle name="40% - Accent2 4 2 3 2 2 2 3 3" xfId="21485"/>
    <cellStyle name="40% - Accent2 4 2 3 2 2 2 4" xfId="21486"/>
    <cellStyle name="40% - Accent2 4 2 3 2 2 2 4 2" xfId="21487"/>
    <cellStyle name="40% - Accent2 4 2 3 2 2 2 5" xfId="21488"/>
    <cellStyle name="40% - Accent2 4 2 3 2 2 2 6" xfId="21489"/>
    <cellStyle name="40% - Accent2 4 2 3 2 2 3" xfId="21490"/>
    <cellStyle name="40% - Accent2 4 2 3 2 2 3 2" xfId="21491"/>
    <cellStyle name="40% - Accent2 4 2 3 2 2 3 2 2" xfId="21492"/>
    <cellStyle name="40% - Accent2 4 2 3 2 2 3 2 3" xfId="21493"/>
    <cellStyle name="40% - Accent2 4 2 3 2 2 3 3" xfId="21494"/>
    <cellStyle name="40% - Accent2 4 2 3 2 2 3 3 2" xfId="21495"/>
    <cellStyle name="40% - Accent2 4 2 3 2 2 3 3 3" xfId="21496"/>
    <cellStyle name="40% - Accent2 4 2 3 2 2 3 4" xfId="21497"/>
    <cellStyle name="40% - Accent2 4 2 3 2 2 3 4 2" xfId="21498"/>
    <cellStyle name="40% - Accent2 4 2 3 2 2 3 5" xfId="21499"/>
    <cellStyle name="40% - Accent2 4 2 3 2 2 3 6" xfId="21500"/>
    <cellStyle name="40% - Accent2 4 2 3 2 2 4" xfId="21501"/>
    <cellStyle name="40% - Accent2 4 2 3 2 2 4 2" xfId="21502"/>
    <cellStyle name="40% - Accent2 4 2 3 2 2 4 2 2" xfId="21503"/>
    <cellStyle name="40% - Accent2 4 2 3 2 2 4 2 3" xfId="21504"/>
    <cellStyle name="40% - Accent2 4 2 3 2 2 4 3" xfId="21505"/>
    <cellStyle name="40% - Accent2 4 2 3 2 2 4 3 2" xfId="21506"/>
    <cellStyle name="40% - Accent2 4 2 3 2 2 4 4" xfId="21507"/>
    <cellStyle name="40% - Accent2 4 2 3 2 2 4 5" xfId="21508"/>
    <cellStyle name="40% - Accent2 4 2 3 2 2 5" xfId="21509"/>
    <cellStyle name="40% - Accent2 4 2 3 2 2 5 2" xfId="21510"/>
    <cellStyle name="40% - Accent2 4 2 3 2 2 5 3" xfId="21511"/>
    <cellStyle name="40% - Accent2 4 2 3 2 2 6" xfId="21512"/>
    <cellStyle name="40% - Accent2 4 2 3 2 2 6 2" xfId="21513"/>
    <cellStyle name="40% - Accent2 4 2 3 2 2 6 3" xfId="21514"/>
    <cellStyle name="40% - Accent2 4 2 3 2 2 7" xfId="21515"/>
    <cellStyle name="40% - Accent2 4 2 3 2 2 7 2" xfId="21516"/>
    <cellStyle name="40% - Accent2 4 2 3 2 2 8" xfId="21517"/>
    <cellStyle name="40% - Accent2 4 2 3 2 2 9" xfId="21518"/>
    <cellStyle name="40% - Accent2 4 2 3 2 3" xfId="21519"/>
    <cellStyle name="40% - Accent2 4 2 3 2 3 2" xfId="21520"/>
    <cellStyle name="40% - Accent2 4 2 3 2 3 2 2" xfId="21521"/>
    <cellStyle name="40% - Accent2 4 2 3 2 3 2 3" xfId="21522"/>
    <cellStyle name="40% - Accent2 4 2 3 2 3 3" xfId="21523"/>
    <cellStyle name="40% - Accent2 4 2 3 2 3 3 2" xfId="21524"/>
    <cellStyle name="40% - Accent2 4 2 3 2 3 3 3" xfId="21525"/>
    <cellStyle name="40% - Accent2 4 2 3 2 3 4" xfId="21526"/>
    <cellStyle name="40% - Accent2 4 2 3 2 3 4 2" xfId="21527"/>
    <cellStyle name="40% - Accent2 4 2 3 2 3 5" xfId="21528"/>
    <cellStyle name="40% - Accent2 4 2 3 2 3 6" xfId="21529"/>
    <cellStyle name="40% - Accent2 4 2 3 2 4" xfId="21530"/>
    <cellStyle name="40% - Accent2 4 2 3 2 4 2" xfId="21531"/>
    <cellStyle name="40% - Accent2 4 2 3 2 4 2 2" xfId="21532"/>
    <cellStyle name="40% - Accent2 4 2 3 2 4 2 3" xfId="21533"/>
    <cellStyle name="40% - Accent2 4 2 3 2 4 3" xfId="21534"/>
    <cellStyle name="40% - Accent2 4 2 3 2 4 3 2" xfId="21535"/>
    <cellStyle name="40% - Accent2 4 2 3 2 4 3 3" xfId="21536"/>
    <cellStyle name="40% - Accent2 4 2 3 2 4 4" xfId="21537"/>
    <cellStyle name="40% - Accent2 4 2 3 2 4 4 2" xfId="21538"/>
    <cellStyle name="40% - Accent2 4 2 3 2 4 5" xfId="21539"/>
    <cellStyle name="40% - Accent2 4 2 3 2 4 6" xfId="21540"/>
    <cellStyle name="40% - Accent2 4 2 3 2 5" xfId="21541"/>
    <cellStyle name="40% - Accent2 4 2 3 2 5 2" xfId="21542"/>
    <cellStyle name="40% - Accent2 4 2 3 2 5 2 2" xfId="21543"/>
    <cellStyle name="40% - Accent2 4 2 3 2 5 2 3" xfId="21544"/>
    <cellStyle name="40% - Accent2 4 2 3 2 5 3" xfId="21545"/>
    <cellStyle name="40% - Accent2 4 2 3 2 5 3 2" xfId="21546"/>
    <cellStyle name="40% - Accent2 4 2 3 2 5 4" xfId="21547"/>
    <cellStyle name="40% - Accent2 4 2 3 2 5 5" xfId="21548"/>
    <cellStyle name="40% - Accent2 4 2 3 2 6" xfId="21549"/>
    <cellStyle name="40% - Accent2 4 2 3 2 6 2" xfId="21550"/>
    <cellStyle name="40% - Accent2 4 2 3 2 6 3" xfId="21551"/>
    <cellStyle name="40% - Accent2 4 2 3 2 7" xfId="21552"/>
    <cellStyle name="40% - Accent2 4 2 3 2 7 2" xfId="21553"/>
    <cellStyle name="40% - Accent2 4 2 3 2 7 3" xfId="21554"/>
    <cellStyle name="40% - Accent2 4 2 3 2 8" xfId="21555"/>
    <cellStyle name="40% - Accent2 4 2 3 2 8 2" xfId="21556"/>
    <cellStyle name="40% - Accent2 4 2 3 2 9" xfId="21557"/>
    <cellStyle name="40% - Accent2 4 2 3 3" xfId="1792"/>
    <cellStyle name="40% - Accent2 4 2 3 3 2" xfId="21558"/>
    <cellStyle name="40% - Accent2 4 2 3 3 2 2" xfId="21559"/>
    <cellStyle name="40% - Accent2 4 2 3 3 2 2 2" xfId="21560"/>
    <cellStyle name="40% - Accent2 4 2 3 3 2 2 3" xfId="21561"/>
    <cellStyle name="40% - Accent2 4 2 3 3 2 3" xfId="21562"/>
    <cellStyle name="40% - Accent2 4 2 3 3 2 3 2" xfId="21563"/>
    <cellStyle name="40% - Accent2 4 2 3 3 2 3 3" xfId="21564"/>
    <cellStyle name="40% - Accent2 4 2 3 3 2 4" xfId="21565"/>
    <cellStyle name="40% - Accent2 4 2 3 3 2 4 2" xfId="21566"/>
    <cellStyle name="40% - Accent2 4 2 3 3 2 5" xfId="21567"/>
    <cellStyle name="40% - Accent2 4 2 3 3 2 6" xfId="21568"/>
    <cellStyle name="40% - Accent2 4 2 3 3 3" xfId="21569"/>
    <cellStyle name="40% - Accent2 4 2 3 3 3 2" xfId="21570"/>
    <cellStyle name="40% - Accent2 4 2 3 3 3 2 2" xfId="21571"/>
    <cellStyle name="40% - Accent2 4 2 3 3 3 2 3" xfId="21572"/>
    <cellStyle name="40% - Accent2 4 2 3 3 3 3" xfId="21573"/>
    <cellStyle name="40% - Accent2 4 2 3 3 3 3 2" xfId="21574"/>
    <cellStyle name="40% - Accent2 4 2 3 3 3 3 3" xfId="21575"/>
    <cellStyle name="40% - Accent2 4 2 3 3 3 4" xfId="21576"/>
    <cellStyle name="40% - Accent2 4 2 3 3 3 4 2" xfId="21577"/>
    <cellStyle name="40% - Accent2 4 2 3 3 3 5" xfId="21578"/>
    <cellStyle name="40% - Accent2 4 2 3 3 3 6" xfId="21579"/>
    <cellStyle name="40% - Accent2 4 2 3 3 4" xfId="21580"/>
    <cellStyle name="40% - Accent2 4 2 3 3 4 2" xfId="21581"/>
    <cellStyle name="40% - Accent2 4 2 3 3 4 2 2" xfId="21582"/>
    <cellStyle name="40% - Accent2 4 2 3 3 4 2 3" xfId="21583"/>
    <cellStyle name="40% - Accent2 4 2 3 3 4 3" xfId="21584"/>
    <cellStyle name="40% - Accent2 4 2 3 3 4 3 2" xfId="21585"/>
    <cellStyle name="40% - Accent2 4 2 3 3 4 4" xfId="21586"/>
    <cellStyle name="40% - Accent2 4 2 3 3 4 5" xfId="21587"/>
    <cellStyle name="40% - Accent2 4 2 3 3 5" xfId="21588"/>
    <cellStyle name="40% - Accent2 4 2 3 3 5 2" xfId="21589"/>
    <cellStyle name="40% - Accent2 4 2 3 3 5 3" xfId="21590"/>
    <cellStyle name="40% - Accent2 4 2 3 3 6" xfId="21591"/>
    <cellStyle name="40% - Accent2 4 2 3 3 6 2" xfId="21592"/>
    <cellStyle name="40% - Accent2 4 2 3 3 6 3" xfId="21593"/>
    <cellStyle name="40% - Accent2 4 2 3 3 7" xfId="21594"/>
    <cellStyle name="40% - Accent2 4 2 3 3 7 2" xfId="21595"/>
    <cellStyle name="40% - Accent2 4 2 3 3 8" xfId="21596"/>
    <cellStyle name="40% - Accent2 4 2 3 3 9" xfId="21597"/>
    <cellStyle name="40% - Accent2 4 2 3 4" xfId="21598"/>
    <cellStyle name="40% - Accent2 4 2 3 4 2" xfId="21599"/>
    <cellStyle name="40% - Accent2 4 2 3 4 2 2" xfId="21600"/>
    <cellStyle name="40% - Accent2 4 2 3 4 2 2 2" xfId="21601"/>
    <cellStyle name="40% - Accent2 4 2 3 4 2 2 3" xfId="21602"/>
    <cellStyle name="40% - Accent2 4 2 3 4 2 3" xfId="21603"/>
    <cellStyle name="40% - Accent2 4 2 3 4 2 3 2" xfId="21604"/>
    <cellStyle name="40% - Accent2 4 2 3 4 2 3 3" xfId="21605"/>
    <cellStyle name="40% - Accent2 4 2 3 4 2 4" xfId="21606"/>
    <cellStyle name="40% - Accent2 4 2 3 4 2 4 2" xfId="21607"/>
    <cellStyle name="40% - Accent2 4 2 3 4 2 5" xfId="21608"/>
    <cellStyle name="40% - Accent2 4 2 3 4 2 6" xfId="21609"/>
    <cellStyle name="40% - Accent2 4 2 3 4 3" xfId="21610"/>
    <cellStyle name="40% - Accent2 4 2 3 4 3 2" xfId="21611"/>
    <cellStyle name="40% - Accent2 4 2 3 4 3 2 2" xfId="21612"/>
    <cellStyle name="40% - Accent2 4 2 3 4 3 2 3" xfId="21613"/>
    <cellStyle name="40% - Accent2 4 2 3 4 3 3" xfId="21614"/>
    <cellStyle name="40% - Accent2 4 2 3 4 3 3 2" xfId="21615"/>
    <cellStyle name="40% - Accent2 4 2 3 4 3 3 3" xfId="21616"/>
    <cellStyle name="40% - Accent2 4 2 3 4 3 4" xfId="21617"/>
    <cellStyle name="40% - Accent2 4 2 3 4 3 4 2" xfId="21618"/>
    <cellStyle name="40% - Accent2 4 2 3 4 3 5" xfId="21619"/>
    <cellStyle name="40% - Accent2 4 2 3 4 3 6" xfId="21620"/>
    <cellStyle name="40% - Accent2 4 2 3 4 4" xfId="21621"/>
    <cellStyle name="40% - Accent2 4 2 3 4 4 2" xfId="21622"/>
    <cellStyle name="40% - Accent2 4 2 3 4 4 2 2" xfId="21623"/>
    <cellStyle name="40% - Accent2 4 2 3 4 4 2 3" xfId="21624"/>
    <cellStyle name="40% - Accent2 4 2 3 4 4 3" xfId="21625"/>
    <cellStyle name="40% - Accent2 4 2 3 4 4 3 2" xfId="21626"/>
    <cellStyle name="40% - Accent2 4 2 3 4 4 4" xfId="21627"/>
    <cellStyle name="40% - Accent2 4 2 3 4 4 5" xfId="21628"/>
    <cellStyle name="40% - Accent2 4 2 3 4 5" xfId="21629"/>
    <cellStyle name="40% - Accent2 4 2 3 4 5 2" xfId="21630"/>
    <cellStyle name="40% - Accent2 4 2 3 4 5 3" xfId="21631"/>
    <cellStyle name="40% - Accent2 4 2 3 4 6" xfId="21632"/>
    <cellStyle name="40% - Accent2 4 2 3 4 6 2" xfId="21633"/>
    <cellStyle name="40% - Accent2 4 2 3 4 6 3" xfId="21634"/>
    <cellStyle name="40% - Accent2 4 2 3 4 7" xfId="21635"/>
    <cellStyle name="40% - Accent2 4 2 3 4 7 2" xfId="21636"/>
    <cellStyle name="40% - Accent2 4 2 3 4 8" xfId="21637"/>
    <cellStyle name="40% - Accent2 4 2 3 4 9" xfId="21638"/>
    <cellStyle name="40% - Accent2 4 2 3 5" xfId="21639"/>
    <cellStyle name="40% - Accent2 4 2 3 5 2" xfId="21640"/>
    <cellStyle name="40% - Accent2 4 2 3 5 2 2" xfId="21641"/>
    <cellStyle name="40% - Accent2 4 2 3 5 2 3" xfId="21642"/>
    <cellStyle name="40% - Accent2 4 2 3 5 3" xfId="21643"/>
    <cellStyle name="40% - Accent2 4 2 3 5 3 2" xfId="21644"/>
    <cellStyle name="40% - Accent2 4 2 3 5 3 3" xfId="21645"/>
    <cellStyle name="40% - Accent2 4 2 3 5 4" xfId="21646"/>
    <cellStyle name="40% - Accent2 4 2 3 5 4 2" xfId="21647"/>
    <cellStyle name="40% - Accent2 4 2 3 5 5" xfId="21648"/>
    <cellStyle name="40% - Accent2 4 2 3 5 6" xfId="21649"/>
    <cellStyle name="40% - Accent2 4 2 3 6" xfId="21650"/>
    <cellStyle name="40% - Accent2 4 2 3 6 2" xfId="21651"/>
    <cellStyle name="40% - Accent2 4 2 3 6 2 2" xfId="21652"/>
    <cellStyle name="40% - Accent2 4 2 3 6 2 3" xfId="21653"/>
    <cellStyle name="40% - Accent2 4 2 3 6 3" xfId="21654"/>
    <cellStyle name="40% - Accent2 4 2 3 6 3 2" xfId="21655"/>
    <cellStyle name="40% - Accent2 4 2 3 6 3 3" xfId="21656"/>
    <cellStyle name="40% - Accent2 4 2 3 6 4" xfId="21657"/>
    <cellStyle name="40% - Accent2 4 2 3 6 4 2" xfId="21658"/>
    <cellStyle name="40% - Accent2 4 2 3 6 5" xfId="21659"/>
    <cellStyle name="40% - Accent2 4 2 3 6 6" xfId="21660"/>
    <cellStyle name="40% - Accent2 4 2 3 7" xfId="21661"/>
    <cellStyle name="40% - Accent2 4 2 3 7 2" xfId="21662"/>
    <cellStyle name="40% - Accent2 4 2 3 7 2 2" xfId="21663"/>
    <cellStyle name="40% - Accent2 4 2 3 7 2 3" xfId="21664"/>
    <cellStyle name="40% - Accent2 4 2 3 7 3" xfId="21665"/>
    <cellStyle name="40% - Accent2 4 2 3 7 3 2" xfId="21666"/>
    <cellStyle name="40% - Accent2 4 2 3 7 4" xfId="21667"/>
    <cellStyle name="40% - Accent2 4 2 3 7 5" xfId="21668"/>
    <cellStyle name="40% - Accent2 4 2 3 8" xfId="21669"/>
    <cellStyle name="40% - Accent2 4 2 3 8 2" xfId="21670"/>
    <cellStyle name="40% - Accent2 4 2 3 8 3" xfId="21671"/>
    <cellStyle name="40% - Accent2 4 2 3 9" xfId="21672"/>
    <cellStyle name="40% - Accent2 4 2 3 9 2" xfId="21673"/>
    <cellStyle name="40% - Accent2 4 2 3 9 3" xfId="21674"/>
    <cellStyle name="40% - Accent2 4 2 4" xfId="1793"/>
    <cellStyle name="40% - Accent2 4 2 4 10" xfId="21675"/>
    <cellStyle name="40% - Accent2 4 2 4 2" xfId="1794"/>
    <cellStyle name="40% - Accent2 4 2 4 2 2" xfId="21676"/>
    <cellStyle name="40% - Accent2 4 2 4 2 2 2" xfId="21677"/>
    <cellStyle name="40% - Accent2 4 2 4 2 2 2 2" xfId="21678"/>
    <cellStyle name="40% - Accent2 4 2 4 2 2 2 3" xfId="21679"/>
    <cellStyle name="40% - Accent2 4 2 4 2 2 3" xfId="21680"/>
    <cellStyle name="40% - Accent2 4 2 4 2 2 3 2" xfId="21681"/>
    <cellStyle name="40% - Accent2 4 2 4 2 2 3 3" xfId="21682"/>
    <cellStyle name="40% - Accent2 4 2 4 2 2 4" xfId="21683"/>
    <cellStyle name="40% - Accent2 4 2 4 2 2 4 2" xfId="21684"/>
    <cellStyle name="40% - Accent2 4 2 4 2 2 5" xfId="21685"/>
    <cellStyle name="40% - Accent2 4 2 4 2 2 6" xfId="21686"/>
    <cellStyle name="40% - Accent2 4 2 4 2 3" xfId="21687"/>
    <cellStyle name="40% - Accent2 4 2 4 2 3 2" xfId="21688"/>
    <cellStyle name="40% - Accent2 4 2 4 2 3 2 2" xfId="21689"/>
    <cellStyle name="40% - Accent2 4 2 4 2 3 2 3" xfId="21690"/>
    <cellStyle name="40% - Accent2 4 2 4 2 3 3" xfId="21691"/>
    <cellStyle name="40% - Accent2 4 2 4 2 3 3 2" xfId="21692"/>
    <cellStyle name="40% - Accent2 4 2 4 2 3 3 3" xfId="21693"/>
    <cellStyle name="40% - Accent2 4 2 4 2 3 4" xfId="21694"/>
    <cellStyle name="40% - Accent2 4 2 4 2 3 4 2" xfId="21695"/>
    <cellStyle name="40% - Accent2 4 2 4 2 3 5" xfId="21696"/>
    <cellStyle name="40% - Accent2 4 2 4 2 3 6" xfId="21697"/>
    <cellStyle name="40% - Accent2 4 2 4 2 4" xfId="21698"/>
    <cellStyle name="40% - Accent2 4 2 4 2 4 2" xfId="21699"/>
    <cellStyle name="40% - Accent2 4 2 4 2 4 2 2" xfId="21700"/>
    <cellStyle name="40% - Accent2 4 2 4 2 4 2 3" xfId="21701"/>
    <cellStyle name="40% - Accent2 4 2 4 2 4 3" xfId="21702"/>
    <cellStyle name="40% - Accent2 4 2 4 2 4 3 2" xfId="21703"/>
    <cellStyle name="40% - Accent2 4 2 4 2 4 4" xfId="21704"/>
    <cellStyle name="40% - Accent2 4 2 4 2 4 5" xfId="21705"/>
    <cellStyle name="40% - Accent2 4 2 4 2 5" xfId="21706"/>
    <cellStyle name="40% - Accent2 4 2 4 2 5 2" xfId="21707"/>
    <cellStyle name="40% - Accent2 4 2 4 2 5 3" xfId="21708"/>
    <cellStyle name="40% - Accent2 4 2 4 2 6" xfId="21709"/>
    <cellStyle name="40% - Accent2 4 2 4 2 6 2" xfId="21710"/>
    <cellStyle name="40% - Accent2 4 2 4 2 6 3" xfId="21711"/>
    <cellStyle name="40% - Accent2 4 2 4 2 7" xfId="21712"/>
    <cellStyle name="40% - Accent2 4 2 4 2 7 2" xfId="21713"/>
    <cellStyle name="40% - Accent2 4 2 4 2 8" xfId="21714"/>
    <cellStyle name="40% - Accent2 4 2 4 2 9" xfId="21715"/>
    <cellStyle name="40% - Accent2 4 2 4 3" xfId="21716"/>
    <cellStyle name="40% - Accent2 4 2 4 3 2" xfId="21717"/>
    <cellStyle name="40% - Accent2 4 2 4 3 2 2" xfId="21718"/>
    <cellStyle name="40% - Accent2 4 2 4 3 2 3" xfId="21719"/>
    <cellStyle name="40% - Accent2 4 2 4 3 3" xfId="21720"/>
    <cellStyle name="40% - Accent2 4 2 4 3 3 2" xfId="21721"/>
    <cellStyle name="40% - Accent2 4 2 4 3 3 3" xfId="21722"/>
    <cellStyle name="40% - Accent2 4 2 4 3 4" xfId="21723"/>
    <cellStyle name="40% - Accent2 4 2 4 3 4 2" xfId="21724"/>
    <cellStyle name="40% - Accent2 4 2 4 3 5" xfId="21725"/>
    <cellStyle name="40% - Accent2 4 2 4 3 6" xfId="21726"/>
    <cellStyle name="40% - Accent2 4 2 4 4" xfId="21727"/>
    <cellStyle name="40% - Accent2 4 2 4 4 2" xfId="21728"/>
    <cellStyle name="40% - Accent2 4 2 4 4 2 2" xfId="21729"/>
    <cellStyle name="40% - Accent2 4 2 4 4 2 3" xfId="21730"/>
    <cellStyle name="40% - Accent2 4 2 4 4 3" xfId="21731"/>
    <cellStyle name="40% - Accent2 4 2 4 4 3 2" xfId="21732"/>
    <cellStyle name="40% - Accent2 4 2 4 4 3 3" xfId="21733"/>
    <cellStyle name="40% - Accent2 4 2 4 4 4" xfId="21734"/>
    <cellStyle name="40% - Accent2 4 2 4 4 4 2" xfId="21735"/>
    <cellStyle name="40% - Accent2 4 2 4 4 5" xfId="21736"/>
    <cellStyle name="40% - Accent2 4 2 4 4 6" xfId="21737"/>
    <cellStyle name="40% - Accent2 4 2 4 5" xfId="21738"/>
    <cellStyle name="40% - Accent2 4 2 4 5 2" xfId="21739"/>
    <cellStyle name="40% - Accent2 4 2 4 5 2 2" xfId="21740"/>
    <cellStyle name="40% - Accent2 4 2 4 5 2 3" xfId="21741"/>
    <cellStyle name="40% - Accent2 4 2 4 5 3" xfId="21742"/>
    <cellStyle name="40% - Accent2 4 2 4 5 3 2" xfId="21743"/>
    <cellStyle name="40% - Accent2 4 2 4 5 4" xfId="21744"/>
    <cellStyle name="40% - Accent2 4 2 4 5 5" xfId="21745"/>
    <cellStyle name="40% - Accent2 4 2 4 6" xfId="21746"/>
    <cellStyle name="40% - Accent2 4 2 4 6 2" xfId="21747"/>
    <cellStyle name="40% - Accent2 4 2 4 6 3" xfId="21748"/>
    <cellStyle name="40% - Accent2 4 2 4 7" xfId="21749"/>
    <cellStyle name="40% - Accent2 4 2 4 7 2" xfId="21750"/>
    <cellStyle name="40% - Accent2 4 2 4 7 3" xfId="21751"/>
    <cellStyle name="40% - Accent2 4 2 4 8" xfId="21752"/>
    <cellStyle name="40% - Accent2 4 2 4 8 2" xfId="21753"/>
    <cellStyle name="40% - Accent2 4 2 4 9" xfId="21754"/>
    <cellStyle name="40% - Accent2 4 2 5" xfId="1795"/>
    <cellStyle name="40% - Accent2 4 2 5 2" xfId="21755"/>
    <cellStyle name="40% - Accent2 4 2 5 2 2" xfId="21756"/>
    <cellStyle name="40% - Accent2 4 2 5 2 2 2" xfId="21757"/>
    <cellStyle name="40% - Accent2 4 2 5 2 2 3" xfId="21758"/>
    <cellStyle name="40% - Accent2 4 2 5 2 3" xfId="21759"/>
    <cellStyle name="40% - Accent2 4 2 5 2 3 2" xfId="21760"/>
    <cellStyle name="40% - Accent2 4 2 5 2 3 3" xfId="21761"/>
    <cellStyle name="40% - Accent2 4 2 5 2 4" xfId="21762"/>
    <cellStyle name="40% - Accent2 4 2 5 2 4 2" xfId="21763"/>
    <cellStyle name="40% - Accent2 4 2 5 2 5" xfId="21764"/>
    <cellStyle name="40% - Accent2 4 2 5 2 6" xfId="21765"/>
    <cellStyle name="40% - Accent2 4 2 5 3" xfId="21766"/>
    <cellStyle name="40% - Accent2 4 2 5 3 2" xfId="21767"/>
    <cellStyle name="40% - Accent2 4 2 5 3 2 2" xfId="21768"/>
    <cellStyle name="40% - Accent2 4 2 5 3 2 3" xfId="21769"/>
    <cellStyle name="40% - Accent2 4 2 5 3 3" xfId="21770"/>
    <cellStyle name="40% - Accent2 4 2 5 3 3 2" xfId="21771"/>
    <cellStyle name="40% - Accent2 4 2 5 3 3 3" xfId="21772"/>
    <cellStyle name="40% - Accent2 4 2 5 3 4" xfId="21773"/>
    <cellStyle name="40% - Accent2 4 2 5 3 4 2" xfId="21774"/>
    <cellStyle name="40% - Accent2 4 2 5 3 5" xfId="21775"/>
    <cellStyle name="40% - Accent2 4 2 5 3 6" xfId="21776"/>
    <cellStyle name="40% - Accent2 4 2 5 4" xfId="21777"/>
    <cellStyle name="40% - Accent2 4 2 5 4 2" xfId="21778"/>
    <cellStyle name="40% - Accent2 4 2 5 4 2 2" xfId="21779"/>
    <cellStyle name="40% - Accent2 4 2 5 4 2 3" xfId="21780"/>
    <cellStyle name="40% - Accent2 4 2 5 4 3" xfId="21781"/>
    <cellStyle name="40% - Accent2 4 2 5 4 3 2" xfId="21782"/>
    <cellStyle name="40% - Accent2 4 2 5 4 4" xfId="21783"/>
    <cellStyle name="40% - Accent2 4 2 5 4 5" xfId="21784"/>
    <cellStyle name="40% - Accent2 4 2 5 5" xfId="21785"/>
    <cellStyle name="40% - Accent2 4 2 5 5 2" xfId="21786"/>
    <cellStyle name="40% - Accent2 4 2 5 5 3" xfId="21787"/>
    <cellStyle name="40% - Accent2 4 2 5 6" xfId="21788"/>
    <cellStyle name="40% - Accent2 4 2 5 6 2" xfId="21789"/>
    <cellStyle name="40% - Accent2 4 2 5 6 3" xfId="21790"/>
    <cellStyle name="40% - Accent2 4 2 5 7" xfId="21791"/>
    <cellStyle name="40% - Accent2 4 2 5 7 2" xfId="21792"/>
    <cellStyle name="40% - Accent2 4 2 5 8" xfId="21793"/>
    <cellStyle name="40% - Accent2 4 2 5 9" xfId="21794"/>
    <cellStyle name="40% - Accent2 4 2 6" xfId="21795"/>
    <cellStyle name="40% - Accent2 4 2 6 2" xfId="21796"/>
    <cellStyle name="40% - Accent2 4 2 6 2 2" xfId="21797"/>
    <cellStyle name="40% - Accent2 4 2 6 2 2 2" xfId="21798"/>
    <cellStyle name="40% - Accent2 4 2 6 2 2 3" xfId="21799"/>
    <cellStyle name="40% - Accent2 4 2 6 2 3" xfId="21800"/>
    <cellStyle name="40% - Accent2 4 2 6 2 3 2" xfId="21801"/>
    <cellStyle name="40% - Accent2 4 2 6 2 3 3" xfId="21802"/>
    <cellStyle name="40% - Accent2 4 2 6 2 4" xfId="21803"/>
    <cellStyle name="40% - Accent2 4 2 6 2 4 2" xfId="21804"/>
    <cellStyle name="40% - Accent2 4 2 6 2 5" xfId="21805"/>
    <cellStyle name="40% - Accent2 4 2 6 2 6" xfId="21806"/>
    <cellStyle name="40% - Accent2 4 2 6 3" xfId="21807"/>
    <cellStyle name="40% - Accent2 4 2 6 3 2" xfId="21808"/>
    <cellStyle name="40% - Accent2 4 2 6 3 2 2" xfId="21809"/>
    <cellStyle name="40% - Accent2 4 2 6 3 2 3" xfId="21810"/>
    <cellStyle name="40% - Accent2 4 2 6 3 3" xfId="21811"/>
    <cellStyle name="40% - Accent2 4 2 6 3 3 2" xfId="21812"/>
    <cellStyle name="40% - Accent2 4 2 6 3 3 3" xfId="21813"/>
    <cellStyle name="40% - Accent2 4 2 6 3 4" xfId="21814"/>
    <cellStyle name="40% - Accent2 4 2 6 3 4 2" xfId="21815"/>
    <cellStyle name="40% - Accent2 4 2 6 3 5" xfId="21816"/>
    <cellStyle name="40% - Accent2 4 2 6 3 6" xfId="21817"/>
    <cellStyle name="40% - Accent2 4 2 6 4" xfId="21818"/>
    <cellStyle name="40% - Accent2 4 2 6 4 2" xfId="21819"/>
    <cellStyle name="40% - Accent2 4 2 6 4 2 2" xfId="21820"/>
    <cellStyle name="40% - Accent2 4 2 6 4 2 3" xfId="21821"/>
    <cellStyle name="40% - Accent2 4 2 6 4 3" xfId="21822"/>
    <cellStyle name="40% - Accent2 4 2 6 4 3 2" xfId="21823"/>
    <cellStyle name="40% - Accent2 4 2 6 4 4" xfId="21824"/>
    <cellStyle name="40% - Accent2 4 2 6 4 5" xfId="21825"/>
    <cellStyle name="40% - Accent2 4 2 6 5" xfId="21826"/>
    <cellStyle name="40% - Accent2 4 2 6 5 2" xfId="21827"/>
    <cellStyle name="40% - Accent2 4 2 6 5 3" xfId="21828"/>
    <cellStyle name="40% - Accent2 4 2 6 6" xfId="21829"/>
    <cellStyle name="40% - Accent2 4 2 6 6 2" xfId="21830"/>
    <cellStyle name="40% - Accent2 4 2 6 6 3" xfId="21831"/>
    <cellStyle name="40% - Accent2 4 2 6 7" xfId="21832"/>
    <cellStyle name="40% - Accent2 4 2 6 7 2" xfId="21833"/>
    <cellStyle name="40% - Accent2 4 2 6 8" xfId="21834"/>
    <cellStyle name="40% - Accent2 4 2 6 9" xfId="21835"/>
    <cellStyle name="40% - Accent2 4 2 7" xfId="21836"/>
    <cellStyle name="40% - Accent2 4 2 7 2" xfId="21837"/>
    <cellStyle name="40% - Accent2 4 2 7 2 2" xfId="21838"/>
    <cellStyle name="40% - Accent2 4 2 7 2 3" xfId="21839"/>
    <cellStyle name="40% - Accent2 4 2 7 3" xfId="21840"/>
    <cellStyle name="40% - Accent2 4 2 7 3 2" xfId="21841"/>
    <cellStyle name="40% - Accent2 4 2 7 3 3" xfId="21842"/>
    <cellStyle name="40% - Accent2 4 2 7 4" xfId="21843"/>
    <cellStyle name="40% - Accent2 4 2 7 4 2" xfId="21844"/>
    <cellStyle name="40% - Accent2 4 2 7 5" xfId="21845"/>
    <cellStyle name="40% - Accent2 4 2 7 6" xfId="21846"/>
    <cellStyle name="40% - Accent2 4 2 8" xfId="21847"/>
    <cellStyle name="40% - Accent2 4 2 8 2" xfId="21848"/>
    <cellStyle name="40% - Accent2 4 2 8 2 2" xfId="21849"/>
    <cellStyle name="40% - Accent2 4 2 8 2 3" xfId="21850"/>
    <cellStyle name="40% - Accent2 4 2 8 3" xfId="21851"/>
    <cellStyle name="40% - Accent2 4 2 8 3 2" xfId="21852"/>
    <cellStyle name="40% - Accent2 4 2 8 3 3" xfId="21853"/>
    <cellStyle name="40% - Accent2 4 2 8 4" xfId="21854"/>
    <cellStyle name="40% - Accent2 4 2 8 4 2" xfId="21855"/>
    <cellStyle name="40% - Accent2 4 2 8 5" xfId="21856"/>
    <cellStyle name="40% - Accent2 4 2 8 6" xfId="21857"/>
    <cellStyle name="40% - Accent2 4 2 9" xfId="21858"/>
    <cellStyle name="40% - Accent2 4 2 9 2" xfId="21859"/>
    <cellStyle name="40% - Accent2 4 2 9 2 2" xfId="21860"/>
    <cellStyle name="40% - Accent2 4 2 9 2 3" xfId="21861"/>
    <cellStyle name="40% - Accent2 4 2 9 3" xfId="21862"/>
    <cellStyle name="40% - Accent2 4 2 9 3 2" xfId="21863"/>
    <cellStyle name="40% - Accent2 4 2 9 4" xfId="21864"/>
    <cellStyle name="40% - Accent2 4 2 9 5" xfId="21865"/>
    <cellStyle name="40% - Accent2 4 3" xfId="1796"/>
    <cellStyle name="40% - Accent2 4 3 10" xfId="21866"/>
    <cellStyle name="40% - Accent2 4 3 10 2" xfId="21867"/>
    <cellStyle name="40% - Accent2 4 3 10 3" xfId="21868"/>
    <cellStyle name="40% - Accent2 4 3 11" xfId="21869"/>
    <cellStyle name="40% - Accent2 4 3 11 2" xfId="21870"/>
    <cellStyle name="40% - Accent2 4 3 12" xfId="21871"/>
    <cellStyle name="40% - Accent2 4 3 13" xfId="21872"/>
    <cellStyle name="40% - Accent2 4 3 14" xfId="21873"/>
    <cellStyle name="40% - Accent2 4 3 2" xfId="1797"/>
    <cellStyle name="40% - Accent2 4 3 2 10" xfId="21874"/>
    <cellStyle name="40% - Accent2 4 3 2 10 2" xfId="21875"/>
    <cellStyle name="40% - Accent2 4 3 2 11" xfId="21876"/>
    <cellStyle name="40% - Accent2 4 3 2 12" xfId="21877"/>
    <cellStyle name="40% - Accent2 4 3 2 2" xfId="1798"/>
    <cellStyle name="40% - Accent2 4 3 2 2 10" xfId="21878"/>
    <cellStyle name="40% - Accent2 4 3 2 2 2" xfId="1799"/>
    <cellStyle name="40% - Accent2 4 3 2 2 2 2" xfId="21879"/>
    <cellStyle name="40% - Accent2 4 3 2 2 2 2 2" xfId="21880"/>
    <cellStyle name="40% - Accent2 4 3 2 2 2 2 2 2" xfId="21881"/>
    <cellStyle name="40% - Accent2 4 3 2 2 2 2 2 3" xfId="21882"/>
    <cellStyle name="40% - Accent2 4 3 2 2 2 2 3" xfId="21883"/>
    <cellStyle name="40% - Accent2 4 3 2 2 2 2 3 2" xfId="21884"/>
    <cellStyle name="40% - Accent2 4 3 2 2 2 2 3 3" xfId="21885"/>
    <cellStyle name="40% - Accent2 4 3 2 2 2 2 4" xfId="21886"/>
    <cellStyle name="40% - Accent2 4 3 2 2 2 2 4 2" xfId="21887"/>
    <cellStyle name="40% - Accent2 4 3 2 2 2 2 5" xfId="21888"/>
    <cellStyle name="40% - Accent2 4 3 2 2 2 2 6" xfId="21889"/>
    <cellStyle name="40% - Accent2 4 3 2 2 2 3" xfId="21890"/>
    <cellStyle name="40% - Accent2 4 3 2 2 2 3 2" xfId="21891"/>
    <cellStyle name="40% - Accent2 4 3 2 2 2 3 2 2" xfId="21892"/>
    <cellStyle name="40% - Accent2 4 3 2 2 2 3 2 3" xfId="21893"/>
    <cellStyle name="40% - Accent2 4 3 2 2 2 3 3" xfId="21894"/>
    <cellStyle name="40% - Accent2 4 3 2 2 2 3 3 2" xfId="21895"/>
    <cellStyle name="40% - Accent2 4 3 2 2 2 3 3 3" xfId="21896"/>
    <cellStyle name="40% - Accent2 4 3 2 2 2 3 4" xfId="21897"/>
    <cellStyle name="40% - Accent2 4 3 2 2 2 3 4 2" xfId="21898"/>
    <cellStyle name="40% - Accent2 4 3 2 2 2 3 5" xfId="21899"/>
    <cellStyle name="40% - Accent2 4 3 2 2 2 3 6" xfId="21900"/>
    <cellStyle name="40% - Accent2 4 3 2 2 2 4" xfId="21901"/>
    <cellStyle name="40% - Accent2 4 3 2 2 2 4 2" xfId="21902"/>
    <cellStyle name="40% - Accent2 4 3 2 2 2 4 2 2" xfId="21903"/>
    <cellStyle name="40% - Accent2 4 3 2 2 2 4 2 3" xfId="21904"/>
    <cellStyle name="40% - Accent2 4 3 2 2 2 4 3" xfId="21905"/>
    <cellStyle name="40% - Accent2 4 3 2 2 2 4 3 2" xfId="21906"/>
    <cellStyle name="40% - Accent2 4 3 2 2 2 4 4" xfId="21907"/>
    <cellStyle name="40% - Accent2 4 3 2 2 2 4 5" xfId="21908"/>
    <cellStyle name="40% - Accent2 4 3 2 2 2 5" xfId="21909"/>
    <cellStyle name="40% - Accent2 4 3 2 2 2 5 2" xfId="21910"/>
    <cellStyle name="40% - Accent2 4 3 2 2 2 5 3" xfId="21911"/>
    <cellStyle name="40% - Accent2 4 3 2 2 2 6" xfId="21912"/>
    <cellStyle name="40% - Accent2 4 3 2 2 2 6 2" xfId="21913"/>
    <cellStyle name="40% - Accent2 4 3 2 2 2 6 3" xfId="21914"/>
    <cellStyle name="40% - Accent2 4 3 2 2 2 7" xfId="21915"/>
    <cellStyle name="40% - Accent2 4 3 2 2 2 7 2" xfId="21916"/>
    <cellStyle name="40% - Accent2 4 3 2 2 2 8" xfId="21917"/>
    <cellStyle name="40% - Accent2 4 3 2 2 2 9" xfId="21918"/>
    <cellStyle name="40% - Accent2 4 3 2 2 3" xfId="21919"/>
    <cellStyle name="40% - Accent2 4 3 2 2 3 2" xfId="21920"/>
    <cellStyle name="40% - Accent2 4 3 2 2 3 2 2" xfId="21921"/>
    <cellStyle name="40% - Accent2 4 3 2 2 3 2 3" xfId="21922"/>
    <cellStyle name="40% - Accent2 4 3 2 2 3 3" xfId="21923"/>
    <cellStyle name="40% - Accent2 4 3 2 2 3 3 2" xfId="21924"/>
    <cellStyle name="40% - Accent2 4 3 2 2 3 3 3" xfId="21925"/>
    <cellStyle name="40% - Accent2 4 3 2 2 3 4" xfId="21926"/>
    <cellStyle name="40% - Accent2 4 3 2 2 3 4 2" xfId="21927"/>
    <cellStyle name="40% - Accent2 4 3 2 2 3 5" xfId="21928"/>
    <cellStyle name="40% - Accent2 4 3 2 2 3 6" xfId="21929"/>
    <cellStyle name="40% - Accent2 4 3 2 2 4" xfId="21930"/>
    <cellStyle name="40% - Accent2 4 3 2 2 4 2" xfId="21931"/>
    <cellStyle name="40% - Accent2 4 3 2 2 4 2 2" xfId="21932"/>
    <cellStyle name="40% - Accent2 4 3 2 2 4 2 3" xfId="21933"/>
    <cellStyle name="40% - Accent2 4 3 2 2 4 3" xfId="21934"/>
    <cellStyle name="40% - Accent2 4 3 2 2 4 3 2" xfId="21935"/>
    <cellStyle name="40% - Accent2 4 3 2 2 4 3 3" xfId="21936"/>
    <cellStyle name="40% - Accent2 4 3 2 2 4 4" xfId="21937"/>
    <cellStyle name="40% - Accent2 4 3 2 2 4 4 2" xfId="21938"/>
    <cellStyle name="40% - Accent2 4 3 2 2 4 5" xfId="21939"/>
    <cellStyle name="40% - Accent2 4 3 2 2 4 6" xfId="21940"/>
    <cellStyle name="40% - Accent2 4 3 2 2 5" xfId="21941"/>
    <cellStyle name="40% - Accent2 4 3 2 2 5 2" xfId="21942"/>
    <cellStyle name="40% - Accent2 4 3 2 2 5 2 2" xfId="21943"/>
    <cellStyle name="40% - Accent2 4 3 2 2 5 2 3" xfId="21944"/>
    <cellStyle name="40% - Accent2 4 3 2 2 5 3" xfId="21945"/>
    <cellStyle name="40% - Accent2 4 3 2 2 5 3 2" xfId="21946"/>
    <cellStyle name="40% - Accent2 4 3 2 2 5 4" xfId="21947"/>
    <cellStyle name="40% - Accent2 4 3 2 2 5 5" xfId="21948"/>
    <cellStyle name="40% - Accent2 4 3 2 2 6" xfId="21949"/>
    <cellStyle name="40% - Accent2 4 3 2 2 6 2" xfId="21950"/>
    <cellStyle name="40% - Accent2 4 3 2 2 6 3" xfId="21951"/>
    <cellStyle name="40% - Accent2 4 3 2 2 7" xfId="21952"/>
    <cellStyle name="40% - Accent2 4 3 2 2 7 2" xfId="21953"/>
    <cellStyle name="40% - Accent2 4 3 2 2 7 3" xfId="21954"/>
    <cellStyle name="40% - Accent2 4 3 2 2 8" xfId="21955"/>
    <cellStyle name="40% - Accent2 4 3 2 2 8 2" xfId="21956"/>
    <cellStyle name="40% - Accent2 4 3 2 2 9" xfId="21957"/>
    <cellStyle name="40% - Accent2 4 3 2 3" xfId="1800"/>
    <cellStyle name="40% - Accent2 4 3 2 3 2" xfId="21958"/>
    <cellStyle name="40% - Accent2 4 3 2 3 2 2" xfId="21959"/>
    <cellStyle name="40% - Accent2 4 3 2 3 2 2 2" xfId="21960"/>
    <cellStyle name="40% - Accent2 4 3 2 3 2 2 3" xfId="21961"/>
    <cellStyle name="40% - Accent2 4 3 2 3 2 3" xfId="21962"/>
    <cellStyle name="40% - Accent2 4 3 2 3 2 3 2" xfId="21963"/>
    <cellStyle name="40% - Accent2 4 3 2 3 2 3 3" xfId="21964"/>
    <cellStyle name="40% - Accent2 4 3 2 3 2 4" xfId="21965"/>
    <cellStyle name="40% - Accent2 4 3 2 3 2 4 2" xfId="21966"/>
    <cellStyle name="40% - Accent2 4 3 2 3 2 5" xfId="21967"/>
    <cellStyle name="40% - Accent2 4 3 2 3 2 6" xfId="21968"/>
    <cellStyle name="40% - Accent2 4 3 2 3 3" xfId="21969"/>
    <cellStyle name="40% - Accent2 4 3 2 3 3 2" xfId="21970"/>
    <cellStyle name="40% - Accent2 4 3 2 3 3 2 2" xfId="21971"/>
    <cellStyle name="40% - Accent2 4 3 2 3 3 2 3" xfId="21972"/>
    <cellStyle name="40% - Accent2 4 3 2 3 3 3" xfId="21973"/>
    <cellStyle name="40% - Accent2 4 3 2 3 3 3 2" xfId="21974"/>
    <cellStyle name="40% - Accent2 4 3 2 3 3 3 3" xfId="21975"/>
    <cellStyle name="40% - Accent2 4 3 2 3 3 4" xfId="21976"/>
    <cellStyle name="40% - Accent2 4 3 2 3 3 4 2" xfId="21977"/>
    <cellStyle name="40% - Accent2 4 3 2 3 3 5" xfId="21978"/>
    <cellStyle name="40% - Accent2 4 3 2 3 3 6" xfId="21979"/>
    <cellStyle name="40% - Accent2 4 3 2 3 4" xfId="21980"/>
    <cellStyle name="40% - Accent2 4 3 2 3 4 2" xfId="21981"/>
    <cellStyle name="40% - Accent2 4 3 2 3 4 2 2" xfId="21982"/>
    <cellStyle name="40% - Accent2 4 3 2 3 4 2 3" xfId="21983"/>
    <cellStyle name="40% - Accent2 4 3 2 3 4 3" xfId="21984"/>
    <cellStyle name="40% - Accent2 4 3 2 3 4 3 2" xfId="21985"/>
    <cellStyle name="40% - Accent2 4 3 2 3 4 4" xfId="21986"/>
    <cellStyle name="40% - Accent2 4 3 2 3 4 5" xfId="21987"/>
    <cellStyle name="40% - Accent2 4 3 2 3 5" xfId="21988"/>
    <cellStyle name="40% - Accent2 4 3 2 3 5 2" xfId="21989"/>
    <cellStyle name="40% - Accent2 4 3 2 3 5 3" xfId="21990"/>
    <cellStyle name="40% - Accent2 4 3 2 3 6" xfId="21991"/>
    <cellStyle name="40% - Accent2 4 3 2 3 6 2" xfId="21992"/>
    <cellStyle name="40% - Accent2 4 3 2 3 6 3" xfId="21993"/>
    <cellStyle name="40% - Accent2 4 3 2 3 7" xfId="21994"/>
    <cellStyle name="40% - Accent2 4 3 2 3 7 2" xfId="21995"/>
    <cellStyle name="40% - Accent2 4 3 2 3 8" xfId="21996"/>
    <cellStyle name="40% - Accent2 4 3 2 3 9" xfId="21997"/>
    <cellStyle name="40% - Accent2 4 3 2 4" xfId="21998"/>
    <cellStyle name="40% - Accent2 4 3 2 4 2" xfId="21999"/>
    <cellStyle name="40% - Accent2 4 3 2 4 2 2" xfId="22000"/>
    <cellStyle name="40% - Accent2 4 3 2 4 2 2 2" xfId="22001"/>
    <cellStyle name="40% - Accent2 4 3 2 4 2 2 3" xfId="22002"/>
    <cellStyle name="40% - Accent2 4 3 2 4 2 3" xfId="22003"/>
    <cellStyle name="40% - Accent2 4 3 2 4 2 3 2" xfId="22004"/>
    <cellStyle name="40% - Accent2 4 3 2 4 2 3 3" xfId="22005"/>
    <cellStyle name="40% - Accent2 4 3 2 4 2 4" xfId="22006"/>
    <cellStyle name="40% - Accent2 4 3 2 4 2 4 2" xfId="22007"/>
    <cellStyle name="40% - Accent2 4 3 2 4 2 5" xfId="22008"/>
    <cellStyle name="40% - Accent2 4 3 2 4 2 6" xfId="22009"/>
    <cellStyle name="40% - Accent2 4 3 2 4 3" xfId="22010"/>
    <cellStyle name="40% - Accent2 4 3 2 4 3 2" xfId="22011"/>
    <cellStyle name="40% - Accent2 4 3 2 4 3 2 2" xfId="22012"/>
    <cellStyle name="40% - Accent2 4 3 2 4 3 2 3" xfId="22013"/>
    <cellStyle name="40% - Accent2 4 3 2 4 3 3" xfId="22014"/>
    <cellStyle name="40% - Accent2 4 3 2 4 3 3 2" xfId="22015"/>
    <cellStyle name="40% - Accent2 4 3 2 4 3 3 3" xfId="22016"/>
    <cellStyle name="40% - Accent2 4 3 2 4 3 4" xfId="22017"/>
    <cellStyle name="40% - Accent2 4 3 2 4 3 4 2" xfId="22018"/>
    <cellStyle name="40% - Accent2 4 3 2 4 3 5" xfId="22019"/>
    <cellStyle name="40% - Accent2 4 3 2 4 3 6" xfId="22020"/>
    <cellStyle name="40% - Accent2 4 3 2 4 4" xfId="22021"/>
    <cellStyle name="40% - Accent2 4 3 2 4 4 2" xfId="22022"/>
    <cellStyle name="40% - Accent2 4 3 2 4 4 2 2" xfId="22023"/>
    <cellStyle name="40% - Accent2 4 3 2 4 4 2 3" xfId="22024"/>
    <cellStyle name="40% - Accent2 4 3 2 4 4 3" xfId="22025"/>
    <cellStyle name="40% - Accent2 4 3 2 4 4 3 2" xfId="22026"/>
    <cellStyle name="40% - Accent2 4 3 2 4 4 4" xfId="22027"/>
    <cellStyle name="40% - Accent2 4 3 2 4 4 5" xfId="22028"/>
    <cellStyle name="40% - Accent2 4 3 2 4 5" xfId="22029"/>
    <cellStyle name="40% - Accent2 4 3 2 4 5 2" xfId="22030"/>
    <cellStyle name="40% - Accent2 4 3 2 4 5 3" xfId="22031"/>
    <cellStyle name="40% - Accent2 4 3 2 4 6" xfId="22032"/>
    <cellStyle name="40% - Accent2 4 3 2 4 6 2" xfId="22033"/>
    <cellStyle name="40% - Accent2 4 3 2 4 6 3" xfId="22034"/>
    <cellStyle name="40% - Accent2 4 3 2 4 7" xfId="22035"/>
    <cellStyle name="40% - Accent2 4 3 2 4 7 2" xfId="22036"/>
    <cellStyle name="40% - Accent2 4 3 2 4 8" xfId="22037"/>
    <cellStyle name="40% - Accent2 4 3 2 4 9" xfId="22038"/>
    <cellStyle name="40% - Accent2 4 3 2 5" xfId="22039"/>
    <cellStyle name="40% - Accent2 4 3 2 5 2" xfId="22040"/>
    <cellStyle name="40% - Accent2 4 3 2 5 2 2" xfId="22041"/>
    <cellStyle name="40% - Accent2 4 3 2 5 2 3" xfId="22042"/>
    <cellStyle name="40% - Accent2 4 3 2 5 3" xfId="22043"/>
    <cellStyle name="40% - Accent2 4 3 2 5 3 2" xfId="22044"/>
    <cellStyle name="40% - Accent2 4 3 2 5 3 3" xfId="22045"/>
    <cellStyle name="40% - Accent2 4 3 2 5 4" xfId="22046"/>
    <cellStyle name="40% - Accent2 4 3 2 5 4 2" xfId="22047"/>
    <cellStyle name="40% - Accent2 4 3 2 5 5" xfId="22048"/>
    <cellStyle name="40% - Accent2 4 3 2 5 6" xfId="22049"/>
    <cellStyle name="40% - Accent2 4 3 2 6" xfId="22050"/>
    <cellStyle name="40% - Accent2 4 3 2 6 2" xfId="22051"/>
    <cellStyle name="40% - Accent2 4 3 2 6 2 2" xfId="22052"/>
    <cellStyle name="40% - Accent2 4 3 2 6 2 3" xfId="22053"/>
    <cellStyle name="40% - Accent2 4 3 2 6 3" xfId="22054"/>
    <cellStyle name="40% - Accent2 4 3 2 6 3 2" xfId="22055"/>
    <cellStyle name="40% - Accent2 4 3 2 6 3 3" xfId="22056"/>
    <cellStyle name="40% - Accent2 4 3 2 6 4" xfId="22057"/>
    <cellStyle name="40% - Accent2 4 3 2 6 4 2" xfId="22058"/>
    <cellStyle name="40% - Accent2 4 3 2 6 5" xfId="22059"/>
    <cellStyle name="40% - Accent2 4 3 2 6 6" xfId="22060"/>
    <cellStyle name="40% - Accent2 4 3 2 7" xfId="22061"/>
    <cellStyle name="40% - Accent2 4 3 2 7 2" xfId="22062"/>
    <cellStyle name="40% - Accent2 4 3 2 7 2 2" xfId="22063"/>
    <cellStyle name="40% - Accent2 4 3 2 7 2 3" xfId="22064"/>
    <cellStyle name="40% - Accent2 4 3 2 7 3" xfId="22065"/>
    <cellStyle name="40% - Accent2 4 3 2 7 3 2" xfId="22066"/>
    <cellStyle name="40% - Accent2 4 3 2 7 4" xfId="22067"/>
    <cellStyle name="40% - Accent2 4 3 2 7 5" xfId="22068"/>
    <cellStyle name="40% - Accent2 4 3 2 8" xfId="22069"/>
    <cellStyle name="40% - Accent2 4 3 2 8 2" xfId="22070"/>
    <cellStyle name="40% - Accent2 4 3 2 8 3" xfId="22071"/>
    <cellStyle name="40% - Accent2 4 3 2 9" xfId="22072"/>
    <cellStyle name="40% - Accent2 4 3 2 9 2" xfId="22073"/>
    <cellStyle name="40% - Accent2 4 3 2 9 3" xfId="22074"/>
    <cellStyle name="40% - Accent2 4 3 3" xfId="1801"/>
    <cellStyle name="40% - Accent2 4 3 3 10" xfId="22075"/>
    <cellStyle name="40% - Accent2 4 3 3 2" xfId="1802"/>
    <cellStyle name="40% - Accent2 4 3 3 2 2" xfId="22076"/>
    <cellStyle name="40% - Accent2 4 3 3 2 2 2" xfId="22077"/>
    <cellStyle name="40% - Accent2 4 3 3 2 2 2 2" xfId="22078"/>
    <cellStyle name="40% - Accent2 4 3 3 2 2 2 3" xfId="22079"/>
    <cellStyle name="40% - Accent2 4 3 3 2 2 3" xfId="22080"/>
    <cellStyle name="40% - Accent2 4 3 3 2 2 3 2" xfId="22081"/>
    <cellStyle name="40% - Accent2 4 3 3 2 2 3 3" xfId="22082"/>
    <cellStyle name="40% - Accent2 4 3 3 2 2 4" xfId="22083"/>
    <cellStyle name="40% - Accent2 4 3 3 2 2 4 2" xfId="22084"/>
    <cellStyle name="40% - Accent2 4 3 3 2 2 5" xfId="22085"/>
    <cellStyle name="40% - Accent2 4 3 3 2 2 6" xfId="22086"/>
    <cellStyle name="40% - Accent2 4 3 3 2 3" xfId="22087"/>
    <cellStyle name="40% - Accent2 4 3 3 2 3 2" xfId="22088"/>
    <cellStyle name="40% - Accent2 4 3 3 2 3 2 2" xfId="22089"/>
    <cellStyle name="40% - Accent2 4 3 3 2 3 2 3" xfId="22090"/>
    <cellStyle name="40% - Accent2 4 3 3 2 3 3" xfId="22091"/>
    <cellStyle name="40% - Accent2 4 3 3 2 3 3 2" xfId="22092"/>
    <cellStyle name="40% - Accent2 4 3 3 2 3 3 3" xfId="22093"/>
    <cellStyle name="40% - Accent2 4 3 3 2 3 4" xfId="22094"/>
    <cellStyle name="40% - Accent2 4 3 3 2 3 4 2" xfId="22095"/>
    <cellStyle name="40% - Accent2 4 3 3 2 3 5" xfId="22096"/>
    <cellStyle name="40% - Accent2 4 3 3 2 3 6" xfId="22097"/>
    <cellStyle name="40% - Accent2 4 3 3 2 4" xfId="22098"/>
    <cellStyle name="40% - Accent2 4 3 3 2 4 2" xfId="22099"/>
    <cellStyle name="40% - Accent2 4 3 3 2 4 2 2" xfId="22100"/>
    <cellStyle name="40% - Accent2 4 3 3 2 4 2 3" xfId="22101"/>
    <cellStyle name="40% - Accent2 4 3 3 2 4 3" xfId="22102"/>
    <cellStyle name="40% - Accent2 4 3 3 2 4 3 2" xfId="22103"/>
    <cellStyle name="40% - Accent2 4 3 3 2 4 4" xfId="22104"/>
    <cellStyle name="40% - Accent2 4 3 3 2 4 5" xfId="22105"/>
    <cellStyle name="40% - Accent2 4 3 3 2 5" xfId="22106"/>
    <cellStyle name="40% - Accent2 4 3 3 2 5 2" xfId="22107"/>
    <cellStyle name="40% - Accent2 4 3 3 2 5 3" xfId="22108"/>
    <cellStyle name="40% - Accent2 4 3 3 2 6" xfId="22109"/>
    <cellStyle name="40% - Accent2 4 3 3 2 6 2" xfId="22110"/>
    <cellStyle name="40% - Accent2 4 3 3 2 6 3" xfId="22111"/>
    <cellStyle name="40% - Accent2 4 3 3 2 7" xfId="22112"/>
    <cellStyle name="40% - Accent2 4 3 3 2 7 2" xfId="22113"/>
    <cellStyle name="40% - Accent2 4 3 3 2 8" xfId="22114"/>
    <cellStyle name="40% - Accent2 4 3 3 2 9" xfId="22115"/>
    <cellStyle name="40% - Accent2 4 3 3 3" xfId="22116"/>
    <cellStyle name="40% - Accent2 4 3 3 3 2" xfId="22117"/>
    <cellStyle name="40% - Accent2 4 3 3 3 2 2" xfId="22118"/>
    <cellStyle name="40% - Accent2 4 3 3 3 2 3" xfId="22119"/>
    <cellStyle name="40% - Accent2 4 3 3 3 3" xfId="22120"/>
    <cellStyle name="40% - Accent2 4 3 3 3 3 2" xfId="22121"/>
    <cellStyle name="40% - Accent2 4 3 3 3 3 3" xfId="22122"/>
    <cellStyle name="40% - Accent2 4 3 3 3 4" xfId="22123"/>
    <cellStyle name="40% - Accent2 4 3 3 3 4 2" xfId="22124"/>
    <cellStyle name="40% - Accent2 4 3 3 3 5" xfId="22125"/>
    <cellStyle name="40% - Accent2 4 3 3 3 6" xfId="22126"/>
    <cellStyle name="40% - Accent2 4 3 3 4" xfId="22127"/>
    <cellStyle name="40% - Accent2 4 3 3 4 2" xfId="22128"/>
    <cellStyle name="40% - Accent2 4 3 3 4 2 2" xfId="22129"/>
    <cellStyle name="40% - Accent2 4 3 3 4 2 3" xfId="22130"/>
    <cellStyle name="40% - Accent2 4 3 3 4 3" xfId="22131"/>
    <cellStyle name="40% - Accent2 4 3 3 4 3 2" xfId="22132"/>
    <cellStyle name="40% - Accent2 4 3 3 4 3 3" xfId="22133"/>
    <cellStyle name="40% - Accent2 4 3 3 4 4" xfId="22134"/>
    <cellStyle name="40% - Accent2 4 3 3 4 4 2" xfId="22135"/>
    <cellStyle name="40% - Accent2 4 3 3 4 5" xfId="22136"/>
    <cellStyle name="40% - Accent2 4 3 3 4 6" xfId="22137"/>
    <cellStyle name="40% - Accent2 4 3 3 5" xfId="22138"/>
    <cellStyle name="40% - Accent2 4 3 3 5 2" xfId="22139"/>
    <cellStyle name="40% - Accent2 4 3 3 5 2 2" xfId="22140"/>
    <cellStyle name="40% - Accent2 4 3 3 5 2 3" xfId="22141"/>
    <cellStyle name="40% - Accent2 4 3 3 5 3" xfId="22142"/>
    <cellStyle name="40% - Accent2 4 3 3 5 3 2" xfId="22143"/>
    <cellStyle name="40% - Accent2 4 3 3 5 4" xfId="22144"/>
    <cellStyle name="40% - Accent2 4 3 3 5 5" xfId="22145"/>
    <cellStyle name="40% - Accent2 4 3 3 6" xfId="22146"/>
    <cellStyle name="40% - Accent2 4 3 3 6 2" xfId="22147"/>
    <cellStyle name="40% - Accent2 4 3 3 6 3" xfId="22148"/>
    <cellStyle name="40% - Accent2 4 3 3 7" xfId="22149"/>
    <cellStyle name="40% - Accent2 4 3 3 7 2" xfId="22150"/>
    <cellStyle name="40% - Accent2 4 3 3 7 3" xfId="22151"/>
    <cellStyle name="40% - Accent2 4 3 3 8" xfId="22152"/>
    <cellStyle name="40% - Accent2 4 3 3 8 2" xfId="22153"/>
    <cellStyle name="40% - Accent2 4 3 3 9" xfId="22154"/>
    <cellStyle name="40% - Accent2 4 3 4" xfId="1803"/>
    <cellStyle name="40% - Accent2 4 3 4 2" xfId="22155"/>
    <cellStyle name="40% - Accent2 4 3 4 2 2" xfId="22156"/>
    <cellStyle name="40% - Accent2 4 3 4 2 2 2" xfId="22157"/>
    <cellStyle name="40% - Accent2 4 3 4 2 2 3" xfId="22158"/>
    <cellStyle name="40% - Accent2 4 3 4 2 3" xfId="22159"/>
    <cellStyle name="40% - Accent2 4 3 4 2 3 2" xfId="22160"/>
    <cellStyle name="40% - Accent2 4 3 4 2 3 3" xfId="22161"/>
    <cellStyle name="40% - Accent2 4 3 4 2 4" xfId="22162"/>
    <cellStyle name="40% - Accent2 4 3 4 2 4 2" xfId="22163"/>
    <cellStyle name="40% - Accent2 4 3 4 2 5" xfId="22164"/>
    <cellStyle name="40% - Accent2 4 3 4 2 6" xfId="22165"/>
    <cellStyle name="40% - Accent2 4 3 4 3" xfId="22166"/>
    <cellStyle name="40% - Accent2 4 3 4 3 2" xfId="22167"/>
    <cellStyle name="40% - Accent2 4 3 4 3 2 2" xfId="22168"/>
    <cellStyle name="40% - Accent2 4 3 4 3 2 3" xfId="22169"/>
    <cellStyle name="40% - Accent2 4 3 4 3 3" xfId="22170"/>
    <cellStyle name="40% - Accent2 4 3 4 3 3 2" xfId="22171"/>
    <cellStyle name="40% - Accent2 4 3 4 3 3 3" xfId="22172"/>
    <cellStyle name="40% - Accent2 4 3 4 3 4" xfId="22173"/>
    <cellStyle name="40% - Accent2 4 3 4 3 4 2" xfId="22174"/>
    <cellStyle name="40% - Accent2 4 3 4 3 5" xfId="22175"/>
    <cellStyle name="40% - Accent2 4 3 4 3 6" xfId="22176"/>
    <cellStyle name="40% - Accent2 4 3 4 4" xfId="22177"/>
    <cellStyle name="40% - Accent2 4 3 4 4 2" xfId="22178"/>
    <cellStyle name="40% - Accent2 4 3 4 4 2 2" xfId="22179"/>
    <cellStyle name="40% - Accent2 4 3 4 4 2 3" xfId="22180"/>
    <cellStyle name="40% - Accent2 4 3 4 4 3" xfId="22181"/>
    <cellStyle name="40% - Accent2 4 3 4 4 3 2" xfId="22182"/>
    <cellStyle name="40% - Accent2 4 3 4 4 4" xfId="22183"/>
    <cellStyle name="40% - Accent2 4 3 4 4 5" xfId="22184"/>
    <cellStyle name="40% - Accent2 4 3 4 5" xfId="22185"/>
    <cellStyle name="40% - Accent2 4 3 4 5 2" xfId="22186"/>
    <cellStyle name="40% - Accent2 4 3 4 5 3" xfId="22187"/>
    <cellStyle name="40% - Accent2 4 3 4 6" xfId="22188"/>
    <cellStyle name="40% - Accent2 4 3 4 6 2" xfId="22189"/>
    <cellStyle name="40% - Accent2 4 3 4 6 3" xfId="22190"/>
    <cellStyle name="40% - Accent2 4 3 4 7" xfId="22191"/>
    <cellStyle name="40% - Accent2 4 3 4 7 2" xfId="22192"/>
    <cellStyle name="40% - Accent2 4 3 4 8" xfId="22193"/>
    <cellStyle name="40% - Accent2 4 3 4 9" xfId="22194"/>
    <cellStyle name="40% - Accent2 4 3 5" xfId="22195"/>
    <cellStyle name="40% - Accent2 4 3 5 2" xfId="22196"/>
    <cellStyle name="40% - Accent2 4 3 5 2 2" xfId="22197"/>
    <cellStyle name="40% - Accent2 4 3 5 2 2 2" xfId="22198"/>
    <cellStyle name="40% - Accent2 4 3 5 2 2 3" xfId="22199"/>
    <cellStyle name="40% - Accent2 4 3 5 2 3" xfId="22200"/>
    <cellStyle name="40% - Accent2 4 3 5 2 3 2" xfId="22201"/>
    <cellStyle name="40% - Accent2 4 3 5 2 3 3" xfId="22202"/>
    <cellStyle name="40% - Accent2 4 3 5 2 4" xfId="22203"/>
    <cellStyle name="40% - Accent2 4 3 5 2 4 2" xfId="22204"/>
    <cellStyle name="40% - Accent2 4 3 5 2 5" xfId="22205"/>
    <cellStyle name="40% - Accent2 4 3 5 2 6" xfId="22206"/>
    <cellStyle name="40% - Accent2 4 3 5 3" xfId="22207"/>
    <cellStyle name="40% - Accent2 4 3 5 3 2" xfId="22208"/>
    <cellStyle name="40% - Accent2 4 3 5 3 2 2" xfId="22209"/>
    <cellStyle name="40% - Accent2 4 3 5 3 2 3" xfId="22210"/>
    <cellStyle name="40% - Accent2 4 3 5 3 3" xfId="22211"/>
    <cellStyle name="40% - Accent2 4 3 5 3 3 2" xfId="22212"/>
    <cellStyle name="40% - Accent2 4 3 5 3 3 3" xfId="22213"/>
    <cellStyle name="40% - Accent2 4 3 5 3 4" xfId="22214"/>
    <cellStyle name="40% - Accent2 4 3 5 3 4 2" xfId="22215"/>
    <cellStyle name="40% - Accent2 4 3 5 3 5" xfId="22216"/>
    <cellStyle name="40% - Accent2 4 3 5 3 6" xfId="22217"/>
    <cellStyle name="40% - Accent2 4 3 5 4" xfId="22218"/>
    <cellStyle name="40% - Accent2 4 3 5 4 2" xfId="22219"/>
    <cellStyle name="40% - Accent2 4 3 5 4 2 2" xfId="22220"/>
    <cellStyle name="40% - Accent2 4 3 5 4 2 3" xfId="22221"/>
    <cellStyle name="40% - Accent2 4 3 5 4 3" xfId="22222"/>
    <cellStyle name="40% - Accent2 4 3 5 4 3 2" xfId="22223"/>
    <cellStyle name="40% - Accent2 4 3 5 4 4" xfId="22224"/>
    <cellStyle name="40% - Accent2 4 3 5 4 5" xfId="22225"/>
    <cellStyle name="40% - Accent2 4 3 5 5" xfId="22226"/>
    <cellStyle name="40% - Accent2 4 3 5 5 2" xfId="22227"/>
    <cellStyle name="40% - Accent2 4 3 5 5 3" xfId="22228"/>
    <cellStyle name="40% - Accent2 4 3 5 6" xfId="22229"/>
    <cellStyle name="40% - Accent2 4 3 5 6 2" xfId="22230"/>
    <cellStyle name="40% - Accent2 4 3 5 6 3" xfId="22231"/>
    <cellStyle name="40% - Accent2 4 3 5 7" xfId="22232"/>
    <cellStyle name="40% - Accent2 4 3 5 7 2" xfId="22233"/>
    <cellStyle name="40% - Accent2 4 3 5 8" xfId="22234"/>
    <cellStyle name="40% - Accent2 4 3 5 9" xfId="22235"/>
    <cellStyle name="40% - Accent2 4 3 6" xfId="22236"/>
    <cellStyle name="40% - Accent2 4 3 6 2" xfId="22237"/>
    <cellStyle name="40% - Accent2 4 3 6 2 2" xfId="22238"/>
    <cellStyle name="40% - Accent2 4 3 6 2 3" xfId="22239"/>
    <cellStyle name="40% - Accent2 4 3 6 3" xfId="22240"/>
    <cellStyle name="40% - Accent2 4 3 6 3 2" xfId="22241"/>
    <cellStyle name="40% - Accent2 4 3 6 3 3" xfId="22242"/>
    <cellStyle name="40% - Accent2 4 3 6 4" xfId="22243"/>
    <cellStyle name="40% - Accent2 4 3 6 4 2" xfId="22244"/>
    <cellStyle name="40% - Accent2 4 3 6 5" xfId="22245"/>
    <cellStyle name="40% - Accent2 4 3 6 6" xfId="22246"/>
    <cellStyle name="40% - Accent2 4 3 7" xfId="22247"/>
    <cellStyle name="40% - Accent2 4 3 7 2" xfId="22248"/>
    <cellStyle name="40% - Accent2 4 3 7 2 2" xfId="22249"/>
    <cellStyle name="40% - Accent2 4 3 7 2 3" xfId="22250"/>
    <cellStyle name="40% - Accent2 4 3 7 3" xfId="22251"/>
    <cellStyle name="40% - Accent2 4 3 7 3 2" xfId="22252"/>
    <cellStyle name="40% - Accent2 4 3 7 3 3" xfId="22253"/>
    <cellStyle name="40% - Accent2 4 3 7 4" xfId="22254"/>
    <cellStyle name="40% - Accent2 4 3 7 4 2" xfId="22255"/>
    <cellStyle name="40% - Accent2 4 3 7 5" xfId="22256"/>
    <cellStyle name="40% - Accent2 4 3 7 6" xfId="22257"/>
    <cellStyle name="40% - Accent2 4 3 8" xfId="22258"/>
    <cellStyle name="40% - Accent2 4 3 8 2" xfId="22259"/>
    <cellStyle name="40% - Accent2 4 3 8 2 2" xfId="22260"/>
    <cellStyle name="40% - Accent2 4 3 8 2 3" xfId="22261"/>
    <cellStyle name="40% - Accent2 4 3 8 3" xfId="22262"/>
    <cellStyle name="40% - Accent2 4 3 8 3 2" xfId="22263"/>
    <cellStyle name="40% - Accent2 4 3 8 4" xfId="22264"/>
    <cellStyle name="40% - Accent2 4 3 8 5" xfId="22265"/>
    <cellStyle name="40% - Accent2 4 3 9" xfId="22266"/>
    <cellStyle name="40% - Accent2 4 3 9 2" xfId="22267"/>
    <cellStyle name="40% - Accent2 4 3 9 3" xfId="22268"/>
    <cellStyle name="40% - Accent2 4 4" xfId="1804"/>
    <cellStyle name="40% - Accent2 4 4 10" xfId="22269"/>
    <cellStyle name="40% - Accent2 4 4 10 2" xfId="22270"/>
    <cellStyle name="40% - Accent2 4 4 11" xfId="22271"/>
    <cellStyle name="40% - Accent2 4 4 12" xfId="22272"/>
    <cellStyle name="40% - Accent2 4 4 2" xfId="1805"/>
    <cellStyle name="40% - Accent2 4 4 2 10" xfId="22273"/>
    <cellStyle name="40% - Accent2 4 4 2 2" xfId="1806"/>
    <cellStyle name="40% - Accent2 4 4 2 2 2" xfId="22274"/>
    <cellStyle name="40% - Accent2 4 4 2 2 2 2" xfId="22275"/>
    <cellStyle name="40% - Accent2 4 4 2 2 2 2 2" xfId="22276"/>
    <cellStyle name="40% - Accent2 4 4 2 2 2 2 3" xfId="22277"/>
    <cellStyle name="40% - Accent2 4 4 2 2 2 3" xfId="22278"/>
    <cellStyle name="40% - Accent2 4 4 2 2 2 3 2" xfId="22279"/>
    <cellStyle name="40% - Accent2 4 4 2 2 2 3 3" xfId="22280"/>
    <cellStyle name="40% - Accent2 4 4 2 2 2 4" xfId="22281"/>
    <cellStyle name="40% - Accent2 4 4 2 2 2 4 2" xfId="22282"/>
    <cellStyle name="40% - Accent2 4 4 2 2 2 5" xfId="22283"/>
    <cellStyle name="40% - Accent2 4 4 2 2 2 6" xfId="22284"/>
    <cellStyle name="40% - Accent2 4 4 2 2 3" xfId="22285"/>
    <cellStyle name="40% - Accent2 4 4 2 2 3 2" xfId="22286"/>
    <cellStyle name="40% - Accent2 4 4 2 2 3 2 2" xfId="22287"/>
    <cellStyle name="40% - Accent2 4 4 2 2 3 2 3" xfId="22288"/>
    <cellStyle name="40% - Accent2 4 4 2 2 3 3" xfId="22289"/>
    <cellStyle name="40% - Accent2 4 4 2 2 3 3 2" xfId="22290"/>
    <cellStyle name="40% - Accent2 4 4 2 2 3 3 3" xfId="22291"/>
    <cellStyle name="40% - Accent2 4 4 2 2 3 4" xfId="22292"/>
    <cellStyle name="40% - Accent2 4 4 2 2 3 4 2" xfId="22293"/>
    <cellStyle name="40% - Accent2 4 4 2 2 3 5" xfId="22294"/>
    <cellStyle name="40% - Accent2 4 4 2 2 3 6" xfId="22295"/>
    <cellStyle name="40% - Accent2 4 4 2 2 4" xfId="22296"/>
    <cellStyle name="40% - Accent2 4 4 2 2 4 2" xfId="22297"/>
    <cellStyle name="40% - Accent2 4 4 2 2 4 2 2" xfId="22298"/>
    <cellStyle name="40% - Accent2 4 4 2 2 4 2 3" xfId="22299"/>
    <cellStyle name="40% - Accent2 4 4 2 2 4 3" xfId="22300"/>
    <cellStyle name="40% - Accent2 4 4 2 2 4 3 2" xfId="22301"/>
    <cellStyle name="40% - Accent2 4 4 2 2 4 4" xfId="22302"/>
    <cellStyle name="40% - Accent2 4 4 2 2 4 5" xfId="22303"/>
    <cellStyle name="40% - Accent2 4 4 2 2 5" xfId="22304"/>
    <cellStyle name="40% - Accent2 4 4 2 2 5 2" xfId="22305"/>
    <cellStyle name="40% - Accent2 4 4 2 2 5 3" xfId="22306"/>
    <cellStyle name="40% - Accent2 4 4 2 2 6" xfId="22307"/>
    <cellStyle name="40% - Accent2 4 4 2 2 6 2" xfId="22308"/>
    <cellStyle name="40% - Accent2 4 4 2 2 6 3" xfId="22309"/>
    <cellStyle name="40% - Accent2 4 4 2 2 7" xfId="22310"/>
    <cellStyle name="40% - Accent2 4 4 2 2 7 2" xfId="22311"/>
    <cellStyle name="40% - Accent2 4 4 2 2 8" xfId="22312"/>
    <cellStyle name="40% - Accent2 4 4 2 2 9" xfId="22313"/>
    <cellStyle name="40% - Accent2 4 4 2 3" xfId="22314"/>
    <cellStyle name="40% - Accent2 4 4 2 3 2" xfId="22315"/>
    <cellStyle name="40% - Accent2 4 4 2 3 2 2" xfId="22316"/>
    <cellStyle name="40% - Accent2 4 4 2 3 2 3" xfId="22317"/>
    <cellStyle name="40% - Accent2 4 4 2 3 3" xfId="22318"/>
    <cellStyle name="40% - Accent2 4 4 2 3 3 2" xfId="22319"/>
    <cellStyle name="40% - Accent2 4 4 2 3 3 3" xfId="22320"/>
    <cellStyle name="40% - Accent2 4 4 2 3 4" xfId="22321"/>
    <cellStyle name="40% - Accent2 4 4 2 3 4 2" xfId="22322"/>
    <cellStyle name="40% - Accent2 4 4 2 3 5" xfId="22323"/>
    <cellStyle name="40% - Accent2 4 4 2 3 6" xfId="22324"/>
    <cellStyle name="40% - Accent2 4 4 2 4" xfId="22325"/>
    <cellStyle name="40% - Accent2 4 4 2 4 2" xfId="22326"/>
    <cellStyle name="40% - Accent2 4 4 2 4 2 2" xfId="22327"/>
    <cellStyle name="40% - Accent2 4 4 2 4 2 3" xfId="22328"/>
    <cellStyle name="40% - Accent2 4 4 2 4 3" xfId="22329"/>
    <cellStyle name="40% - Accent2 4 4 2 4 3 2" xfId="22330"/>
    <cellStyle name="40% - Accent2 4 4 2 4 3 3" xfId="22331"/>
    <cellStyle name="40% - Accent2 4 4 2 4 4" xfId="22332"/>
    <cellStyle name="40% - Accent2 4 4 2 4 4 2" xfId="22333"/>
    <cellStyle name="40% - Accent2 4 4 2 4 5" xfId="22334"/>
    <cellStyle name="40% - Accent2 4 4 2 4 6" xfId="22335"/>
    <cellStyle name="40% - Accent2 4 4 2 5" xfId="22336"/>
    <cellStyle name="40% - Accent2 4 4 2 5 2" xfId="22337"/>
    <cellStyle name="40% - Accent2 4 4 2 5 2 2" xfId="22338"/>
    <cellStyle name="40% - Accent2 4 4 2 5 2 3" xfId="22339"/>
    <cellStyle name="40% - Accent2 4 4 2 5 3" xfId="22340"/>
    <cellStyle name="40% - Accent2 4 4 2 5 3 2" xfId="22341"/>
    <cellStyle name="40% - Accent2 4 4 2 5 4" xfId="22342"/>
    <cellStyle name="40% - Accent2 4 4 2 5 5" xfId="22343"/>
    <cellStyle name="40% - Accent2 4 4 2 6" xfId="22344"/>
    <cellStyle name="40% - Accent2 4 4 2 6 2" xfId="22345"/>
    <cellStyle name="40% - Accent2 4 4 2 6 3" xfId="22346"/>
    <cellStyle name="40% - Accent2 4 4 2 7" xfId="22347"/>
    <cellStyle name="40% - Accent2 4 4 2 7 2" xfId="22348"/>
    <cellStyle name="40% - Accent2 4 4 2 7 3" xfId="22349"/>
    <cellStyle name="40% - Accent2 4 4 2 8" xfId="22350"/>
    <cellStyle name="40% - Accent2 4 4 2 8 2" xfId="22351"/>
    <cellStyle name="40% - Accent2 4 4 2 9" xfId="22352"/>
    <cellStyle name="40% - Accent2 4 4 3" xfId="1807"/>
    <cellStyle name="40% - Accent2 4 4 3 2" xfId="22353"/>
    <cellStyle name="40% - Accent2 4 4 3 2 2" xfId="22354"/>
    <cellStyle name="40% - Accent2 4 4 3 2 2 2" xfId="22355"/>
    <cellStyle name="40% - Accent2 4 4 3 2 2 3" xfId="22356"/>
    <cellStyle name="40% - Accent2 4 4 3 2 3" xfId="22357"/>
    <cellStyle name="40% - Accent2 4 4 3 2 3 2" xfId="22358"/>
    <cellStyle name="40% - Accent2 4 4 3 2 3 3" xfId="22359"/>
    <cellStyle name="40% - Accent2 4 4 3 2 4" xfId="22360"/>
    <cellStyle name="40% - Accent2 4 4 3 2 4 2" xfId="22361"/>
    <cellStyle name="40% - Accent2 4 4 3 2 5" xfId="22362"/>
    <cellStyle name="40% - Accent2 4 4 3 2 6" xfId="22363"/>
    <cellStyle name="40% - Accent2 4 4 3 3" xfId="22364"/>
    <cellStyle name="40% - Accent2 4 4 3 3 2" xfId="22365"/>
    <cellStyle name="40% - Accent2 4 4 3 3 2 2" xfId="22366"/>
    <cellStyle name="40% - Accent2 4 4 3 3 2 3" xfId="22367"/>
    <cellStyle name="40% - Accent2 4 4 3 3 3" xfId="22368"/>
    <cellStyle name="40% - Accent2 4 4 3 3 3 2" xfId="22369"/>
    <cellStyle name="40% - Accent2 4 4 3 3 3 3" xfId="22370"/>
    <cellStyle name="40% - Accent2 4 4 3 3 4" xfId="22371"/>
    <cellStyle name="40% - Accent2 4 4 3 3 4 2" xfId="22372"/>
    <cellStyle name="40% - Accent2 4 4 3 3 5" xfId="22373"/>
    <cellStyle name="40% - Accent2 4 4 3 3 6" xfId="22374"/>
    <cellStyle name="40% - Accent2 4 4 3 4" xfId="22375"/>
    <cellStyle name="40% - Accent2 4 4 3 4 2" xfId="22376"/>
    <cellStyle name="40% - Accent2 4 4 3 4 2 2" xfId="22377"/>
    <cellStyle name="40% - Accent2 4 4 3 4 2 3" xfId="22378"/>
    <cellStyle name="40% - Accent2 4 4 3 4 3" xfId="22379"/>
    <cellStyle name="40% - Accent2 4 4 3 4 3 2" xfId="22380"/>
    <cellStyle name="40% - Accent2 4 4 3 4 4" xfId="22381"/>
    <cellStyle name="40% - Accent2 4 4 3 4 5" xfId="22382"/>
    <cellStyle name="40% - Accent2 4 4 3 5" xfId="22383"/>
    <cellStyle name="40% - Accent2 4 4 3 5 2" xfId="22384"/>
    <cellStyle name="40% - Accent2 4 4 3 5 3" xfId="22385"/>
    <cellStyle name="40% - Accent2 4 4 3 6" xfId="22386"/>
    <cellStyle name="40% - Accent2 4 4 3 6 2" xfId="22387"/>
    <cellStyle name="40% - Accent2 4 4 3 6 3" xfId="22388"/>
    <cellStyle name="40% - Accent2 4 4 3 7" xfId="22389"/>
    <cellStyle name="40% - Accent2 4 4 3 7 2" xfId="22390"/>
    <cellStyle name="40% - Accent2 4 4 3 8" xfId="22391"/>
    <cellStyle name="40% - Accent2 4 4 3 9" xfId="22392"/>
    <cellStyle name="40% - Accent2 4 4 4" xfId="22393"/>
    <cellStyle name="40% - Accent2 4 4 4 2" xfId="22394"/>
    <cellStyle name="40% - Accent2 4 4 4 2 2" xfId="22395"/>
    <cellStyle name="40% - Accent2 4 4 4 2 2 2" xfId="22396"/>
    <cellStyle name="40% - Accent2 4 4 4 2 2 3" xfId="22397"/>
    <cellStyle name="40% - Accent2 4 4 4 2 3" xfId="22398"/>
    <cellStyle name="40% - Accent2 4 4 4 2 3 2" xfId="22399"/>
    <cellStyle name="40% - Accent2 4 4 4 2 3 3" xfId="22400"/>
    <cellStyle name="40% - Accent2 4 4 4 2 4" xfId="22401"/>
    <cellStyle name="40% - Accent2 4 4 4 2 4 2" xfId="22402"/>
    <cellStyle name="40% - Accent2 4 4 4 2 5" xfId="22403"/>
    <cellStyle name="40% - Accent2 4 4 4 2 6" xfId="22404"/>
    <cellStyle name="40% - Accent2 4 4 4 3" xfId="22405"/>
    <cellStyle name="40% - Accent2 4 4 4 3 2" xfId="22406"/>
    <cellStyle name="40% - Accent2 4 4 4 3 2 2" xfId="22407"/>
    <cellStyle name="40% - Accent2 4 4 4 3 2 3" xfId="22408"/>
    <cellStyle name="40% - Accent2 4 4 4 3 3" xfId="22409"/>
    <cellStyle name="40% - Accent2 4 4 4 3 3 2" xfId="22410"/>
    <cellStyle name="40% - Accent2 4 4 4 3 3 3" xfId="22411"/>
    <cellStyle name="40% - Accent2 4 4 4 3 4" xfId="22412"/>
    <cellStyle name="40% - Accent2 4 4 4 3 4 2" xfId="22413"/>
    <cellStyle name="40% - Accent2 4 4 4 3 5" xfId="22414"/>
    <cellStyle name="40% - Accent2 4 4 4 3 6" xfId="22415"/>
    <cellStyle name="40% - Accent2 4 4 4 4" xfId="22416"/>
    <cellStyle name="40% - Accent2 4 4 4 4 2" xfId="22417"/>
    <cellStyle name="40% - Accent2 4 4 4 4 2 2" xfId="22418"/>
    <cellStyle name="40% - Accent2 4 4 4 4 2 3" xfId="22419"/>
    <cellStyle name="40% - Accent2 4 4 4 4 3" xfId="22420"/>
    <cellStyle name="40% - Accent2 4 4 4 4 3 2" xfId="22421"/>
    <cellStyle name="40% - Accent2 4 4 4 4 4" xfId="22422"/>
    <cellStyle name="40% - Accent2 4 4 4 4 5" xfId="22423"/>
    <cellStyle name="40% - Accent2 4 4 4 5" xfId="22424"/>
    <cellStyle name="40% - Accent2 4 4 4 5 2" xfId="22425"/>
    <cellStyle name="40% - Accent2 4 4 4 5 3" xfId="22426"/>
    <cellStyle name="40% - Accent2 4 4 4 6" xfId="22427"/>
    <cellStyle name="40% - Accent2 4 4 4 6 2" xfId="22428"/>
    <cellStyle name="40% - Accent2 4 4 4 6 3" xfId="22429"/>
    <cellStyle name="40% - Accent2 4 4 4 7" xfId="22430"/>
    <cellStyle name="40% - Accent2 4 4 4 7 2" xfId="22431"/>
    <cellStyle name="40% - Accent2 4 4 4 8" xfId="22432"/>
    <cellStyle name="40% - Accent2 4 4 4 9" xfId="22433"/>
    <cellStyle name="40% - Accent2 4 4 5" xfId="22434"/>
    <cellStyle name="40% - Accent2 4 4 5 2" xfId="22435"/>
    <cellStyle name="40% - Accent2 4 4 5 2 2" xfId="22436"/>
    <cellStyle name="40% - Accent2 4 4 5 2 3" xfId="22437"/>
    <cellStyle name="40% - Accent2 4 4 5 3" xfId="22438"/>
    <cellStyle name="40% - Accent2 4 4 5 3 2" xfId="22439"/>
    <cellStyle name="40% - Accent2 4 4 5 3 3" xfId="22440"/>
    <cellStyle name="40% - Accent2 4 4 5 4" xfId="22441"/>
    <cellStyle name="40% - Accent2 4 4 5 4 2" xfId="22442"/>
    <cellStyle name="40% - Accent2 4 4 5 5" xfId="22443"/>
    <cellStyle name="40% - Accent2 4 4 5 6" xfId="22444"/>
    <cellStyle name="40% - Accent2 4 4 6" xfId="22445"/>
    <cellStyle name="40% - Accent2 4 4 6 2" xfId="22446"/>
    <cellStyle name="40% - Accent2 4 4 6 2 2" xfId="22447"/>
    <cellStyle name="40% - Accent2 4 4 6 2 3" xfId="22448"/>
    <cellStyle name="40% - Accent2 4 4 6 3" xfId="22449"/>
    <cellStyle name="40% - Accent2 4 4 6 3 2" xfId="22450"/>
    <cellStyle name="40% - Accent2 4 4 6 3 3" xfId="22451"/>
    <cellStyle name="40% - Accent2 4 4 6 4" xfId="22452"/>
    <cellStyle name="40% - Accent2 4 4 6 4 2" xfId="22453"/>
    <cellStyle name="40% - Accent2 4 4 6 5" xfId="22454"/>
    <cellStyle name="40% - Accent2 4 4 6 6" xfId="22455"/>
    <cellStyle name="40% - Accent2 4 4 7" xfId="22456"/>
    <cellStyle name="40% - Accent2 4 4 7 2" xfId="22457"/>
    <cellStyle name="40% - Accent2 4 4 7 2 2" xfId="22458"/>
    <cellStyle name="40% - Accent2 4 4 7 2 3" xfId="22459"/>
    <cellStyle name="40% - Accent2 4 4 7 3" xfId="22460"/>
    <cellStyle name="40% - Accent2 4 4 7 3 2" xfId="22461"/>
    <cellStyle name="40% - Accent2 4 4 7 4" xfId="22462"/>
    <cellStyle name="40% - Accent2 4 4 7 5" xfId="22463"/>
    <cellStyle name="40% - Accent2 4 4 8" xfId="22464"/>
    <cellStyle name="40% - Accent2 4 4 8 2" xfId="22465"/>
    <cellStyle name="40% - Accent2 4 4 8 3" xfId="22466"/>
    <cellStyle name="40% - Accent2 4 4 9" xfId="22467"/>
    <cellStyle name="40% - Accent2 4 4 9 2" xfId="22468"/>
    <cellStyle name="40% - Accent2 4 4 9 3" xfId="22469"/>
    <cellStyle name="40% - Accent2 4 5" xfId="1808"/>
    <cellStyle name="40% - Accent2 4 5 10" xfId="22470"/>
    <cellStyle name="40% - Accent2 4 5 2" xfId="1809"/>
    <cellStyle name="40% - Accent2 4 5 2 2" xfId="22471"/>
    <cellStyle name="40% - Accent2 4 5 2 2 2" xfId="22472"/>
    <cellStyle name="40% - Accent2 4 5 2 2 2 2" xfId="22473"/>
    <cellStyle name="40% - Accent2 4 5 2 2 2 3" xfId="22474"/>
    <cellStyle name="40% - Accent2 4 5 2 2 3" xfId="22475"/>
    <cellStyle name="40% - Accent2 4 5 2 2 3 2" xfId="22476"/>
    <cellStyle name="40% - Accent2 4 5 2 2 3 3" xfId="22477"/>
    <cellStyle name="40% - Accent2 4 5 2 2 4" xfId="22478"/>
    <cellStyle name="40% - Accent2 4 5 2 2 4 2" xfId="22479"/>
    <cellStyle name="40% - Accent2 4 5 2 2 5" xfId="22480"/>
    <cellStyle name="40% - Accent2 4 5 2 2 6" xfId="22481"/>
    <cellStyle name="40% - Accent2 4 5 2 3" xfId="22482"/>
    <cellStyle name="40% - Accent2 4 5 2 3 2" xfId="22483"/>
    <cellStyle name="40% - Accent2 4 5 2 3 2 2" xfId="22484"/>
    <cellStyle name="40% - Accent2 4 5 2 3 2 3" xfId="22485"/>
    <cellStyle name="40% - Accent2 4 5 2 3 3" xfId="22486"/>
    <cellStyle name="40% - Accent2 4 5 2 3 3 2" xfId="22487"/>
    <cellStyle name="40% - Accent2 4 5 2 3 3 3" xfId="22488"/>
    <cellStyle name="40% - Accent2 4 5 2 3 4" xfId="22489"/>
    <cellStyle name="40% - Accent2 4 5 2 3 4 2" xfId="22490"/>
    <cellStyle name="40% - Accent2 4 5 2 3 5" xfId="22491"/>
    <cellStyle name="40% - Accent2 4 5 2 3 6" xfId="22492"/>
    <cellStyle name="40% - Accent2 4 5 2 4" xfId="22493"/>
    <cellStyle name="40% - Accent2 4 5 2 4 2" xfId="22494"/>
    <cellStyle name="40% - Accent2 4 5 2 4 2 2" xfId="22495"/>
    <cellStyle name="40% - Accent2 4 5 2 4 2 3" xfId="22496"/>
    <cellStyle name="40% - Accent2 4 5 2 4 3" xfId="22497"/>
    <cellStyle name="40% - Accent2 4 5 2 4 3 2" xfId="22498"/>
    <cellStyle name="40% - Accent2 4 5 2 4 4" xfId="22499"/>
    <cellStyle name="40% - Accent2 4 5 2 4 5" xfId="22500"/>
    <cellStyle name="40% - Accent2 4 5 2 5" xfId="22501"/>
    <cellStyle name="40% - Accent2 4 5 2 5 2" xfId="22502"/>
    <cellStyle name="40% - Accent2 4 5 2 5 3" xfId="22503"/>
    <cellStyle name="40% - Accent2 4 5 2 6" xfId="22504"/>
    <cellStyle name="40% - Accent2 4 5 2 6 2" xfId="22505"/>
    <cellStyle name="40% - Accent2 4 5 2 6 3" xfId="22506"/>
    <cellStyle name="40% - Accent2 4 5 2 7" xfId="22507"/>
    <cellStyle name="40% - Accent2 4 5 2 7 2" xfId="22508"/>
    <cellStyle name="40% - Accent2 4 5 2 8" xfId="22509"/>
    <cellStyle name="40% - Accent2 4 5 2 9" xfId="22510"/>
    <cellStyle name="40% - Accent2 4 5 3" xfId="22511"/>
    <cellStyle name="40% - Accent2 4 5 3 2" xfId="22512"/>
    <cellStyle name="40% - Accent2 4 5 3 2 2" xfId="22513"/>
    <cellStyle name="40% - Accent2 4 5 3 2 3" xfId="22514"/>
    <cellStyle name="40% - Accent2 4 5 3 3" xfId="22515"/>
    <cellStyle name="40% - Accent2 4 5 3 3 2" xfId="22516"/>
    <cellStyle name="40% - Accent2 4 5 3 3 3" xfId="22517"/>
    <cellStyle name="40% - Accent2 4 5 3 4" xfId="22518"/>
    <cellStyle name="40% - Accent2 4 5 3 4 2" xfId="22519"/>
    <cellStyle name="40% - Accent2 4 5 3 5" xfId="22520"/>
    <cellStyle name="40% - Accent2 4 5 3 6" xfId="22521"/>
    <cellStyle name="40% - Accent2 4 5 4" xfId="22522"/>
    <cellStyle name="40% - Accent2 4 5 4 2" xfId="22523"/>
    <cellStyle name="40% - Accent2 4 5 4 2 2" xfId="22524"/>
    <cellStyle name="40% - Accent2 4 5 4 2 3" xfId="22525"/>
    <cellStyle name="40% - Accent2 4 5 4 3" xfId="22526"/>
    <cellStyle name="40% - Accent2 4 5 4 3 2" xfId="22527"/>
    <cellStyle name="40% - Accent2 4 5 4 3 3" xfId="22528"/>
    <cellStyle name="40% - Accent2 4 5 4 4" xfId="22529"/>
    <cellStyle name="40% - Accent2 4 5 4 4 2" xfId="22530"/>
    <cellStyle name="40% - Accent2 4 5 4 5" xfId="22531"/>
    <cellStyle name="40% - Accent2 4 5 4 6" xfId="22532"/>
    <cellStyle name="40% - Accent2 4 5 5" xfId="22533"/>
    <cellStyle name="40% - Accent2 4 5 5 2" xfId="22534"/>
    <cellStyle name="40% - Accent2 4 5 5 2 2" xfId="22535"/>
    <cellStyle name="40% - Accent2 4 5 5 2 3" xfId="22536"/>
    <cellStyle name="40% - Accent2 4 5 5 3" xfId="22537"/>
    <cellStyle name="40% - Accent2 4 5 5 3 2" xfId="22538"/>
    <cellStyle name="40% - Accent2 4 5 5 4" xfId="22539"/>
    <cellStyle name="40% - Accent2 4 5 5 5" xfId="22540"/>
    <cellStyle name="40% - Accent2 4 5 6" xfId="22541"/>
    <cellStyle name="40% - Accent2 4 5 6 2" xfId="22542"/>
    <cellStyle name="40% - Accent2 4 5 6 3" xfId="22543"/>
    <cellStyle name="40% - Accent2 4 5 7" xfId="22544"/>
    <cellStyle name="40% - Accent2 4 5 7 2" xfId="22545"/>
    <cellStyle name="40% - Accent2 4 5 7 3" xfId="22546"/>
    <cellStyle name="40% - Accent2 4 5 8" xfId="22547"/>
    <cellStyle name="40% - Accent2 4 5 8 2" xfId="22548"/>
    <cellStyle name="40% - Accent2 4 5 9" xfId="22549"/>
    <cellStyle name="40% - Accent2 4 6" xfId="1810"/>
    <cellStyle name="40% - Accent2 4 6 2" xfId="22550"/>
    <cellStyle name="40% - Accent2 4 6 2 2" xfId="22551"/>
    <cellStyle name="40% - Accent2 4 6 2 2 2" xfId="22552"/>
    <cellStyle name="40% - Accent2 4 6 2 2 3" xfId="22553"/>
    <cellStyle name="40% - Accent2 4 6 2 3" xfId="22554"/>
    <cellStyle name="40% - Accent2 4 6 2 3 2" xfId="22555"/>
    <cellStyle name="40% - Accent2 4 6 2 3 3" xfId="22556"/>
    <cellStyle name="40% - Accent2 4 6 2 4" xfId="22557"/>
    <cellStyle name="40% - Accent2 4 6 2 4 2" xfId="22558"/>
    <cellStyle name="40% - Accent2 4 6 2 5" xfId="22559"/>
    <cellStyle name="40% - Accent2 4 6 2 6" xfId="22560"/>
    <cellStyle name="40% - Accent2 4 6 3" xfId="22561"/>
    <cellStyle name="40% - Accent2 4 6 3 2" xfId="22562"/>
    <cellStyle name="40% - Accent2 4 6 3 2 2" xfId="22563"/>
    <cellStyle name="40% - Accent2 4 6 3 2 3" xfId="22564"/>
    <cellStyle name="40% - Accent2 4 6 3 3" xfId="22565"/>
    <cellStyle name="40% - Accent2 4 6 3 3 2" xfId="22566"/>
    <cellStyle name="40% - Accent2 4 6 3 3 3" xfId="22567"/>
    <cellStyle name="40% - Accent2 4 6 3 4" xfId="22568"/>
    <cellStyle name="40% - Accent2 4 6 3 4 2" xfId="22569"/>
    <cellStyle name="40% - Accent2 4 6 3 5" xfId="22570"/>
    <cellStyle name="40% - Accent2 4 6 3 6" xfId="22571"/>
    <cellStyle name="40% - Accent2 4 6 4" xfId="22572"/>
    <cellStyle name="40% - Accent2 4 6 4 2" xfId="22573"/>
    <cellStyle name="40% - Accent2 4 6 4 2 2" xfId="22574"/>
    <cellStyle name="40% - Accent2 4 6 4 2 3" xfId="22575"/>
    <cellStyle name="40% - Accent2 4 6 4 3" xfId="22576"/>
    <cellStyle name="40% - Accent2 4 6 4 3 2" xfId="22577"/>
    <cellStyle name="40% - Accent2 4 6 4 4" xfId="22578"/>
    <cellStyle name="40% - Accent2 4 6 4 5" xfId="22579"/>
    <cellStyle name="40% - Accent2 4 6 5" xfId="22580"/>
    <cellStyle name="40% - Accent2 4 6 5 2" xfId="22581"/>
    <cellStyle name="40% - Accent2 4 6 5 3" xfId="22582"/>
    <cellStyle name="40% - Accent2 4 6 6" xfId="22583"/>
    <cellStyle name="40% - Accent2 4 6 6 2" xfId="22584"/>
    <cellStyle name="40% - Accent2 4 6 6 3" xfId="22585"/>
    <cellStyle name="40% - Accent2 4 6 7" xfId="22586"/>
    <cellStyle name="40% - Accent2 4 6 7 2" xfId="22587"/>
    <cellStyle name="40% - Accent2 4 6 8" xfId="22588"/>
    <cellStyle name="40% - Accent2 4 6 9" xfId="22589"/>
    <cellStyle name="40% - Accent2 4 7" xfId="9015"/>
    <cellStyle name="40% - Accent2 4 7 2" xfId="22590"/>
    <cellStyle name="40% - Accent2 4 7 2 2" xfId="22591"/>
    <cellStyle name="40% - Accent2 4 7 2 2 2" xfId="22592"/>
    <cellStyle name="40% - Accent2 4 7 2 2 3" xfId="22593"/>
    <cellStyle name="40% - Accent2 4 7 2 3" xfId="22594"/>
    <cellStyle name="40% - Accent2 4 7 2 3 2" xfId="22595"/>
    <cellStyle name="40% - Accent2 4 7 2 3 3" xfId="22596"/>
    <cellStyle name="40% - Accent2 4 7 2 4" xfId="22597"/>
    <cellStyle name="40% - Accent2 4 7 2 4 2" xfId="22598"/>
    <cellStyle name="40% - Accent2 4 7 2 5" xfId="22599"/>
    <cellStyle name="40% - Accent2 4 7 2 6" xfId="22600"/>
    <cellStyle name="40% - Accent2 4 7 3" xfId="22601"/>
    <cellStyle name="40% - Accent2 4 7 3 2" xfId="22602"/>
    <cellStyle name="40% - Accent2 4 7 3 2 2" xfId="22603"/>
    <cellStyle name="40% - Accent2 4 7 3 2 3" xfId="22604"/>
    <cellStyle name="40% - Accent2 4 7 3 3" xfId="22605"/>
    <cellStyle name="40% - Accent2 4 7 3 3 2" xfId="22606"/>
    <cellStyle name="40% - Accent2 4 7 3 3 3" xfId="22607"/>
    <cellStyle name="40% - Accent2 4 7 3 4" xfId="22608"/>
    <cellStyle name="40% - Accent2 4 7 3 4 2" xfId="22609"/>
    <cellStyle name="40% - Accent2 4 7 3 5" xfId="22610"/>
    <cellStyle name="40% - Accent2 4 7 3 6" xfId="22611"/>
    <cellStyle name="40% - Accent2 4 7 4" xfId="22612"/>
    <cellStyle name="40% - Accent2 4 7 4 2" xfId="22613"/>
    <cellStyle name="40% - Accent2 4 7 4 2 2" xfId="22614"/>
    <cellStyle name="40% - Accent2 4 7 4 2 3" xfId="22615"/>
    <cellStyle name="40% - Accent2 4 7 4 3" xfId="22616"/>
    <cellStyle name="40% - Accent2 4 7 4 3 2" xfId="22617"/>
    <cellStyle name="40% - Accent2 4 7 4 4" xfId="22618"/>
    <cellStyle name="40% - Accent2 4 7 4 5" xfId="22619"/>
    <cellStyle name="40% - Accent2 4 7 5" xfId="22620"/>
    <cellStyle name="40% - Accent2 4 7 5 2" xfId="22621"/>
    <cellStyle name="40% - Accent2 4 7 5 3" xfId="22622"/>
    <cellStyle name="40% - Accent2 4 7 6" xfId="22623"/>
    <cellStyle name="40% - Accent2 4 7 6 2" xfId="22624"/>
    <cellStyle name="40% - Accent2 4 7 6 3" xfId="22625"/>
    <cellStyle name="40% - Accent2 4 7 7" xfId="22626"/>
    <cellStyle name="40% - Accent2 4 7 7 2" xfId="22627"/>
    <cellStyle name="40% - Accent2 4 7 8" xfId="22628"/>
    <cellStyle name="40% - Accent2 4 7 9" xfId="22629"/>
    <cellStyle name="40% - Accent2 4 8" xfId="22630"/>
    <cellStyle name="40% - Accent2 4 8 2" xfId="22631"/>
    <cellStyle name="40% - Accent2 4 8 2 2" xfId="22632"/>
    <cellStyle name="40% - Accent2 4 8 2 3" xfId="22633"/>
    <cellStyle name="40% - Accent2 4 8 3" xfId="22634"/>
    <cellStyle name="40% - Accent2 4 8 3 2" xfId="22635"/>
    <cellStyle name="40% - Accent2 4 8 3 3" xfId="22636"/>
    <cellStyle name="40% - Accent2 4 8 4" xfId="22637"/>
    <cellStyle name="40% - Accent2 4 8 4 2" xfId="22638"/>
    <cellStyle name="40% - Accent2 4 8 5" xfId="22639"/>
    <cellStyle name="40% - Accent2 4 8 6" xfId="22640"/>
    <cellStyle name="40% - Accent2 4 9" xfId="22641"/>
    <cellStyle name="40% - Accent2 4 9 2" xfId="22642"/>
    <cellStyle name="40% - Accent2 4 9 2 2" xfId="22643"/>
    <cellStyle name="40% - Accent2 4 9 2 3" xfId="22644"/>
    <cellStyle name="40% - Accent2 4 9 3" xfId="22645"/>
    <cellStyle name="40% - Accent2 4 9 3 2" xfId="22646"/>
    <cellStyle name="40% - Accent2 4 9 3 3" xfId="22647"/>
    <cellStyle name="40% - Accent2 4 9 4" xfId="22648"/>
    <cellStyle name="40% - Accent2 4 9 4 2" xfId="22649"/>
    <cellStyle name="40% - Accent2 4 9 5" xfId="22650"/>
    <cellStyle name="40% - Accent2 4 9 6" xfId="22651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17"/>
    <cellStyle name="40% - Accent3 15" xfId="22652"/>
    <cellStyle name="40% - Accent3 16" xfId="22653"/>
    <cellStyle name="40% - Accent3 17" xfId="22654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5"/>
    <cellStyle name="40% - Accent3 4 10 2" xfId="22656"/>
    <cellStyle name="40% - Accent3 4 10 2 2" xfId="22657"/>
    <cellStyle name="40% - Accent3 4 10 2 3" xfId="22658"/>
    <cellStyle name="40% - Accent3 4 10 3" xfId="22659"/>
    <cellStyle name="40% - Accent3 4 10 3 2" xfId="22660"/>
    <cellStyle name="40% - Accent3 4 10 4" xfId="22661"/>
    <cellStyle name="40% - Accent3 4 10 5" xfId="22662"/>
    <cellStyle name="40% - Accent3 4 11" xfId="22663"/>
    <cellStyle name="40% - Accent3 4 11 2" xfId="22664"/>
    <cellStyle name="40% - Accent3 4 11 3" xfId="22665"/>
    <cellStyle name="40% - Accent3 4 12" xfId="22666"/>
    <cellStyle name="40% - Accent3 4 12 2" xfId="22667"/>
    <cellStyle name="40% - Accent3 4 12 3" xfId="22668"/>
    <cellStyle name="40% - Accent3 4 13" xfId="22669"/>
    <cellStyle name="40% - Accent3 4 13 2" xfId="22670"/>
    <cellStyle name="40% - Accent3 4 14" xfId="22671"/>
    <cellStyle name="40% - Accent3 4 15" xfId="22672"/>
    <cellStyle name="40% - Accent3 4 16" xfId="22673"/>
    <cellStyle name="40% - Accent3 4 2" xfId="1997"/>
    <cellStyle name="40% - Accent3 4 2 10" xfId="22674"/>
    <cellStyle name="40% - Accent3 4 2 10 2" xfId="22675"/>
    <cellStyle name="40% - Accent3 4 2 10 3" xfId="22676"/>
    <cellStyle name="40% - Accent3 4 2 11" xfId="22677"/>
    <cellStyle name="40% - Accent3 4 2 11 2" xfId="22678"/>
    <cellStyle name="40% - Accent3 4 2 11 3" xfId="22679"/>
    <cellStyle name="40% - Accent3 4 2 12" xfId="22680"/>
    <cellStyle name="40% - Accent3 4 2 12 2" xfId="22681"/>
    <cellStyle name="40% - Accent3 4 2 13" xfId="22682"/>
    <cellStyle name="40% - Accent3 4 2 14" xfId="22683"/>
    <cellStyle name="40% - Accent3 4 2 15" xfId="22684"/>
    <cellStyle name="40% - Accent3 4 2 2" xfId="1998"/>
    <cellStyle name="40% - Accent3 4 2 2 10" xfId="22685"/>
    <cellStyle name="40% - Accent3 4 2 2 10 2" xfId="22686"/>
    <cellStyle name="40% - Accent3 4 2 2 10 3" xfId="22687"/>
    <cellStyle name="40% - Accent3 4 2 2 11" xfId="22688"/>
    <cellStyle name="40% - Accent3 4 2 2 11 2" xfId="22689"/>
    <cellStyle name="40% - Accent3 4 2 2 12" xfId="22690"/>
    <cellStyle name="40% - Accent3 4 2 2 13" xfId="22691"/>
    <cellStyle name="40% - Accent3 4 2 2 2" xfId="1999"/>
    <cellStyle name="40% - Accent3 4 2 2 2 10" xfId="22692"/>
    <cellStyle name="40% - Accent3 4 2 2 2 10 2" xfId="22693"/>
    <cellStyle name="40% - Accent3 4 2 2 2 11" xfId="22694"/>
    <cellStyle name="40% - Accent3 4 2 2 2 12" xfId="22695"/>
    <cellStyle name="40% - Accent3 4 2 2 2 2" xfId="2000"/>
    <cellStyle name="40% - Accent3 4 2 2 2 2 10" xfId="22696"/>
    <cellStyle name="40% - Accent3 4 2 2 2 2 2" xfId="2001"/>
    <cellStyle name="40% - Accent3 4 2 2 2 2 2 2" xfId="22697"/>
    <cellStyle name="40% - Accent3 4 2 2 2 2 2 2 2" xfId="22698"/>
    <cellStyle name="40% - Accent3 4 2 2 2 2 2 2 2 2" xfId="22699"/>
    <cellStyle name="40% - Accent3 4 2 2 2 2 2 2 2 3" xfId="22700"/>
    <cellStyle name="40% - Accent3 4 2 2 2 2 2 2 3" xfId="22701"/>
    <cellStyle name="40% - Accent3 4 2 2 2 2 2 2 3 2" xfId="22702"/>
    <cellStyle name="40% - Accent3 4 2 2 2 2 2 2 3 3" xfId="22703"/>
    <cellStyle name="40% - Accent3 4 2 2 2 2 2 2 4" xfId="22704"/>
    <cellStyle name="40% - Accent3 4 2 2 2 2 2 2 4 2" xfId="22705"/>
    <cellStyle name="40% - Accent3 4 2 2 2 2 2 2 5" xfId="22706"/>
    <cellStyle name="40% - Accent3 4 2 2 2 2 2 2 6" xfId="22707"/>
    <cellStyle name="40% - Accent3 4 2 2 2 2 2 3" xfId="22708"/>
    <cellStyle name="40% - Accent3 4 2 2 2 2 2 3 2" xfId="22709"/>
    <cellStyle name="40% - Accent3 4 2 2 2 2 2 3 2 2" xfId="22710"/>
    <cellStyle name="40% - Accent3 4 2 2 2 2 2 3 2 3" xfId="22711"/>
    <cellStyle name="40% - Accent3 4 2 2 2 2 2 3 3" xfId="22712"/>
    <cellStyle name="40% - Accent3 4 2 2 2 2 2 3 3 2" xfId="22713"/>
    <cellStyle name="40% - Accent3 4 2 2 2 2 2 3 3 3" xfId="22714"/>
    <cellStyle name="40% - Accent3 4 2 2 2 2 2 3 4" xfId="22715"/>
    <cellStyle name="40% - Accent3 4 2 2 2 2 2 3 4 2" xfId="22716"/>
    <cellStyle name="40% - Accent3 4 2 2 2 2 2 3 5" xfId="22717"/>
    <cellStyle name="40% - Accent3 4 2 2 2 2 2 3 6" xfId="22718"/>
    <cellStyle name="40% - Accent3 4 2 2 2 2 2 4" xfId="22719"/>
    <cellStyle name="40% - Accent3 4 2 2 2 2 2 4 2" xfId="22720"/>
    <cellStyle name="40% - Accent3 4 2 2 2 2 2 4 2 2" xfId="22721"/>
    <cellStyle name="40% - Accent3 4 2 2 2 2 2 4 2 3" xfId="22722"/>
    <cellStyle name="40% - Accent3 4 2 2 2 2 2 4 3" xfId="22723"/>
    <cellStyle name="40% - Accent3 4 2 2 2 2 2 4 3 2" xfId="22724"/>
    <cellStyle name="40% - Accent3 4 2 2 2 2 2 4 4" xfId="22725"/>
    <cellStyle name="40% - Accent3 4 2 2 2 2 2 4 5" xfId="22726"/>
    <cellStyle name="40% - Accent3 4 2 2 2 2 2 5" xfId="22727"/>
    <cellStyle name="40% - Accent3 4 2 2 2 2 2 5 2" xfId="22728"/>
    <cellStyle name="40% - Accent3 4 2 2 2 2 2 5 3" xfId="22729"/>
    <cellStyle name="40% - Accent3 4 2 2 2 2 2 6" xfId="22730"/>
    <cellStyle name="40% - Accent3 4 2 2 2 2 2 6 2" xfId="22731"/>
    <cellStyle name="40% - Accent3 4 2 2 2 2 2 6 3" xfId="22732"/>
    <cellStyle name="40% - Accent3 4 2 2 2 2 2 7" xfId="22733"/>
    <cellStyle name="40% - Accent3 4 2 2 2 2 2 7 2" xfId="22734"/>
    <cellStyle name="40% - Accent3 4 2 2 2 2 2 8" xfId="22735"/>
    <cellStyle name="40% - Accent3 4 2 2 2 2 2 9" xfId="22736"/>
    <cellStyle name="40% - Accent3 4 2 2 2 2 3" xfId="22737"/>
    <cellStyle name="40% - Accent3 4 2 2 2 2 3 2" xfId="22738"/>
    <cellStyle name="40% - Accent3 4 2 2 2 2 3 2 2" xfId="22739"/>
    <cellStyle name="40% - Accent3 4 2 2 2 2 3 2 3" xfId="22740"/>
    <cellStyle name="40% - Accent3 4 2 2 2 2 3 3" xfId="22741"/>
    <cellStyle name="40% - Accent3 4 2 2 2 2 3 3 2" xfId="22742"/>
    <cellStyle name="40% - Accent3 4 2 2 2 2 3 3 3" xfId="22743"/>
    <cellStyle name="40% - Accent3 4 2 2 2 2 3 4" xfId="22744"/>
    <cellStyle name="40% - Accent3 4 2 2 2 2 3 4 2" xfId="22745"/>
    <cellStyle name="40% - Accent3 4 2 2 2 2 3 5" xfId="22746"/>
    <cellStyle name="40% - Accent3 4 2 2 2 2 3 6" xfId="22747"/>
    <cellStyle name="40% - Accent3 4 2 2 2 2 4" xfId="22748"/>
    <cellStyle name="40% - Accent3 4 2 2 2 2 4 2" xfId="22749"/>
    <cellStyle name="40% - Accent3 4 2 2 2 2 4 2 2" xfId="22750"/>
    <cellStyle name="40% - Accent3 4 2 2 2 2 4 2 3" xfId="22751"/>
    <cellStyle name="40% - Accent3 4 2 2 2 2 4 3" xfId="22752"/>
    <cellStyle name="40% - Accent3 4 2 2 2 2 4 3 2" xfId="22753"/>
    <cellStyle name="40% - Accent3 4 2 2 2 2 4 3 3" xfId="22754"/>
    <cellStyle name="40% - Accent3 4 2 2 2 2 4 4" xfId="22755"/>
    <cellStyle name="40% - Accent3 4 2 2 2 2 4 4 2" xfId="22756"/>
    <cellStyle name="40% - Accent3 4 2 2 2 2 4 5" xfId="22757"/>
    <cellStyle name="40% - Accent3 4 2 2 2 2 4 6" xfId="22758"/>
    <cellStyle name="40% - Accent3 4 2 2 2 2 5" xfId="22759"/>
    <cellStyle name="40% - Accent3 4 2 2 2 2 5 2" xfId="22760"/>
    <cellStyle name="40% - Accent3 4 2 2 2 2 5 2 2" xfId="22761"/>
    <cellStyle name="40% - Accent3 4 2 2 2 2 5 2 3" xfId="22762"/>
    <cellStyle name="40% - Accent3 4 2 2 2 2 5 3" xfId="22763"/>
    <cellStyle name="40% - Accent3 4 2 2 2 2 5 3 2" xfId="22764"/>
    <cellStyle name="40% - Accent3 4 2 2 2 2 5 4" xfId="22765"/>
    <cellStyle name="40% - Accent3 4 2 2 2 2 5 5" xfId="22766"/>
    <cellStyle name="40% - Accent3 4 2 2 2 2 6" xfId="22767"/>
    <cellStyle name="40% - Accent3 4 2 2 2 2 6 2" xfId="22768"/>
    <cellStyle name="40% - Accent3 4 2 2 2 2 6 3" xfId="22769"/>
    <cellStyle name="40% - Accent3 4 2 2 2 2 7" xfId="22770"/>
    <cellStyle name="40% - Accent3 4 2 2 2 2 7 2" xfId="22771"/>
    <cellStyle name="40% - Accent3 4 2 2 2 2 7 3" xfId="22772"/>
    <cellStyle name="40% - Accent3 4 2 2 2 2 8" xfId="22773"/>
    <cellStyle name="40% - Accent3 4 2 2 2 2 8 2" xfId="22774"/>
    <cellStyle name="40% - Accent3 4 2 2 2 2 9" xfId="22775"/>
    <cellStyle name="40% - Accent3 4 2 2 2 3" xfId="2002"/>
    <cellStyle name="40% - Accent3 4 2 2 2 3 2" xfId="22776"/>
    <cellStyle name="40% - Accent3 4 2 2 2 3 2 2" xfId="22777"/>
    <cellStyle name="40% - Accent3 4 2 2 2 3 2 2 2" xfId="22778"/>
    <cellStyle name="40% - Accent3 4 2 2 2 3 2 2 3" xfId="22779"/>
    <cellStyle name="40% - Accent3 4 2 2 2 3 2 3" xfId="22780"/>
    <cellStyle name="40% - Accent3 4 2 2 2 3 2 3 2" xfId="22781"/>
    <cellStyle name="40% - Accent3 4 2 2 2 3 2 3 3" xfId="22782"/>
    <cellStyle name="40% - Accent3 4 2 2 2 3 2 4" xfId="22783"/>
    <cellStyle name="40% - Accent3 4 2 2 2 3 2 4 2" xfId="22784"/>
    <cellStyle name="40% - Accent3 4 2 2 2 3 2 5" xfId="22785"/>
    <cellStyle name="40% - Accent3 4 2 2 2 3 2 6" xfId="22786"/>
    <cellStyle name="40% - Accent3 4 2 2 2 3 3" xfId="22787"/>
    <cellStyle name="40% - Accent3 4 2 2 2 3 3 2" xfId="22788"/>
    <cellStyle name="40% - Accent3 4 2 2 2 3 3 2 2" xfId="22789"/>
    <cellStyle name="40% - Accent3 4 2 2 2 3 3 2 3" xfId="22790"/>
    <cellStyle name="40% - Accent3 4 2 2 2 3 3 3" xfId="22791"/>
    <cellStyle name="40% - Accent3 4 2 2 2 3 3 3 2" xfId="22792"/>
    <cellStyle name="40% - Accent3 4 2 2 2 3 3 3 3" xfId="22793"/>
    <cellStyle name="40% - Accent3 4 2 2 2 3 3 4" xfId="22794"/>
    <cellStyle name="40% - Accent3 4 2 2 2 3 3 4 2" xfId="22795"/>
    <cellStyle name="40% - Accent3 4 2 2 2 3 3 5" xfId="22796"/>
    <cellStyle name="40% - Accent3 4 2 2 2 3 3 6" xfId="22797"/>
    <cellStyle name="40% - Accent3 4 2 2 2 3 4" xfId="22798"/>
    <cellStyle name="40% - Accent3 4 2 2 2 3 4 2" xfId="22799"/>
    <cellStyle name="40% - Accent3 4 2 2 2 3 4 2 2" xfId="22800"/>
    <cellStyle name="40% - Accent3 4 2 2 2 3 4 2 3" xfId="22801"/>
    <cellStyle name="40% - Accent3 4 2 2 2 3 4 3" xfId="22802"/>
    <cellStyle name="40% - Accent3 4 2 2 2 3 4 3 2" xfId="22803"/>
    <cellStyle name="40% - Accent3 4 2 2 2 3 4 4" xfId="22804"/>
    <cellStyle name="40% - Accent3 4 2 2 2 3 4 5" xfId="22805"/>
    <cellStyle name="40% - Accent3 4 2 2 2 3 5" xfId="22806"/>
    <cellStyle name="40% - Accent3 4 2 2 2 3 5 2" xfId="22807"/>
    <cellStyle name="40% - Accent3 4 2 2 2 3 5 3" xfId="22808"/>
    <cellStyle name="40% - Accent3 4 2 2 2 3 6" xfId="22809"/>
    <cellStyle name="40% - Accent3 4 2 2 2 3 6 2" xfId="22810"/>
    <cellStyle name="40% - Accent3 4 2 2 2 3 6 3" xfId="22811"/>
    <cellStyle name="40% - Accent3 4 2 2 2 3 7" xfId="22812"/>
    <cellStyle name="40% - Accent3 4 2 2 2 3 7 2" xfId="22813"/>
    <cellStyle name="40% - Accent3 4 2 2 2 3 8" xfId="22814"/>
    <cellStyle name="40% - Accent3 4 2 2 2 3 9" xfId="22815"/>
    <cellStyle name="40% - Accent3 4 2 2 2 4" xfId="22816"/>
    <cellStyle name="40% - Accent3 4 2 2 2 4 2" xfId="22817"/>
    <cellStyle name="40% - Accent3 4 2 2 2 4 2 2" xfId="22818"/>
    <cellStyle name="40% - Accent3 4 2 2 2 4 2 2 2" xfId="22819"/>
    <cellStyle name="40% - Accent3 4 2 2 2 4 2 2 3" xfId="22820"/>
    <cellStyle name="40% - Accent3 4 2 2 2 4 2 3" xfId="22821"/>
    <cellStyle name="40% - Accent3 4 2 2 2 4 2 3 2" xfId="22822"/>
    <cellStyle name="40% - Accent3 4 2 2 2 4 2 3 3" xfId="22823"/>
    <cellStyle name="40% - Accent3 4 2 2 2 4 2 4" xfId="22824"/>
    <cellStyle name="40% - Accent3 4 2 2 2 4 2 4 2" xfId="22825"/>
    <cellStyle name="40% - Accent3 4 2 2 2 4 2 5" xfId="22826"/>
    <cellStyle name="40% - Accent3 4 2 2 2 4 2 6" xfId="22827"/>
    <cellStyle name="40% - Accent3 4 2 2 2 4 3" xfId="22828"/>
    <cellStyle name="40% - Accent3 4 2 2 2 4 3 2" xfId="22829"/>
    <cellStyle name="40% - Accent3 4 2 2 2 4 3 2 2" xfId="22830"/>
    <cellStyle name="40% - Accent3 4 2 2 2 4 3 2 3" xfId="22831"/>
    <cellStyle name="40% - Accent3 4 2 2 2 4 3 3" xfId="22832"/>
    <cellStyle name="40% - Accent3 4 2 2 2 4 3 3 2" xfId="22833"/>
    <cellStyle name="40% - Accent3 4 2 2 2 4 3 3 3" xfId="22834"/>
    <cellStyle name="40% - Accent3 4 2 2 2 4 3 4" xfId="22835"/>
    <cellStyle name="40% - Accent3 4 2 2 2 4 3 4 2" xfId="22836"/>
    <cellStyle name="40% - Accent3 4 2 2 2 4 3 5" xfId="22837"/>
    <cellStyle name="40% - Accent3 4 2 2 2 4 3 6" xfId="22838"/>
    <cellStyle name="40% - Accent3 4 2 2 2 4 4" xfId="22839"/>
    <cellStyle name="40% - Accent3 4 2 2 2 4 4 2" xfId="22840"/>
    <cellStyle name="40% - Accent3 4 2 2 2 4 4 2 2" xfId="22841"/>
    <cellStyle name="40% - Accent3 4 2 2 2 4 4 2 3" xfId="22842"/>
    <cellStyle name="40% - Accent3 4 2 2 2 4 4 3" xfId="22843"/>
    <cellStyle name="40% - Accent3 4 2 2 2 4 4 3 2" xfId="22844"/>
    <cellStyle name="40% - Accent3 4 2 2 2 4 4 4" xfId="22845"/>
    <cellStyle name="40% - Accent3 4 2 2 2 4 4 5" xfId="22846"/>
    <cellStyle name="40% - Accent3 4 2 2 2 4 5" xfId="22847"/>
    <cellStyle name="40% - Accent3 4 2 2 2 4 5 2" xfId="22848"/>
    <cellStyle name="40% - Accent3 4 2 2 2 4 5 3" xfId="22849"/>
    <cellStyle name="40% - Accent3 4 2 2 2 4 6" xfId="22850"/>
    <cellStyle name="40% - Accent3 4 2 2 2 4 6 2" xfId="22851"/>
    <cellStyle name="40% - Accent3 4 2 2 2 4 6 3" xfId="22852"/>
    <cellStyle name="40% - Accent3 4 2 2 2 4 7" xfId="22853"/>
    <cellStyle name="40% - Accent3 4 2 2 2 4 7 2" xfId="22854"/>
    <cellStyle name="40% - Accent3 4 2 2 2 4 8" xfId="22855"/>
    <cellStyle name="40% - Accent3 4 2 2 2 4 9" xfId="22856"/>
    <cellStyle name="40% - Accent3 4 2 2 2 5" xfId="22857"/>
    <cellStyle name="40% - Accent3 4 2 2 2 5 2" xfId="22858"/>
    <cellStyle name="40% - Accent3 4 2 2 2 5 2 2" xfId="22859"/>
    <cellStyle name="40% - Accent3 4 2 2 2 5 2 3" xfId="22860"/>
    <cellStyle name="40% - Accent3 4 2 2 2 5 3" xfId="22861"/>
    <cellStyle name="40% - Accent3 4 2 2 2 5 3 2" xfId="22862"/>
    <cellStyle name="40% - Accent3 4 2 2 2 5 3 3" xfId="22863"/>
    <cellStyle name="40% - Accent3 4 2 2 2 5 4" xfId="22864"/>
    <cellStyle name="40% - Accent3 4 2 2 2 5 4 2" xfId="22865"/>
    <cellStyle name="40% - Accent3 4 2 2 2 5 5" xfId="22866"/>
    <cellStyle name="40% - Accent3 4 2 2 2 5 6" xfId="22867"/>
    <cellStyle name="40% - Accent3 4 2 2 2 6" xfId="22868"/>
    <cellStyle name="40% - Accent3 4 2 2 2 6 2" xfId="22869"/>
    <cellStyle name="40% - Accent3 4 2 2 2 6 2 2" xfId="22870"/>
    <cellStyle name="40% - Accent3 4 2 2 2 6 2 3" xfId="22871"/>
    <cellStyle name="40% - Accent3 4 2 2 2 6 3" xfId="22872"/>
    <cellStyle name="40% - Accent3 4 2 2 2 6 3 2" xfId="22873"/>
    <cellStyle name="40% - Accent3 4 2 2 2 6 3 3" xfId="22874"/>
    <cellStyle name="40% - Accent3 4 2 2 2 6 4" xfId="22875"/>
    <cellStyle name="40% - Accent3 4 2 2 2 6 4 2" xfId="22876"/>
    <cellStyle name="40% - Accent3 4 2 2 2 6 5" xfId="22877"/>
    <cellStyle name="40% - Accent3 4 2 2 2 6 6" xfId="22878"/>
    <cellStyle name="40% - Accent3 4 2 2 2 7" xfId="22879"/>
    <cellStyle name="40% - Accent3 4 2 2 2 7 2" xfId="22880"/>
    <cellStyle name="40% - Accent3 4 2 2 2 7 2 2" xfId="22881"/>
    <cellStyle name="40% - Accent3 4 2 2 2 7 2 3" xfId="22882"/>
    <cellStyle name="40% - Accent3 4 2 2 2 7 3" xfId="22883"/>
    <cellStyle name="40% - Accent3 4 2 2 2 7 3 2" xfId="22884"/>
    <cellStyle name="40% - Accent3 4 2 2 2 7 4" xfId="22885"/>
    <cellStyle name="40% - Accent3 4 2 2 2 7 5" xfId="22886"/>
    <cellStyle name="40% - Accent3 4 2 2 2 8" xfId="22887"/>
    <cellStyle name="40% - Accent3 4 2 2 2 8 2" xfId="22888"/>
    <cellStyle name="40% - Accent3 4 2 2 2 8 3" xfId="22889"/>
    <cellStyle name="40% - Accent3 4 2 2 2 9" xfId="22890"/>
    <cellStyle name="40% - Accent3 4 2 2 2 9 2" xfId="22891"/>
    <cellStyle name="40% - Accent3 4 2 2 2 9 3" xfId="22892"/>
    <cellStyle name="40% - Accent3 4 2 2 3" xfId="2003"/>
    <cellStyle name="40% - Accent3 4 2 2 3 10" xfId="22893"/>
    <cellStyle name="40% - Accent3 4 2 2 3 2" xfId="2004"/>
    <cellStyle name="40% - Accent3 4 2 2 3 2 2" xfId="22894"/>
    <cellStyle name="40% - Accent3 4 2 2 3 2 2 2" xfId="22895"/>
    <cellStyle name="40% - Accent3 4 2 2 3 2 2 2 2" xfId="22896"/>
    <cellStyle name="40% - Accent3 4 2 2 3 2 2 2 3" xfId="22897"/>
    <cellStyle name="40% - Accent3 4 2 2 3 2 2 3" xfId="22898"/>
    <cellStyle name="40% - Accent3 4 2 2 3 2 2 3 2" xfId="22899"/>
    <cellStyle name="40% - Accent3 4 2 2 3 2 2 3 3" xfId="22900"/>
    <cellStyle name="40% - Accent3 4 2 2 3 2 2 4" xfId="22901"/>
    <cellStyle name="40% - Accent3 4 2 2 3 2 2 4 2" xfId="22902"/>
    <cellStyle name="40% - Accent3 4 2 2 3 2 2 5" xfId="22903"/>
    <cellStyle name="40% - Accent3 4 2 2 3 2 2 6" xfId="22904"/>
    <cellStyle name="40% - Accent3 4 2 2 3 2 3" xfId="22905"/>
    <cellStyle name="40% - Accent3 4 2 2 3 2 3 2" xfId="22906"/>
    <cellStyle name="40% - Accent3 4 2 2 3 2 3 2 2" xfId="22907"/>
    <cellStyle name="40% - Accent3 4 2 2 3 2 3 2 3" xfId="22908"/>
    <cellStyle name="40% - Accent3 4 2 2 3 2 3 3" xfId="22909"/>
    <cellStyle name="40% - Accent3 4 2 2 3 2 3 3 2" xfId="22910"/>
    <cellStyle name="40% - Accent3 4 2 2 3 2 3 3 3" xfId="22911"/>
    <cellStyle name="40% - Accent3 4 2 2 3 2 3 4" xfId="22912"/>
    <cellStyle name="40% - Accent3 4 2 2 3 2 3 4 2" xfId="22913"/>
    <cellStyle name="40% - Accent3 4 2 2 3 2 3 5" xfId="22914"/>
    <cellStyle name="40% - Accent3 4 2 2 3 2 3 6" xfId="22915"/>
    <cellStyle name="40% - Accent3 4 2 2 3 2 4" xfId="22916"/>
    <cellStyle name="40% - Accent3 4 2 2 3 2 4 2" xfId="22917"/>
    <cellStyle name="40% - Accent3 4 2 2 3 2 4 2 2" xfId="22918"/>
    <cellStyle name="40% - Accent3 4 2 2 3 2 4 2 3" xfId="22919"/>
    <cellStyle name="40% - Accent3 4 2 2 3 2 4 3" xfId="22920"/>
    <cellStyle name="40% - Accent3 4 2 2 3 2 4 3 2" xfId="22921"/>
    <cellStyle name="40% - Accent3 4 2 2 3 2 4 4" xfId="22922"/>
    <cellStyle name="40% - Accent3 4 2 2 3 2 4 5" xfId="22923"/>
    <cellStyle name="40% - Accent3 4 2 2 3 2 5" xfId="22924"/>
    <cellStyle name="40% - Accent3 4 2 2 3 2 5 2" xfId="22925"/>
    <cellStyle name="40% - Accent3 4 2 2 3 2 5 3" xfId="22926"/>
    <cellStyle name="40% - Accent3 4 2 2 3 2 6" xfId="22927"/>
    <cellStyle name="40% - Accent3 4 2 2 3 2 6 2" xfId="22928"/>
    <cellStyle name="40% - Accent3 4 2 2 3 2 6 3" xfId="22929"/>
    <cellStyle name="40% - Accent3 4 2 2 3 2 7" xfId="22930"/>
    <cellStyle name="40% - Accent3 4 2 2 3 2 7 2" xfId="22931"/>
    <cellStyle name="40% - Accent3 4 2 2 3 2 8" xfId="22932"/>
    <cellStyle name="40% - Accent3 4 2 2 3 2 9" xfId="22933"/>
    <cellStyle name="40% - Accent3 4 2 2 3 3" xfId="22934"/>
    <cellStyle name="40% - Accent3 4 2 2 3 3 2" xfId="22935"/>
    <cellStyle name="40% - Accent3 4 2 2 3 3 2 2" xfId="22936"/>
    <cellStyle name="40% - Accent3 4 2 2 3 3 2 3" xfId="22937"/>
    <cellStyle name="40% - Accent3 4 2 2 3 3 3" xfId="22938"/>
    <cellStyle name="40% - Accent3 4 2 2 3 3 3 2" xfId="22939"/>
    <cellStyle name="40% - Accent3 4 2 2 3 3 3 3" xfId="22940"/>
    <cellStyle name="40% - Accent3 4 2 2 3 3 4" xfId="22941"/>
    <cellStyle name="40% - Accent3 4 2 2 3 3 4 2" xfId="22942"/>
    <cellStyle name="40% - Accent3 4 2 2 3 3 5" xfId="22943"/>
    <cellStyle name="40% - Accent3 4 2 2 3 3 6" xfId="22944"/>
    <cellStyle name="40% - Accent3 4 2 2 3 4" xfId="22945"/>
    <cellStyle name="40% - Accent3 4 2 2 3 4 2" xfId="22946"/>
    <cellStyle name="40% - Accent3 4 2 2 3 4 2 2" xfId="22947"/>
    <cellStyle name="40% - Accent3 4 2 2 3 4 2 3" xfId="22948"/>
    <cellStyle name="40% - Accent3 4 2 2 3 4 3" xfId="22949"/>
    <cellStyle name="40% - Accent3 4 2 2 3 4 3 2" xfId="22950"/>
    <cellStyle name="40% - Accent3 4 2 2 3 4 3 3" xfId="22951"/>
    <cellStyle name="40% - Accent3 4 2 2 3 4 4" xfId="22952"/>
    <cellStyle name="40% - Accent3 4 2 2 3 4 4 2" xfId="22953"/>
    <cellStyle name="40% - Accent3 4 2 2 3 4 5" xfId="22954"/>
    <cellStyle name="40% - Accent3 4 2 2 3 4 6" xfId="22955"/>
    <cellStyle name="40% - Accent3 4 2 2 3 5" xfId="22956"/>
    <cellStyle name="40% - Accent3 4 2 2 3 5 2" xfId="22957"/>
    <cellStyle name="40% - Accent3 4 2 2 3 5 2 2" xfId="22958"/>
    <cellStyle name="40% - Accent3 4 2 2 3 5 2 3" xfId="22959"/>
    <cellStyle name="40% - Accent3 4 2 2 3 5 3" xfId="22960"/>
    <cellStyle name="40% - Accent3 4 2 2 3 5 3 2" xfId="22961"/>
    <cellStyle name="40% - Accent3 4 2 2 3 5 4" xfId="22962"/>
    <cellStyle name="40% - Accent3 4 2 2 3 5 5" xfId="22963"/>
    <cellStyle name="40% - Accent3 4 2 2 3 6" xfId="22964"/>
    <cellStyle name="40% - Accent3 4 2 2 3 6 2" xfId="22965"/>
    <cellStyle name="40% - Accent3 4 2 2 3 6 3" xfId="22966"/>
    <cellStyle name="40% - Accent3 4 2 2 3 7" xfId="22967"/>
    <cellStyle name="40% - Accent3 4 2 2 3 7 2" xfId="22968"/>
    <cellStyle name="40% - Accent3 4 2 2 3 7 3" xfId="22969"/>
    <cellStyle name="40% - Accent3 4 2 2 3 8" xfId="22970"/>
    <cellStyle name="40% - Accent3 4 2 2 3 8 2" xfId="22971"/>
    <cellStyle name="40% - Accent3 4 2 2 3 9" xfId="22972"/>
    <cellStyle name="40% - Accent3 4 2 2 4" xfId="2005"/>
    <cellStyle name="40% - Accent3 4 2 2 4 2" xfId="22973"/>
    <cellStyle name="40% - Accent3 4 2 2 4 2 2" xfId="22974"/>
    <cellStyle name="40% - Accent3 4 2 2 4 2 2 2" xfId="22975"/>
    <cellStyle name="40% - Accent3 4 2 2 4 2 2 3" xfId="22976"/>
    <cellStyle name="40% - Accent3 4 2 2 4 2 3" xfId="22977"/>
    <cellStyle name="40% - Accent3 4 2 2 4 2 3 2" xfId="22978"/>
    <cellStyle name="40% - Accent3 4 2 2 4 2 3 3" xfId="22979"/>
    <cellStyle name="40% - Accent3 4 2 2 4 2 4" xfId="22980"/>
    <cellStyle name="40% - Accent3 4 2 2 4 2 4 2" xfId="22981"/>
    <cellStyle name="40% - Accent3 4 2 2 4 2 5" xfId="22982"/>
    <cellStyle name="40% - Accent3 4 2 2 4 2 6" xfId="22983"/>
    <cellStyle name="40% - Accent3 4 2 2 4 3" xfId="22984"/>
    <cellStyle name="40% - Accent3 4 2 2 4 3 2" xfId="22985"/>
    <cellStyle name="40% - Accent3 4 2 2 4 3 2 2" xfId="22986"/>
    <cellStyle name="40% - Accent3 4 2 2 4 3 2 3" xfId="22987"/>
    <cellStyle name="40% - Accent3 4 2 2 4 3 3" xfId="22988"/>
    <cellStyle name="40% - Accent3 4 2 2 4 3 3 2" xfId="22989"/>
    <cellStyle name="40% - Accent3 4 2 2 4 3 3 3" xfId="22990"/>
    <cellStyle name="40% - Accent3 4 2 2 4 3 4" xfId="22991"/>
    <cellStyle name="40% - Accent3 4 2 2 4 3 4 2" xfId="22992"/>
    <cellStyle name="40% - Accent3 4 2 2 4 3 5" xfId="22993"/>
    <cellStyle name="40% - Accent3 4 2 2 4 3 6" xfId="22994"/>
    <cellStyle name="40% - Accent3 4 2 2 4 4" xfId="22995"/>
    <cellStyle name="40% - Accent3 4 2 2 4 4 2" xfId="22996"/>
    <cellStyle name="40% - Accent3 4 2 2 4 4 2 2" xfId="22997"/>
    <cellStyle name="40% - Accent3 4 2 2 4 4 2 3" xfId="22998"/>
    <cellStyle name="40% - Accent3 4 2 2 4 4 3" xfId="22999"/>
    <cellStyle name="40% - Accent3 4 2 2 4 4 3 2" xfId="23000"/>
    <cellStyle name="40% - Accent3 4 2 2 4 4 4" xfId="23001"/>
    <cellStyle name="40% - Accent3 4 2 2 4 4 5" xfId="23002"/>
    <cellStyle name="40% - Accent3 4 2 2 4 5" xfId="23003"/>
    <cellStyle name="40% - Accent3 4 2 2 4 5 2" xfId="23004"/>
    <cellStyle name="40% - Accent3 4 2 2 4 5 3" xfId="23005"/>
    <cellStyle name="40% - Accent3 4 2 2 4 6" xfId="23006"/>
    <cellStyle name="40% - Accent3 4 2 2 4 6 2" xfId="23007"/>
    <cellStyle name="40% - Accent3 4 2 2 4 6 3" xfId="23008"/>
    <cellStyle name="40% - Accent3 4 2 2 4 7" xfId="23009"/>
    <cellStyle name="40% - Accent3 4 2 2 4 7 2" xfId="23010"/>
    <cellStyle name="40% - Accent3 4 2 2 4 8" xfId="23011"/>
    <cellStyle name="40% - Accent3 4 2 2 4 9" xfId="23012"/>
    <cellStyle name="40% - Accent3 4 2 2 5" xfId="23013"/>
    <cellStyle name="40% - Accent3 4 2 2 5 2" xfId="23014"/>
    <cellStyle name="40% - Accent3 4 2 2 5 2 2" xfId="23015"/>
    <cellStyle name="40% - Accent3 4 2 2 5 2 2 2" xfId="23016"/>
    <cellStyle name="40% - Accent3 4 2 2 5 2 2 3" xfId="23017"/>
    <cellStyle name="40% - Accent3 4 2 2 5 2 3" xfId="23018"/>
    <cellStyle name="40% - Accent3 4 2 2 5 2 3 2" xfId="23019"/>
    <cellStyle name="40% - Accent3 4 2 2 5 2 3 3" xfId="23020"/>
    <cellStyle name="40% - Accent3 4 2 2 5 2 4" xfId="23021"/>
    <cellStyle name="40% - Accent3 4 2 2 5 2 4 2" xfId="23022"/>
    <cellStyle name="40% - Accent3 4 2 2 5 2 5" xfId="23023"/>
    <cellStyle name="40% - Accent3 4 2 2 5 2 6" xfId="23024"/>
    <cellStyle name="40% - Accent3 4 2 2 5 3" xfId="23025"/>
    <cellStyle name="40% - Accent3 4 2 2 5 3 2" xfId="23026"/>
    <cellStyle name="40% - Accent3 4 2 2 5 3 2 2" xfId="23027"/>
    <cellStyle name="40% - Accent3 4 2 2 5 3 2 3" xfId="23028"/>
    <cellStyle name="40% - Accent3 4 2 2 5 3 3" xfId="23029"/>
    <cellStyle name="40% - Accent3 4 2 2 5 3 3 2" xfId="23030"/>
    <cellStyle name="40% - Accent3 4 2 2 5 3 3 3" xfId="23031"/>
    <cellStyle name="40% - Accent3 4 2 2 5 3 4" xfId="23032"/>
    <cellStyle name="40% - Accent3 4 2 2 5 3 4 2" xfId="23033"/>
    <cellStyle name="40% - Accent3 4 2 2 5 3 5" xfId="23034"/>
    <cellStyle name="40% - Accent3 4 2 2 5 3 6" xfId="23035"/>
    <cellStyle name="40% - Accent3 4 2 2 5 4" xfId="23036"/>
    <cellStyle name="40% - Accent3 4 2 2 5 4 2" xfId="23037"/>
    <cellStyle name="40% - Accent3 4 2 2 5 4 2 2" xfId="23038"/>
    <cellStyle name="40% - Accent3 4 2 2 5 4 2 3" xfId="23039"/>
    <cellStyle name="40% - Accent3 4 2 2 5 4 3" xfId="23040"/>
    <cellStyle name="40% - Accent3 4 2 2 5 4 3 2" xfId="23041"/>
    <cellStyle name="40% - Accent3 4 2 2 5 4 4" xfId="23042"/>
    <cellStyle name="40% - Accent3 4 2 2 5 4 5" xfId="23043"/>
    <cellStyle name="40% - Accent3 4 2 2 5 5" xfId="23044"/>
    <cellStyle name="40% - Accent3 4 2 2 5 5 2" xfId="23045"/>
    <cellStyle name="40% - Accent3 4 2 2 5 5 3" xfId="23046"/>
    <cellStyle name="40% - Accent3 4 2 2 5 6" xfId="23047"/>
    <cellStyle name="40% - Accent3 4 2 2 5 6 2" xfId="23048"/>
    <cellStyle name="40% - Accent3 4 2 2 5 6 3" xfId="23049"/>
    <cellStyle name="40% - Accent3 4 2 2 5 7" xfId="23050"/>
    <cellStyle name="40% - Accent3 4 2 2 5 7 2" xfId="23051"/>
    <cellStyle name="40% - Accent3 4 2 2 5 8" xfId="23052"/>
    <cellStyle name="40% - Accent3 4 2 2 5 9" xfId="23053"/>
    <cellStyle name="40% - Accent3 4 2 2 6" xfId="23054"/>
    <cellStyle name="40% - Accent3 4 2 2 6 2" xfId="23055"/>
    <cellStyle name="40% - Accent3 4 2 2 6 2 2" xfId="23056"/>
    <cellStyle name="40% - Accent3 4 2 2 6 2 3" xfId="23057"/>
    <cellStyle name="40% - Accent3 4 2 2 6 3" xfId="23058"/>
    <cellStyle name="40% - Accent3 4 2 2 6 3 2" xfId="23059"/>
    <cellStyle name="40% - Accent3 4 2 2 6 3 3" xfId="23060"/>
    <cellStyle name="40% - Accent3 4 2 2 6 4" xfId="23061"/>
    <cellStyle name="40% - Accent3 4 2 2 6 4 2" xfId="23062"/>
    <cellStyle name="40% - Accent3 4 2 2 6 5" xfId="23063"/>
    <cellStyle name="40% - Accent3 4 2 2 6 6" xfId="23064"/>
    <cellStyle name="40% - Accent3 4 2 2 7" xfId="23065"/>
    <cellStyle name="40% - Accent3 4 2 2 7 2" xfId="23066"/>
    <cellStyle name="40% - Accent3 4 2 2 7 2 2" xfId="23067"/>
    <cellStyle name="40% - Accent3 4 2 2 7 2 3" xfId="23068"/>
    <cellStyle name="40% - Accent3 4 2 2 7 3" xfId="23069"/>
    <cellStyle name="40% - Accent3 4 2 2 7 3 2" xfId="23070"/>
    <cellStyle name="40% - Accent3 4 2 2 7 3 3" xfId="23071"/>
    <cellStyle name="40% - Accent3 4 2 2 7 4" xfId="23072"/>
    <cellStyle name="40% - Accent3 4 2 2 7 4 2" xfId="23073"/>
    <cellStyle name="40% - Accent3 4 2 2 7 5" xfId="23074"/>
    <cellStyle name="40% - Accent3 4 2 2 7 6" xfId="23075"/>
    <cellStyle name="40% - Accent3 4 2 2 8" xfId="23076"/>
    <cellStyle name="40% - Accent3 4 2 2 8 2" xfId="23077"/>
    <cellStyle name="40% - Accent3 4 2 2 8 2 2" xfId="23078"/>
    <cellStyle name="40% - Accent3 4 2 2 8 2 3" xfId="23079"/>
    <cellStyle name="40% - Accent3 4 2 2 8 3" xfId="23080"/>
    <cellStyle name="40% - Accent3 4 2 2 8 3 2" xfId="23081"/>
    <cellStyle name="40% - Accent3 4 2 2 8 4" xfId="23082"/>
    <cellStyle name="40% - Accent3 4 2 2 8 5" xfId="23083"/>
    <cellStyle name="40% - Accent3 4 2 2 9" xfId="23084"/>
    <cellStyle name="40% - Accent3 4 2 2 9 2" xfId="23085"/>
    <cellStyle name="40% - Accent3 4 2 2 9 3" xfId="23086"/>
    <cellStyle name="40% - Accent3 4 2 3" xfId="2006"/>
    <cellStyle name="40% - Accent3 4 2 3 10" xfId="23087"/>
    <cellStyle name="40% - Accent3 4 2 3 10 2" xfId="23088"/>
    <cellStyle name="40% - Accent3 4 2 3 11" xfId="23089"/>
    <cellStyle name="40% - Accent3 4 2 3 12" xfId="23090"/>
    <cellStyle name="40% - Accent3 4 2 3 2" xfId="2007"/>
    <cellStyle name="40% - Accent3 4 2 3 2 10" xfId="23091"/>
    <cellStyle name="40% - Accent3 4 2 3 2 2" xfId="2008"/>
    <cellStyle name="40% - Accent3 4 2 3 2 2 2" xfId="23092"/>
    <cellStyle name="40% - Accent3 4 2 3 2 2 2 2" xfId="23093"/>
    <cellStyle name="40% - Accent3 4 2 3 2 2 2 2 2" xfId="23094"/>
    <cellStyle name="40% - Accent3 4 2 3 2 2 2 2 3" xfId="23095"/>
    <cellStyle name="40% - Accent3 4 2 3 2 2 2 3" xfId="23096"/>
    <cellStyle name="40% - Accent3 4 2 3 2 2 2 3 2" xfId="23097"/>
    <cellStyle name="40% - Accent3 4 2 3 2 2 2 3 3" xfId="23098"/>
    <cellStyle name="40% - Accent3 4 2 3 2 2 2 4" xfId="23099"/>
    <cellStyle name="40% - Accent3 4 2 3 2 2 2 4 2" xfId="23100"/>
    <cellStyle name="40% - Accent3 4 2 3 2 2 2 5" xfId="23101"/>
    <cellStyle name="40% - Accent3 4 2 3 2 2 2 6" xfId="23102"/>
    <cellStyle name="40% - Accent3 4 2 3 2 2 3" xfId="23103"/>
    <cellStyle name="40% - Accent3 4 2 3 2 2 3 2" xfId="23104"/>
    <cellStyle name="40% - Accent3 4 2 3 2 2 3 2 2" xfId="23105"/>
    <cellStyle name="40% - Accent3 4 2 3 2 2 3 2 3" xfId="23106"/>
    <cellStyle name="40% - Accent3 4 2 3 2 2 3 3" xfId="23107"/>
    <cellStyle name="40% - Accent3 4 2 3 2 2 3 3 2" xfId="23108"/>
    <cellStyle name="40% - Accent3 4 2 3 2 2 3 3 3" xfId="23109"/>
    <cellStyle name="40% - Accent3 4 2 3 2 2 3 4" xfId="23110"/>
    <cellStyle name="40% - Accent3 4 2 3 2 2 3 4 2" xfId="23111"/>
    <cellStyle name="40% - Accent3 4 2 3 2 2 3 5" xfId="23112"/>
    <cellStyle name="40% - Accent3 4 2 3 2 2 3 6" xfId="23113"/>
    <cellStyle name="40% - Accent3 4 2 3 2 2 4" xfId="23114"/>
    <cellStyle name="40% - Accent3 4 2 3 2 2 4 2" xfId="23115"/>
    <cellStyle name="40% - Accent3 4 2 3 2 2 4 2 2" xfId="23116"/>
    <cellStyle name="40% - Accent3 4 2 3 2 2 4 2 3" xfId="23117"/>
    <cellStyle name="40% - Accent3 4 2 3 2 2 4 3" xfId="23118"/>
    <cellStyle name="40% - Accent3 4 2 3 2 2 4 3 2" xfId="23119"/>
    <cellStyle name="40% - Accent3 4 2 3 2 2 4 4" xfId="23120"/>
    <cellStyle name="40% - Accent3 4 2 3 2 2 4 5" xfId="23121"/>
    <cellStyle name="40% - Accent3 4 2 3 2 2 5" xfId="23122"/>
    <cellStyle name="40% - Accent3 4 2 3 2 2 5 2" xfId="23123"/>
    <cellStyle name="40% - Accent3 4 2 3 2 2 5 3" xfId="23124"/>
    <cellStyle name="40% - Accent3 4 2 3 2 2 6" xfId="23125"/>
    <cellStyle name="40% - Accent3 4 2 3 2 2 6 2" xfId="23126"/>
    <cellStyle name="40% - Accent3 4 2 3 2 2 6 3" xfId="23127"/>
    <cellStyle name="40% - Accent3 4 2 3 2 2 7" xfId="23128"/>
    <cellStyle name="40% - Accent3 4 2 3 2 2 7 2" xfId="23129"/>
    <cellStyle name="40% - Accent3 4 2 3 2 2 8" xfId="23130"/>
    <cellStyle name="40% - Accent3 4 2 3 2 2 9" xfId="23131"/>
    <cellStyle name="40% - Accent3 4 2 3 2 3" xfId="23132"/>
    <cellStyle name="40% - Accent3 4 2 3 2 3 2" xfId="23133"/>
    <cellStyle name="40% - Accent3 4 2 3 2 3 2 2" xfId="23134"/>
    <cellStyle name="40% - Accent3 4 2 3 2 3 2 3" xfId="23135"/>
    <cellStyle name="40% - Accent3 4 2 3 2 3 3" xfId="23136"/>
    <cellStyle name="40% - Accent3 4 2 3 2 3 3 2" xfId="23137"/>
    <cellStyle name="40% - Accent3 4 2 3 2 3 3 3" xfId="23138"/>
    <cellStyle name="40% - Accent3 4 2 3 2 3 4" xfId="23139"/>
    <cellStyle name="40% - Accent3 4 2 3 2 3 4 2" xfId="23140"/>
    <cellStyle name="40% - Accent3 4 2 3 2 3 5" xfId="23141"/>
    <cellStyle name="40% - Accent3 4 2 3 2 3 6" xfId="23142"/>
    <cellStyle name="40% - Accent3 4 2 3 2 4" xfId="23143"/>
    <cellStyle name="40% - Accent3 4 2 3 2 4 2" xfId="23144"/>
    <cellStyle name="40% - Accent3 4 2 3 2 4 2 2" xfId="23145"/>
    <cellStyle name="40% - Accent3 4 2 3 2 4 2 3" xfId="23146"/>
    <cellStyle name="40% - Accent3 4 2 3 2 4 3" xfId="23147"/>
    <cellStyle name="40% - Accent3 4 2 3 2 4 3 2" xfId="23148"/>
    <cellStyle name="40% - Accent3 4 2 3 2 4 3 3" xfId="23149"/>
    <cellStyle name="40% - Accent3 4 2 3 2 4 4" xfId="23150"/>
    <cellStyle name="40% - Accent3 4 2 3 2 4 4 2" xfId="23151"/>
    <cellStyle name="40% - Accent3 4 2 3 2 4 5" xfId="23152"/>
    <cellStyle name="40% - Accent3 4 2 3 2 4 6" xfId="23153"/>
    <cellStyle name="40% - Accent3 4 2 3 2 5" xfId="23154"/>
    <cellStyle name="40% - Accent3 4 2 3 2 5 2" xfId="23155"/>
    <cellStyle name="40% - Accent3 4 2 3 2 5 2 2" xfId="23156"/>
    <cellStyle name="40% - Accent3 4 2 3 2 5 2 3" xfId="23157"/>
    <cellStyle name="40% - Accent3 4 2 3 2 5 3" xfId="23158"/>
    <cellStyle name="40% - Accent3 4 2 3 2 5 3 2" xfId="23159"/>
    <cellStyle name="40% - Accent3 4 2 3 2 5 4" xfId="23160"/>
    <cellStyle name="40% - Accent3 4 2 3 2 5 5" xfId="23161"/>
    <cellStyle name="40% - Accent3 4 2 3 2 6" xfId="23162"/>
    <cellStyle name="40% - Accent3 4 2 3 2 6 2" xfId="23163"/>
    <cellStyle name="40% - Accent3 4 2 3 2 6 3" xfId="23164"/>
    <cellStyle name="40% - Accent3 4 2 3 2 7" xfId="23165"/>
    <cellStyle name="40% - Accent3 4 2 3 2 7 2" xfId="23166"/>
    <cellStyle name="40% - Accent3 4 2 3 2 7 3" xfId="23167"/>
    <cellStyle name="40% - Accent3 4 2 3 2 8" xfId="23168"/>
    <cellStyle name="40% - Accent3 4 2 3 2 8 2" xfId="23169"/>
    <cellStyle name="40% - Accent3 4 2 3 2 9" xfId="23170"/>
    <cellStyle name="40% - Accent3 4 2 3 3" xfId="2009"/>
    <cellStyle name="40% - Accent3 4 2 3 3 2" xfId="23171"/>
    <cellStyle name="40% - Accent3 4 2 3 3 2 2" xfId="23172"/>
    <cellStyle name="40% - Accent3 4 2 3 3 2 2 2" xfId="23173"/>
    <cellStyle name="40% - Accent3 4 2 3 3 2 2 3" xfId="23174"/>
    <cellStyle name="40% - Accent3 4 2 3 3 2 3" xfId="23175"/>
    <cellStyle name="40% - Accent3 4 2 3 3 2 3 2" xfId="23176"/>
    <cellStyle name="40% - Accent3 4 2 3 3 2 3 3" xfId="23177"/>
    <cellStyle name="40% - Accent3 4 2 3 3 2 4" xfId="23178"/>
    <cellStyle name="40% - Accent3 4 2 3 3 2 4 2" xfId="23179"/>
    <cellStyle name="40% - Accent3 4 2 3 3 2 5" xfId="23180"/>
    <cellStyle name="40% - Accent3 4 2 3 3 2 6" xfId="23181"/>
    <cellStyle name="40% - Accent3 4 2 3 3 3" xfId="23182"/>
    <cellStyle name="40% - Accent3 4 2 3 3 3 2" xfId="23183"/>
    <cellStyle name="40% - Accent3 4 2 3 3 3 2 2" xfId="23184"/>
    <cellStyle name="40% - Accent3 4 2 3 3 3 2 3" xfId="23185"/>
    <cellStyle name="40% - Accent3 4 2 3 3 3 3" xfId="23186"/>
    <cellStyle name="40% - Accent3 4 2 3 3 3 3 2" xfId="23187"/>
    <cellStyle name="40% - Accent3 4 2 3 3 3 3 3" xfId="23188"/>
    <cellStyle name="40% - Accent3 4 2 3 3 3 4" xfId="23189"/>
    <cellStyle name="40% - Accent3 4 2 3 3 3 4 2" xfId="23190"/>
    <cellStyle name="40% - Accent3 4 2 3 3 3 5" xfId="23191"/>
    <cellStyle name="40% - Accent3 4 2 3 3 3 6" xfId="23192"/>
    <cellStyle name="40% - Accent3 4 2 3 3 4" xfId="23193"/>
    <cellStyle name="40% - Accent3 4 2 3 3 4 2" xfId="23194"/>
    <cellStyle name="40% - Accent3 4 2 3 3 4 2 2" xfId="23195"/>
    <cellStyle name="40% - Accent3 4 2 3 3 4 2 3" xfId="23196"/>
    <cellStyle name="40% - Accent3 4 2 3 3 4 3" xfId="23197"/>
    <cellStyle name="40% - Accent3 4 2 3 3 4 3 2" xfId="23198"/>
    <cellStyle name="40% - Accent3 4 2 3 3 4 4" xfId="23199"/>
    <cellStyle name="40% - Accent3 4 2 3 3 4 5" xfId="23200"/>
    <cellStyle name="40% - Accent3 4 2 3 3 5" xfId="23201"/>
    <cellStyle name="40% - Accent3 4 2 3 3 5 2" xfId="23202"/>
    <cellStyle name="40% - Accent3 4 2 3 3 5 3" xfId="23203"/>
    <cellStyle name="40% - Accent3 4 2 3 3 6" xfId="23204"/>
    <cellStyle name="40% - Accent3 4 2 3 3 6 2" xfId="23205"/>
    <cellStyle name="40% - Accent3 4 2 3 3 6 3" xfId="23206"/>
    <cellStyle name="40% - Accent3 4 2 3 3 7" xfId="23207"/>
    <cellStyle name="40% - Accent3 4 2 3 3 7 2" xfId="23208"/>
    <cellStyle name="40% - Accent3 4 2 3 3 8" xfId="23209"/>
    <cellStyle name="40% - Accent3 4 2 3 3 9" xfId="23210"/>
    <cellStyle name="40% - Accent3 4 2 3 4" xfId="23211"/>
    <cellStyle name="40% - Accent3 4 2 3 4 2" xfId="23212"/>
    <cellStyle name="40% - Accent3 4 2 3 4 2 2" xfId="23213"/>
    <cellStyle name="40% - Accent3 4 2 3 4 2 2 2" xfId="23214"/>
    <cellStyle name="40% - Accent3 4 2 3 4 2 2 3" xfId="23215"/>
    <cellStyle name="40% - Accent3 4 2 3 4 2 3" xfId="23216"/>
    <cellStyle name="40% - Accent3 4 2 3 4 2 3 2" xfId="23217"/>
    <cellStyle name="40% - Accent3 4 2 3 4 2 3 3" xfId="23218"/>
    <cellStyle name="40% - Accent3 4 2 3 4 2 4" xfId="23219"/>
    <cellStyle name="40% - Accent3 4 2 3 4 2 4 2" xfId="23220"/>
    <cellStyle name="40% - Accent3 4 2 3 4 2 5" xfId="23221"/>
    <cellStyle name="40% - Accent3 4 2 3 4 2 6" xfId="23222"/>
    <cellStyle name="40% - Accent3 4 2 3 4 3" xfId="23223"/>
    <cellStyle name="40% - Accent3 4 2 3 4 3 2" xfId="23224"/>
    <cellStyle name="40% - Accent3 4 2 3 4 3 2 2" xfId="23225"/>
    <cellStyle name="40% - Accent3 4 2 3 4 3 2 3" xfId="23226"/>
    <cellStyle name="40% - Accent3 4 2 3 4 3 3" xfId="23227"/>
    <cellStyle name="40% - Accent3 4 2 3 4 3 3 2" xfId="23228"/>
    <cellStyle name="40% - Accent3 4 2 3 4 3 3 3" xfId="23229"/>
    <cellStyle name="40% - Accent3 4 2 3 4 3 4" xfId="23230"/>
    <cellStyle name="40% - Accent3 4 2 3 4 3 4 2" xfId="23231"/>
    <cellStyle name="40% - Accent3 4 2 3 4 3 5" xfId="23232"/>
    <cellStyle name="40% - Accent3 4 2 3 4 3 6" xfId="23233"/>
    <cellStyle name="40% - Accent3 4 2 3 4 4" xfId="23234"/>
    <cellStyle name="40% - Accent3 4 2 3 4 4 2" xfId="23235"/>
    <cellStyle name="40% - Accent3 4 2 3 4 4 2 2" xfId="23236"/>
    <cellStyle name="40% - Accent3 4 2 3 4 4 2 3" xfId="23237"/>
    <cellStyle name="40% - Accent3 4 2 3 4 4 3" xfId="23238"/>
    <cellStyle name="40% - Accent3 4 2 3 4 4 3 2" xfId="23239"/>
    <cellStyle name="40% - Accent3 4 2 3 4 4 4" xfId="23240"/>
    <cellStyle name="40% - Accent3 4 2 3 4 4 5" xfId="23241"/>
    <cellStyle name="40% - Accent3 4 2 3 4 5" xfId="23242"/>
    <cellStyle name="40% - Accent3 4 2 3 4 5 2" xfId="23243"/>
    <cellStyle name="40% - Accent3 4 2 3 4 5 3" xfId="23244"/>
    <cellStyle name="40% - Accent3 4 2 3 4 6" xfId="23245"/>
    <cellStyle name="40% - Accent3 4 2 3 4 6 2" xfId="23246"/>
    <cellStyle name="40% - Accent3 4 2 3 4 6 3" xfId="23247"/>
    <cellStyle name="40% - Accent3 4 2 3 4 7" xfId="23248"/>
    <cellStyle name="40% - Accent3 4 2 3 4 7 2" xfId="23249"/>
    <cellStyle name="40% - Accent3 4 2 3 4 8" xfId="23250"/>
    <cellStyle name="40% - Accent3 4 2 3 4 9" xfId="23251"/>
    <cellStyle name="40% - Accent3 4 2 3 5" xfId="23252"/>
    <cellStyle name="40% - Accent3 4 2 3 5 2" xfId="23253"/>
    <cellStyle name="40% - Accent3 4 2 3 5 2 2" xfId="23254"/>
    <cellStyle name="40% - Accent3 4 2 3 5 2 3" xfId="23255"/>
    <cellStyle name="40% - Accent3 4 2 3 5 3" xfId="23256"/>
    <cellStyle name="40% - Accent3 4 2 3 5 3 2" xfId="23257"/>
    <cellStyle name="40% - Accent3 4 2 3 5 3 3" xfId="23258"/>
    <cellStyle name="40% - Accent3 4 2 3 5 4" xfId="23259"/>
    <cellStyle name="40% - Accent3 4 2 3 5 4 2" xfId="23260"/>
    <cellStyle name="40% - Accent3 4 2 3 5 5" xfId="23261"/>
    <cellStyle name="40% - Accent3 4 2 3 5 6" xfId="23262"/>
    <cellStyle name="40% - Accent3 4 2 3 6" xfId="23263"/>
    <cellStyle name="40% - Accent3 4 2 3 6 2" xfId="23264"/>
    <cellStyle name="40% - Accent3 4 2 3 6 2 2" xfId="23265"/>
    <cellStyle name="40% - Accent3 4 2 3 6 2 3" xfId="23266"/>
    <cellStyle name="40% - Accent3 4 2 3 6 3" xfId="23267"/>
    <cellStyle name="40% - Accent3 4 2 3 6 3 2" xfId="23268"/>
    <cellStyle name="40% - Accent3 4 2 3 6 3 3" xfId="23269"/>
    <cellStyle name="40% - Accent3 4 2 3 6 4" xfId="23270"/>
    <cellStyle name="40% - Accent3 4 2 3 6 4 2" xfId="23271"/>
    <cellStyle name="40% - Accent3 4 2 3 6 5" xfId="23272"/>
    <cellStyle name="40% - Accent3 4 2 3 6 6" xfId="23273"/>
    <cellStyle name="40% - Accent3 4 2 3 7" xfId="23274"/>
    <cellStyle name="40% - Accent3 4 2 3 7 2" xfId="23275"/>
    <cellStyle name="40% - Accent3 4 2 3 7 2 2" xfId="23276"/>
    <cellStyle name="40% - Accent3 4 2 3 7 2 3" xfId="23277"/>
    <cellStyle name="40% - Accent3 4 2 3 7 3" xfId="23278"/>
    <cellStyle name="40% - Accent3 4 2 3 7 3 2" xfId="23279"/>
    <cellStyle name="40% - Accent3 4 2 3 7 4" xfId="23280"/>
    <cellStyle name="40% - Accent3 4 2 3 7 5" xfId="23281"/>
    <cellStyle name="40% - Accent3 4 2 3 8" xfId="23282"/>
    <cellStyle name="40% - Accent3 4 2 3 8 2" xfId="23283"/>
    <cellStyle name="40% - Accent3 4 2 3 8 3" xfId="23284"/>
    <cellStyle name="40% - Accent3 4 2 3 9" xfId="23285"/>
    <cellStyle name="40% - Accent3 4 2 3 9 2" xfId="23286"/>
    <cellStyle name="40% - Accent3 4 2 3 9 3" xfId="23287"/>
    <cellStyle name="40% - Accent3 4 2 4" xfId="2010"/>
    <cellStyle name="40% - Accent3 4 2 4 10" xfId="23288"/>
    <cellStyle name="40% - Accent3 4 2 4 2" xfId="2011"/>
    <cellStyle name="40% - Accent3 4 2 4 2 2" xfId="23289"/>
    <cellStyle name="40% - Accent3 4 2 4 2 2 2" xfId="23290"/>
    <cellStyle name="40% - Accent3 4 2 4 2 2 2 2" xfId="23291"/>
    <cellStyle name="40% - Accent3 4 2 4 2 2 2 3" xfId="23292"/>
    <cellStyle name="40% - Accent3 4 2 4 2 2 3" xfId="23293"/>
    <cellStyle name="40% - Accent3 4 2 4 2 2 3 2" xfId="23294"/>
    <cellStyle name="40% - Accent3 4 2 4 2 2 3 3" xfId="23295"/>
    <cellStyle name="40% - Accent3 4 2 4 2 2 4" xfId="23296"/>
    <cellStyle name="40% - Accent3 4 2 4 2 2 4 2" xfId="23297"/>
    <cellStyle name="40% - Accent3 4 2 4 2 2 5" xfId="23298"/>
    <cellStyle name="40% - Accent3 4 2 4 2 2 6" xfId="23299"/>
    <cellStyle name="40% - Accent3 4 2 4 2 3" xfId="23300"/>
    <cellStyle name="40% - Accent3 4 2 4 2 3 2" xfId="23301"/>
    <cellStyle name="40% - Accent3 4 2 4 2 3 2 2" xfId="23302"/>
    <cellStyle name="40% - Accent3 4 2 4 2 3 2 3" xfId="23303"/>
    <cellStyle name="40% - Accent3 4 2 4 2 3 3" xfId="23304"/>
    <cellStyle name="40% - Accent3 4 2 4 2 3 3 2" xfId="23305"/>
    <cellStyle name="40% - Accent3 4 2 4 2 3 3 3" xfId="23306"/>
    <cellStyle name="40% - Accent3 4 2 4 2 3 4" xfId="23307"/>
    <cellStyle name="40% - Accent3 4 2 4 2 3 4 2" xfId="23308"/>
    <cellStyle name="40% - Accent3 4 2 4 2 3 5" xfId="23309"/>
    <cellStyle name="40% - Accent3 4 2 4 2 3 6" xfId="23310"/>
    <cellStyle name="40% - Accent3 4 2 4 2 4" xfId="23311"/>
    <cellStyle name="40% - Accent3 4 2 4 2 4 2" xfId="23312"/>
    <cellStyle name="40% - Accent3 4 2 4 2 4 2 2" xfId="23313"/>
    <cellStyle name="40% - Accent3 4 2 4 2 4 2 3" xfId="23314"/>
    <cellStyle name="40% - Accent3 4 2 4 2 4 3" xfId="23315"/>
    <cellStyle name="40% - Accent3 4 2 4 2 4 3 2" xfId="23316"/>
    <cellStyle name="40% - Accent3 4 2 4 2 4 4" xfId="23317"/>
    <cellStyle name="40% - Accent3 4 2 4 2 4 5" xfId="23318"/>
    <cellStyle name="40% - Accent3 4 2 4 2 5" xfId="23319"/>
    <cellStyle name="40% - Accent3 4 2 4 2 5 2" xfId="23320"/>
    <cellStyle name="40% - Accent3 4 2 4 2 5 3" xfId="23321"/>
    <cellStyle name="40% - Accent3 4 2 4 2 6" xfId="23322"/>
    <cellStyle name="40% - Accent3 4 2 4 2 6 2" xfId="23323"/>
    <cellStyle name="40% - Accent3 4 2 4 2 6 3" xfId="23324"/>
    <cellStyle name="40% - Accent3 4 2 4 2 7" xfId="23325"/>
    <cellStyle name="40% - Accent3 4 2 4 2 7 2" xfId="23326"/>
    <cellStyle name="40% - Accent3 4 2 4 2 8" xfId="23327"/>
    <cellStyle name="40% - Accent3 4 2 4 2 9" xfId="23328"/>
    <cellStyle name="40% - Accent3 4 2 4 3" xfId="23329"/>
    <cellStyle name="40% - Accent3 4 2 4 3 2" xfId="23330"/>
    <cellStyle name="40% - Accent3 4 2 4 3 2 2" xfId="23331"/>
    <cellStyle name="40% - Accent3 4 2 4 3 2 3" xfId="23332"/>
    <cellStyle name="40% - Accent3 4 2 4 3 3" xfId="23333"/>
    <cellStyle name="40% - Accent3 4 2 4 3 3 2" xfId="23334"/>
    <cellStyle name="40% - Accent3 4 2 4 3 3 3" xfId="23335"/>
    <cellStyle name="40% - Accent3 4 2 4 3 4" xfId="23336"/>
    <cellStyle name="40% - Accent3 4 2 4 3 4 2" xfId="23337"/>
    <cellStyle name="40% - Accent3 4 2 4 3 5" xfId="23338"/>
    <cellStyle name="40% - Accent3 4 2 4 3 6" xfId="23339"/>
    <cellStyle name="40% - Accent3 4 2 4 4" xfId="23340"/>
    <cellStyle name="40% - Accent3 4 2 4 4 2" xfId="23341"/>
    <cellStyle name="40% - Accent3 4 2 4 4 2 2" xfId="23342"/>
    <cellStyle name="40% - Accent3 4 2 4 4 2 3" xfId="23343"/>
    <cellStyle name="40% - Accent3 4 2 4 4 3" xfId="23344"/>
    <cellStyle name="40% - Accent3 4 2 4 4 3 2" xfId="23345"/>
    <cellStyle name="40% - Accent3 4 2 4 4 3 3" xfId="23346"/>
    <cellStyle name="40% - Accent3 4 2 4 4 4" xfId="23347"/>
    <cellStyle name="40% - Accent3 4 2 4 4 4 2" xfId="23348"/>
    <cellStyle name="40% - Accent3 4 2 4 4 5" xfId="23349"/>
    <cellStyle name="40% - Accent3 4 2 4 4 6" xfId="23350"/>
    <cellStyle name="40% - Accent3 4 2 4 5" xfId="23351"/>
    <cellStyle name="40% - Accent3 4 2 4 5 2" xfId="23352"/>
    <cellStyle name="40% - Accent3 4 2 4 5 2 2" xfId="23353"/>
    <cellStyle name="40% - Accent3 4 2 4 5 2 3" xfId="23354"/>
    <cellStyle name="40% - Accent3 4 2 4 5 3" xfId="23355"/>
    <cellStyle name="40% - Accent3 4 2 4 5 3 2" xfId="23356"/>
    <cellStyle name="40% - Accent3 4 2 4 5 4" xfId="23357"/>
    <cellStyle name="40% - Accent3 4 2 4 5 5" xfId="23358"/>
    <cellStyle name="40% - Accent3 4 2 4 6" xfId="23359"/>
    <cellStyle name="40% - Accent3 4 2 4 6 2" xfId="23360"/>
    <cellStyle name="40% - Accent3 4 2 4 6 3" xfId="23361"/>
    <cellStyle name="40% - Accent3 4 2 4 7" xfId="23362"/>
    <cellStyle name="40% - Accent3 4 2 4 7 2" xfId="23363"/>
    <cellStyle name="40% - Accent3 4 2 4 7 3" xfId="23364"/>
    <cellStyle name="40% - Accent3 4 2 4 8" xfId="23365"/>
    <cellStyle name="40% - Accent3 4 2 4 8 2" xfId="23366"/>
    <cellStyle name="40% - Accent3 4 2 4 9" xfId="23367"/>
    <cellStyle name="40% - Accent3 4 2 5" xfId="2012"/>
    <cellStyle name="40% - Accent3 4 2 5 2" xfId="23368"/>
    <cellStyle name="40% - Accent3 4 2 5 2 2" xfId="23369"/>
    <cellStyle name="40% - Accent3 4 2 5 2 2 2" xfId="23370"/>
    <cellStyle name="40% - Accent3 4 2 5 2 2 3" xfId="23371"/>
    <cellStyle name="40% - Accent3 4 2 5 2 3" xfId="23372"/>
    <cellStyle name="40% - Accent3 4 2 5 2 3 2" xfId="23373"/>
    <cellStyle name="40% - Accent3 4 2 5 2 3 3" xfId="23374"/>
    <cellStyle name="40% - Accent3 4 2 5 2 4" xfId="23375"/>
    <cellStyle name="40% - Accent3 4 2 5 2 4 2" xfId="23376"/>
    <cellStyle name="40% - Accent3 4 2 5 2 5" xfId="23377"/>
    <cellStyle name="40% - Accent3 4 2 5 2 6" xfId="23378"/>
    <cellStyle name="40% - Accent3 4 2 5 3" xfId="23379"/>
    <cellStyle name="40% - Accent3 4 2 5 3 2" xfId="23380"/>
    <cellStyle name="40% - Accent3 4 2 5 3 2 2" xfId="23381"/>
    <cellStyle name="40% - Accent3 4 2 5 3 2 3" xfId="23382"/>
    <cellStyle name="40% - Accent3 4 2 5 3 3" xfId="23383"/>
    <cellStyle name="40% - Accent3 4 2 5 3 3 2" xfId="23384"/>
    <cellStyle name="40% - Accent3 4 2 5 3 3 3" xfId="23385"/>
    <cellStyle name="40% - Accent3 4 2 5 3 4" xfId="23386"/>
    <cellStyle name="40% - Accent3 4 2 5 3 4 2" xfId="23387"/>
    <cellStyle name="40% - Accent3 4 2 5 3 5" xfId="23388"/>
    <cellStyle name="40% - Accent3 4 2 5 3 6" xfId="23389"/>
    <cellStyle name="40% - Accent3 4 2 5 4" xfId="23390"/>
    <cellStyle name="40% - Accent3 4 2 5 4 2" xfId="23391"/>
    <cellStyle name="40% - Accent3 4 2 5 4 2 2" xfId="23392"/>
    <cellStyle name="40% - Accent3 4 2 5 4 2 3" xfId="23393"/>
    <cellStyle name="40% - Accent3 4 2 5 4 3" xfId="23394"/>
    <cellStyle name="40% - Accent3 4 2 5 4 3 2" xfId="23395"/>
    <cellStyle name="40% - Accent3 4 2 5 4 4" xfId="23396"/>
    <cellStyle name="40% - Accent3 4 2 5 4 5" xfId="23397"/>
    <cellStyle name="40% - Accent3 4 2 5 5" xfId="23398"/>
    <cellStyle name="40% - Accent3 4 2 5 5 2" xfId="23399"/>
    <cellStyle name="40% - Accent3 4 2 5 5 3" xfId="23400"/>
    <cellStyle name="40% - Accent3 4 2 5 6" xfId="23401"/>
    <cellStyle name="40% - Accent3 4 2 5 6 2" xfId="23402"/>
    <cellStyle name="40% - Accent3 4 2 5 6 3" xfId="23403"/>
    <cellStyle name="40% - Accent3 4 2 5 7" xfId="23404"/>
    <cellStyle name="40% - Accent3 4 2 5 7 2" xfId="23405"/>
    <cellStyle name="40% - Accent3 4 2 5 8" xfId="23406"/>
    <cellStyle name="40% - Accent3 4 2 5 9" xfId="23407"/>
    <cellStyle name="40% - Accent3 4 2 6" xfId="23408"/>
    <cellStyle name="40% - Accent3 4 2 6 2" xfId="23409"/>
    <cellStyle name="40% - Accent3 4 2 6 2 2" xfId="23410"/>
    <cellStyle name="40% - Accent3 4 2 6 2 2 2" xfId="23411"/>
    <cellStyle name="40% - Accent3 4 2 6 2 2 3" xfId="23412"/>
    <cellStyle name="40% - Accent3 4 2 6 2 3" xfId="23413"/>
    <cellStyle name="40% - Accent3 4 2 6 2 3 2" xfId="23414"/>
    <cellStyle name="40% - Accent3 4 2 6 2 3 3" xfId="23415"/>
    <cellStyle name="40% - Accent3 4 2 6 2 4" xfId="23416"/>
    <cellStyle name="40% - Accent3 4 2 6 2 4 2" xfId="23417"/>
    <cellStyle name="40% - Accent3 4 2 6 2 5" xfId="23418"/>
    <cellStyle name="40% - Accent3 4 2 6 2 6" xfId="23419"/>
    <cellStyle name="40% - Accent3 4 2 6 3" xfId="23420"/>
    <cellStyle name="40% - Accent3 4 2 6 3 2" xfId="23421"/>
    <cellStyle name="40% - Accent3 4 2 6 3 2 2" xfId="23422"/>
    <cellStyle name="40% - Accent3 4 2 6 3 2 3" xfId="23423"/>
    <cellStyle name="40% - Accent3 4 2 6 3 3" xfId="23424"/>
    <cellStyle name="40% - Accent3 4 2 6 3 3 2" xfId="23425"/>
    <cellStyle name="40% - Accent3 4 2 6 3 3 3" xfId="23426"/>
    <cellStyle name="40% - Accent3 4 2 6 3 4" xfId="23427"/>
    <cellStyle name="40% - Accent3 4 2 6 3 4 2" xfId="23428"/>
    <cellStyle name="40% - Accent3 4 2 6 3 5" xfId="23429"/>
    <cellStyle name="40% - Accent3 4 2 6 3 6" xfId="23430"/>
    <cellStyle name="40% - Accent3 4 2 6 4" xfId="23431"/>
    <cellStyle name="40% - Accent3 4 2 6 4 2" xfId="23432"/>
    <cellStyle name="40% - Accent3 4 2 6 4 2 2" xfId="23433"/>
    <cellStyle name="40% - Accent3 4 2 6 4 2 3" xfId="23434"/>
    <cellStyle name="40% - Accent3 4 2 6 4 3" xfId="23435"/>
    <cellStyle name="40% - Accent3 4 2 6 4 3 2" xfId="23436"/>
    <cellStyle name="40% - Accent3 4 2 6 4 4" xfId="23437"/>
    <cellStyle name="40% - Accent3 4 2 6 4 5" xfId="23438"/>
    <cellStyle name="40% - Accent3 4 2 6 5" xfId="23439"/>
    <cellStyle name="40% - Accent3 4 2 6 5 2" xfId="23440"/>
    <cellStyle name="40% - Accent3 4 2 6 5 3" xfId="23441"/>
    <cellStyle name="40% - Accent3 4 2 6 6" xfId="23442"/>
    <cellStyle name="40% - Accent3 4 2 6 6 2" xfId="23443"/>
    <cellStyle name="40% - Accent3 4 2 6 6 3" xfId="23444"/>
    <cellStyle name="40% - Accent3 4 2 6 7" xfId="23445"/>
    <cellStyle name="40% - Accent3 4 2 6 7 2" xfId="23446"/>
    <cellStyle name="40% - Accent3 4 2 6 8" xfId="23447"/>
    <cellStyle name="40% - Accent3 4 2 6 9" xfId="23448"/>
    <cellStyle name="40% - Accent3 4 2 7" xfId="23449"/>
    <cellStyle name="40% - Accent3 4 2 7 2" xfId="23450"/>
    <cellStyle name="40% - Accent3 4 2 7 2 2" xfId="23451"/>
    <cellStyle name="40% - Accent3 4 2 7 2 3" xfId="23452"/>
    <cellStyle name="40% - Accent3 4 2 7 3" xfId="23453"/>
    <cellStyle name="40% - Accent3 4 2 7 3 2" xfId="23454"/>
    <cellStyle name="40% - Accent3 4 2 7 3 3" xfId="23455"/>
    <cellStyle name="40% - Accent3 4 2 7 4" xfId="23456"/>
    <cellStyle name="40% - Accent3 4 2 7 4 2" xfId="23457"/>
    <cellStyle name="40% - Accent3 4 2 7 5" xfId="23458"/>
    <cellStyle name="40% - Accent3 4 2 7 6" xfId="23459"/>
    <cellStyle name="40% - Accent3 4 2 8" xfId="23460"/>
    <cellStyle name="40% - Accent3 4 2 8 2" xfId="23461"/>
    <cellStyle name="40% - Accent3 4 2 8 2 2" xfId="23462"/>
    <cellStyle name="40% - Accent3 4 2 8 2 3" xfId="23463"/>
    <cellStyle name="40% - Accent3 4 2 8 3" xfId="23464"/>
    <cellStyle name="40% - Accent3 4 2 8 3 2" xfId="23465"/>
    <cellStyle name="40% - Accent3 4 2 8 3 3" xfId="23466"/>
    <cellStyle name="40% - Accent3 4 2 8 4" xfId="23467"/>
    <cellStyle name="40% - Accent3 4 2 8 4 2" xfId="23468"/>
    <cellStyle name="40% - Accent3 4 2 8 5" xfId="23469"/>
    <cellStyle name="40% - Accent3 4 2 8 6" xfId="23470"/>
    <cellStyle name="40% - Accent3 4 2 9" xfId="23471"/>
    <cellStyle name="40% - Accent3 4 2 9 2" xfId="23472"/>
    <cellStyle name="40% - Accent3 4 2 9 2 2" xfId="23473"/>
    <cellStyle name="40% - Accent3 4 2 9 2 3" xfId="23474"/>
    <cellStyle name="40% - Accent3 4 2 9 3" xfId="23475"/>
    <cellStyle name="40% - Accent3 4 2 9 3 2" xfId="23476"/>
    <cellStyle name="40% - Accent3 4 2 9 4" xfId="23477"/>
    <cellStyle name="40% - Accent3 4 2 9 5" xfId="23478"/>
    <cellStyle name="40% - Accent3 4 3" xfId="2013"/>
    <cellStyle name="40% - Accent3 4 3 10" xfId="23479"/>
    <cellStyle name="40% - Accent3 4 3 10 2" xfId="23480"/>
    <cellStyle name="40% - Accent3 4 3 10 3" xfId="23481"/>
    <cellStyle name="40% - Accent3 4 3 11" xfId="23482"/>
    <cellStyle name="40% - Accent3 4 3 11 2" xfId="23483"/>
    <cellStyle name="40% - Accent3 4 3 12" xfId="23484"/>
    <cellStyle name="40% - Accent3 4 3 13" xfId="23485"/>
    <cellStyle name="40% - Accent3 4 3 14" xfId="23486"/>
    <cellStyle name="40% - Accent3 4 3 2" xfId="2014"/>
    <cellStyle name="40% - Accent3 4 3 2 10" xfId="23487"/>
    <cellStyle name="40% - Accent3 4 3 2 10 2" xfId="23488"/>
    <cellStyle name="40% - Accent3 4 3 2 11" xfId="23489"/>
    <cellStyle name="40% - Accent3 4 3 2 12" xfId="23490"/>
    <cellStyle name="40% - Accent3 4 3 2 2" xfId="2015"/>
    <cellStyle name="40% - Accent3 4 3 2 2 10" xfId="23491"/>
    <cellStyle name="40% - Accent3 4 3 2 2 2" xfId="2016"/>
    <cellStyle name="40% - Accent3 4 3 2 2 2 2" xfId="23492"/>
    <cellStyle name="40% - Accent3 4 3 2 2 2 2 2" xfId="23493"/>
    <cellStyle name="40% - Accent3 4 3 2 2 2 2 2 2" xfId="23494"/>
    <cellStyle name="40% - Accent3 4 3 2 2 2 2 2 3" xfId="23495"/>
    <cellStyle name="40% - Accent3 4 3 2 2 2 2 3" xfId="23496"/>
    <cellStyle name="40% - Accent3 4 3 2 2 2 2 3 2" xfId="23497"/>
    <cellStyle name="40% - Accent3 4 3 2 2 2 2 3 3" xfId="23498"/>
    <cellStyle name="40% - Accent3 4 3 2 2 2 2 4" xfId="23499"/>
    <cellStyle name="40% - Accent3 4 3 2 2 2 2 4 2" xfId="23500"/>
    <cellStyle name="40% - Accent3 4 3 2 2 2 2 5" xfId="23501"/>
    <cellStyle name="40% - Accent3 4 3 2 2 2 2 6" xfId="23502"/>
    <cellStyle name="40% - Accent3 4 3 2 2 2 3" xfId="23503"/>
    <cellStyle name="40% - Accent3 4 3 2 2 2 3 2" xfId="23504"/>
    <cellStyle name="40% - Accent3 4 3 2 2 2 3 2 2" xfId="23505"/>
    <cellStyle name="40% - Accent3 4 3 2 2 2 3 2 3" xfId="23506"/>
    <cellStyle name="40% - Accent3 4 3 2 2 2 3 3" xfId="23507"/>
    <cellStyle name="40% - Accent3 4 3 2 2 2 3 3 2" xfId="23508"/>
    <cellStyle name="40% - Accent3 4 3 2 2 2 3 3 3" xfId="23509"/>
    <cellStyle name="40% - Accent3 4 3 2 2 2 3 4" xfId="23510"/>
    <cellStyle name="40% - Accent3 4 3 2 2 2 3 4 2" xfId="23511"/>
    <cellStyle name="40% - Accent3 4 3 2 2 2 3 5" xfId="23512"/>
    <cellStyle name="40% - Accent3 4 3 2 2 2 3 6" xfId="23513"/>
    <cellStyle name="40% - Accent3 4 3 2 2 2 4" xfId="23514"/>
    <cellStyle name="40% - Accent3 4 3 2 2 2 4 2" xfId="23515"/>
    <cellStyle name="40% - Accent3 4 3 2 2 2 4 2 2" xfId="23516"/>
    <cellStyle name="40% - Accent3 4 3 2 2 2 4 2 3" xfId="23517"/>
    <cellStyle name="40% - Accent3 4 3 2 2 2 4 3" xfId="23518"/>
    <cellStyle name="40% - Accent3 4 3 2 2 2 4 3 2" xfId="23519"/>
    <cellStyle name="40% - Accent3 4 3 2 2 2 4 4" xfId="23520"/>
    <cellStyle name="40% - Accent3 4 3 2 2 2 4 5" xfId="23521"/>
    <cellStyle name="40% - Accent3 4 3 2 2 2 5" xfId="23522"/>
    <cellStyle name="40% - Accent3 4 3 2 2 2 5 2" xfId="23523"/>
    <cellStyle name="40% - Accent3 4 3 2 2 2 5 3" xfId="23524"/>
    <cellStyle name="40% - Accent3 4 3 2 2 2 6" xfId="23525"/>
    <cellStyle name="40% - Accent3 4 3 2 2 2 6 2" xfId="23526"/>
    <cellStyle name="40% - Accent3 4 3 2 2 2 6 3" xfId="23527"/>
    <cellStyle name="40% - Accent3 4 3 2 2 2 7" xfId="23528"/>
    <cellStyle name="40% - Accent3 4 3 2 2 2 7 2" xfId="23529"/>
    <cellStyle name="40% - Accent3 4 3 2 2 2 8" xfId="23530"/>
    <cellStyle name="40% - Accent3 4 3 2 2 2 9" xfId="23531"/>
    <cellStyle name="40% - Accent3 4 3 2 2 3" xfId="23532"/>
    <cellStyle name="40% - Accent3 4 3 2 2 3 2" xfId="23533"/>
    <cellStyle name="40% - Accent3 4 3 2 2 3 2 2" xfId="23534"/>
    <cellStyle name="40% - Accent3 4 3 2 2 3 2 3" xfId="23535"/>
    <cellStyle name="40% - Accent3 4 3 2 2 3 3" xfId="23536"/>
    <cellStyle name="40% - Accent3 4 3 2 2 3 3 2" xfId="23537"/>
    <cellStyle name="40% - Accent3 4 3 2 2 3 3 3" xfId="23538"/>
    <cellStyle name="40% - Accent3 4 3 2 2 3 4" xfId="23539"/>
    <cellStyle name="40% - Accent3 4 3 2 2 3 4 2" xfId="23540"/>
    <cellStyle name="40% - Accent3 4 3 2 2 3 5" xfId="23541"/>
    <cellStyle name="40% - Accent3 4 3 2 2 3 6" xfId="23542"/>
    <cellStyle name="40% - Accent3 4 3 2 2 4" xfId="23543"/>
    <cellStyle name="40% - Accent3 4 3 2 2 4 2" xfId="23544"/>
    <cellStyle name="40% - Accent3 4 3 2 2 4 2 2" xfId="23545"/>
    <cellStyle name="40% - Accent3 4 3 2 2 4 2 3" xfId="23546"/>
    <cellStyle name="40% - Accent3 4 3 2 2 4 3" xfId="23547"/>
    <cellStyle name="40% - Accent3 4 3 2 2 4 3 2" xfId="23548"/>
    <cellStyle name="40% - Accent3 4 3 2 2 4 3 3" xfId="23549"/>
    <cellStyle name="40% - Accent3 4 3 2 2 4 4" xfId="23550"/>
    <cellStyle name="40% - Accent3 4 3 2 2 4 4 2" xfId="23551"/>
    <cellStyle name="40% - Accent3 4 3 2 2 4 5" xfId="23552"/>
    <cellStyle name="40% - Accent3 4 3 2 2 4 6" xfId="23553"/>
    <cellStyle name="40% - Accent3 4 3 2 2 5" xfId="23554"/>
    <cellStyle name="40% - Accent3 4 3 2 2 5 2" xfId="23555"/>
    <cellStyle name="40% - Accent3 4 3 2 2 5 2 2" xfId="23556"/>
    <cellStyle name="40% - Accent3 4 3 2 2 5 2 3" xfId="23557"/>
    <cellStyle name="40% - Accent3 4 3 2 2 5 3" xfId="23558"/>
    <cellStyle name="40% - Accent3 4 3 2 2 5 3 2" xfId="23559"/>
    <cellStyle name="40% - Accent3 4 3 2 2 5 4" xfId="23560"/>
    <cellStyle name="40% - Accent3 4 3 2 2 5 5" xfId="23561"/>
    <cellStyle name="40% - Accent3 4 3 2 2 6" xfId="23562"/>
    <cellStyle name="40% - Accent3 4 3 2 2 6 2" xfId="23563"/>
    <cellStyle name="40% - Accent3 4 3 2 2 6 3" xfId="23564"/>
    <cellStyle name="40% - Accent3 4 3 2 2 7" xfId="23565"/>
    <cellStyle name="40% - Accent3 4 3 2 2 7 2" xfId="23566"/>
    <cellStyle name="40% - Accent3 4 3 2 2 7 3" xfId="23567"/>
    <cellStyle name="40% - Accent3 4 3 2 2 8" xfId="23568"/>
    <cellStyle name="40% - Accent3 4 3 2 2 8 2" xfId="23569"/>
    <cellStyle name="40% - Accent3 4 3 2 2 9" xfId="23570"/>
    <cellStyle name="40% - Accent3 4 3 2 3" xfId="2017"/>
    <cellStyle name="40% - Accent3 4 3 2 3 2" xfId="23571"/>
    <cellStyle name="40% - Accent3 4 3 2 3 2 2" xfId="23572"/>
    <cellStyle name="40% - Accent3 4 3 2 3 2 2 2" xfId="23573"/>
    <cellStyle name="40% - Accent3 4 3 2 3 2 2 3" xfId="23574"/>
    <cellStyle name="40% - Accent3 4 3 2 3 2 3" xfId="23575"/>
    <cellStyle name="40% - Accent3 4 3 2 3 2 3 2" xfId="23576"/>
    <cellStyle name="40% - Accent3 4 3 2 3 2 3 3" xfId="23577"/>
    <cellStyle name="40% - Accent3 4 3 2 3 2 4" xfId="23578"/>
    <cellStyle name="40% - Accent3 4 3 2 3 2 4 2" xfId="23579"/>
    <cellStyle name="40% - Accent3 4 3 2 3 2 5" xfId="23580"/>
    <cellStyle name="40% - Accent3 4 3 2 3 2 6" xfId="23581"/>
    <cellStyle name="40% - Accent3 4 3 2 3 3" xfId="23582"/>
    <cellStyle name="40% - Accent3 4 3 2 3 3 2" xfId="23583"/>
    <cellStyle name="40% - Accent3 4 3 2 3 3 2 2" xfId="23584"/>
    <cellStyle name="40% - Accent3 4 3 2 3 3 2 3" xfId="23585"/>
    <cellStyle name="40% - Accent3 4 3 2 3 3 3" xfId="23586"/>
    <cellStyle name="40% - Accent3 4 3 2 3 3 3 2" xfId="23587"/>
    <cellStyle name="40% - Accent3 4 3 2 3 3 3 3" xfId="23588"/>
    <cellStyle name="40% - Accent3 4 3 2 3 3 4" xfId="23589"/>
    <cellStyle name="40% - Accent3 4 3 2 3 3 4 2" xfId="23590"/>
    <cellStyle name="40% - Accent3 4 3 2 3 3 5" xfId="23591"/>
    <cellStyle name="40% - Accent3 4 3 2 3 3 6" xfId="23592"/>
    <cellStyle name="40% - Accent3 4 3 2 3 4" xfId="23593"/>
    <cellStyle name="40% - Accent3 4 3 2 3 4 2" xfId="23594"/>
    <cellStyle name="40% - Accent3 4 3 2 3 4 2 2" xfId="23595"/>
    <cellStyle name="40% - Accent3 4 3 2 3 4 2 3" xfId="23596"/>
    <cellStyle name="40% - Accent3 4 3 2 3 4 3" xfId="23597"/>
    <cellStyle name="40% - Accent3 4 3 2 3 4 3 2" xfId="23598"/>
    <cellStyle name="40% - Accent3 4 3 2 3 4 4" xfId="23599"/>
    <cellStyle name="40% - Accent3 4 3 2 3 4 5" xfId="23600"/>
    <cellStyle name="40% - Accent3 4 3 2 3 5" xfId="23601"/>
    <cellStyle name="40% - Accent3 4 3 2 3 5 2" xfId="23602"/>
    <cellStyle name="40% - Accent3 4 3 2 3 5 3" xfId="23603"/>
    <cellStyle name="40% - Accent3 4 3 2 3 6" xfId="23604"/>
    <cellStyle name="40% - Accent3 4 3 2 3 6 2" xfId="23605"/>
    <cellStyle name="40% - Accent3 4 3 2 3 6 3" xfId="23606"/>
    <cellStyle name="40% - Accent3 4 3 2 3 7" xfId="23607"/>
    <cellStyle name="40% - Accent3 4 3 2 3 7 2" xfId="23608"/>
    <cellStyle name="40% - Accent3 4 3 2 3 8" xfId="23609"/>
    <cellStyle name="40% - Accent3 4 3 2 3 9" xfId="23610"/>
    <cellStyle name="40% - Accent3 4 3 2 4" xfId="23611"/>
    <cellStyle name="40% - Accent3 4 3 2 4 2" xfId="23612"/>
    <cellStyle name="40% - Accent3 4 3 2 4 2 2" xfId="23613"/>
    <cellStyle name="40% - Accent3 4 3 2 4 2 2 2" xfId="23614"/>
    <cellStyle name="40% - Accent3 4 3 2 4 2 2 3" xfId="23615"/>
    <cellStyle name="40% - Accent3 4 3 2 4 2 3" xfId="23616"/>
    <cellStyle name="40% - Accent3 4 3 2 4 2 3 2" xfId="23617"/>
    <cellStyle name="40% - Accent3 4 3 2 4 2 3 3" xfId="23618"/>
    <cellStyle name="40% - Accent3 4 3 2 4 2 4" xfId="23619"/>
    <cellStyle name="40% - Accent3 4 3 2 4 2 4 2" xfId="23620"/>
    <cellStyle name="40% - Accent3 4 3 2 4 2 5" xfId="23621"/>
    <cellStyle name="40% - Accent3 4 3 2 4 2 6" xfId="23622"/>
    <cellStyle name="40% - Accent3 4 3 2 4 3" xfId="23623"/>
    <cellStyle name="40% - Accent3 4 3 2 4 3 2" xfId="23624"/>
    <cellStyle name="40% - Accent3 4 3 2 4 3 2 2" xfId="23625"/>
    <cellStyle name="40% - Accent3 4 3 2 4 3 2 3" xfId="23626"/>
    <cellStyle name="40% - Accent3 4 3 2 4 3 3" xfId="23627"/>
    <cellStyle name="40% - Accent3 4 3 2 4 3 3 2" xfId="23628"/>
    <cellStyle name="40% - Accent3 4 3 2 4 3 3 3" xfId="23629"/>
    <cellStyle name="40% - Accent3 4 3 2 4 3 4" xfId="23630"/>
    <cellStyle name="40% - Accent3 4 3 2 4 3 4 2" xfId="23631"/>
    <cellStyle name="40% - Accent3 4 3 2 4 3 5" xfId="23632"/>
    <cellStyle name="40% - Accent3 4 3 2 4 3 6" xfId="23633"/>
    <cellStyle name="40% - Accent3 4 3 2 4 4" xfId="23634"/>
    <cellStyle name="40% - Accent3 4 3 2 4 4 2" xfId="23635"/>
    <cellStyle name="40% - Accent3 4 3 2 4 4 2 2" xfId="23636"/>
    <cellStyle name="40% - Accent3 4 3 2 4 4 2 3" xfId="23637"/>
    <cellStyle name="40% - Accent3 4 3 2 4 4 3" xfId="23638"/>
    <cellStyle name="40% - Accent3 4 3 2 4 4 3 2" xfId="23639"/>
    <cellStyle name="40% - Accent3 4 3 2 4 4 4" xfId="23640"/>
    <cellStyle name="40% - Accent3 4 3 2 4 4 5" xfId="23641"/>
    <cellStyle name="40% - Accent3 4 3 2 4 5" xfId="23642"/>
    <cellStyle name="40% - Accent3 4 3 2 4 5 2" xfId="23643"/>
    <cellStyle name="40% - Accent3 4 3 2 4 5 3" xfId="23644"/>
    <cellStyle name="40% - Accent3 4 3 2 4 6" xfId="23645"/>
    <cellStyle name="40% - Accent3 4 3 2 4 6 2" xfId="23646"/>
    <cellStyle name="40% - Accent3 4 3 2 4 6 3" xfId="23647"/>
    <cellStyle name="40% - Accent3 4 3 2 4 7" xfId="23648"/>
    <cellStyle name="40% - Accent3 4 3 2 4 7 2" xfId="23649"/>
    <cellStyle name="40% - Accent3 4 3 2 4 8" xfId="23650"/>
    <cellStyle name="40% - Accent3 4 3 2 4 9" xfId="23651"/>
    <cellStyle name="40% - Accent3 4 3 2 5" xfId="23652"/>
    <cellStyle name="40% - Accent3 4 3 2 5 2" xfId="23653"/>
    <cellStyle name="40% - Accent3 4 3 2 5 2 2" xfId="23654"/>
    <cellStyle name="40% - Accent3 4 3 2 5 2 3" xfId="23655"/>
    <cellStyle name="40% - Accent3 4 3 2 5 3" xfId="23656"/>
    <cellStyle name="40% - Accent3 4 3 2 5 3 2" xfId="23657"/>
    <cellStyle name="40% - Accent3 4 3 2 5 3 3" xfId="23658"/>
    <cellStyle name="40% - Accent3 4 3 2 5 4" xfId="23659"/>
    <cellStyle name="40% - Accent3 4 3 2 5 4 2" xfId="23660"/>
    <cellStyle name="40% - Accent3 4 3 2 5 5" xfId="23661"/>
    <cellStyle name="40% - Accent3 4 3 2 5 6" xfId="23662"/>
    <cellStyle name="40% - Accent3 4 3 2 6" xfId="23663"/>
    <cellStyle name="40% - Accent3 4 3 2 6 2" xfId="23664"/>
    <cellStyle name="40% - Accent3 4 3 2 6 2 2" xfId="23665"/>
    <cellStyle name="40% - Accent3 4 3 2 6 2 3" xfId="23666"/>
    <cellStyle name="40% - Accent3 4 3 2 6 3" xfId="23667"/>
    <cellStyle name="40% - Accent3 4 3 2 6 3 2" xfId="23668"/>
    <cellStyle name="40% - Accent3 4 3 2 6 3 3" xfId="23669"/>
    <cellStyle name="40% - Accent3 4 3 2 6 4" xfId="23670"/>
    <cellStyle name="40% - Accent3 4 3 2 6 4 2" xfId="23671"/>
    <cellStyle name="40% - Accent3 4 3 2 6 5" xfId="23672"/>
    <cellStyle name="40% - Accent3 4 3 2 6 6" xfId="23673"/>
    <cellStyle name="40% - Accent3 4 3 2 7" xfId="23674"/>
    <cellStyle name="40% - Accent3 4 3 2 7 2" xfId="23675"/>
    <cellStyle name="40% - Accent3 4 3 2 7 2 2" xfId="23676"/>
    <cellStyle name="40% - Accent3 4 3 2 7 2 3" xfId="23677"/>
    <cellStyle name="40% - Accent3 4 3 2 7 3" xfId="23678"/>
    <cellStyle name="40% - Accent3 4 3 2 7 3 2" xfId="23679"/>
    <cellStyle name="40% - Accent3 4 3 2 7 4" xfId="23680"/>
    <cellStyle name="40% - Accent3 4 3 2 7 5" xfId="23681"/>
    <cellStyle name="40% - Accent3 4 3 2 8" xfId="23682"/>
    <cellStyle name="40% - Accent3 4 3 2 8 2" xfId="23683"/>
    <cellStyle name="40% - Accent3 4 3 2 8 3" xfId="23684"/>
    <cellStyle name="40% - Accent3 4 3 2 9" xfId="23685"/>
    <cellStyle name="40% - Accent3 4 3 2 9 2" xfId="23686"/>
    <cellStyle name="40% - Accent3 4 3 2 9 3" xfId="23687"/>
    <cellStyle name="40% - Accent3 4 3 3" xfId="2018"/>
    <cellStyle name="40% - Accent3 4 3 3 10" xfId="23688"/>
    <cellStyle name="40% - Accent3 4 3 3 2" xfId="2019"/>
    <cellStyle name="40% - Accent3 4 3 3 2 2" xfId="23689"/>
    <cellStyle name="40% - Accent3 4 3 3 2 2 2" xfId="23690"/>
    <cellStyle name="40% - Accent3 4 3 3 2 2 2 2" xfId="23691"/>
    <cellStyle name="40% - Accent3 4 3 3 2 2 2 3" xfId="23692"/>
    <cellStyle name="40% - Accent3 4 3 3 2 2 3" xfId="23693"/>
    <cellStyle name="40% - Accent3 4 3 3 2 2 3 2" xfId="23694"/>
    <cellStyle name="40% - Accent3 4 3 3 2 2 3 3" xfId="23695"/>
    <cellStyle name="40% - Accent3 4 3 3 2 2 4" xfId="23696"/>
    <cellStyle name="40% - Accent3 4 3 3 2 2 4 2" xfId="23697"/>
    <cellStyle name="40% - Accent3 4 3 3 2 2 5" xfId="23698"/>
    <cellStyle name="40% - Accent3 4 3 3 2 2 6" xfId="23699"/>
    <cellStyle name="40% - Accent3 4 3 3 2 3" xfId="23700"/>
    <cellStyle name="40% - Accent3 4 3 3 2 3 2" xfId="23701"/>
    <cellStyle name="40% - Accent3 4 3 3 2 3 2 2" xfId="23702"/>
    <cellStyle name="40% - Accent3 4 3 3 2 3 2 3" xfId="23703"/>
    <cellStyle name="40% - Accent3 4 3 3 2 3 3" xfId="23704"/>
    <cellStyle name="40% - Accent3 4 3 3 2 3 3 2" xfId="23705"/>
    <cellStyle name="40% - Accent3 4 3 3 2 3 3 3" xfId="23706"/>
    <cellStyle name="40% - Accent3 4 3 3 2 3 4" xfId="23707"/>
    <cellStyle name="40% - Accent3 4 3 3 2 3 4 2" xfId="23708"/>
    <cellStyle name="40% - Accent3 4 3 3 2 3 5" xfId="23709"/>
    <cellStyle name="40% - Accent3 4 3 3 2 3 6" xfId="23710"/>
    <cellStyle name="40% - Accent3 4 3 3 2 4" xfId="23711"/>
    <cellStyle name="40% - Accent3 4 3 3 2 4 2" xfId="23712"/>
    <cellStyle name="40% - Accent3 4 3 3 2 4 2 2" xfId="23713"/>
    <cellStyle name="40% - Accent3 4 3 3 2 4 2 3" xfId="23714"/>
    <cellStyle name="40% - Accent3 4 3 3 2 4 3" xfId="23715"/>
    <cellStyle name="40% - Accent3 4 3 3 2 4 3 2" xfId="23716"/>
    <cellStyle name="40% - Accent3 4 3 3 2 4 4" xfId="23717"/>
    <cellStyle name="40% - Accent3 4 3 3 2 4 5" xfId="23718"/>
    <cellStyle name="40% - Accent3 4 3 3 2 5" xfId="23719"/>
    <cellStyle name="40% - Accent3 4 3 3 2 5 2" xfId="23720"/>
    <cellStyle name="40% - Accent3 4 3 3 2 5 3" xfId="23721"/>
    <cellStyle name="40% - Accent3 4 3 3 2 6" xfId="23722"/>
    <cellStyle name="40% - Accent3 4 3 3 2 6 2" xfId="23723"/>
    <cellStyle name="40% - Accent3 4 3 3 2 6 3" xfId="23724"/>
    <cellStyle name="40% - Accent3 4 3 3 2 7" xfId="23725"/>
    <cellStyle name="40% - Accent3 4 3 3 2 7 2" xfId="23726"/>
    <cellStyle name="40% - Accent3 4 3 3 2 8" xfId="23727"/>
    <cellStyle name="40% - Accent3 4 3 3 2 9" xfId="23728"/>
    <cellStyle name="40% - Accent3 4 3 3 3" xfId="23729"/>
    <cellStyle name="40% - Accent3 4 3 3 3 2" xfId="23730"/>
    <cellStyle name="40% - Accent3 4 3 3 3 2 2" xfId="23731"/>
    <cellStyle name="40% - Accent3 4 3 3 3 2 3" xfId="23732"/>
    <cellStyle name="40% - Accent3 4 3 3 3 3" xfId="23733"/>
    <cellStyle name="40% - Accent3 4 3 3 3 3 2" xfId="23734"/>
    <cellStyle name="40% - Accent3 4 3 3 3 3 3" xfId="23735"/>
    <cellStyle name="40% - Accent3 4 3 3 3 4" xfId="23736"/>
    <cellStyle name="40% - Accent3 4 3 3 3 4 2" xfId="23737"/>
    <cellStyle name="40% - Accent3 4 3 3 3 5" xfId="23738"/>
    <cellStyle name="40% - Accent3 4 3 3 3 6" xfId="23739"/>
    <cellStyle name="40% - Accent3 4 3 3 4" xfId="23740"/>
    <cellStyle name="40% - Accent3 4 3 3 4 2" xfId="23741"/>
    <cellStyle name="40% - Accent3 4 3 3 4 2 2" xfId="23742"/>
    <cellStyle name="40% - Accent3 4 3 3 4 2 3" xfId="23743"/>
    <cellStyle name="40% - Accent3 4 3 3 4 3" xfId="23744"/>
    <cellStyle name="40% - Accent3 4 3 3 4 3 2" xfId="23745"/>
    <cellStyle name="40% - Accent3 4 3 3 4 3 3" xfId="23746"/>
    <cellStyle name="40% - Accent3 4 3 3 4 4" xfId="23747"/>
    <cellStyle name="40% - Accent3 4 3 3 4 4 2" xfId="23748"/>
    <cellStyle name="40% - Accent3 4 3 3 4 5" xfId="23749"/>
    <cellStyle name="40% - Accent3 4 3 3 4 6" xfId="23750"/>
    <cellStyle name="40% - Accent3 4 3 3 5" xfId="23751"/>
    <cellStyle name="40% - Accent3 4 3 3 5 2" xfId="23752"/>
    <cellStyle name="40% - Accent3 4 3 3 5 2 2" xfId="23753"/>
    <cellStyle name="40% - Accent3 4 3 3 5 2 3" xfId="23754"/>
    <cellStyle name="40% - Accent3 4 3 3 5 3" xfId="23755"/>
    <cellStyle name="40% - Accent3 4 3 3 5 3 2" xfId="23756"/>
    <cellStyle name="40% - Accent3 4 3 3 5 4" xfId="23757"/>
    <cellStyle name="40% - Accent3 4 3 3 5 5" xfId="23758"/>
    <cellStyle name="40% - Accent3 4 3 3 6" xfId="23759"/>
    <cellStyle name="40% - Accent3 4 3 3 6 2" xfId="23760"/>
    <cellStyle name="40% - Accent3 4 3 3 6 3" xfId="23761"/>
    <cellStyle name="40% - Accent3 4 3 3 7" xfId="23762"/>
    <cellStyle name="40% - Accent3 4 3 3 7 2" xfId="23763"/>
    <cellStyle name="40% - Accent3 4 3 3 7 3" xfId="23764"/>
    <cellStyle name="40% - Accent3 4 3 3 8" xfId="23765"/>
    <cellStyle name="40% - Accent3 4 3 3 8 2" xfId="23766"/>
    <cellStyle name="40% - Accent3 4 3 3 9" xfId="23767"/>
    <cellStyle name="40% - Accent3 4 3 4" xfId="2020"/>
    <cellStyle name="40% - Accent3 4 3 4 2" xfId="23768"/>
    <cellStyle name="40% - Accent3 4 3 4 2 2" xfId="23769"/>
    <cellStyle name="40% - Accent3 4 3 4 2 2 2" xfId="23770"/>
    <cellStyle name="40% - Accent3 4 3 4 2 2 3" xfId="23771"/>
    <cellStyle name="40% - Accent3 4 3 4 2 3" xfId="23772"/>
    <cellStyle name="40% - Accent3 4 3 4 2 3 2" xfId="23773"/>
    <cellStyle name="40% - Accent3 4 3 4 2 3 3" xfId="23774"/>
    <cellStyle name="40% - Accent3 4 3 4 2 4" xfId="23775"/>
    <cellStyle name="40% - Accent3 4 3 4 2 4 2" xfId="23776"/>
    <cellStyle name="40% - Accent3 4 3 4 2 5" xfId="23777"/>
    <cellStyle name="40% - Accent3 4 3 4 2 6" xfId="23778"/>
    <cellStyle name="40% - Accent3 4 3 4 3" xfId="23779"/>
    <cellStyle name="40% - Accent3 4 3 4 3 2" xfId="23780"/>
    <cellStyle name="40% - Accent3 4 3 4 3 2 2" xfId="23781"/>
    <cellStyle name="40% - Accent3 4 3 4 3 2 3" xfId="23782"/>
    <cellStyle name="40% - Accent3 4 3 4 3 3" xfId="23783"/>
    <cellStyle name="40% - Accent3 4 3 4 3 3 2" xfId="23784"/>
    <cellStyle name="40% - Accent3 4 3 4 3 3 3" xfId="23785"/>
    <cellStyle name="40% - Accent3 4 3 4 3 4" xfId="23786"/>
    <cellStyle name="40% - Accent3 4 3 4 3 4 2" xfId="23787"/>
    <cellStyle name="40% - Accent3 4 3 4 3 5" xfId="23788"/>
    <cellStyle name="40% - Accent3 4 3 4 3 6" xfId="23789"/>
    <cellStyle name="40% - Accent3 4 3 4 4" xfId="23790"/>
    <cellStyle name="40% - Accent3 4 3 4 4 2" xfId="23791"/>
    <cellStyle name="40% - Accent3 4 3 4 4 2 2" xfId="23792"/>
    <cellStyle name="40% - Accent3 4 3 4 4 2 3" xfId="23793"/>
    <cellStyle name="40% - Accent3 4 3 4 4 3" xfId="23794"/>
    <cellStyle name="40% - Accent3 4 3 4 4 3 2" xfId="23795"/>
    <cellStyle name="40% - Accent3 4 3 4 4 4" xfId="23796"/>
    <cellStyle name="40% - Accent3 4 3 4 4 5" xfId="23797"/>
    <cellStyle name="40% - Accent3 4 3 4 5" xfId="23798"/>
    <cellStyle name="40% - Accent3 4 3 4 5 2" xfId="23799"/>
    <cellStyle name="40% - Accent3 4 3 4 5 3" xfId="23800"/>
    <cellStyle name="40% - Accent3 4 3 4 6" xfId="23801"/>
    <cellStyle name="40% - Accent3 4 3 4 6 2" xfId="23802"/>
    <cellStyle name="40% - Accent3 4 3 4 6 3" xfId="23803"/>
    <cellStyle name="40% - Accent3 4 3 4 7" xfId="23804"/>
    <cellStyle name="40% - Accent3 4 3 4 7 2" xfId="23805"/>
    <cellStyle name="40% - Accent3 4 3 4 8" xfId="23806"/>
    <cellStyle name="40% - Accent3 4 3 4 9" xfId="23807"/>
    <cellStyle name="40% - Accent3 4 3 5" xfId="23808"/>
    <cellStyle name="40% - Accent3 4 3 5 2" xfId="23809"/>
    <cellStyle name="40% - Accent3 4 3 5 2 2" xfId="23810"/>
    <cellStyle name="40% - Accent3 4 3 5 2 2 2" xfId="23811"/>
    <cellStyle name="40% - Accent3 4 3 5 2 2 3" xfId="23812"/>
    <cellStyle name="40% - Accent3 4 3 5 2 3" xfId="23813"/>
    <cellStyle name="40% - Accent3 4 3 5 2 3 2" xfId="23814"/>
    <cellStyle name="40% - Accent3 4 3 5 2 3 3" xfId="23815"/>
    <cellStyle name="40% - Accent3 4 3 5 2 4" xfId="23816"/>
    <cellStyle name="40% - Accent3 4 3 5 2 4 2" xfId="23817"/>
    <cellStyle name="40% - Accent3 4 3 5 2 5" xfId="23818"/>
    <cellStyle name="40% - Accent3 4 3 5 2 6" xfId="23819"/>
    <cellStyle name="40% - Accent3 4 3 5 3" xfId="23820"/>
    <cellStyle name="40% - Accent3 4 3 5 3 2" xfId="23821"/>
    <cellStyle name="40% - Accent3 4 3 5 3 2 2" xfId="23822"/>
    <cellStyle name="40% - Accent3 4 3 5 3 2 3" xfId="23823"/>
    <cellStyle name="40% - Accent3 4 3 5 3 3" xfId="23824"/>
    <cellStyle name="40% - Accent3 4 3 5 3 3 2" xfId="23825"/>
    <cellStyle name="40% - Accent3 4 3 5 3 3 3" xfId="23826"/>
    <cellStyle name="40% - Accent3 4 3 5 3 4" xfId="23827"/>
    <cellStyle name="40% - Accent3 4 3 5 3 4 2" xfId="23828"/>
    <cellStyle name="40% - Accent3 4 3 5 3 5" xfId="23829"/>
    <cellStyle name="40% - Accent3 4 3 5 3 6" xfId="23830"/>
    <cellStyle name="40% - Accent3 4 3 5 4" xfId="23831"/>
    <cellStyle name="40% - Accent3 4 3 5 4 2" xfId="23832"/>
    <cellStyle name="40% - Accent3 4 3 5 4 2 2" xfId="23833"/>
    <cellStyle name="40% - Accent3 4 3 5 4 2 3" xfId="23834"/>
    <cellStyle name="40% - Accent3 4 3 5 4 3" xfId="23835"/>
    <cellStyle name="40% - Accent3 4 3 5 4 3 2" xfId="23836"/>
    <cellStyle name="40% - Accent3 4 3 5 4 4" xfId="23837"/>
    <cellStyle name="40% - Accent3 4 3 5 4 5" xfId="23838"/>
    <cellStyle name="40% - Accent3 4 3 5 5" xfId="23839"/>
    <cellStyle name="40% - Accent3 4 3 5 5 2" xfId="23840"/>
    <cellStyle name="40% - Accent3 4 3 5 5 3" xfId="23841"/>
    <cellStyle name="40% - Accent3 4 3 5 6" xfId="23842"/>
    <cellStyle name="40% - Accent3 4 3 5 6 2" xfId="23843"/>
    <cellStyle name="40% - Accent3 4 3 5 6 3" xfId="23844"/>
    <cellStyle name="40% - Accent3 4 3 5 7" xfId="23845"/>
    <cellStyle name="40% - Accent3 4 3 5 7 2" xfId="23846"/>
    <cellStyle name="40% - Accent3 4 3 5 8" xfId="23847"/>
    <cellStyle name="40% - Accent3 4 3 5 9" xfId="23848"/>
    <cellStyle name="40% - Accent3 4 3 6" xfId="23849"/>
    <cellStyle name="40% - Accent3 4 3 6 2" xfId="23850"/>
    <cellStyle name="40% - Accent3 4 3 6 2 2" xfId="23851"/>
    <cellStyle name="40% - Accent3 4 3 6 2 3" xfId="23852"/>
    <cellStyle name="40% - Accent3 4 3 6 3" xfId="23853"/>
    <cellStyle name="40% - Accent3 4 3 6 3 2" xfId="23854"/>
    <cellStyle name="40% - Accent3 4 3 6 3 3" xfId="23855"/>
    <cellStyle name="40% - Accent3 4 3 6 4" xfId="23856"/>
    <cellStyle name="40% - Accent3 4 3 6 4 2" xfId="23857"/>
    <cellStyle name="40% - Accent3 4 3 6 5" xfId="23858"/>
    <cellStyle name="40% - Accent3 4 3 6 6" xfId="23859"/>
    <cellStyle name="40% - Accent3 4 3 7" xfId="23860"/>
    <cellStyle name="40% - Accent3 4 3 7 2" xfId="23861"/>
    <cellStyle name="40% - Accent3 4 3 7 2 2" xfId="23862"/>
    <cellStyle name="40% - Accent3 4 3 7 2 3" xfId="23863"/>
    <cellStyle name="40% - Accent3 4 3 7 3" xfId="23864"/>
    <cellStyle name="40% - Accent3 4 3 7 3 2" xfId="23865"/>
    <cellStyle name="40% - Accent3 4 3 7 3 3" xfId="23866"/>
    <cellStyle name="40% - Accent3 4 3 7 4" xfId="23867"/>
    <cellStyle name="40% - Accent3 4 3 7 4 2" xfId="23868"/>
    <cellStyle name="40% - Accent3 4 3 7 5" xfId="23869"/>
    <cellStyle name="40% - Accent3 4 3 7 6" xfId="23870"/>
    <cellStyle name="40% - Accent3 4 3 8" xfId="23871"/>
    <cellStyle name="40% - Accent3 4 3 8 2" xfId="23872"/>
    <cellStyle name="40% - Accent3 4 3 8 2 2" xfId="23873"/>
    <cellStyle name="40% - Accent3 4 3 8 2 3" xfId="23874"/>
    <cellStyle name="40% - Accent3 4 3 8 3" xfId="23875"/>
    <cellStyle name="40% - Accent3 4 3 8 3 2" xfId="23876"/>
    <cellStyle name="40% - Accent3 4 3 8 4" xfId="23877"/>
    <cellStyle name="40% - Accent3 4 3 8 5" xfId="23878"/>
    <cellStyle name="40% - Accent3 4 3 9" xfId="23879"/>
    <cellStyle name="40% - Accent3 4 3 9 2" xfId="23880"/>
    <cellStyle name="40% - Accent3 4 3 9 3" xfId="23881"/>
    <cellStyle name="40% - Accent3 4 4" xfId="2021"/>
    <cellStyle name="40% - Accent3 4 4 10" xfId="23882"/>
    <cellStyle name="40% - Accent3 4 4 10 2" xfId="23883"/>
    <cellStyle name="40% - Accent3 4 4 11" xfId="23884"/>
    <cellStyle name="40% - Accent3 4 4 12" xfId="23885"/>
    <cellStyle name="40% - Accent3 4 4 2" xfId="2022"/>
    <cellStyle name="40% - Accent3 4 4 2 10" xfId="23886"/>
    <cellStyle name="40% - Accent3 4 4 2 2" xfId="2023"/>
    <cellStyle name="40% - Accent3 4 4 2 2 2" xfId="23887"/>
    <cellStyle name="40% - Accent3 4 4 2 2 2 2" xfId="23888"/>
    <cellStyle name="40% - Accent3 4 4 2 2 2 2 2" xfId="23889"/>
    <cellStyle name="40% - Accent3 4 4 2 2 2 2 3" xfId="23890"/>
    <cellStyle name="40% - Accent3 4 4 2 2 2 3" xfId="23891"/>
    <cellStyle name="40% - Accent3 4 4 2 2 2 3 2" xfId="23892"/>
    <cellStyle name="40% - Accent3 4 4 2 2 2 3 3" xfId="23893"/>
    <cellStyle name="40% - Accent3 4 4 2 2 2 4" xfId="23894"/>
    <cellStyle name="40% - Accent3 4 4 2 2 2 4 2" xfId="23895"/>
    <cellStyle name="40% - Accent3 4 4 2 2 2 5" xfId="23896"/>
    <cellStyle name="40% - Accent3 4 4 2 2 2 6" xfId="23897"/>
    <cellStyle name="40% - Accent3 4 4 2 2 3" xfId="23898"/>
    <cellStyle name="40% - Accent3 4 4 2 2 3 2" xfId="23899"/>
    <cellStyle name="40% - Accent3 4 4 2 2 3 2 2" xfId="23900"/>
    <cellStyle name="40% - Accent3 4 4 2 2 3 2 3" xfId="23901"/>
    <cellStyle name="40% - Accent3 4 4 2 2 3 3" xfId="23902"/>
    <cellStyle name="40% - Accent3 4 4 2 2 3 3 2" xfId="23903"/>
    <cellStyle name="40% - Accent3 4 4 2 2 3 3 3" xfId="23904"/>
    <cellStyle name="40% - Accent3 4 4 2 2 3 4" xfId="23905"/>
    <cellStyle name="40% - Accent3 4 4 2 2 3 4 2" xfId="23906"/>
    <cellStyle name="40% - Accent3 4 4 2 2 3 5" xfId="23907"/>
    <cellStyle name="40% - Accent3 4 4 2 2 3 6" xfId="23908"/>
    <cellStyle name="40% - Accent3 4 4 2 2 4" xfId="23909"/>
    <cellStyle name="40% - Accent3 4 4 2 2 4 2" xfId="23910"/>
    <cellStyle name="40% - Accent3 4 4 2 2 4 2 2" xfId="23911"/>
    <cellStyle name="40% - Accent3 4 4 2 2 4 2 3" xfId="23912"/>
    <cellStyle name="40% - Accent3 4 4 2 2 4 3" xfId="23913"/>
    <cellStyle name="40% - Accent3 4 4 2 2 4 3 2" xfId="23914"/>
    <cellStyle name="40% - Accent3 4 4 2 2 4 4" xfId="23915"/>
    <cellStyle name="40% - Accent3 4 4 2 2 4 5" xfId="23916"/>
    <cellStyle name="40% - Accent3 4 4 2 2 5" xfId="23917"/>
    <cellStyle name="40% - Accent3 4 4 2 2 5 2" xfId="23918"/>
    <cellStyle name="40% - Accent3 4 4 2 2 5 3" xfId="23919"/>
    <cellStyle name="40% - Accent3 4 4 2 2 6" xfId="23920"/>
    <cellStyle name="40% - Accent3 4 4 2 2 6 2" xfId="23921"/>
    <cellStyle name="40% - Accent3 4 4 2 2 6 3" xfId="23922"/>
    <cellStyle name="40% - Accent3 4 4 2 2 7" xfId="23923"/>
    <cellStyle name="40% - Accent3 4 4 2 2 7 2" xfId="23924"/>
    <cellStyle name="40% - Accent3 4 4 2 2 8" xfId="23925"/>
    <cellStyle name="40% - Accent3 4 4 2 2 9" xfId="23926"/>
    <cellStyle name="40% - Accent3 4 4 2 3" xfId="23927"/>
    <cellStyle name="40% - Accent3 4 4 2 3 2" xfId="23928"/>
    <cellStyle name="40% - Accent3 4 4 2 3 2 2" xfId="23929"/>
    <cellStyle name="40% - Accent3 4 4 2 3 2 3" xfId="23930"/>
    <cellStyle name="40% - Accent3 4 4 2 3 3" xfId="23931"/>
    <cellStyle name="40% - Accent3 4 4 2 3 3 2" xfId="23932"/>
    <cellStyle name="40% - Accent3 4 4 2 3 3 3" xfId="23933"/>
    <cellStyle name="40% - Accent3 4 4 2 3 4" xfId="23934"/>
    <cellStyle name="40% - Accent3 4 4 2 3 4 2" xfId="23935"/>
    <cellStyle name="40% - Accent3 4 4 2 3 5" xfId="23936"/>
    <cellStyle name="40% - Accent3 4 4 2 3 6" xfId="23937"/>
    <cellStyle name="40% - Accent3 4 4 2 4" xfId="23938"/>
    <cellStyle name="40% - Accent3 4 4 2 4 2" xfId="23939"/>
    <cellStyle name="40% - Accent3 4 4 2 4 2 2" xfId="23940"/>
    <cellStyle name="40% - Accent3 4 4 2 4 2 3" xfId="23941"/>
    <cellStyle name="40% - Accent3 4 4 2 4 3" xfId="23942"/>
    <cellStyle name="40% - Accent3 4 4 2 4 3 2" xfId="23943"/>
    <cellStyle name="40% - Accent3 4 4 2 4 3 3" xfId="23944"/>
    <cellStyle name="40% - Accent3 4 4 2 4 4" xfId="23945"/>
    <cellStyle name="40% - Accent3 4 4 2 4 4 2" xfId="23946"/>
    <cellStyle name="40% - Accent3 4 4 2 4 5" xfId="23947"/>
    <cellStyle name="40% - Accent3 4 4 2 4 6" xfId="23948"/>
    <cellStyle name="40% - Accent3 4 4 2 5" xfId="23949"/>
    <cellStyle name="40% - Accent3 4 4 2 5 2" xfId="23950"/>
    <cellStyle name="40% - Accent3 4 4 2 5 2 2" xfId="23951"/>
    <cellStyle name="40% - Accent3 4 4 2 5 2 3" xfId="23952"/>
    <cellStyle name="40% - Accent3 4 4 2 5 3" xfId="23953"/>
    <cellStyle name="40% - Accent3 4 4 2 5 3 2" xfId="23954"/>
    <cellStyle name="40% - Accent3 4 4 2 5 4" xfId="23955"/>
    <cellStyle name="40% - Accent3 4 4 2 5 5" xfId="23956"/>
    <cellStyle name="40% - Accent3 4 4 2 6" xfId="23957"/>
    <cellStyle name="40% - Accent3 4 4 2 6 2" xfId="23958"/>
    <cellStyle name="40% - Accent3 4 4 2 6 3" xfId="23959"/>
    <cellStyle name="40% - Accent3 4 4 2 7" xfId="23960"/>
    <cellStyle name="40% - Accent3 4 4 2 7 2" xfId="23961"/>
    <cellStyle name="40% - Accent3 4 4 2 7 3" xfId="23962"/>
    <cellStyle name="40% - Accent3 4 4 2 8" xfId="23963"/>
    <cellStyle name="40% - Accent3 4 4 2 8 2" xfId="23964"/>
    <cellStyle name="40% - Accent3 4 4 2 9" xfId="23965"/>
    <cellStyle name="40% - Accent3 4 4 3" xfId="2024"/>
    <cellStyle name="40% - Accent3 4 4 3 2" xfId="23966"/>
    <cellStyle name="40% - Accent3 4 4 3 2 2" xfId="23967"/>
    <cellStyle name="40% - Accent3 4 4 3 2 2 2" xfId="23968"/>
    <cellStyle name="40% - Accent3 4 4 3 2 2 3" xfId="23969"/>
    <cellStyle name="40% - Accent3 4 4 3 2 3" xfId="23970"/>
    <cellStyle name="40% - Accent3 4 4 3 2 3 2" xfId="23971"/>
    <cellStyle name="40% - Accent3 4 4 3 2 3 3" xfId="23972"/>
    <cellStyle name="40% - Accent3 4 4 3 2 4" xfId="23973"/>
    <cellStyle name="40% - Accent3 4 4 3 2 4 2" xfId="23974"/>
    <cellStyle name="40% - Accent3 4 4 3 2 5" xfId="23975"/>
    <cellStyle name="40% - Accent3 4 4 3 2 6" xfId="23976"/>
    <cellStyle name="40% - Accent3 4 4 3 3" xfId="23977"/>
    <cellStyle name="40% - Accent3 4 4 3 3 2" xfId="23978"/>
    <cellStyle name="40% - Accent3 4 4 3 3 2 2" xfId="23979"/>
    <cellStyle name="40% - Accent3 4 4 3 3 2 3" xfId="23980"/>
    <cellStyle name="40% - Accent3 4 4 3 3 3" xfId="23981"/>
    <cellStyle name="40% - Accent3 4 4 3 3 3 2" xfId="23982"/>
    <cellStyle name="40% - Accent3 4 4 3 3 3 3" xfId="23983"/>
    <cellStyle name="40% - Accent3 4 4 3 3 4" xfId="23984"/>
    <cellStyle name="40% - Accent3 4 4 3 3 4 2" xfId="23985"/>
    <cellStyle name="40% - Accent3 4 4 3 3 5" xfId="23986"/>
    <cellStyle name="40% - Accent3 4 4 3 3 6" xfId="23987"/>
    <cellStyle name="40% - Accent3 4 4 3 4" xfId="23988"/>
    <cellStyle name="40% - Accent3 4 4 3 4 2" xfId="23989"/>
    <cellStyle name="40% - Accent3 4 4 3 4 2 2" xfId="23990"/>
    <cellStyle name="40% - Accent3 4 4 3 4 2 3" xfId="23991"/>
    <cellStyle name="40% - Accent3 4 4 3 4 3" xfId="23992"/>
    <cellStyle name="40% - Accent3 4 4 3 4 3 2" xfId="23993"/>
    <cellStyle name="40% - Accent3 4 4 3 4 4" xfId="23994"/>
    <cellStyle name="40% - Accent3 4 4 3 4 5" xfId="23995"/>
    <cellStyle name="40% - Accent3 4 4 3 5" xfId="23996"/>
    <cellStyle name="40% - Accent3 4 4 3 5 2" xfId="23997"/>
    <cellStyle name="40% - Accent3 4 4 3 5 3" xfId="23998"/>
    <cellStyle name="40% - Accent3 4 4 3 6" xfId="23999"/>
    <cellStyle name="40% - Accent3 4 4 3 6 2" xfId="24000"/>
    <cellStyle name="40% - Accent3 4 4 3 6 3" xfId="24001"/>
    <cellStyle name="40% - Accent3 4 4 3 7" xfId="24002"/>
    <cellStyle name="40% - Accent3 4 4 3 7 2" xfId="24003"/>
    <cellStyle name="40% - Accent3 4 4 3 8" xfId="24004"/>
    <cellStyle name="40% - Accent3 4 4 3 9" xfId="24005"/>
    <cellStyle name="40% - Accent3 4 4 4" xfId="24006"/>
    <cellStyle name="40% - Accent3 4 4 4 2" xfId="24007"/>
    <cellStyle name="40% - Accent3 4 4 4 2 2" xfId="24008"/>
    <cellStyle name="40% - Accent3 4 4 4 2 2 2" xfId="24009"/>
    <cellStyle name="40% - Accent3 4 4 4 2 2 3" xfId="24010"/>
    <cellStyle name="40% - Accent3 4 4 4 2 3" xfId="24011"/>
    <cellStyle name="40% - Accent3 4 4 4 2 3 2" xfId="24012"/>
    <cellStyle name="40% - Accent3 4 4 4 2 3 3" xfId="24013"/>
    <cellStyle name="40% - Accent3 4 4 4 2 4" xfId="24014"/>
    <cellStyle name="40% - Accent3 4 4 4 2 4 2" xfId="24015"/>
    <cellStyle name="40% - Accent3 4 4 4 2 5" xfId="24016"/>
    <cellStyle name="40% - Accent3 4 4 4 2 6" xfId="24017"/>
    <cellStyle name="40% - Accent3 4 4 4 3" xfId="24018"/>
    <cellStyle name="40% - Accent3 4 4 4 3 2" xfId="24019"/>
    <cellStyle name="40% - Accent3 4 4 4 3 2 2" xfId="24020"/>
    <cellStyle name="40% - Accent3 4 4 4 3 2 3" xfId="24021"/>
    <cellStyle name="40% - Accent3 4 4 4 3 3" xfId="24022"/>
    <cellStyle name="40% - Accent3 4 4 4 3 3 2" xfId="24023"/>
    <cellStyle name="40% - Accent3 4 4 4 3 3 3" xfId="24024"/>
    <cellStyle name="40% - Accent3 4 4 4 3 4" xfId="24025"/>
    <cellStyle name="40% - Accent3 4 4 4 3 4 2" xfId="24026"/>
    <cellStyle name="40% - Accent3 4 4 4 3 5" xfId="24027"/>
    <cellStyle name="40% - Accent3 4 4 4 3 6" xfId="24028"/>
    <cellStyle name="40% - Accent3 4 4 4 4" xfId="24029"/>
    <cellStyle name="40% - Accent3 4 4 4 4 2" xfId="24030"/>
    <cellStyle name="40% - Accent3 4 4 4 4 2 2" xfId="24031"/>
    <cellStyle name="40% - Accent3 4 4 4 4 2 3" xfId="24032"/>
    <cellStyle name="40% - Accent3 4 4 4 4 3" xfId="24033"/>
    <cellStyle name="40% - Accent3 4 4 4 4 3 2" xfId="24034"/>
    <cellStyle name="40% - Accent3 4 4 4 4 4" xfId="24035"/>
    <cellStyle name="40% - Accent3 4 4 4 4 5" xfId="24036"/>
    <cellStyle name="40% - Accent3 4 4 4 5" xfId="24037"/>
    <cellStyle name="40% - Accent3 4 4 4 5 2" xfId="24038"/>
    <cellStyle name="40% - Accent3 4 4 4 5 3" xfId="24039"/>
    <cellStyle name="40% - Accent3 4 4 4 6" xfId="24040"/>
    <cellStyle name="40% - Accent3 4 4 4 6 2" xfId="24041"/>
    <cellStyle name="40% - Accent3 4 4 4 6 3" xfId="24042"/>
    <cellStyle name="40% - Accent3 4 4 4 7" xfId="24043"/>
    <cellStyle name="40% - Accent3 4 4 4 7 2" xfId="24044"/>
    <cellStyle name="40% - Accent3 4 4 4 8" xfId="24045"/>
    <cellStyle name="40% - Accent3 4 4 4 9" xfId="24046"/>
    <cellStyle name="40% - Accent3 4 4 5" xfId="24047"/>
    <cellStyle name="40% - Accent3 4 4 5 2" xfId="24048"/>
    <cellStyle name="40% - Accent3 4 4 5 2 2" xfId="24049"/>
    <cellStyle name="40% - Accent3 4 4 5 2 3" xfId="24050"/>
    <cellStyle name="40% - Accent3 4 4 5 3" xfId="24051"/>
    <cellStyle name="40% - Accent3 4 4 5 3 2" xfId="24052"/>
    <cellStyle name="40% - Accent3 4 4 5 3 3" xfId="24053"/>
    <cellStyle name="40% - Accent3 4 4 5 4" xfId="24054"/>
    <cellStyle name="40% - Accent3 4 4 5 4 2" xfId="24055"/>
    <cellStyle name="40% - Accent3 4 4 5 5" xfId="24056"/>
    <cellStyle name="40% - Accent3 4 4 5 6" xfId="24057"/>
    <cellStyle name="40% - Accent3 4 4 6" xfId="24058"/>
    <cellStyle name="40% - Accent3 4 4 6 2" xfId="24059"/>
    <cellStyle name="40% - Accent3 4 4 6 2 2" xfId="24060"/>
    <cellStyle name="40% - Accent3 4 4 6 2 3" xfId="24061"/>
    <cellStyle name="40% - Accent3 4 4 6 3" xfId="24062"/>
    <cellStyle name="40% - Accent3 4 4 6 3 2" xfId="24063"/>
    <cellStyle name="40% - Accent3 4 4 6 3 3" xfId="24064"/>
    <cellStyle name="40% - Accent3 4 4 6 4" xfId="24065"/>
    <cellStyle name="40% - Accent3 4 4 6 4 2" xfId="24066"/>
    <cellStyle name="40% - Accent3 4 4 6 5" xfId="24067"/>
    <cellStyle name="40% - Accent3 4 4 6 6" xfId="24068"/>
    <cellStyle name="40% - Accent3 4 4 7" xfId="24069"/>
    <cellStyle name="40% - Accent3 4 4 7 2" xfId="24070"/>
    <cellStyle name="40% - Accent3 4 4 7 2 2" xfId="24071"/>
    <cellStyle name="40% - Accent3 4 4 7 2 3" xfId="24072"/>
    <cellStyle name="40% - Accent3 4 4 7 3" xfId="24073"/>
    <cellStyle name="40% - Accent3 4 4 7 3 2" xfId="24074"/>
    <cellStyle name="40% - Accent3 4 4 7 4" xfId="24075"/>
    <cellStyle name="40% - Accent3 4 4 7 5" xfId="24076"/>
    <cellStyle name="40% - Accent3 4 4 8" xfId="24077"/>
    <cellStyle name="40% - Accent3 4 4 8 2" xfId="24078"/>
    <cellStyle name="40% - Accent3 4 4 8 3" xfId="24079"/>
    <cellStyle name="40% - Accent3 4 4 9" xfId="24080"/>
    <cellStyle name="40% - Accent3 4 4 9 2" xfId="24081"/>
    <cellStyle name="40% - Accent3 4 4 9 3" xfId="24082"/>
    <cellStyle name="40% - Accent3 4 5" xfId="2025"/>
    <cellStyle name="40% - Accent3 4 5 10" xfId="24083"/>
    <cellStyle name="40% - Accent3 4 5 2" xfId="2026"/>
    <cellStyle name="40% - Accent3 4 5 2 2" xfId="24084"/>
    <cellStyle name="40% - Accent3 4 5 2 2 2" xfId="24085"/>
    <cellStyle name="40% - Accent3 4 5 2 2 2 2" xfId="24086"/>
    <cellStyle name="40% - Accent3 4 5 2 2 2 3" xfId="24087"/>
    <cellStyle name="40% - Accent3 4 5 2 2 3" xfId="24088"/>
    <cellStyle name="40% - Accent3 4 5 2 2 3 2" xfId="24089"/>
    <cellStyle name="40% - Accent3 4 5 2 2 3 3" xfId="24090"/>
    <cellStyle name="40% - Accent3 4 5 2 2 4" xfId="24091"/>
    <cellStyle name="40% - Accent3 4 5 2 2 4 2" xfId="24092"/>
    <cellStyle name="40% - Accent3 4 5 2 2 5" xfId="24093"/>
    <cellStyle name="40% - Accent3 4 5 2 2 6" xfId="24094"/>
    <cellStyle name="40% - Accent3 4 5 2 3" xfId="24095"/>
    <cellStyle name="40% - Accent3 4 5 2 3 2" xfId="24096"/>
    <cellStyle name="40% - Accent3 4 5 2 3 2 2" xfId="24097"/>
    <cellStyle name="40% - Accent3 4 5 2 3 2 3" xfId="24098"/>
    <cellStyle name="40% - Accent3 4 5 2 3 3" xfId="24099"/>
    <cellStyle name="40% - Accent3 4 5 2 3 3 2" xfId="24100"/>
    <cellStyle name="40% - Accent3 4 5 2 3 3 3" xfId="24101"/>
    <cellStyle name="40% - Accent3 4 5 2 3 4" xfId="24102"/>
    <cellStyle name="40% - Accent3 4 5 2 3 4 2" xfId="24103"/>
    <cellStyle name="40% - Accent3 4 5 2 3 5" xfId="24104"/>
    <cellStyle name="40% - Accent3 4 5 2 3 6" xfId="24105"/>
    <cellStyle name="40% - Accent3 4 5 2 4" xfId="24106"/>
    <cellStyle name="40% - Accent3 4 5 2 4 2" xfId="24107"/>
    <cellStyle name="40% - Accent3 4 5 2 4 2 2" xfId="24108"/>
    <cellStyle name="40% - Accent3 4 5 2 4 2 3" xfId="24109"/>
    <cellStyle name="40% - Accent3 4 5 2 4 3" xfId="24110"/>
    <cellStyle name="40% - Accent3 4 5 2 4 3 2" xfId="24111"/>
    <cellStyle name="40% - Accent3 4 5 2 4 4" xfId="24112"/>
    <cellStyle name="40% - Accent3 4 5 2 4 5" xfId="24113"/>
    <cellStyle name="40% - Accent3 4 5 2 5" xfId="24114"/>
    <cellStyle name="40% - Accent3 4 5 2 5 2" xfId="24115"/>
    <cellStyle name="40% - Accent3 4 5 2 5 3" xfId="24116"/>
    <cellStyle name="40% - Accent3 4 5 2 6" xfId="24117"/>
    <cellStyle name="40% - Accent3 4 5 2 6 2" xfId="24118"/>
    <cellStyle name="40% - Accent3 4 5 2 6 3" xfId="24119"/>
    <cellStyle name="40% - Accent3 4 5 2 7" xfId="24120"/>
    <cellStyle name="40% - Accent3 4 5 2 7 2" xfId="24121"/>
    <cellStyle name="40% - Accent3 4 5 2 8" xfId="24122"/>
    <cellStyle name="40% - Accent3 4 5 2 9" xfId="24123"/>
    <cellStyle name="40% - Accent3 4 5 3" xfId="24124"/>
    <cellStyle name="40% - Accent3 4 5 3 2" xfId="24125"/>
    <cellStyle name="40% - Accent3 4 5 3 2 2" xfId="24126"/>
    <cellStyle name="40% - Accent3 4 5 3 2 3" xfId="24127"/>
    <cellStyle name="40% - Accent3 4 5 3 3" xfId="24128"/>
    <cellStyle name="40% - Accent3 4 5 3 3 2" xfId="24129"/>
    <cellStyle name="40% - Accent3 4 5 3 3 3" xfId="24130"/>
    <cellStyle name="40% - Accent3 4 5 3 4" xfId="24131"/>
    <cellStyle name="40% - Accent3 4 5 3 4 2" xfId="24132"/>
    <cellStyle name="40% - Accent3 4 5 3 5" xfId="24133"/>
    <cellStyle name="40% - Accent3 4 5 3 6" xfId="24134"/>
    <cellStyle name="40% - Accent3 4 5 4" xfId="24135"/>
    <cellStyle name="40% - Accent3 4 5 4 2" xfId="24136"/>
    <cellStyle name="40% - Accent3 4 5 4 2 2" xfId="24137"/>
    <cellStyle name="40% - Accent3 4 5 4 2 3" xfId="24138"/>
    <cellStyle name="40% - Accent3 4 5 4 3" xfId="24139"/>
    <cellStyle name="40% - Accent3 4 5 4 3 2" xfId="24140"/>
    <cellStyle name="40% - Accent3 4 5 4 3 3" xfId="24141"/>
    <cellStyle name="40% - Accent3 4 5 4 4" xfId="24142"/>
    <cellStyle name="40% - Accent3 4 5 4 4 2" xfId="24143"/>
    <cellStyle name="40% - Accent3 4 5 4 5" xfId="24144"/>
    <cellStyle name="40% - Accent3 4 5 4 6" xfId="24145"/>
    <cellStyle name="40% - Accent3 4 5 5" xfId="24146"/>
    <cellStyle name="40% - Accent3 4 5 5 2" xfId="24147"/>
    <cellStyle name="40% - Accent3 4 5 5 2 2" xfId="24148"/>
    <cellStyle name="40% - Accent3 4 5 5 2 3" xfId="24149"/>
    <cellStyle name="40% - Accent3 4 5 5 3" xfId="24150"/>
    <cellStyle name="40% - Accent3 4 5 5 3 2" xfId="24151"/>
    <cellStyle name="40% - Accent3 4 5 5 4" xfId="24152"/>
    <cellStyle name="40% - Accent3 4 5 5 5" xfId="24153"/>
    <cellStyle name="40% - Accent3 4 5 6" xfId="24154"/>
    <cellStyle name="40% - Accent3 4 5 6 2" xfId="24155"/>
    <cellStyle name="40% - Accent3 4 5 6 3" xfId="24156"/>
    <cellStyle name="40% - Accent3 4 5 7" xfId="24157"/>
    <cellStyle name="40% - Accent3 4 5 7 2" xfId="24158"/>
    <cellStyle name="40% - Accent3 4 5 7 3" xfId="24159"/>
    <cellStyle name="40% - Accent3 4 5 8" xfId="24160"/>
    <cellStyle name="40% - Accent3 4 5 8 2" xfId="24161"/>
    <cellStyle name="40% - Accent3 4 5 9" xfId="24162"/>
    <cellStyle name="40% - Accent3 4 6" xfId="2027"/>
    <cellStyle name="40% - Accent3 4 6 2" xfId="24163"/>
    <cellStyle name="40% - Accent3 4 6 2 2" xfId="24164"/>
    <cellStyle name="40% - Accent3 4 6 2 2 2" xfId="24165"/>
    <cellStyle name="40% - Accent3 4 6 2 2 3" xfId="24166"/>
    <cellStyle name="40% - Accent3 4 6 2 3" xfId="24167"/>
    <cellStyle name="40% - Accent3 4 6 2 3 2" xfId="24168"/>
    <cellStyle name="40% - Accent3 4 6 2 3 3" xfId="24169"/>
    <cellStyle name="40% - Accent3 4 6 2 4" xfId="24170"/>
    <cellStyle name="40% - Accent3 4 6 2 4 2" xfId="24171"/>
    <cellStyle name="40% - Accent3 4 6 2 5" xfId="24172"/>
    <cellStyle name="40% - Accent3 4 6 2 6" xfId="24173"/>
    <cellStyle name="40% - Accent3 4 6 3" xfId="24174"/>
    <cellStyle name="40% - Accent3 4 6 3 2" xfId="24175"/>
    <cellStyle name="40% - Accent3 4 6 3 2 2" xfId="24176"/>
    <cellStyle name="40% - Accent3 4 6 3 2 3" xfId="24177"/>
    <cellStyle name="40% - Accent3 4 6 3 3" xfId="24178"/>
    <cellStyle name="40% - Accent3 4 6 3 3 2" xfId="24179"/>
    <cellStyle name="40% - Accent3 4 6 3 3 3" xfId="24180"/>
    <cellStyle name="40% - Accent3 4 6 3 4" xfId="24181"/>
    <cellStyle name="40% - Accent3 4 6 3 4 2" xfId="24182"/>
    <cellStyle name="40% - Accent3 4 6 3 5" xfId="24183"/>
    <cellStyle name="40% - Accent3 4 6 3 6" xfId="24184"/>
    <cellStyle name="40% - Accent3 4 6 4" xfId="24185"/>
    <cellStyle name="40% - Accent3 4 6 4 2" xfId="24186"/>
    <cellStyle name="40% - Accent3 4 6 4 2 2" xfId="24187"/>
    <cellStyle name="40% - Accent3 4 6 4 2 3" xfId="24188"/>
    <cellStyle name="40% - Accent3 4 6 4 3" xfId="24189"/>
    <cellStyle name="40% - Accent3 4 6 4 3 2" xfId="24190"/>
    <cellStyle name="40% - Accent3 4 6 4 4" xfId="24191"/>
    <cellStyle name="40% - Accent3 4 6 4 5" xfId="24192"/>
    <cellStyle name="40% - Accent3 4 6 5" xfId="24193"/>
    <cellStyle name="40% - Accent3 4 6 5 2" xfId="24194"/>
    <cellStyle name="40% - Accent3 4 6 5 3" xfId="24195"/>
    <cellStyle name="40% - Accent3 4 6 6" xfId="24196"/>
    <cellStyle name="40% - Accent3 4 6 6 2" xfId="24197"/>
    <cellStyle name="40% - Accent3 4 6 6 3" xfId="24198"/>
    <cellStyle name="40% - Accent3 4 6 7" xfId="24199"/>
    <cellStyle name="40% - Accent3 4 6 7 2" xfId="24200"/>
    <cellStyle name="40% - Accent3 4 6 8" xfId="24201"/>
    <cellStyle name="40% - Accent3 4 6 9" xfId="24202"/>
    <cellStyle name="40% - Accent3 4 7" xfId="9026"/>
    <cellStyle name="40% - Accent3 4 7 2" xfId="24203"/>
    <cellStyle name="40% - Accent3 4 7 2 2" xfId="24204"/>
    <cellStyle name="40% - Accent3 4 7 2 2 2" xfId="24205"/>
    <cellStyle name="40% - Accent3 4 7 2 2 3" xfId="24206"/>
    <cellStyle name="40% - Accent3 4 7 2 3" xfId="24207"/>
    <cellStyle name="40% - Accent3 4 7 2 3 2" xfId="24208"/>
    <cellStyle name="40% - Accent3 4 7 2 3 3" xfId="24209"/>
    <cellStyle name="40% - Accent3 4 7 2 4" xfId="24210"/>
    <cellStyle name="40% - Accent3 4 7 2 4 2" xfId="24211"/>
    <cellStyle name="40% - Accent3 4 7 2 5" xfId="24212"/>
    <cellStyle name="40% - Accent3 4 7 2 6" xfId="24213"/>
    <cellStyle name="40% - Accent3 4 7 3" xfId="24214"/>
    <cellStyle name="40% - Accent3 4 7 3 2" xfId="24215"/>
    <cellStyle name="40% - Accent3 4 7 3 2 2" xfId="24216"/>
    <cellStyle name="40% - Accent3 4 7 3 2 3" xfId="24217"/>
    <cellStyle name="40% - Accent3 4 7 3 3" xfId="24218"/>
    <cellStyle name="40% - Accent3 4 7 3 3 2" xfId="24219"/>
    <cellStyle name="40% - Accent3 4 7 3 3 3" xfId="24220"/>
    <cellStyle name="40% - Accent3 4 7 3 4" xfId="24221"/>
    <cellStyle name="40% - Accent3 4 7 3 4 2" xfId="24222"/>
    <cellStyle name="40% - Accent3 4 7 3 5" xfId="24223"/>
    <cellStyle name="40% - Accent3 4 7 3 6" xfId="24224"/>
    <cellStyle name="40% - Accent3 4 7 4" xfId="24225"/>
    <cellStyle name="40% - Accent3 4 7 4 2" xfId="24226"/>
    <cellStyle name="40% - Accent3 4 7 4 2 2" xfId="24227"/>
    <cellStyle name="40% - Accent3 4 7 4 2 3" xfId="24228"/>
    <cellStyle name="40% - Accent3 4 7 4 3" xfId="24229"/>
    <cellStyle name="40% - Accent3 4 7 4 3 2" xfId="24230"/>
    <cellStyle name="40% - Accent3 4 7 4 4" xfId="24231"/>
    <cellStyle name="40% - Accent3 4 7 4 5" xfId="24232"/>
    <cellStyle name="40% - Accent3 4 7 5" xfId="24233"/>
    <cellStyle name="40% - Accent3 4 7 5 2" xfId="24234"/>
    <cellStyle name="40% - Accent3 4 7 5 3" xfId="24235"/>
    <cellStyle name="40% - Accent3 4 7 6" xfId="24236"/>
    <cellStyle name="40% - Accent3 4 7 6 2" xfId="24237"/>
    <cellStyle name="40% - Accent3 4 7 6 3" xfId="24238"/>
    <cellStyle name="40% - Accent3 4 7 7" xfId="24239"/>
    <cellStyle name="40% - Accent3 4 7 7 2" xfId="24240"/>
    <cellStyle name="40% - Accent3 4 7 8" xfId="24241"/>
    <cellStyle name="40% - Accent3 4 7 9" xfId="24242"/>
    <cellStyle name="40% - Accent3 4 8" xfId="24243"/>
    <cellStyle name="40% - Accent3 4 8 2" xfId="24244"/>
    <cellStyle name="40% - Accent3 4 8 2 2" xfId="24245"/>
    <cellStyle name="40% - Accent3 4 8 2 3" xfId="24246"/>
    <cellStyle name="40% - Accent3 4 8 3" xfId="24247"/>
    <cellStyle name="40% - Accent3 4 8 3 2" xfId="24248"/>
    <cellStyle name="40% - Accent3 4 8 3 3" xfId="24249"/>
    <cellStyle name="40% - Accent3 4 8 4" xfId="24250"/>
    <cellStyle name="40% - Accent3 4 8 4 2" xfId="24251"/>
    <cellStyle name="40% - Accent3 4 8 5" xfId="24252"/>
    <cellStyle name="40% - Accent3 4 8 6" xfId="24253"/>
    <cellStyle name="40% - Accent3 4 9" xfId="24254"/>
    <cellStyle name="40% - Accent3 4 9 2" xfId="24255"/>
    <cellStyle name="40% - Accent3 4 9 2 2" xfId="24256"/>
    <cellStyle name="40% - Accent3 4 9 2 3" xfId="24257"/>
    <cellStyle name="40% - Accent3 4 9 3" xfId="24258"/>
    <cellStyle name="40% - Accent3 4 9 3 2" xfId="24259"/>
    <cellStyle name="40% - Accent3 4 9 3 3" xfId="24260"/>
    <cellStyle name="40% - Accent3 4 9 4" xfId="24261"/>
    <cellStyle name="40% - Accent3 4 9 4 2" xfId="24262"/>
    <cellStyle name="40% - Accent3 4 9 5" xfId="24263"/>
    <cellStyle name="40% - Accent3 4 9 6" xfId="24264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28"/>
    <cellStyle name="40% - Accent4 15" xfId="24265"/>
    <cellStyle name="40% - Accent4 16" xfId="24266"/>
    <cellStyle name="40% - Accent4 17" xfId="24267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8"/>
    <cellStyle name="40% - Accent4 4 10 2" xfId="24269"/>
    <cellStyle name="40% - Accent4 4 10 2 2" xfId="24270"/>
    <cellStyle name="40% - Accent4 4 10 2 3" xfId="24271"/>
    <cellStyle name="40% - Accent4 4 10 3" xfId="24272"/>
    <cellStyle name="40% - Accent4 4 10 3 2" xfId="24273"/>
    <cellStyle name="40% - Accent4 4 10 4" xfId="24274"/>
    <cellStyle name="40% - Accent4 4 10 5" xfId="24275"/>
    <cellStyle name="40% - Accent4 4 11" xfId="24276"/>
    <cellStyle name="40% - Accent4 4 11 2" xfId="24277"/>
    <cellStyle name="40% - Accent4 4 11 3" xfId="24278"/>
    <cellStyle name="40% - Accent4 4 12" xfId="24279"/>
    <cellStyle name="40% - Accent4 4 12 2" xfId="24280"/>
    <cellStyle name="40% - Accent4 4 12 3" xfId="24281"/>
    <cellStyle name="40% - Accent4 4 13" xfId="24282"/>
    <cellStyle name="40% - Accent4 4 13 2" xfId="24283"/>
    <cellStyle name="40% - Accent4 4 14" xfId="24284"/>
    <cellStyle name="40% - Accent4 4 15" xfId="24285"/>
    <cellStyle name="40% - Accent4 4 16" xfId="24286"/>
    <cellStyle name="40% - Accent4 4 2" xfId="2214"/>
    <cellStyle name="40% - Accent4 4 2 10" xfId="24287"/>
    <cellStyle name="40% - Accent4 4 2 10 2" xfId="24288"/>
    <cellStyle name="40% - Accent4 4 2 10 3" xfId="24289"/>
    <cellStyle name="40% - Accent4 4 2 11" xfId="24290"/>
    <cellStyle name="40% - Accent4 4 2 11 2" xfId="24291"/>
    <cellStyle name="40% - Accent4 4 2 11 3" xfId="24292"/>
    <cellStyle name="40% - Accent4 4 2 12" xfId="24293"/>
    <cellStyle name="40% - Accent4 4 2 12 2" xfId="24294"/>
    <cellStyle name="40% - Accent4 4 2 13" xfId="24295"/>
    <cellStyle name="40% - Accent4 4 2 14" xfId="24296"/>
    <cellStyle name="40% - Accent4 4 2 15" xfId="24297"/>
    <cellStyle name="40% - Accent4 4 2 2" xfId="2215"/>
    <cellStyle name="40% - Accent4 4 2 2 10" xfId="24298"/>
    <cellStyle name="40% - Accent4 4 2 2 10 2" xfId="24299"/>
    <cellStyle name="40% - Accent4 4 2 2 10 3" xfId="24300"/>
    <cellStyle name="40% - Accent4 4 2 2 11" xfId="24301"/>
    <cellStyle name="40% - Accent4 4 2 2 11 2" xfId="24302"/>
    <cellStyle name="40% - Accent4 4 2 2 12" xfId="24303"/>
    <cellStyle name="40% - Accent4 4 2 2 13" xfId="24304"/>
    <cellStyle name="40% - Accent4 4 2 2 2" xfId="2216"/>
    <cellStyle name="40% - Accent4 4 2 2 2 10" xfId="24305"/>
    <cellStyle name="40% - Accent4 4 2 2 2 10 2" xfId="24306"/>
    <cellStyle name="40% - Accent4 4 2 2 2 11" xfId="24307"/>
    <cellStyle name="40% - Accent4 4 2 2 2 12" xfId="24308"/>
    <cellStyle name="40% - Accent4 4 2 2 2 2" xfId="2217"/>
    <cellStyle name="40% - Accent4 4 2 2 2 2 10" xfId="24309"/>
    <cellStyle name="40% - Accent4 4 2 2 2 2 2" xfId="2218"/>
    <cellStyle name="40% - Accent4 4 2 2 2 2 2 2" xfId="24310"/>
    <cellStyle name="40% - Accent4 4 2 2 2 2 2 2 2" xfId="24311"/>
    <cellStyle name="40% - Accent4 4 2 2 2 2 2 2 2 2" xfId="24312"/>
    <cellStyle name="40% - Accent4 4 2 2 2 2 2 2 2 3" xfId="24313"/>
    <cellStyle name="40% - Accent4 4 2 2 2 2 2 2 3" xfId="24314"/>
    <cellStyle name="40% - Accent4 4 2 2 2 2 2 2 3 2" xfId="24315"/>
    <cellStyle name="40% - Accent4 4 2 2 2 2 2 2 3 3" xfId="24316"/>
    <cellStyle name="40% - Accent4 4 2 2 2 2 2 2 4" xfId="24317"/>
    <cellStyle name="40% - Accent4 4 2 2 2 2 2 2 4 2" xfId="24318"/>
    <cellStyle name="40% - Accent4 4 2 2 2 2 2 2 5" xfId="24319"/>
    <cellStyle name="40% - Accent4 4 2 2 2 2 2 2 6" xfId="24320"/>
    <cellStyle name="40% - Accent4 4 2 2 2 2 2 3" xfId="24321"/>
    <cellStyle name="40% - Accent4 4 2 2 2 2 2 3 2" xfId="24322"/>
    <cellStyle name="40% - Accent4 4 2 2 2 2 2 3 2 2" xfId="24323"/>
    <cellStyle name="40% - Accent4 4 2 2 2 2 2 3 2 3" xfId="24324"/>
    <cellStyle name="40% - Accent4 4 2 2 2 2 2 3 3" xfId="24325"/>
    <cellStyle name="40% - Accent4 4 2 2 2 2 2 3 3 2" xfId="24326"/>
    <cellStyle name="40% - Accent4 4 2 2 2 2 2 3 3 3" xfId="24327"/>
    <cellStyle name="40% - Accent4 4 2 2 2 2 2 3 4" xfId="24328"/>
    <cellStyle name="40% - Accent4 4 2 2 2 2 2 3 4 2" xfId="24329"/>
    <cellStyle name="40% - Accent4 4 2 2 2 2 2 3 5" xfId="24330"/>
    <cellStyle name="40% - Accent4 4 2 2 2 2 2 3 6" xfId="24331"/>
    <cellStyle name="40% - Accent4 4 2 2 2 2 2 4" xfId="24332"/>
    <cellStyle name="40% - Accent4 4 2 2 2 2 2 4 2" xfId="24333"/>
    <cellStyle name="40% - Accent4 4 2 2 2 2 2 4 2 2" xfId="24334"/>
    <cellStyle name="40% - Accent4 4 2 2 2 2 2 4 2 3" xfId="24335"/>
    <cellStyle name="40% - Accent4 4 2 2 2 2 2 4 3" xfId="24336"/>
    <cellStyle name="40% - Accent4 4 2 2 2 2 2 4 3 2" xfId="24337"/>
    <cellStyle name="40% - Accent4 4 2 2 2 2 2 4 4" xfId="24338"/>
    <cellStyle name="40% - Accent4 4 2 2 2 2 2 4 5" xfId="24339"/>
    <cellStyle name="40% - Accent4 4 2 2 2 2 2 5" xfId="24340"/>
    <cellStyle name="40% - Accent4 4 2 2 2 2 2 5 2" xfId="24341"/>
    <cellStyle name="40% - Accent4 4 2 2 2 2 2 5 3" xfId="24342"/>
    <cellStyle name="40% - Accent4 4 2 2 2 2 2 6" xfId="24343"/>
    <cellStyle name="40% - Accent4 4 2 2 2 2 2 6 2" xfId="24344"/>
    <cellStyle name="40% - Accent4 4 2 2 2 2 2 6 3" xfId="24345"/>
    <cellStyle name="40% - Accent4 4 2 2 2 2 2 7" xfId="24346"/>
    <cellStyle name="40% - Accent4 4 2 2 2 2 2 7 2" xfId="24347"/>
    <cellStyle name="40% - Accent4 4 2 2 2 2 2 8" xfId="24348"/>
    <cellStyle name="40% - Accent4 4 2 2 2 2 2 9" xfId="24349"/>
    <cellStyle name="40% - Accent4 4 2 2 2 2 3" xfId="24350"/>
    <cellStyle name="40% - Accent4 4 2 2 2 2 3 2" xfId="24351"/>
    <cellStyle name="40% - Accent4 4 2 2 2 2 3 2 2" xfId="24352"/>
    <cellStyle name="40% - Accent4 4 2 2 2 2 3 2 3" xfId="24353"/>
    <cellStyle name="40% - Accent4 4 2 2 2 2 3 3" xfId="24354"/>
    <cellStyle name="40% - Accent4 4 2 2 2 2 3 3 2" xfId="24355"/>
    <cellStyle name="40% - Accent4 4 2 2 2 2 3 3 3" xfId="24356"/>
    <cellStyle name="40% - Accent4 4 2 2 2 2 3 4" xfId="24357"/>
    <cellStyle name="40% - Accent4 4 2 2 2 2 3 4 2" xfId="24358"/>
    <cellStyle name="40% - Accent4 4 2 2 2 2 3 5" xfId="24359"/>
    <cellStyle name="40% - Accent4 4 2 2 2 2 3 6" xfId="24360"/>
    <cellStyle name="40% - Accent4 4 2 2 2 2 4" xfId="24361"/>
    <cellStyle name="40% - Accent4 4 2 2 2 2 4 2" xfId="24362"/>
    <cellStyle name="40% - Accent4 4 2 2 2 2 4 2 2" xfId="24363"/>
    <cellStyle name="40% - Accent4 4 2 2 2 2 4 2 3" xfId="24364"/>
    <cellStyle name="40% - Accent4 4 2 2 2 2 4 3" xfId="24365"/>
    <cellStyle name="40% - Accent4 4 2 2 2 2 4 3 2" xfId="24366"/>
    <cellStyle name="40% - Accent4 4 2 2 2 2 4 3 3" xfId="24367"/>
    <cellStyle name="40% - Accent4 4 2 2 2 2 4 4" xfId="24368"/>
    <cellStyle name="40% - Accent4 4 2 2 2 2 4 4 2" xfId="24369"/>
    <cellStyle name="40% - Accent4 4 2 2 2 2 4 5" xfId="24370"/>
    <cellStyle name="40% - Accent4 4 2 2 2 2 4 6" xfId="24371"/>
    <cellStyle name="40% - Accent4 4 2 2 2 2 5" xfId="24372"/>
    <cellStyle name="40% - Accent4 4 2 2 2 2 5 2" xfId="24373"/>
    <cellStyle name="40% - Accent4 4 2 2 2 2 5 2 2" xfId="24374"/>
    <cellStyle name="40% - Accent4 4 2 2 2 2 5 2 3" xfId="24375"/>
    <cellStyle name="40% - Accent4 4 2 2 2 2 5 3" xfId="24376"/>
    <cellStyle name="40% - Accent4 4 2 2 2 2 5 3 2" xfId="24377"/>
    <cellStyle name="40% - Accent4 4 2 2 2 2 5 4" xfId="24378"/>
    <cellStyle name="40% - Accent4 4 2 2 2 2 5 5" xfId="24379"/>
    <cellStyle name="40% - Accent4 4 2 2 2 2 6" xfId="24380"/>
    <cellStyle name="40% - Accent4 4 2 2 2 2 6 2" xfId="24381"/>
    <cellStyle name="40% - Accent4 4 2 2 2 2 6 3" xfId="24382"/>
    <cellStyle name="40% - Accent4 4 2 2 2 2 7" xfId="24383"/>
    <cellStyle name="40% - Accent4 4 2 2 2 2 7 2" xfId="24384"/>
    <cellStyle name="40% - Accent4 4 2 2 2 2 7 3" xfId="24385"/>
    <cellStyle name="40% - Accent4 4 2 2 2 2 8" xfId="24386"/>
    <cellStyle name="40% - Accent4 4 2 2 2 2 8 2" xfId="24387"/>
    <cellStyle name="40% - Accent4 4 2 2 2 2 9" xfId="24388"/>
    <cellStyle name="40% - Accent4 4 2 2 2 3" xfId="2219"/>
    <cellStyle name="40% - Accent4 4 2 2 2 3 2" xfId="24389"/>
    <cellStyle name="40% - Accent4 4 2 2 2 3 2 2" xfId="24390"/>
    <cellStyle name="40% - Accent4 4 2 2 2 3 2 2 2" xfId="24391"/>
    <cellStyle name="40% - Accent4 4 2 2 2 3 2 2 3" xfId="24392"/>
    <cellStyle name="40% - Accent4 4 2 2 2 3 2 3" xfId="24393"/>
    <cellStyle name="40% - Accent4 4 2 2 2 3 2 3 2" xfId="24394"/>
    <cellStyle name="40% - Accent4 4 2 2 2 3 2 3 3" xfId="24395"/>
    <cellStyle name="40% - Accent4 4 2 2 2 3 2 4" xfId="24396"/>
    <cellStyle name="40% - Accent4 4 2 2 2 3 2 4 2" xfId="24397"/>
    <cellStyle name="40% - Accent4 4 2 2 2 3 2 5" xfId="24398"/>
    <cellStyle name="40% - Accent4 4 2 2 2 3 2 6" xfId="24399"/>
    <cellStyle name="40% - Accent4 4 2 2 2 3 3" xfId="24400"/>
    <cellStyle name="40% - Accent4 4 2 2 2 3 3 2" xfId="24401"/>
    <cellStyle name="40% - Accent4 4 2 2 2 3 3 2 2" xfId="24402"/>
    <cellStyle name="40% - Accent4 4 2 2 2 3 3 2 3" xfId="24403"/>
    <cellStyle name="40% - Accent4 4 2 2 2 3 3 3" xfId="24404"/>
    <cellStyle name="40% - Accent4 4 2 2 2 3 3 3 2" xfId="24405"/>
    <cellStyle name="40% - Accent4 4 2 2 2 3 3 3 3" xfId="24406"/>
    <cellStyle name="40% - Accent4 4 2 2 2 3 3 4" xfId="24407"/>
    <cellStyle name="40% - Accent4 4 2 2 2 3 3 4 2" xfId="24408"/>
    <cellStyle name="40% - Accent4 4 2 2 2 3 3 5" xfId="24409"/>
    <cellStyle name="40% - Accent4 4 2 2 2 3 3 6" xfId="24410"/>
    <cellStyle name="40% - Accent4 4 2 2 2 3 4" xfId="24411"/>
    <cellStyle name="40% - Accent4 4 2 2 2 3 4 2" xfId="24412"/>
    <cellStyle name="40% - Accent4 4 2 2 2 3 4 2 2" xfId="24413"/>
    <cellStyle name="40% - Accent4 4 2 2 2 3 4 2 3" xfId="24414"/>
    <cellStyle name="40% - Accent4 4 2 2 2 3 4 3" xfId="24415"/>
    <cellStyle name="40% - Accent4 4 2 2 2 3 4 3 2" xfId="24416"/>
    <cellStyle name="40% - Accent4 4 2 2 2 3 4 4" xfId="24417"/>
    <cellStyle name="40% - Accent4 4 2 2 2 3 4 5" xfId="24418"/>
    <cellStyle name="40% - Accent4 4 2 2 2 3 5" xfId="24419"/>
    <cellStyle name="40% - Accent4 4 2 2 2 3 5 2" xfId="24420"/>
    <cellStyle name="40% - Accent4 4 2 2 2 3 5 3" xfId="24421"/>
    <cellStyle name="40% - Accent4 4 2 2 2 3 6" xfId="24422"/>
    <cellStyle name="40% - Accent4 4 2 2 2 3 6 2" xfId="24423"/>
    <cellStyle name="40% - Accent4 4 2 2 2 3 6 3" xfId="24424"/>
    <cellStyle name="40% - Accent4 4 2 2 2 3 7" xfId="24425"/>
    <cellStyle name="40% - Accent4 4 2 2 2 3 7 2" xfId="24426"/>
    <cellStyle name="40% - Accent4 4 2 2 2 3 8" xfId="24427"/>
    <cellStyle name="40% - Accent4 4 2 2 2 3 9" xfId="24428"/>
    <cellStyle name="40% - Accent4 4 2 2 2 4" xfId="24429"/>
    <cellStyle name="40% - Accent4 4 2 2 2 4 2" xfId="24430"/>
    <cellStyle name="40% - Accent4 4 2 2 2 4 2 2" xfId="24431"/>
    <cellStyle name="40% - Accent4 4 2 2 2 4 2 2 2" xfId="24432"/>
    <cellStyle name="40% - Accent4 4 2 2 2 4 2 2 3" xfId="24433"/>
    <cellStyle name="40% - Accent4 4 2 2 2 4 2 3" xfId="24434"/>
    <cellStyle name="40% - Accent4 4 2 2 2 4 2 3 2" xfId="24435"/>
    <cellStyle name="40% - Accent4 4 2 2 2 4 2 3 3" xfId="24436"/>
    <cellStyle name="40% - Accent4 4 2 2 2 4 2 4" xfId="24437"/>
    <cellStyle name="40% - Accent4 4 2 2 2 4 2 4 2" xfId="24438"/>
    <cellStyle name="40% - Accent4 4 2 2 2 4 2 5" xfId="24439"/>
    <cellStyle name="40% - Accent4 4 2 2 2 4 2 6" xfId="24440"/>
    <cellStyle name="40% - Accent4 4 2 2 2 4 3" xfId="24441"/>
    <cellStyle name="40% - Accent4 4 2 2 2 4 3 2" xfId="24442"/>
    <cellStyle name="40% - Accent4 4 2 2 2 4 3 2 2" xfId="24443"/>
    <cellStyle name="40% - Accent4 4 2 2 2 4 3 2 3" xfId="24444"/>
    <cellStyle name="40% - Accent4 4 2 2 2 4 3 3" xfId="24445"/>
    <cellStyle name="40% - Accent4 4 2 2 2 4 3 3 2" xfId="24446"/>
    <cellStyle name="40% - Accent4 4 2 2 2 4 3 3 3" xfId="24447"/>
    <cellStyle name="40% - Accent4 4 2 2 2 4 3 4" xfId="24448"/>
    <cellStyle name="40% - Accent4 4 2 2 2 4 3 4 2" xfId="24449"/>
    <cellStyle name="40% - Accent4 4 2 2 2 4 3 5" xfId="24450"/>
    <cellStyle name="40% - Accent4 4 2 2 2 4 3 6" xfId="24451"/>
    <cellStyle name="40% - Accent4 4 2 2 2 4 4" xfId="24452"/>
    <cellStyle name="40% - Accent4 4 2 2 2 4 4 2" xfId="24453"/>
    <cellStyle name="40% - Accent4 4 2 2 2 4 4 2 2" xfId="24454"/>
    <cellStyle name="40% - Accent4 4 2 2 2 4 4 2 3" xfId="24455"/>
    <cellStyle name="40% - Accent4 4 2 2 2 4 4 3" xfId="24456"/>
    <cellStyle name="40% - Accent4 4 2 2 2 4 4 3 2" xfId="24457"/>
    <cellStyle name="40% - Accent4 4 2 2 2 4 4 4" xfId="24458"/>
    <cellStyle name="40% - Accent4 4 2 2 2 4 4 5" xfId="24459"/>
    <cellStyle name="40% - Accent4 4 2 2 2 4 5" xfId="24460"/>
    <cellStyle name="40% - Accent4 4 2 2 2 4 5 2" xfId="24461"/>
    <cellStyle name="40% - Accent4 4 2 2 2 4 5 3" xfId="24462"/>
    <cellStyle name="40% - Accent4 4 2 2 2 4 6" xfId="24463"/>
    <cellStyle name="40% - Accent4 4 2 2 2 4 6 2" xfId="24464"/>
    <cellStyle name="40% - Accent4 4 2 2 2 4 6 3" xfId="24465"/>
    <cellStyle name="40% - Accent4 4 2 2 2 4 7" xfId="24466"/>
    <cellStyle name="40% - Accent4 4 2 2 2 4 7 2" xfId="24467"/>
    <cellStyle name="40% - Accent4 4 2 2 2 4 8" xfId="24468"/>
    <cellStyle name="40% - Accent4 4 2 2 2 4 9" xfId="24469"/>
    <cellStyle name="40% - Accent4 4 2 2 2 5" xfId="24470"/>
    <cellStyle name="40% - Accent4 4 2 2 2 5 2" xfId="24471"/>
    <cellStyle name="40% - Accent4 4 2 2 2 5 2 2" xfId="24472"/>
    <cellStyle name="40% - Accent4 4 2 2 2 5 2 3" xfId="24473"/>
    <cellStyle name="40% - Accent4 4 2 2 2 5 3" xfId="24474"/>
    <cellStyle name="40% - Accent4 4 2 2 2 5 3 2" xfId="24475"/>
    <cellStyle name="40% - Accent4 4 2 2 2 5 3 3" xfId="24476"/>
    <cellStyle name="40% - Accent4 4 2 2 2 5 4" xfId="24477"/>
    <cellStyle name="40% - Accent4 4 2 2 2 5 4 2" xfId="24478"/>
    <cellStyle name="40% - Accent4 4 2 2 2 5 5" xfId="24479"/>
    <cellStyle name="40% - Accent4 4 2 2 2 5 6" xfId="24480"/>
    <cellStyle name="40% - Accent4 4 2 2 2 6" xfId="24481"/>
    <cellStyle name="40% - Accent4 4 2 2 2 6 2" xfId="24482"/>
    <cellStyle name="40% - Accent4 4 2 2 2 6 2 2" xfId="24483"/>
    <cellStyle name="40% - Accent4 4 2 2 2 6 2 3" xfId="24484"/>
    <cellStyle name="40% - Accent4 4 2 2 2 6 3" xfId="24485"/>
    <cellStyle name="40% - Accent4 4 2 2 2 6 3 2" xfId="24486"/>
    <cellStyle name="40% - Accent4 4 2 2 2 6 3 3" xfId="24487"/>
    <cellStyle name="40% - Accent4 4 2 2 2 6 4" xfId="24488"/>
    <cellStyle name="40% - Accent4 4 2 2 2 6 4 2" xfId="24489"/>
    <cellStyle name="40% - Accent4 4 2 2 2 6 5" xfId="24490"/>
    <cellStyle name="40% - Accent4 4 2 2 2 6 6" xfId="24491"/>
    <cellStyle name="40% - Accent4 4 2 2 2 7" xfId="24492"/>
    <cellStyle name="40% - Accent4 4 2 2 2 7 2" xfId="24493"/>
    <cellStyle name="40% - Accent4 4 2 2 2 7 2 2" xfId="24494"/>
    <cellStyle name="40% - Accent4 4 2 2 2 7 2 3" xfId="24495"/>
    <cellStyle name="40% - Accent4 4 2 2 2 7 3" xfId="24496"/>
    <cellStyle name="40% - Accent4 4 2 2 2 7 3 2" xfId="24497"/>
    <cellStyle name="40% - Accent4 4 2 2 2 7 4" xfId="24498"/>
    <cellStyle name="40% - Accent4 4 2 2 2 7 5" xfId="24499"/>
    <cellStyle name="40% - Accent4 4 2 2 2 8" xfId="24500"/>
    <cellStyle name="40% - Accent4 4 2 2 2 8 2" xfId="24501"/>
    <cellStyle name="40% - Accent4 4 2 2 2 8 3" xfId="24502"/>
    <cellStyle name="40% - Accent4 4 2 2 2 9" xfId="24503"/>
    <cellStyle name="40% - Accent4 4 2 2 2 9 2" xfId="24504"/>
    <cellStyle name="40% - Accent4 4 2 2 2 9 3" xfId="24505"/>
    <cellStyle name="40% - Accent4 4 2 2 3" xfId="2220"/>
    <cellStyle name="40% - Accent4 4 2 2 3 10" xfId="24506"/>
    <cellStyle name="40% - Accent4 4 2 2 3 2" xfId="2221"/>
    <cellStyle name="40% - Accent4 4 2 2 3 2 2" xfId="24507"/>
    <cellStyle name="40% - Accent4 4 2 2 3 2 2 2" xfId="24508"/>
    <cellStyle name="40% - Accent4 4 2 2 3 2 2 2 2" xfId="24509"/>
    <cellStyle name="40% - Accent4 4 2 2 3 2 2 2 3" xfId="24510"/>
    <cellStyle name="40% - Accent4 4 2 2 3 2 2 3" xfId="24511"/>
    <cellStyle name="40% - Accent4 4 2 2 3 2 2 3 2" xfId="24512"/>
    <cellStyle name="40% - Accent4 4 2 2 3 2 2 3 3" xfId="24513"/>
    <cellStyle name="40% - Accent4 4 2 2 3 2 2 4" xfId="24514"/>
    <cellStyle name="40% - Accent4 4 2 2 3 2 2 4 2" xfId="24515"/>
    <cellStyle name="40% - Accent4 4 2 2 3 2 2 5" xfId="24516"/>
    <cellStyle name="40% - Accent4 4 2 2 3 2 2 6" xfId="24517"/>
    <cellStyle name="40% - Accent4 4 2 2 3 2 3" xfId="24518"/>
    <cellStyle name="40% - Accent4 4 2 2 3 2 3 2" xfId="24519"/>
    <cellStyle name="40% - Accent4 4 2 2 3 2 3 2 2" xfId="24520"/>
    <cellStyle name="40% - Accent4 4 2 2 3 2 3 2 3" xfId="24521"/>
    <cellStyle name="40% - Accent4 4 2 2 3 2 3 3" xfId="24522"/>
    <cellStyle name="40% - Accent4 4 2 2 3 2 3 3 2" xfId="24523"/>
    <cellStyle name="40% - Accent4 4 2 2 3 2 3 3 3" xfId="24524"/>
    <cellStyle name="40% - Accent4 4 2 2 3 2 3 4" xfId="24525"/>
    <cellStyle name="40% - Accent4 4 2 2 3 2 3 4 2" xfId="24526"/>
    <cellStyle name="40% - Accent4 4 2 2 3 2 3 5" xfId="24527"/>
    <cellStyle name="40% - Accent4 4 2 2 3 2 3 6" xfId="24528"/>
    <cellStyle name="40% - Accent4 4 2 2 3 2 4" xfId="24529"/>
    <cellStyle name="40% - Accent4 4 2 2 3 2 4 2" xfId="24530"/>
    <cellStyle name="40% - Accent4 4 2 2 3 2 4 2 2" xfId="24531"/>
    <cellStyle name="40% - Accent4 4 2 2 3 2 4 2 3" xfId="24532"/>
    <cellStyle name="40% - Accent4 4 2 2 3 2 4 3" xfId="24533"/>
    <cellStyle name="40% - Accent4 4 2 2 3 2 4 3 2" xfId="24534"/>
    <cellStyle name="40% - Accent4 4 2 2 3 2 4 4" xfId="24535"/>
    <cellStyle name="40% - Accent4 4 2 2 3 2 4 5" xfId="24536"/>
    <cellStyle name="40% - Accent4 4 2 2 3 2 5" xfId="24537"/>
    <cellStyle name="40% - Accent4 4 2 2 3 2 5 2" xfId="24538"/>
    <cellStyle name="40% - Accent4 4 2 2 3 2 5 3" xfId="24539"/>
    <cellStyle name="40% - Accent4 4 2 2 3 2 6" xfId="24540"/>
    <cellStyle name="40% - Accent4 4 2 2 3 2 6 2" xfId="24541"/>
    <cellStyle name="40% - Accent4 4 2 2 3 2 6 3" xfId="24542"/>
    <cellStyle name="40% - Accent4 4 2 2 3 2 7" xfId="24543"/>
    <cellStyle name="40% - Accent4 4 2 2 3 2 7 2" xfId="24544"/>
    <cellStyle name="40% - Accent4 4 2 2 3 2 8" xfId="24545"/>
    <cellStyle name="40% - Accent4 4 2 2 3 2 9" xfId="24546"/>
    <cellStyle name="40% - Accent4 4 2 2 3 3" xfId="24547"/>
    <cellStyle name="40% - Accent4 4 2 2 3 3 2" xfId="24548"/>
    <cellStyle name="40% - Accent4 4 2 2 3 3 2 2" xfId="24549"/>
    <cellStyle name="40% - Accent4 4 2 2 3 3 2 3" xfId="24550"/>
    <cellStyle name="40% - Accent4 4 2 2 3 3 3" xfId="24551"/>
    <cellStyle name="40% - Accent4 4 2 2 3 3 3 2" xfId="24552"/>
    <cellStyle name="40% - Accent4 4 2 2 3 3 3 3" xfId="24553"/>
    <cellStyle name="40% - Accent4 4 2 2 3 3 4" xfId="24554"/>
    <cellStyle name="40% - Accent4 4 2 2 3 3 4 2" xfId="24555"/>
    <cellStyle name="40% - Accent4 4 2 2 3 3 5" xfId="24556"/>
    <cellStyle name="40% - Accent4 4 2 2 3 3 6" xfId="24557"/>
    <cellStyle name="40% - Accent4 4 2 2 3 4" xfId="24558"/>
    <cellStyle name="40% - Accent4 4 2 2 3 4 2" xfId="24559"/>
    <cellStyle name="40% - Accent4 4 2 2 3 4 2 2" xfId="24560"/>
    <cellStyle name="40% - Accent4 4 2 2 3 4 2 3" xfId="24561"/>
    <cellStyle name="40% - Accent4 4 2 2 3 4 3" xfId="24562"/>
    <cellStyle name="40% - Accent4 4 2 2 3 4 3 2" xfId="24563"/>
    <cellStyle name="40% - Accent4 4 2 2 3 4 3 3" xfId="24564"/>
    <cellStyle name="40% - Accent4 4 2 2 3 4 4" xfId="24565"/>
    <cellStyle name="40% - Accent4 4 2 2 3 4 4 2" xfId="24566"/>
    <cellStyle name="40% - Accent4 4 2 2 3 4 5" xfId="24567"/>
    <cellStyle name="40% - Accent4 4 2 2 3 4 6" xfId="24568"/>
    <cellStyle name="40% - Accent4 4 2 2 3 5" xfId="24569"/>
    <cellStyle name="40% - Accent4 4 2 2 3 5 2" xfId="24570"/>
    <cellStyle name="40% - Accent4 4 2 2 3 5 2 2" xfId="24571"/>
    <cellStyle name="40% - Accent4 4 2 2 3 5 2 3" xfId="24572"/>
    <cellStyle name="40% - Accent4 4 2 2 3 5 3" xfId="24573"/>
    <cellStyle name="40% - Accent4 4 2 2 3 5 3 2" xfId="24574"/>
    <cellStyle name="40% - Accent4 4 2 2 3 5 4" xfId="24575"/>
    <cellStyle name="40% - Accent4 4 2 2 3 5 5" xfId="24576"/>
    <cellStyle name="40% - Accent4 4 2 2 3 6" xfId="24577"/>
    <cellStyle name="40% - Accent4 4 2 2 3 6 2" xfId="24578"/>
    <cellStyle name="40% - Accent4 4 2 2 3 6 3" xfId="24579"/>
    <cellStyle name="40% - Accent4 4 2 2 3 7" xfId="24580"/>
    <cellStyle name="40% - Accent4 4 2 2 3 7 2" xfId="24581"/>
    <cellStyle name="40% - Accent4 4 2 2 3 7 3" xfId="24582"/>
    <cellStyle name="40% - Accent4 4 2 2 3 8" xfId="24583"/>
    <cellStyle name="40% - Accent4 4 2 2 3 8 2" xfId="24584"/>
    <cellStyle name="40% - Accent4 4 2 2 3 9" xfId="24585"/>
    <cellStyle name="40% - Accent4 4 2 2 4" xfId="2222"/>
    <cellStyle name="40% - Accent4 4 2 2 4 2" xfId="24586"/>
    <cellStyle name="40% - Accent4 4 2 2 4 2 2" xfId="24587"/>
    <cellStyle name="40% - Accent4 4 2 2 4 2 2 2" xfId="24588"/>
    <cellStyle name="40% - Accent4 4 2 2 4 2 2 3" xfId="24589"/>
    <cellStyle name="40% - Accent4 4 2 2 4 2 3" xfId="24590"/>
    <cellStyle name="40% - Accent4 4 2 2 4 2 3 2" xfId="24591"/>
    <cellStyle name="40% - Accent4 4 2 2 4 2 3 3" xfId="24592"/>
    <cellStyle name="40% - Accent4 4 2 2 4 2 4" xfId="24593"/>
    <cellStyle name="40% - Accent4 4 2 2 4 2 4 2" xfId="24594"/>
    <cellStyle name="40% - Accent4 4 2 2 4 2 5" xfId="24595"/>
    <cellStyle name="40% - Accent4 4 2 2 4 2 6" xfId="24596"/>
    <cellStyle name="40% - Accent4 4 2 2 4 3" xfId="24597"/>
    <cellStyle name="40% - Accent4 4 2 2 4 3 2" xfId="24598"/>
    <cellStyle name="40% - Accent4 4 2 2 4 3 2 2" xfId="24599"/>
    <cellStyle name="40% - Accent4 4 2 2 4 3 2 3" xfId="24600"/>
    <cellStyle name="40% - Accent4 4 2 2 4 3 3" xfId="24601"/>
    <cellStyle name="40% - Accent4 4 2 2 4 3 3 2" xfId="24602"/>
    <cellStyle name="40% - Accent4 4 2 2 4 3 3 3" xfId="24603"/>
    <cellStyle name="40% - Accent4 4 2 2 4 3 4" xfId="24604"/>
    <cellStyle name="40% - Accent4 4 2 2 4 3 4 2" xfId="24605"/>
    <cellStyle name="40% - Accent4 4 2 2 4 3 5" xfId="24606"/>
    <cellStyle name="40% - Accent4 4 2 2 4 3 6" xfId="24607"/>
    <cellStyle name="40% - Accent4 4 2 2 4 4" xfId="24608"/>
    <cellStyle name="40% - Accent4 4 2 2 4 4 2" xfId="24609"/>
    <cellStyle name="40% - Accent4 4 2 2 4 4 2 2" xfId="24610"/>
    <cellStyle name="40% - Accent4 4 2 2 4 4 2 3" xfId="24611"/>
    <cellStyle name="40% - Accent4 4 2 2 4 4 3" xfId="24612"/>
    <cellStyle name="40% - Accent4 4 2 2 4 4 3 2" xfId="24613"/>
    <cellStyle name="40% - Accent4 4 2 2 4 4 4" xfId="24614"/>
    <cellStyle name="40% - Accent4 4 2 2 4 4 5" xfId="24615"/>
    <cellStyle name="40% - Accent4 4 2 2 4 5" xfId="24616"/>
    <cellStyle name="40% - Accent4 4 2 2 4 5 2" xfId="24617"/>
    <cellStyle name="40% - Accent4 4 2 2 4 5 3" xfId="24618"/>
    <cellStyle name="40% - Accent4 4 2 2 4 6" xfId="24619"/>
    <cellStyle name="40% - Accent4 4 2 2 4 6 2" xfId="24620"/>
    <cellStyle name="40% - Accent4 4 2 2 4 6 3" xfId="24621"/>
    <cellStyle name="40% - Accent4 4 2 2 4 7" xfId="24622"/>
    <cellStyle name="40% - Accent4 4 2 2 4 7 2" xfId="24623"/>
    <cellStyle name="40% - Accent4 4 2 2 4 8" xfId="24624"/>
    <cellStyle name="40% - Accent4 4 2 2 4 9" xfId="24625"/>
    <cellStyle name="40% - Accent4 4 2 2 5" xfId="24626"/>
    <cellStyle name="40% - Accent4 4 2 2 5 2" xfId="24627"/>
    <cellStyle name="40% - Accent4 4 2 2 5 2 2" xfId="24628"/>
    <cellStyle name="40% - Accent4 4 2 2 5 2 2 2" xfId="24629"/>
    <cellStyle name="40% - Accent4 4 2 2 5 2 2 3" xfId="24630"/>
    <cellStyle name="40% - Accent4 4 2 2 5 2 3" xfId="24631"/>
    <cellStyle name="40% - Accent4 4 2 2 5 2 3 2" xfId="24632"/>
    <cellStyle name="40% - Accent4 4 2 2 5 2 3 3" xfId="24633"/>
    <cellStyle name="40% - Accent4 4 2 2 5 2 4" xfId="24634"/>
    <cellStyle name="40% - Accent4 4 2 2 5 2 4 2" xfId="24635"/>
    <cellStyle name="40% - Accent4 4 2 2 5 2 5" xfId="24636"/>
    <cellStyle name="40% - Accent4 4 2 2 5 2 6" xfId="24637"/>
    <cellStyle name="40% - Accent4 4 2 2 5 3" xfId="24638"/>
    <cellStyle name="40% - Accent4 4 2 2 5 3 2" xfId="24639"/>
    <cellStyle name="40% - Accent4 4 2 2 5 3 2 2" xfId="24640"/>
    <cellStyle name="40% - Accent4 4 2 2 5 3 2 3" xfId="24641"/>
    <cellStyle name="40% - Accent4 4 2 2 5 3 3" xfId="24642"/>
    <cellStyle name="40% - Accent4 4 2 2 5 3 3 2" xfId="24643"/>
    <cellStyle name="40% - Accent4 4 2 2 5 3 3 3" xfId="24644"/>
    <cellStyle name="40% - Accent4 4 2 2 5 3 4" xfId="24645"/>
    <cellStyle name="40% - Accent4 4 2 2 5 3 4 2" xfId="24646"/>
    <cellStyle name="40% - Accent4 4 2 2 5 3 5" xfId="24647"/>
    <cellStyle name="40% - Accent4 4 2 2 5 3 6" xfId="24648"/>
    <cellStyle name="40% - Accent4 4 2 2 5 4" xfId="24649"/>
    <cellStyle name="40% - Accent4 4 2 2 5 4 2" xfId="24650"/>
    <cellStyle name="40% - Accent4 4 2 2 5 4 2 2" xfId="24651"/>
    <cellStyle name="40% - Accent4 4 2 2 5 4 2 3" xfId="24652"/>
    <cellStyle name="40% - Accent4 4 2 2 5 4 3" xfId="24653"/>
    <cellStyle name="40% - Accent4 4 2 2 5 4 3 2" xfId="24654"/>
    <cellStyle name="40% - Accent4 4 2 2 5 4 4" xfId="24655"/>
    <cellStyle name="40% - Accent4 4 2 2 5 4 5" xfId="24656"/>
    <cellStyle name="40% - Accent4 4 2 2 5 5" xfId="24657"/>
    <cellStyle name="40% - Accent4 4 2 2 5 5 2" xfId="24658"/>
    <cellStyle name="40% - Accent4 4 2 2 5 5 3" xfId="24659"/>
    <cellStyle name="40% - Accent4 4 2 2 5 6" xfId="24660"/>
    <cellStyle name="40% - Accent4 4 2 2 5 6 2" xfId="24661"/>
    <cellStyle name="40% - Accent4 4 2 2 5 6 3" xfId="24662"/>
    <cellStyle name="40% - Accent4 4 2 2 5 7" xfId="24663"/>
    <cellStyle name="40% - Accent4 4 2 2 5 7 2" xfId="24664"/>
    <cellStyle name="40% - Accent4 4 2 2 5 8" xfId="24665"/>
    <cellStyle name="40% - Accent4 4 2 2 5 9" xfId="24666"/>
    <cellStyle name="40% - Accent4 4 2 2 6" xfId="24667"/>
    <cellStyle name="40% - Accent4 4 2 2 6 2" xfId="24668"/>
    <cellStyle name="40% - Accent4 4 2 2 6 2 2" xfId="24669"/>
    <cellStyle name="40% - Accent4 4 2 2 6 2 3" xfId="24670"/>
    <cellStyle name="40% - Accent4 4 2 2 6 3" xfId="24671"/>
    <cellStyle name="40% - Accent4 4 2 2 6 3 2" xfId="24672"/>
    <cellStyle name="40% - Accent4 4 2 2 6 3 3" xfId="24673"/>
    <cellStyle name="40% - Accent4 4 2 2 6 4" xfId="24674"/>
    <cellStyle name="40% - Accent4 4 2 2 6 4 2" xfId="24675"/>
    <cellStyle name="40% - Accent4 4 2 2 6 5" xfId="24676"/>
    <cellStyle name="40% - Accent4 4 2 2 6 6" xfId="24677"/>
    <cellStyle name="40% - Accent4 4 2 2 7" xfId="24678"/>
    <cellStyle name="40% - Accent4 4 2 2 7 2" xfId="24679"/>
    <cellStyle name="40% - Accent4 4 2 2 7 2 2" xfId="24680"/>
    <cellStyle name="40% - Accent4 4 2 2 7 2 3" xfId="24681"/>
    <cellStyle name="40% - Accent4 4 2 2 7 3" xfId="24682"/>
    <cellStyle name="40% - Accent4 4 2 2 7 3 2" xfId="24683"/>
    <cellStyle name="40% - Accent4 4 2 2 7 3 3" xfId="24684"/>
    <cellStyle name="40% - Accent4 4 2 2 7 4" xfId="24685"/>
    <cellStyle name="40% - Accent4 4 2 2 7 4 2" xfId="24686"/>
    <cellStyle name="40% - Accent4 4 2 2 7 5" xfId="24687"/>
    <cellStyle name="40% - Accent4 4 2 2 7 6" xfId="24688"/>
    <cellStyle name="40% - Accent4 4 2 2 8" xfId="24689"/>
    <cellStyle name="40% - Accent4 4 2 2 8 2" xfId="24690"/>
    <cellStyle name="40% - Accent4 4 2 2 8 2 2" xfId="24691"/>
    <cellStyle name="40% - Accent4 4 2 2 8 2 3" xfId="24692"/>
    <cellStyle name="40% - Accent4 4 2 2 8 3" xfId="24693"/>
    <cellStyle name="40% - Accent4 4 2 2 8 3 2" xfId="24694"/>
    <cellStyle name="40% - Accent4 4 2 2 8 4" xfId="24695"/>
    <cellStyle name="40% - Accent4 4 2 2 8 5" xfId="24696"/>
    <cellStyle name="40% - Accent4 4 2 2 9" xfId="24697"/>
    <cellStyle name="40% - Accent4 4 2 2 9 2" xfId="24698"/>
    <cellStyle name="40% - Accent4 4 2 2 9 3" xfId="24699"/>
    <cellStyle name="40% - Accent4 4 2 3" xfId="2223"/>
    <cellStyle name="40% - Accent4 4 2 3 10" xfId="24700"/>
    <cellStyle name="40% - Accent4 4 2 3 10 2" xfId="24701"/>
    <cellStyle name="40% - Accent4 4 2 3 11" xfId="24702"/>
    <cellStyle name="40% - Accent4 4 2 3 12" xfId="24703"/>
    <cellStyle name="40% - Accent4 4 2 3 2" xfId="2224"/>
    <cellStyle name="40% - Accent4 4 2 3 2 10" xfId="24704"/>
    <cellStyle name="40% - Accent4 4 2 3 2 2" xfId="2225"/>
    <cellStyle name="40% - Accent4 4 2 3 2 2 2" xfId="24705"/>
    <cellStyle name="40% - Accent4 4 2 3 2 2 2 2" xfId="24706"/>
    <cellStyle name="40% - Accent4 4 2 3 2 2 2 2 2" xfId="24707"/>
    <cellStyle name="40% - Accent4 4 2 3 2 2 2 2 3" xfId="24708"/>
    <cellStyle name="40% - Accent4 4 2 3 2 2 2 3" xfId="24709"/>
    <cellStyle name="40% - Accent4 4 2 3 2 2 2 3 2" xfId="24710"/>
    <cellStyle name="40% - Accent4 4 2 3 2 2 2 3 3" xfId="24711"/>
    <cellStyle name="40% - Accent4 4 2 3 2 2 2 4" xfId="24712"/>
    <cellStyle name="40% - Accent4 4 2 3 2 2 2 4 2" xfId="24713"/>
    <cellStyle name="40% - Accent4 4 2 3 2 2 2 5" xfId="24714"/>
    <cellStyle name="40% - Accent4 4 2 3 2 2 2 6" xfId="24715"/>
    <cellStyle name="40% - Accent4 4 2 3 2 2 3" xfId="24716"/>
    <cellStyle name="40% - Accent4 4 2 3 2 2 3 2" xfId="24717"/>
    <cellStyle name="40% - Accent4 4 2 3 2 2 3 2 2" xfId="24718"/>
    <cellStyle name="40% - Accent4 4 2 3 2 2 3 2 3" xfId="24719"/>
    <cellStyle name="40% - Accent4 4 2 3 2 2 3 3" xfId="24720"/>
    <cellStyle name="40% - Accent4 4 2 3 2 2 3 3 2" xfId="24721"/>
    <cellStyle name="40% - Accent4 4 2 3 2 2 3 3 3" xfId="24722"/>
    <cellStyle name="40% - Accent4 4 2 3 2 2 3 4" xfId="24723"/>
    <cellStyle name="40% - Accent4 4 2 3 2 2 3 4 2" xfId="24724"/>
    <cellStyle name="40% - Accent4 4 2 3 2 2 3 5" xfId="24725"/>
    <cellStyle name="40% - Accent4 4 2 3 2 2 3 6" xfId="24726"/>
    <cellStyle name="40% - Accent4 4 2 3 2 2 4" xfId="24727"/>
    <cellStyle name="40% - Accent4 4 2 3 2 2 4 2" xfId="24728"/>
    <cellStyle name="40% - Accent4 4 2 3 2 2 4 2 2" xfId="24729"/>
    <cellStyle name="40% - Accent4 4 2 3 2 2 4 2 3" xfId="24730"/>
    <cellStyle name="40% - Accent4 4 2 3 2 2 4 3" xfId="24731"/>
    <cellStyle name="40% - Accent4 4 2 3 2 2 4 3 2" xfId="24732"/>
    <cellStyle name="40% - Accent4 4 2 3 2 2 4 4" xfId="24733"/>
    <cellStyle name="40% - Accent4 4 2 3 2 2 4 5" xfId="24734"/>
    <cellStyle name="40% - Accent4 4 2 3 2 2 5" xfId="24735"/>
    <cellStyle name="40% - Accent4 4 2 3 2 2 5 2" xfId="24736"/>
    <cellStyle name="40% - Accent4 4 2 3 2 2 5 3" xfId="24737"/>
    <cellStyle name="40% - Accent4 4 2 3 2 2 6" xfId="24738"/>
    <cellStyle name="40% - Accent4 4 2 3 2 2 6 2" xfId="24739"/>
    <cellStyle name="40% - Accent4 4 2 3 2 2 6 3" xfId="24740"/>
    <cellStyle name="40% - Accent4 4 2 3 2 2 7" xfId="24741"/>
    <cellStyle name="40% - Accent4 4 2 3 2 2 7 2" xfId="24742"/>
    <cellStyle name="40% - Accent4 4 2 3 2 2 8" xfId="24743"/>
    <cellStyle name="40% - Accent4 4 2 3 2 2 9" xfId="24744"/>
    <cellStyle name="40% - Accent4 4 2 3 2 3" xfId="24745"/>
    <cellStyle name="40% - Accent4 4 2 3 2 3 2" xfId="24746"/>
    <cellStyle name="40% - Accent4 4 2 3 2 3 2 2" xfId="24747"/>
    <cellStyle name="40% - Accent4 4 2 3 2 3 2 3" xfId="24748"/>
    <cellStyle name="40% - Accent4 4 2 3 2 3 3" xfId="24749"/>
    <cellStyle name="40% - Accent4 4 2 3 2 3 3 2" xfId="24750"/>
    <cellStyle name="40% - Accent4 4 2 3 2 3 3 3" xfId="24751"/>
    <cellStyle name="40% - Accent4 4 2 3 2 3 4" xfId="24752"/>
    <cellStyle name="40% - Accent4 4 2 3 2 3 4 2" xfId="24753"/>
    <cellStyle name="40% - Accent4 4 2 3 2 3 5" xfId="24754"/>
    <cellStyle name="40% - Accent4 4 2 3 2 3 6" xfId="24755"/>
    <cellStyle name="40% - Accent4 4 2 3 2 4" xfId="24756"/>
    <cellStyle name="40% - Accent4 4 2 3 2 4 2" xfId="24757"/>
    <cellStyle name="40% - Accent4 4 2 3 2 4 2 2" xfId="24758"/>
    <cellStyle name="40% - Accent4 4 2 3 2 4 2 3" xfId="24759"/>
    <cellStyle name="40% - Accent4 4 2 3 2 4 3" xfId="24760"/>
    <cellStyle name="40% - Accent4 4 2 3 2 4 3 2" xfId="24761"/>
    <cellStyle name="40% - Accent4 4 2 3 2 4 3 3" xfId="24762"/>
    <cellStyle name="40% - Accent4 4 2 3 2 4 4" xfId="24763"/>
    <cellStyle name="40% - Accent4 4 2 3 2 4 4 2" xfId="24764"/>
    <cellStyle name="40% - Accent4 4 2 3 2 4 5" xfId="24765"/>
    <cellStyle name="40% - Accent4 4 2 3 2 4 6" xfId="24766"/>
    <cellStyle name="40% - Accent4 4 2 3 2 5" xfId="24767"/>
    <cellStyle name="40% - Accent4 4 2 3 2 5 2" xfId="24768"/>
    <cellStyle name="40% - Accent4 4 2 3 2 5 2 2" xfId="24769"/>
    <cellStyle name="40% - Accent4 4 2 3 2 5 2 3" xfId="24770"/>
    <cellStyle name="40% - Accent4 4 2 3 2 5 3" xfId="24771"/>
    <cellStyle name="40% - Accent4 4 2 3 2 5 3 2" xfId="24772"/>
    <cellStyle name="40% - Accent4 4 2 3 2 5 4" xfId="24773"/>
    <cellStyle name="40% - Accent4 4 2 3 2 5 5" xfId="24774"/>
    <cellStyle name="40% - Accent4 4 2 3 2 6" xfId="24775"/>
    <cellStyle name="40% - Accent4 4 2 3 2 6 2" xfId="24776"/>
    <cellStyle name="40% - Accent4 4 2 3 2 6 3" xfId="24777"/>
    <cellStyle name="40% - Accent4 4 2 3 2 7" xfId="24778"/>
    <cellStyle name="40% - Accent4 4 2 3 2 7 2" xfId="24779"/>
    <cellStyle name="40% - Accent4 4 2 3 2 7 3" xfId="24780"/>
    <cellStyle name="40% - Accent4 4 2 3 2 8" xfId="24781"/>
    <cellStyle name="40% - Accent4 4 2 3 2 8 2" xfId="24782"/>
    <cellStyle name="40% - Accent4 4 2 3 2 9" xfId="24783"/>
    <cellStyle name="40% - Accent4 4 2 3 3" xfId="2226"/>
    <cellStyle name="40% - Accent4 4 2 3 3 2" xfId="24784"/>
    <cellStyle name="40% - Accent4 4 2 3 3 2 2" xfId="24785"/>
    <cellStyle name="40% - Accent4 4 2 3 3 2 2 2" xfId="24786"/>
    <cellStyle name="40% - Accent4 4 2 3 3 2 2 3" xfId="24787"/>
    <cellStyle name="40% - Accent4 4 2 3 3 2 3" xfId="24788"/>
    <cellStyle name="40% - Accent4 4 2 3 3 2 3 2" xfId="24789"/>
    <cellStyle name="40% - Accent4 4 2 3 3 2 3 3" xfId="24790"/>
    <cellStyle name="40% - Accent4 4 2 3 3 2 4" xfId="24791"/>
    <cellStyle name="40% - Accent4 4 2 3 3 2 4 2" xfId="24792"/>
    <cellStyle name="40% - Accent4 4 2 3 3 2 5" xfId="24793"/>
    <cellStyle name="40% - Accent4 4 2 3 3 2 6" xfId="24794"/>
    <cellStyle name="40% - Accent4 4 2 3 3 3" xfId="24795"/>
    <cellStyle name="40% - Accent4 4 2 3 3 3 2" xfId="24796"/>
    <cellStyle name="40% - Accent4 4 2 3 3 3 2 2" xfId="24797"/>
    <cellStyle name="40% - Accent4 4 2 3 3 3 2 3" xfId="24798"/>
    <cellStyle name="40% - Accent4 4 2 3 3 3 3" xfId="24799"/>
    <cellStyle name="40% - Accent4 4 2 3 3 3 3 2" xfId="24800"/>
    <cellStyle name="40% - Accent4 4 2 3 3 3 3 3" xfId="24801"/>
    <cellStyle name="40% - Accent4 4 2 3 3 3 4" xfId="24802"/>
    <cellStyle name="40% - Accent4 4 2 3 3 3 4 2" xfId="24803"/>
    <cellStyle name="40% - Accent4 4 2 3 3 3 5" xfId="24804"/>
    <cellStyle name="40% - Accent4 4 2 3 3 3 6" xfId="24805"/>
    <cellStyle name="40% - Accent4 4 2 3 3 4" xfId="24806"/>
    <cellStyle name="40% - Accent4 4 2 3 3 4 2" xfId="24807"/>
    <cellStyle name="40% - Accent4 4 2 3 3 4 2 2" xfId="24808"/>
    <cellStyle name="40% - Accent4 4 2 3 3 4 2 3" xfId="24809"/>
    <cellStyle name="40% - Accent4 4 2 3 3 4 3" xfId="24810"/>
    <cellStyle name="40% - Accent4 4 2 3 3 4 3 2" xfId="24811"/>
    <cellStyle name="40% - Accent4 4 2 3 3 4 4" xfId="24812"/>
    <cellStyle name="40% - Accent4 4 2 3 3 4 5" xfId="24813"/>
    <cellStyle name="40% - Accent4 4 2 3 3 5" xfId="24814"/>
    <cellStyle name="40% - Accent4 4 2 3 3 5 2" xfId="24815"/>
    <cellStyle name="40% - Accent4 4 2 3 3 5 3" xfId="24816"/>
    <cellStyle name="40% - Accent4 4 2 3 3 6" xfId="24817"/>
    <cellStyle name="40% - Accent4 4 2 3 3 6 2" xfId="24818"/>
    <cellStyle name="40% - Accent4 4 2 3 3 6 3" xfId="24819"/>
    <cellStyle name="40% - Accent4 4 2 3 3 7" xfId="24820"/>
    <cellStyle name="40% - Accent4 4 2 3 3 7 2" xfId="24821"/>
    <cellStyle name="40% - Accent4 4 2 3 3 8" xfId="24822"/>
    <cellStyle name="40% - Accent4 4 2 3 3 9" xfId="24823"/>
    <cellStyle name="40% - Accent4 4 2 3 4" xfId="24824"/>
    <cellStyle name="40% - Accent4 4 2 3 4 2" xfId="24825"/>
    <cellStyle name="40% - Accent4 4 2 3 4 2 2" xfId="24826"/>
    <cellStyle name="40% - Accent4 4 2 3 4 2 2 2" xfId="24827"/>
    <cellStyle name="40% - Accent4 4 2 3 4 2 2 3" xfId="24828"/>
    <cellStyle name="40% - Accent4 4 2 3 4 2 3" xfId="24829"/>
    <cellStyle name="40% - Accent4 4 2 3 4 2 3 2" xfId="24830"/>
    <cellStyle name="40% - Accent4 4 2 3 4 2 3 3" xfId="24831"/>
    <cellStyle name="40% - Accent4 4 2 3 4 2 4" xfId="24832"/>
    <cellStyle name="40% - Accent4 4 2 3 4 2 4 2" xfId="24833"/>
    <cellStyle name="40% - Accent4 4 2 3 4 2 5" xfId="24834"/>
    <cellStyle name="40% - Accent4 4 2 3 4 2 6" xfId="24835"/>
    <cellStyle name="40% - Accent4 4 2 3 4 3" xfId="24836"/>
    <cellStyle name="40% - Accent4 4 2 3 4 3 2" xfId="24837"/>
    <cellStyle name="40% - Accent4 4 2 3 4 3 2 2" xfId="24838"/>
    <cellStyle name="40% - Accent4 4 2 3 4 3 2 3" xfId="24839"/>
    <cellStyle name="40% - Accent4 4 2 3 4 3 3" xfId="24840"/>
    <cellStyle name="40% - Accent4 4 2 3 4 3 3 2" xfId="24841"/>
    <cellStyle name="40% - Accent4 4 2 3 4 3 3 3" xfId="24842"/>
    <cellStyle name="40% - Accent4 4 2 3 4 3 4" xfId="24843"/>
    <cellStyle name="40% - Accent4 4 2 3 4 3 4 2" xfId="24844"/>
    <cellStyle name="40% - Accent4 4 2 3 4 3 5" xfId="24845"/>
    <cellStyle name="40% - Accent4 4 2 3 4 3 6" xfId="24846"/>
    <cellStyle name="40% - Accent4 4 2 3 4 4" xfId="24847"/>
    <cellStyle name="40% - Accent4 4 2 3 4 4 2" xfId="24848"/>
    <cellStyle name="40% - Accent4 4 2 3 4 4 2 2" xfId="24849"/>
    <cellStyle name="40% - Accent4 4 2 3 4 4 2 3" xfId="24850"/>
    <cellStyle name="40% - Accent4 4 2 3 4 4 3" xfId="24851"/>
    <cellStyle name="40% - Accent4 4 2 3 4 4 3 2" xfId="24852"/>
    <cellStyle name="40% - Accent4 4 2 3 4 4 4" xfId="24853"/>
    <cellStyle name="40% - Accent4 4 2 3 4 4 5" xfId="24854"/>
    <cellStyle name="40% - Accent4 4 2 3 4 5" xfId="24855"/>
    <cellStyle name="40% - Accent4 4 2 3 4 5 2" xfId="24856"/>
    <cellStyle name="40% - Accent4 4 2 3 4 5 3" xfId="24857"/>
    <cellStyle name="40% - Accent4 4 2 3 4 6" xfId="24858"/>
    <cellStyle name="40% - Accent4 4 2 3 4 6 2" xfId="24859"/>
    <cellStyle name="40% - Accent4 4 2 3 4 6 3" xfId="24860"/>
    <cellStyle name="40% - Accent4 4 2 3 4 7" xfId="24861"/>
    <cellStyle name="40% - Accent4 4 2 3 4 7 2" xfId="24862"/>
    <cellStyle name="40% - Accent4 4 2 3 4 8" xfId="24863"/>
    <cellStyle name="40% - Accent4 4 2 3 4 9" xfId="24864"/>
    <cellStyle name="40% - Accent4 4 2 3 5" xfId="24865"/>
    <cellStyle name="40% - Accent4 4 2 3 5 2" xfId="24866"/>
    <cellStyle name="40% - Accent4 4 2 3 5 2 2" xfId="24867"/>
    <cellStyle name="40% - Accent4 4 2 3 5 2 3" xfId="24868"/>
    <cellStyle name="40% - Accent4 4 2 3 5 3" xfId="24869"/>
    <cellStyle name="40% - Accent4 4 2 3 5 3 2" xfId="24870"/>
    <cellStyle name="40% - Accent4 4 2 3 5 3 3" xfId="24871"/>
    <cellStyle name="40% - Accent4 4 2 3 5 4" xfId="24872"/>
    <cellStyle name="40% - Accent4 4 2 3 5 4 2" xfId="24873"/>
    <cellStyle name="40% - Accent4 4 2 3 5 5" xfId="24874"/>
    <cellStyle name="40% - Accent4 4 2 3 5 6" xfId="24875"/>
    <cellStyle name="40% - Accent4 4 2 3 6" xfId="24876"/>
    <cellStyle name="40% - Accent4 4 2 3 6 2" xfId="24877"/>
    <cellStyle name="40% - Accent4 4 2 3 6 2 2" xfId="24878"/>
    <cellStyle name="40% - Accent4 4 2 3 6 2 3" xfId="24879"/>
    <cellStyle name="40% - Accent4 4 2 3 6 3" xfId="24880"/>
    <cellStyle name="40% - Accent4 4 2 3 6 3 2" xfId="24881"/>
    <cellStyle name="40% - Accent4 4 2 3 6 3 3" xfId="24882"/>
    <cellStyle name="40% - Accent4 4 2 3 6 4" xfId="24883"/>
    <cellStyle name="40% - Accent4 4 2 3 6 4 2" xfId="24884"/>
    <cellStyle name="40% - Accent4 4 2 3 6 5" xfId="24885"/>
    <cellStyle name="40% - Accent4 4 2 3 6 6" xfId="24886"/>
    <cellStyle name="40% - Accent4 4 2 3 7" xfId="24887"/>
    <cellStyle name="40% - Accent4 4 2 3 7 2" xfId="24888"/>
    <cellStyle name="40% - Accent4 4 2 3 7 2 2" xfId="24889"/>
    <cellStyle name="40% - Accent4 4 2 3 7 2 3" xfId="24890"/>
    <cellStyle name="40% - Accent4 4 2 3 7 3" xfId="24891"/>
    <cellStyle name="40% - Accent4 4 2 3 7 3 2" xfId="24892"/>
    <cellStyle name="40% - Accent4 4 2 3 7 4" xfId="24893"/>
    <cellStyle name="40% - Accent4 4 2 3 7 5" xfId="24894"/>
    <cellStyle name="40% - Accent4 4 2 3 8" xfId="24895"/>
    <cellStyle name="40% - Accent4 4 2 3 8 2" xfId="24896"/>
    <cellStyle name="40% - Accent4 4 2 3 8 3" xfId="24897"/>
    <cellStyle name="40% - Accent4 4 2 3 9" xfId="24898"/>
    <cellStyle name="40% - Accent4 4 2 3 9 2" xfId="24899"/>
    <cellStyle name="40% - Accent4 4 2 3 9 3" xfId="24900"/>
    <cellStyle name="40% - Accent4 4 2 4" xfId="2227"/>
    <cellStyle name="40% - Accent4 4 2 4 10" xfId="24901"/>
    <cellStyle name="40% - Accent4 4 2 4 2" xfId="2228"/>
    <cellStyle name="40% - Accent4 4 2 4 2 2" xfId="24902"/>
    <cellStyle name="40% - Accent4 4 2 4 2 2 2" xfId="24903"/>
    <cellStyle name="40% - Accent4 4 2 4 2 2 2 2" xfId="24904"/>
    <cellStyle name="40% - Accent4 4 2 4 2 2 2 3" xfId="24905"/>
    <cellStyle name="40% - Accent4 4 2 4 2 2 3" xfId="24906"/>
    <cellStyle name="40% - Accent4 4 2 4 2 2 3 2" xfId="24907"/>
    <cellStyle name="40% - Accent4 4 2 4 2 2 3 3" xfId="24908"/>
    <cellStyle name="40% - Accent4 4 2 4 2 2 4" xfId="24909"/>
    <cellStyle name="40% - Accent4 4 2 4 2 2 4 2" xfId="24910"/>
    <cellStyle name="40% - Accent4 4 2 4 2 2 5" xfId="24911"/>
    <cellStyle name="40% - Accent4 4 2 4 2 2 6" xfId="24912"/>
    <cellStyle name="40% - Accent4 4 2 4 2 3" xfId="24913"/>
    <cellStyle name="40% - Accent4 4 2 4 2 3 2" xfId="24914"/>
    <cellStyle name="40% - Accent4 4 2 4 2 3 2 2" xfId="24915"/>
    <cellStyle name="40% - Accent4 4 2 4 2 3 2 3" xfId="24916"/>
    <cellStyle name="40% - Accent4 4 2 4 2 3 3" xfId="24917"/>
    <cellStyle name="40% - Accent4 4 2 4 2 3 3 2" xfId="24918"/>
    <cellStyle name="40% - Accent4 4 2 4 2 3 3 3" xfId="24919"/>
    <cellStyle name="40% - Accent4 4 2 4 2 3 4" xfId="24920"/>
    <cellStyle name="40% - Accent4 4 2 4 2 3 4 2" xfId="24921"/>
    <cellStyle name="40% - Accent4 4 2 4 2 3 5" xfId="24922"/>
    <cellStyle name="40% - Accent4 4 2 4 2 3 6" xfId="24923"/>
    <cellStyle name="40% - Accent4 4 2 4 2 4" xfId="24924"/>
    <cellStyle name="40% - Accent4 4 2 4 2 4 2" xfId="24925"/>
    <cellStyle name="40% - Accent4 4 2 4 2 4 2 2" xfId="24926"/>
    <cellStyle name="40% - Accent4 4 2 4 2 4 2 3" xfId="24927"/>
    <cellStyle name="40% - Accent4 4 2 4 2 4 3" xfId="24928"/>
    <cellStyle name="40% - Accent4 4 2 4 2 4 3 2" xfId="24929"/>
    <cellStyle name="40% - Accent4 4 2 4 2 4 4" xfId="24930"/>
    <cellStyle name="40% - Accent4 4 2 4 2 4 5" xfId="24931"/>
    <cellStyle name="40% - Accent4 4 2 4 2 5" xfId="24932"/>
    <cellStyle name="40% - Accent4 4 2 4 2 5 2" xfId="24933"/>
    <cellStyle name="40% - Accent4 4 2 4 2 5 3" xfId="24934"/>
    <cellStyle name="40% - Accent4 4 2 4 2 6" xfId="24935"/>
    <cellStyle name="40% - Accent4 4 2 4 2 6 2" xfId="24936"/>
    <cellStyle name="40% - Accent4 4 2 4 2 6 3" xfId="24937"/>
    <cellStyle name="40% - Accent4 4 2 4 2 7" xfId="24938"/>
    <cellStyle name="40% - Accent4 4 2 4 2 7 2" xfId="24939"/>
    <cellStyle name="40% - Accent4 4 2 4 2 8" xfId="24940"/>
    <cellStyle name="40% - Accent4 4 2 4 2 9" xfId="24941"/>
    <cellStyle name="40% - Accent4 4 2 4 3" xfId="24942"/>
    <cellStyle name="40% - Accent4 4 2 4 3 2" xfId="24943"/>
    <cellStyle name="40% - Accent4 4 2 4 3 2 2" xfId="24944"/>
    <cellStyle name="40% - Accent4 4 2 4 3 2 3" xfId="24945"/>
    <cellStyle name="40% - Accent4 4 2 4 3 3" xfId="24946"/>
    <cellStyle name="40% - Accent4 4 2 4 3 3 2" xfId="24947"/>
    <cellStyle name="40% - Accent4 4 2 4 3 3 3" xfId="24948"/>
    <cellStyle name="40% - Accent4 4 2 4 3 4" xfId="24949"/>
    <cellStyle name="40% - Accent4 4 2 4 3 4 2" xfId="24950"/>
    <cellStyle name="40% - Accent4 4 2 4 3 5" xfId="24951"/>
    <cellStyle name="40% - Accent4 4 2 4 3 6" xfId="24952"/>
    <cellStyle name="40% - Accent4 4 2 4 4" xfId="24953"/>
    <cellStyle name="40% - Accent4 4 2 4 4 2" xfId="24954"/>
    <cellStyle name="40% - Accent4 4 2 4 4 2 2" xfId="24955"/>
    <cellStyle name="40% - Accent4 4 2 4 4 2 3" xfId="24956"/>
    <cellStyle name="40% - Accent4 4 2 4 4 3" xfId="24957"/>
    <cellStyle name="40% - Accent4 4 2 4 4 3 2" xfId="24958"/>
    <cellStyle name="40% - Accent4 4 2 4 4 3 3" xfId="24959"/>
    <cellStyle name="40% - Accent4 4 2 4 4 4" xfId="24960"/>
    <cellStyle name="40% - Accent4 4 2 4 4 4 2" xfId="24961"/>
    <cellStyle name="40% - Accent4 4 2 4 4 5" xfId="24962"/>
    <cellStyle name="40% - Accent4 4 2 4 4 6" xfId="24963"/>
    <cellStyle name="40% - Accent4 4 2 4 5" xfId="24964"/>
    <cellStyle name="40% - Accent4 4 2 4 5 2" xfId="24965"/>
    <cellStyle name="40% - Accent4 4 2 4 5 2 2" xfId="24966"/>
    <cellStyle name="40% - Accent4 4 2 4 5 2 3" xfId="24967"/>
    <cellStyle name="40% - Accent4 4 2 4 5 3" xfId="24968"/>
    <cellStyle name="40% - Accent4 4 2 4 5 3 2" xfId="24969"/>
    <cellStyle name="40% - Accent4 4 2 4 5 4" xfId="24970"/>
    <cellStyle name="40% - Accent4 4 2 4 5 5" xfId="24971"/>
    <cellStyle name="40% - Accent4 4 2 4 6" xfId="24972"/>
    <cellStyle name="40% - Accent4 4 2 4 6 2" xfId="24973"/>
    <cellStyle name="40% - Accent4 4 2 4 6 3" xfId="24974"/>
    <cellStyle name="40% - Accent4 4 2 4 7" xfId="24975"/>
    <cellStyle name="40% - Accent4 4 2 4 7 2" xfId="24976"/>
    <cellStyle name="40% - Accent4 4 2 4 7 3" xfId="24977"/>
    <cellStyle name="40% - Accent4 4 2 4 8" xfId="24978"/>
    <cellStyle name="40% - Accent4 4 2 4 8 2" xfId="24979"/>
    <cellStyle name="40% - Accent4 4 2 4 9" xfId="24980"/>
    <cellStyle name="40% - Accent4 4 2 5" xfId="2229"/>
    <cellStyle name="40% - Accent4 4 2 5 2" xfId="24981"/>
    <cellStyle name="40% - Accent4 4 2 5 2 2" xfId="24982"/>
    <cellStyle name="40% - Accent4 4 2 5 2 2 2" xfId="24983"/>
    <cellStyle name="40% - Accent4 4 2 5 2 2 3" xfId="24984"/>
    <cellStyle name="40% - Accent4 4 2 5 2 3" xfId="24985"/>
    <cellStyle name="40% - Accent4 4 2 5 2 3 2" xfId="24986"/>
    <cellStyle name="40% - Accent4 4 2 5 2 3 3" xfId="24987"/>
    <cellStyle name="40% - Accent4 4 2 5 2 4" xfId="24988"/>
    <cellStyle name="40% - Accent4 4 2 5 2 4 2" xfId="24989"/>
    <cellStyle name="40% - Accent4 4 2 5 2 5" xfId="24990"/>
    <cellStyle name="40% - Accent4 4 2 5 2 6" xfId="24991"/>
    <cellStyle name="40% - Accent4 4 2 5 3" xfId="24992"/>
    <cellStyle name="40% - Accent4 4 2 5 3 2" xfId="24993"/>
    <cellStyle name="40% - Accent4 4 2 5 3 2 2" xfId="24994"/>
    <cellStyle name="40% - Accent4 4 2 5 3 2 3" xfId="24995"/>
    <cellStyle name="40% - Accent4 4 2 5 3 3" xfId="24996"/>
    <cellStyle name="40% - Accent4 4 2 5 3 3 2" xfId="24997"/>
    <cellStyle name="40% - Accent4 4 2 5 3 3 3" xfId="24998"/>
    <cellStyle name="40% - Accent4 4 2 5 3 4" xfId="24999"/>
    <cellStyle name="40% - Accent4 4 2 5 3 4 2" xfId="25000"/>
    <cellStyle name="40% - Accent4 4 2 5 3 5" xfId="25001"/>
    <cellStyle name="40% - Accent4 4 2 5 3 6" xfId="25002"/>
    <cellStyle name="40% - Accent4 4 2 5 4" xfId="25003"/>
    <cellStyle name="40% - Accent4 4 2 5 4 2" xfId="25004"/>
    <cellStyle name="40% - Accent4 4 2 5 4 2 2" xfId="25005"/>
    <cellStyle name="40% - Accent4 4 2 5 4 2 3" xfId="25006"/>
    <cellStyle name="40% - Accent4 4 2 5 4 3" xfId="25007"/>
    <cellStyle name="40% - Accent4 4 2 5 4 3 2" xfId="25008"/>
    <cellStyle name="40% - Accent4 4 2 5 4 4" xfId="25009"/>
    <cellStyle name="40% - Accent4 4 2 5 4 5" xfId="25010"/>
    <cellStyle name="40% - Accent4 4 2 5 5" xfId="25011"/>
    <cellStyle name="40% - Accent4 4 2 5 5 2" xfId="25012"/>
    <cellStyle name="40% - Accent4 4 2 5 5 3" xfId="25013"/>
    <cellStyle name="40% - Accent4 4 2 5 6" xfId="25014"/>
    <cellStyle name="40% - Accent4 4 2 5 6 2" xfId="25015"/>
    <cellStyle name="40% - Accent4 4 2 5 6 3" xfId="25016"/>
    <cellStyle name="40% - Accent4 4 2 5 7" xfId="25017"/>
    <cellStyle name="40% - Accent4 4 2 5 7 2" xfId="25018"/>
    <cellStyle name="40% - Accent4 4 2 5 8" xfId="25019"/>
    <cellStyle name="40% - Accent4 4 2 5 9" xfId="25020"/>
    <cellStyle name="40% - Accent4 4 2 6" xfId="25021"/>
    <cellStyle name="40% - Accent4 4 2 6 2" xfId="25022"/>
    <cellStyle name="40% - Accent4 4 2 6 2 2" xfId="25023"/>
    <cellStyle name="40% - Accent4 4 2 6 2 2 2" xfId="25024"/>
    <cellStyle name="40% - Accent4 4 2 6 2 2 3" xfId="25025"/>
    <cellStyle name="40% - Accent4 4 2 6 2 3" xfId="25026"/>
    <cellStyle name="40% - Accent4 4 2 6 2 3 2" xfId="25027"/>
    <cellStyle name="40% - Accent4 4 2 6 2 3 3" xfId="25028"/>
    <cellStyle name="40% - Accent4 4 2 6 2 4" xfId="25029"/>
    <cellStyle name="40% - Accent4 4 2 6 2 4 2" xfId="25030"/>
    <cellStyle name="40% - Accent4 4 2 6 2 5" xfId="25031"/>
    <cellStyle name="40% - Accent4 4 2 6 2 6" xfId="25032"/>
    <cellStyle name="40% - Accent4 4 2 6 3" xfId="25033"/>
    <cellStyle name="40% - Accent4 4 2 6 3 2" xfId="25034"/>
    <cellStyle name="40% - Accent4 4 2 6 3 2 2" xfId="25035"/>
    <cellStyle name="40% - Accent4 4 2 6 3 2 3" xfId="25036"/>
    <cellStyle name="40% - Accent4 4 2 6 3 3" xfId="25037"/>
    <cellStyle name="40% - Accent4 4 2 6 3 3 2" xfId="25038"/>
    <cellStyle name="40% - Accent4 4 2 6 3 3 3" xfId="25039"/>
    <cellStyle name="40% - Accent4 4 2 6 3 4" xfId="25040"/>
    <cellStyle name="40% - Accent4 4 2 6 3 4 2" xfId="25041"/>
    <cellStyle name="40% - Accent4 4 2 6 3 5" xfId="25042"/>
    <cellStyle name="40% - Accent4 4 2 6 3 6" xfId="25043"/>
    <cellStyle name="40% - Accent4 4 2 6 4" xfId="25044"/>
    <cellStyle name="40% - Accent4 4 2 6 4 2" xfId="25045"/>
    <cellStyle name="40% - Accent4 4 2 6 4 2 2" xfId="25046"/>
    <cellStyle name="40% - Accent4 4 2 6 4 2 3" xfId="25047"/>
    <cellStyle name="40% - Accent4 4 2 6 4 3" xfId="25048"/>
    <cellStyle name="40% - Accent4 4 2 6 4 3 2" xfId="25049"/>
    <cellStyle name="40% - Accent4 4 2 6 4 4" xfId="25050"/>
    <cellStyle name="40% - Accent4 4 2 6 4 5" xfId="25051"/>
    <cellStyle name="40% - Accent4 4 2 6 5" xfId="25052"/>
    <cellStyle name="40% - Accent4 4 2 6 5 2" xfId="25053"/>
    <cellStyle name="40% - Accent4 4 2 6 5 3" xfId="25054"/>
    <cellStyle name="40% - Accent4 4 2 6 6" xfId="25055"/>
    <cellStyle name="40% - Accent4 4 2 6 6 2" xfId="25056"/>
    <cellStyle name="40% - Accent4 4 2 6 6 3" xfId="25057"/>
    <cellStyle name="40% - Accent4 4 2 6 7" xfId="25058"/>
    <cellStyle name="40% - Accent4 4 2 6 7 2" xfId="25059"/>
    <cellStyle name="40% - Accent4 4 2 6 8" xfId="25060"/>
    <cellStyle name="40% - Accent4 4 2 6 9" xfId="25061"/>
    <cellStyle name="40% - Accent4 4 2 7" xfId="25062"/>
    <cellStyle name="40% - Accent4 4 2 7 2" xfId="25063"/>
    <cellStyle name="40% - Accent4 4 2 7 2 2" xfId="25064"/>
    <cellStyle name="40% - Accent4 4 2 7 2 3" xfId="25065"/>
    <cellStyle name="40% - Accent4 4 2 7 3" xfId="25066"/>
    <cellStyle name="40% - Accent4 4 2 7 3 2" xfId="25067"/>
    <cellStyle name="40% - Accent4 4 2 7 3 3" xfId="25068"/>
    <cellStyle name="40% - Accent4 4 2 7 4" xfId="25069"/>
    <cellStyle name="40% - Accent4 4 2 7 4 2" xfId="25070"/>
    <cellStyle name="40% - Accent4 4 2 7 5" xfId="25071"/>
    <cellStyle name="40% - Accent4 4 2 7 6" xfId="25072"/>
    <cellStyle name="40% - Accent4 4 2 8" xfId="25073"/>
    <cellStyle name="40% - Accent4 4 2 8 2" xfId="25074"/>
    <cellStyle name="40% - Accent4 4 2 8 2 2" xfId="25075"/>
    <cellStyle name="40% - Accent4 4 2 8 2 3" xfId="25076"/>
    <cellStyle name="40% - Accent4 4 2 8 3" xfId="25077"/>
    <cellStyle name="40% - Accent4 4 2 8 3 2" xfId="25078"/>
    <cellStyle name="40% - Accent4 4 2 8 3 3" xfId="25079"/>
    <cellStyle name="40% - Accent4 4 2 8 4" xfId="25080"/>
    <cellStyle name="40% - Accent4 4 2 8 4 2" xfId="25081"/>
    <cellStyle name="40% - Accent4 4 2 8 5" xfId="25082"/>
    <cellStyle name="40% - Accent4 4 2 8 6" xfId="25083"/>
    <cellStyle name="40% - Accent4 4 2 9" xfId="25084"/>
    <cellStyle name="40% - Accent4 4 2 9 2" xfId="25085"/>
    <cellStyle name="40% - Accent4 4 2 9 2 2" xfId="25086"/>
    <cellStyle name="40% - Accent4 4 2 9 2 3" xfId="25087"/>
    <cellStyle name="40% - Accent4 4 2 9 3" xfId="25088"/>
    <cellStyle name="40% - Accent4 4 2 9 3 2" xfId="25089"/>
    <cellStyle name="40% - Accent4 4 2 9 4" xfId="25090"/>
    <cellStyle name="40% - Accent4 4 2 9 5" xfId="25091"/>
    <cellStyle name="40% - Accent4 4 3" xfId="2230"/>
    <cellStyle name="40% - Accent4 4 3 10" xfId="25092"/>
    <cellStyle name="40% - Accent4 4 3 10 2" xfId="25093"/>
    <cellStyle name="40% - Accent4 4 3 10 3" xfId="25094"/>
    <cellStyle name="40% - Accent4 4 3 11" xfId="25095"/>
    <cellStyle name="40% - Accent4 4 3 11 2" xfId="25096"/>
    <cellStyle name="40% - Accent4 4 3 12" xfId="25097"/>
    <cellStyle name="40% - Accent4 4 3 13" xfId="25098"/>
    <cellStyle name="40% - Accent4 4 3 14" xfId="25099"/>
    <cellStyle name="40% - Accent4 4 3 2" xfId="2231"/>
    <cellStyle name="40% - Accent4 4 3 2 10" xfId="25100"/>
    <cellStyle name="40% - Accent4 4 3 2 10 2" xfId="25101"/>
    <cellStyle name="40% - Accent4 4 3 2 11" xfId="25102"/>
    <cellStyle name="40% - Accent4 4 3 2 12" xfId="25103"/>
    <cellStyle name="40% - Accent4 4 3 2 2" xfId="2232"/>
    <cellStyle name="40% - Accent4 4 3 2 2 10" xfId="25104"/>
    <cellStyle name="40% - Accent4 4 3 2 2 2" xfId="2233"/>
    <cellStyle name="40% - Accent4 4 3 2 2 2 2" xfId="25105"/>
    <cellStyle name="40% - Accent4 4 3 2 2 2 2 2" xfId="25106"/>
    <cellStyle name="40% - Accent4 4 3 2 2 2 2 2 2" xfId="25107"/>
    <cellStyle name="40% - Accent4 4 3 2 2 2 2 2 3" xfId="25108"/>
    <cellStyle name="40% - Accent4 4 3 2 2 2 2 3" xfId="25109"/>
    <cellStyle name="40% - Accent4 4 3 2 2 2 2 3 2" xfId="25110"/>
    <cellStyle name="40% - Accent4 4 3 2 2 2 2 3 3" xfId="25111"/>
    <cellStyle name="40% - Accent4 4 3 2 2 2 2 4" xfId="25112"/>
    <cellStyle name="40% - Accent4 4 3 2 2 2 2 4 2" xfId="25113"/>
    <cellStyle name="40% - Accent4 4 3 2 2 2 2 5" xfId="25114"/>
    <cellStyle name="40% - Accent4 4 3 2 2 2 2 6" xfId="25115"/>
    <cellStyle name="40% - Accent4 4 3 2 2 2 3" xfId="25116"/>
    <cellStyle name="40% - Accent4 4 3 2 2 2 3 2" xfId="25117"/>
    <cellStyle name="40% - Accent4 4 3 2 2 2 3 2 2" xfId="25118"/>
    <cellStyle name="40% - Accent4 4 3 2 2 2 3 2 3" xfId="25119"/>
    <cellStyle name="40% - Accent4 4 3 2 2 2 3 3" xfId="25120"/>
    <cellStyle name="40% - Accent4 4 3 2 2 2 3 3 2" xfId="25121"/>
    <cellStyle name="40% - Accent4 4 3 2 2 2 3 3 3" xfId="25122"/>
    <cellStyle name="40% - Accent4 4 3 2 2 2 3 4" xfId="25123"/>
    <cellStyle name="40% - Accent4 4 3 2 2 2 3 4 2" xfId="25124"/>
    <cellStyle name="40% - Accent4 4 3 2 2 2 3 5" xfId="25125"/>
    <cellStyle name="40% - Accent4 4 3 2 2 2 3 6" xfId="25126"/>
    <cellStyle name="40% - Accent4 4 3 2 2 2 4" xfId="25127"/>
    <cellStyle name="40% - Accent4 4 3 2 2 2 4 2" xfId="25128"/>
    <cellStyle name="40% - Accent4 4 3 2 2 2 4 2 2" xfId="25129"/>
    <cellStyle name="40% - Accent4 4 3 2 2 2 4 2 3" xfId="25130"/>
    <cellStyle name="40% - Accent4 4 3 2 2 2 4 3" xfId="25131"/>
    <cellStyle name="40% - Accent4 4 3 2 2 2 4 3 2" xfId="25132"/>
    <cellStyle name="40% - Accent4 4 3 2 2 2 4 4" xfId="25133"/>
    <cellStyle name="40% - Accent4 4 3 2 2 2 4 5" xfId="25134"/>
    <cellStyle name="40% - Accent4 4 3 2 2 2 5" xfId="25135"/>
    <cellStyle name="40% - Accent4 4 3 2 2 2 5 2" xfId="25136"/>
    <cellStyle name="40% - Accent4 4 3 2 2 2 5 3" xfId="25137"/>
    <cellStyle name="40% - Accent4 4 3 2 2 2 6" xfId="25138"/>
    <cellStyle name="40% - Accent4 4 3 2 2 2 6 2" xfId="25139"/>
    <cellStyle name="40% - Accent4 4 3 2 2 2 6 3" xfId="25140"/>
    <cellStyle name="40% - Accent4 4 3 2 2 2 7" xfId="25141"/>
    <cellStyle name="40% - Accent4 4 3 2 2 2 7 2" xfId="25142"/>
    <cellStyle name="40% - Accent4 4 3 2 2 2 8" xfId="25143"/>
    <cellStyle name="40% - Accent4 4 3 2 2 2 9" xfId="25144"/>
    <cellStyle name="40% - Accent4 4 3 2 2 3" xfId="25145"/>
    <cellStyle name="40% - Accent4 4 3 2 2 3 2" xfId="25146"/>
    <cellStyle name="40% - Accent4 4 3 2 2 3 2 2" xfId="25147"/>
    <cellStyle name="40% - Accent4 4 3 2 2 3 2 3" xfId="25148"/>
    <cellStyle name="40% - Accent4 4 3 2 2 3 3" xfId="25149"/>
    <cellStyle name="40% - Accent4 4 3 2 2 3 3 2" xfId="25150"/>
    <cellStyle name="40% - Accent4 4 3 2 2 3 3 3" xfId="25151"/>
    <cellStyle name="40% - Accent4 4 3 2 2 3 4" xfId="25152"/>
    <cellStyle name="40% - Accent4 4 3 2 2 3 4 2" xfId="25153"/>
    <cellStyle name="40% - Accent4 4 3 2 2 3 5" xfId="25154"/>
    <cellStyle name="40% - Accent4 4 3 2 2 3 6" xfId="25155"/>
    <cellStyle name="40% - Accent4 4 3 2 2 4" xfId="25156"/>
    <cellStyle name="40% - Accent4 4 3 2 2 4 2" xfId="25157"/>
    <cellStyle name="40% - Accent4 4 3 2 2 4 2 2" xfId="25158"/>
    <cellStyle name="40% - Accent4 4 3 2 2 4 2 3" xfId="25159"/>
    <cellStyle name="40% - Accent4 4 3 2 2 4 3" xfId="25160"/>
    <cellStyle name="40% - Accent4 4 3 2 2 4 3 2" xfId="25161"/>
    <cellStyle name="40% - Accent4 4 3 2 2 4 3 3" xfId="25162"/>
    <cellStyle name="40% - Accent4 4 3 2 2 4 4" xfId="25163"/>
    <cellStyle name="40% - Accent4 4 3 2 2 4 4 2" xfId="25164"/>
    <cellStyle name="40% - Accent4 4 3 2 2 4 5" xfId="25165"/>
    <cellStyle name="40% - Accent4 4 3 2 2 4 6" xfId="25166"/>
    <cellStyle name="40% - Accent4 4 3 2 2 5" xfId="25167"/>
    <cellStyle name="40% - Accent4 4 3 2 2 5 2" xfId="25168"/>
    <cellStyle name="40% - Accent4 4 3 2 2 5 2 2" xfId="25169"/>
    <cellStyle name="40% - Accent4 4 3 2 2 5 2 3" xfId="25170"/>
    <cellStyle name="40% - Accent4 4 3 2 2 5 3" xfId="25171"/>
    <cellStyle name="40% - Accent4 4 3 2 2 5 3 2" xfId="25172"/>
    <cellStyle name="40% - Accent4 4 3 2 2 5 4" xfId="25173"/>
    <cellStyle name="40% - Accent4 4 3 2 2 5 5" xfId="25174"/>
    <cellStyle name="40% - Accent4 4 3 2 2 6" xfId="25175"/>
    <cellStyle name="40% - Accent4 4 3 2 2 6 2" xfId="25176"/>
    <cellStyle name="40% - Accent4 4 3 2 2 6 3" xfId="25177"/>
    <cellStyle name="40% - Accent4 4 3 2 2 7" xfId="25178"/>
    <cellStyle name="40% - Accent4 4 3 2 2 7 2" xfId="25179"/>
    <cellStyle name="40% - Accent4 4 3 2 2 7 3" xfId="25180"/>
    <cellStyle name="40% - Accent4 4 3 2 2 8" xfId="25181"/>
    <cellStyle name="40% - Accent4 4 3 2 2 8 2" xfId="25182"/>
    <cellStyle name="40% - Accent4 4 3 2 2 9" xfId="25183"/>
    <cellStyle name="40% - Accent4 4 3 2 3" xfId="2234"/>
    <cellStyle name="40% - Accent4 4 3 2 3 2" xfId="25184"/>
    <cellStyle name="40% - Accent4 4 3 2 3 2 2" xfId="25185"/>
    <cellStyle name="40% - Accent4 4 3 2 3 2 2 2" xfId="25186"/>
    <cellStyle name="40% - Accent4 4 3 2 3 2 2 3" xfId="25187"/>
    <cellStyle name="40% - Accent4 4 3 2 3 2 3" xfId="25188"/>
    <cellStyle name="40% - Accent4 4 3 2 3 2 3 2" xfId="25189"/>
    <cellStyle name="40% - Accent4 4 3 2 3 2 3 3" xfId="25190"/>
    <cellStyle name="40% - Accent4 4 3 2 3 2 4" xfId="25191"/>
    <cellStyle name="40% - Accent4 4 3 2 3 2 4 2" xfId="25192"/>
    <cellStyle name="40% - Accent4 4 3 2 3 2 5" xfId="25193"/>
    <cellStyle name="40% - Accent4 4 3 2 3 2 6" xfId="25194"/>
    <cellStyle name="40% - Accent4 4 3 2 3 3" xfId="25195"/>
    <cellStyle name="40% - Accent4 4 3 2 3 3 2" xfId="25196"/>
    <cellStyle name="40% - Accent4 4 3 2 3 3 2 2" xfId="25197"/>
    <cellStyle name="40% - Accent4 4 3 2 3 3 2 3" xfId="25198"/>
    <cellStyle name="40% - Accent4 4 3 2 3 3 3" xfId="25199"/>
    <cellStyle name="40% - Accent4 4 3 2 3 3 3 2" xfId="25200"/>
    <cellStyle name="40% - Accent4 4 3 2 3 3 3 3" xfId="25201"/>
    <cellStyle name="40% - Accent4 4 3 2 3 3 4" xfId="25202"/>
    <cellStyle name="40% - Accent4 4 3 2 3 3 4 2" xfId="25203"/>
    <cellStyle name="40% - Accent4 4 3 2 3 3 5" xfId="25204"/>
    <cellStyle name="40% - Accent4 4 3 2 3 3 6" xfId="25205"/>
    <cellStyle name="40% - Accent4 4 3 2 3 4" xfId="25206"/>
    <cellStyle name="40% - Accent4 4 3 2 3 4 2" xfId="25207"/>
    <cellStyle name="40% - Accent4 4 3 2 3 4 2 2" xfId="25208"/>
    <cellStyle name="40% - Accent4 4 3 2 3 4 2 3" xfId="25209"/>
    <cellStyle name="40% - Accent4 4 3 2 3 4 3" xfId="25210"/>
    <cellStyle name="40% - Accent4 4 3 2 3 4 3 2" xfId="25211"/>
    <cellStyle name="40% - Accent4 4 3 2 3 4 4" xfId="25212"/>
    <cellStyle name="40% - Accent4 4 3 2 3 4 5" xfId="25213"/>
    <cellStyle name="40% - Accent4 4 3 2 3 5" xfId="25214"/>
    <cellStyle name="40% - Accent4 4 3 2 3 5 2" xfId="25215"/>
    <cellStyle name="40% - Accent4 4 3 2 3 5 3" xfId="25216"/>
    <cellStyle name="40% - Accent4 4 3 2 3 6" xfId="25217"/>
    <cellStyle name="40% - Accent4 4 3 2 3 6 2" xfId="25218"/>
    <cellStyle name="40% - Accent4 4 3 2 3 6 3" xfId="25219"/>
    <cellStyle name="40% - Accent4 4 3 2 3 7" xfId="25220"/>
    <cellStyle name="40% - Accent4 4 3 2 3 7 2" xfId="25221"/>
    <cellStyle name="40% - Accent4 4 3 2 3 8" xfId="25222"/>
    <cellStyle name="40% - Accent4 4 3 2 3 9" xfId="25223"/>
    <cellStyle name="40% - Accent4 4 3 2 4" xfId="25224"/>
    <cellStyle name="40% - Accent4 4 3 2 4 2" xfId="25225"/>
    <cellStyle name="40% - Accent4 4 3 2 4 2 2" xfId="25226"/>
    <cellStyle name="40% - Accent4 4 3 2 4 2 2 2" xfId="25227"/>
    <cellStyle name="40% - Accent4 4 3 2 4 2 2 3" xfId="25228"/>
    <cellStyle name="40% - Accent4 4 3 2 4 2 3" xfId="25229"/>
    <cellStyle name="40% - Accent4 4 3 2 4 2 3 2" xfId="25230"/>
    <cellStyle name="40% - Accent4 4 3 2 4 2 3 3" xfId="25231"/>
    <cellStyle name="40% - Accent4 4 3 2 4 2 4" xfId="25232"/>
    <cellStyle name="40% - Accent4 4 3 2 4 2 4 2" xfId="25233"/>
    <cellStyle name="40% - Accent4 4 3 2 4 2 5" xfId="25234"/>
    <cellStyle name="40% - Accent4 4 3 2 4 2 6" xfId="25235"/>
    <cellStyle name="40% - Accent4 4 3 2 4 3" xfId="25236"/>
    <cellStyle name="40% - Accent4 4 3 2 4 3 2" xfId="25237"/>
    <cellStyle name="40% - Accent4 4 3 2 4 3 2 2" xfId="25238"/>
    <cellStyle name="40% - Accent4 4 3 2 4 3 2 3" xfId="25239"/>
    <cellStyle name="40% - Accent4 4 3 2 4 3 3" xfId="25240"/>
    <cellStyle name="40% - Accent4 4 3 2 4 3 3 2" xfId="25241"/>
    <cellStyle name="40% - Accent4 4 3 2 4 3 3 3" xfId="25242"/>
    <cellStyle name="40% - Accent4 4 3 2 4 3 4" xfId="25243"/>
    <cellStyle name="40% - Accent4 4 3 2 4 3 4 2" xfId="25244"/>
    <cellStyle name="40% - Accent4 4 3 2 4 3 5" xfId="25245"/>
    <cellStyle name="40% - Accent4 4 3 2 4 3 6" xfId="25246"/>
    <cellStyle name="40% - Accent4 4 3 2 4 4" xfId="25247"/>
    <cellStyle name="40% - Accent4 4 3 2 4 4 2" xfId="25248"/>
    <cellStyle name="40% - Accent4 4 3 2 4 4 2 2" xfId="25249"/>
    <cellStyle name="40% - Accent4 4 3 2 4 4 2 3" xfId="25250"/>
    <cellStyle name="40% - Accent4 4 3 2 4 4 3" xfId="25251"/>
    <cellStyle name="40% - Accent4 4 3 2 4 4 3 2" xfId="25252"/>
    <cellStyle name="40% - Accent4 4 3 2 4 4 4" xfId="25253"/>
    <cellStyle name="40% - Accent4 4 3 2 4 4 5" xfId="25254"/>
    <cellStyle name="40% - Accent4 4 3 2 4 5" xfId="25255"/>
    <cellStyle name="40% - Accent4 4 3 2 4 5 2" xfId="25256"/>
    <cellStyle name="40% - Accent4 4 3 2 4 5 3" xfId="25257"/>
    <cellStyle name="40% - Accent4 4 3 2 4 6" xfId="25258"/>
    <cellStyle name="40% - Accent4 4 3 2 4 6 2" xfId="25259"/>
    <cellStyle name="40% - Accent4 4 3 2 4 6 3" xfId="25260"/>
    <cellStyle name="40% - Accent4 4 3 2 4 7" xfId="25261"/>
    <cellStyle name="40% - Accent4 4 3 2 4 7 2" xfId="25262"/>
    <cellStyle name="40% - Accent4 4 3 2 4 8" xfId="25263"/>
    <cellStyle name="40% - Accent4 4 3 2 4 9" xfId="25264"/>
    <cellStyle name="40% - Accent4 4 3 2 5" xfId="25265"/>
    <cellStyle name="40% - Accent4 4 3 2 5 2" xfId="25266"/>
    <cellStyle name="40% - Accent4 4 3 2 5 2 2" xfId="25267"/>
    <cellStyle name="40% - Accent4 4 3 2 5 2 3" xfId="25268"/>
    <cellStyle name="40% - Accent4 4 3 2 5 3" xfId="25269"/>
    <cellStyle name="40% - Accent4 4 3 2 5 3 2" xfId="25270"/>
    <cellStyle name="40% - Accent4 4 3 2 5 3 3" xfId="25271"/>
    <cellStyle name="40% - Accent4 4 3 2 5 4" xfId="25272"/>
    <cellStyle name="40% - Accent4 4 3 2 5 4 2" xfId="25273"/>
    <cellStyle name="40% - Accent4 4 3 2 5 5" xfId="25274"/>
    <cellStyle name="40% - Accent4 4 3 2 5 6" xfId="25275"/>
    <cellStyle name="40% - Accent4 4 3 2 6" xfId="25276"/>
    <cellStyle name="40% - Accent4 4 3 2 6 2" xfId="25277"/>
    <cellStyle name="40% - Accent4 4 3 2 6 2 2" xfId="25278"/>
    <cellStyle name="40% - Accent4 4 3 2 6 2 3" xfId="25279"/>
    <cellStyle name="40% - Accent4 4 3 2 6 3" xfId="25280"/>
    <cellStyle name="40% - Accent4 4 3 2 6 3 2" xfId="25281"/>
    <cellStyle name="40% - Accent4 4 3 2 6 3 3" xfId="25282"/>
    <cellStyle name="40% - Accent4 4 3 2 6 4" xfId="25283"/>
    <cellStyle name="40% - Accent4 4 3 2 6 4 2" xfId="25284"/>
    <cellStyle name="40% - Accent4 4 3 2 6 5" xfId="25285"/>
    <cellStyle name="40% - Accent4 4 3 2 6 6" xfId="25286"/>
    <cellStyle name="40% - Accent4 4 3 2 7" xfId="25287"/>
    <cellStyle name="40% - Accent4 4 3 2 7 2" xfId="25288"/>
    <cellStyle name="40% - Accent4 4 3 2 7 2 2" xfId="25289"/>
    <cellStyle name="40% - Accent4 4 3 2 7 2 3" xfId="25290"/>
    <cellStyle name="40% - Accent4 4 3 2 7 3" xfId="25291"/>
    <cellStyle name="40% - Accent4 4 3 2 7 3 2" xfId="25292"/>
    <cellStyle name="40% - Accent4 4 3 2 7 4" xfId="25293"/>
    <cellStyle name="40% - Accent4 4 3 2 7 5" xfId="25294"/>
    <cellStyle name="40% - Accent4 4 3 2 8" xfId="25295"/>
    <cellStyle name="40% - Accent4 4 3 2 8 2" xfId="25296"/>
    <cellStyle name="40% - Accent4 4 3 2 8 3" xfId="25297"/>
    <cellStyle name="40% - Accent4 4 3 2 9" xfId="25298"/>
    <cellStyle name="40% - Accent4 4 3 2 9 2" xfId="25299"/>
    <cellStyle name="40% - Accent4 4 3 2 9 3" xfId="25300"/>
    <cellStyle name="40% - Accent4 4 3 3" xfId="2235"/>
    <cellStyle name="40% - Accent4 4 3 3 10" xfId="25301"/>
    <cellStyle name="40% - Accent4 4 3 3 2" xfId="2236"/>
    <cellStyle name="40% - Accent4 4 3 3 2 2" xfId="25302"/>
    <cellStyle name="40% - Accent4 4 3 3 2 2 2" xfId="25303"/>
    <cellStyle name="40% - Accent4 4 3 3 2 2 2 2" xfId="25304"/>
    <cellStyle name="40% - Accent4 4 3 3 2 2 2 3" xfId="25305"/>
    <cellStyle name="40% - Accent4 4 3 3 2 2 3" xfId="25306"/>
    <cellStyle name="40% - Accent4 4 3 3 2 2 3 2" xfId="25307"/>
    <cellStyle name="40% - Accent4 4 3 3 2 2 3 3" xfId="25308"/>
    <cellStyle name="40% - Accent4 4 3 3 2 2 4" xfId="25309"/>
    <cellStyle name="40% - Accent4 4 3 3 2 2 4 2" xfId="25310"/>
    <cellStyle name="40% - Accent4 4 3 3 2 2 5" xfId="25311"/>
    <cellStyle name="40% - Accent4 4 3 3 2 2 6" xfId="25312"/>
    <cellStyle name="40% - Accent4 4 3 3 2 3" xfId="25313"/>
    <cellStyle name="40% - Accent4 4 3 3 2 3 2" xfId="25314"/>
    <cellStyle name="40% - Accent4 4 3 3 2 3 2 2" xfId="25315"/>
    <cellStyle name="40% - Accent4 4 3 3 2 3 2 3" xfId="25316"/>
    <cellStyle name="40% - Accent4 4 3 3 2 3 3" xfId="25317"/>
    <cellStyle name="40% - Accent4 4 3 3 2 3 3 2" xfId="25318"/>
    <cellStyle name="40% - Accent4 4 3 3 2 3 3 3" xfId="25319"/>
    <cellStyle name="40% - Accent4 4 3 3 2 3 4" xfId="25320"/>
    <cellStyle name="40% - Accent4 4 3 3 2 3 4 2" xfId="25321"/>
    <cellStyle name="40% - Accent4 4 3 3 2 3 5" xfId="25322"/>
    <cellStyle name="40% - Accent4 4 3 3 2 3 6" xfId="25323"/>
    <cellStyle name="40% - Accent4 4 3 3 2 4" xfId="25324"/>
    <cellStyle name="40% - Accent4 4 3 3 2 4 2" xfId="25325"/>
    <cellStyle name="40% - Accent4 4 3 3 2 4 2 2" xfId="25326"/>
    <cellStyle name="40% - Accent4 4 3 3 2 4 2 3" xfId="25327"/>
    <cellStyle name="40% - Accent4 4 3 3 2 4 3" xfId="25328"/>
    <cellStyle name="40% - Accent4 4 3 3 2 4 3 2" xfId="25329"/>
    <cellStyle name="40% - Accent4 4 3 3 2 4 4" xfId="25330"/>
    <cellStyle name="40% - Accent4 4 3 3 2 4 5" xfId="25331"/>
    <cellStyle name="40% - Accent4 4 3 3 2 5" xfId="25332"/>
    <cellStyle name="40% - Accent4 4 3 3 2 5 2" xfId="25333"/>
    <cellStyle name="40% - Accent4 4 3 3 2 5 3" xfId="25334"/>
    <cellStyle name="40% - Accent4 4 3 3 2 6" xfId="25335"/>
    <cellStyle name="40% - Accent4 4 3 3 2 6 2" xfId="25336"/>
    <cellStyle name="40% - Accent4 4 3 3 2 6 3" xfId="25337"/>
    <cellStyle name="40% - Accent4 4 3 3 2 7" xfId="25338"/>
    <cellStyle name="40% - Accent4 4 3 3 2 7 2" xfId="25339"/>
    <cellStyle name="40% - Accent4 4 3 3 2 8" xfId="25340"/>
    <cellStyle name="40% - Accent4 4 3 3 2 9" xfId="25341"/>
    <cellStyle name="40% - Accent4 4 3 3 3" xfId="25342"/>
    <cellStyle name="40% - Accent4 4 3 3 3 2" xfId="25343"/>
    <cellStyle name="40% - Accent4 4 3 3 3 2 2" xfId="25344"/>
    <cellStyle name="40% - Accent4 4 3 3 3 2 3" xfId="25345"/>
    <cellStyle name="40% - Accent4 4 3 3 3 3" xfId="25346"/>
    <cellStyle name="40% - Accent4 4 3 3 3 3 2" xfId="25347"/>
    <cellStyle name="40% - Accent4 4 3 3 3 3 3" xfId="25348"/>
    <cellStyle name="40% - Accent4 4 3 3 3 4" xfId="25349"/>
    <cellStyle name="40% - Accent4 4 3 3 3 4 2" xfId="25350"/>
    <cellStyle name="40% - Accent4 4 3 3 3 5" xfId="25351"/>
    <cellStyle name="40% - Accent4 4 3 3 3 6" xfId="25352"/>
    <cellStyle name="40% - Accent4 4 3 3 4" xfId="25353"/>
    <cellStyle name="40% - Accent4 4 3 3 4 2" xfId="25354"/>
    <cellStyle name="40% - Accent4 4 3 3 4 2 2" xfId="25355"/>
    <cellStyle name="40% - Accent4 4 3 3 4 2 3" xfId="25356"/>
    <cellStyle name="40% - Accent4 4 3 3 4 3" xfId="25357"/>
    <cellStyle name="40% - Accent4 4 3 3 4 3 2" xfId="25358"/>
    <cellStyle name="40% - Accent4 4 3 3 4 3 3" xfId="25359"/>
    <cellStyle name="40% - Accent4 4 3 3 4 4" xfId="25360"/>
    <cellStyle name="40% - Accent4 4 3 3 4 4 2" xfId="25361"/>
    <cellStyle name="40% - Accent4 4 3 3 4 5" xfId="25362"/>
    <cellStyle name="40% - Accent4 4 3 3 4 6" xfId="25363"/>
    <cellStyle name="40% - Accent4 4 3 3 5" xfId="25364"/>
    <cellStyle name="40% - Accent4 4 3 3 5 2" xfId="25365"/>
    <cellStyle name="40% - Accent4 4 3 3 5 2 2" xfId="25366"/>
    <cellStyle name="40% - Accent4 4 3 3 5 2 3" xfId="25367"/>
    <cellStyle name="40% - Accent4 4 3 3 5 3" xfId="25368"/>
    <cellStyle name="40% - Accent4 4 3 3 5 3 2" xfId="25369"/>
    <cellStyle name="40% - Accent4 4 3 3 5 4" xfId="25370"/>
    <cellStyle name="40% - Accent4 4 3 3 5 5" xfId="25371"/>
    <cellStyle name="40% - Accent4 4 3 3 6" xfId="25372"/>
    <cellStyle name="40% - Accent4 4 3 3 6 2" xfId="25373"/>
    <cellStyle name="40% - Accent4 4 3 3 6 3" xfId="25374"/>
    <cellStyle name="40% - Accent4 4 3 3 7" xfId="25375"/>
    <cellStyle name="40% - Accent4 4 3 3 7 2" xfId="25376"/>
    <cellStyle name="40% - Accent4 4 3 3 7 3" xfId="25377"/>
    <cellStyle name="40% - Accent4 4 3 3 8" xfId="25378"/>
    <cellStyle name="40% - Accent4 4 3 3 8 2" xfId="25379"/>
    <cellStyle name="40% - Accent4 4 3 3 9" xfId="25380"/>
    <cellStyle name="40% - Accent4 4 3 4" xfId="2237"/>
    <cellStyle name="40% - Accent4 4 3 4 2" xfId="25381"/>
    <cellStyle name="40% - Accent4 4 3 4 2 2" xfId="25382"/>
    <cellStyle name="40% - Accent4 4 3 4 2 2 2" xfId="25383"/>
    <cellStyle name="40% - Accent4 4 3 4 2 2 3" xfId="25384"/>
    <cellStyle name="40% - Accent4 4 3 4 2 3" xfId="25385"/>
    <cellStyle name="40% - Accent4 4 3 4 2 3 2" xfId="25386"/>
    <cellStyle name="40% - Accent4 4 3 4 2 3 3" xfId="25387"/>
    <cellStyle name="40% - Accent4 4 3 4 2 4" xfId="25388"/>
    <cellStyle name="40% - Accent4 4 3 4 2 4 2" xfId="25389"/>
    <cellStyle name="40% - Accent4 4 3 4 2 5" xfId="25390"/>
    <cellStyle name="40% - Accent4 4 3 4 2 6" xfId="25391"/>
    <cellStyle name="40% - Accent4 4 3 4 3" xfId="25392"/>
    <cellStyle name="40% - Accent4 4 3 4 3 2" xfId="25393"/>
    <cellStyle name="40% - Accent4 4 3 4 3 2 2" xfId="25394"/>
    <cellStyle name="40% - Accent4 4 3 4 3 2 3" xfId="25395"/>
    <cellStyle name="40% - Accent4 4 3 4 3 3" xfId="25396"/>
    <cellStyle name="40% - Accent4 4 3 4 3 3 2" xfId="25397"/>
    <cellStyle name="40% - Accent4 4 3 4 3 3 3" xfId="25398"/>
    <cellStyle name="40% - Accent4 4 3 4 3 4" xfId="25399"/>
    <cellStyle name="40% - Accent4 4 3 4 3 4 2" xfId="25400"/>
    <cellStyle name="40% - Accent4 4 3 4 3 5" xfId="25401"/>
    <cellStyle name="40% - Accent4 4 3 4 3 6" xfId="25402"/>
    <cellStyle name="40% - Accent4 4 3 4 4" xfId="25403"/>
    <cellStyle name="40% - Accent4 4 3 4 4 2" xfId="25404"/>
    <cellStyle name="40% - Accent4 4 3 4 4 2 2" xfId="25405"/>
    <cellStyle name="40% - Accent4 4 3 4 4 2 3" xfId="25406"/>
    <cellStyle name="40% - Accent4 4 3 4 4 3" xfId="25407"/>
    <cellStyle name="40% - Accent4 4 3 4 4 3 2" xfId="25408"/>
    <cellStyle name="40% - Accent4 4 3 4 4 4" xfId="25409"/>
    <cellStyle name="40% - Accent4 4 3 4 4 5" xfId="25410"/>
    <cellStyle name="40% - Accent4 4 3 4 5" xfId="25411"/>
    <cellStyle name="40% - Accent4 4 3 4 5 2" xfId="25412"/>
    <cellStyle name="40% - Accent4 4 3 4 5 3" xfId="25413"/>
    <cellStyle name="40% - Accent4 4 3 4 6" xfId="25414"/>
    <cellStyle name="40% - Accent4 4 3 4 6 2" xfId="25415"/>
    <cellStyle name="40% - Accent4 4 3 4 6 3" xfId="25416"/>
    <cellStyle name="40% - Accent4 4 3 4 7" xfId="25417"/>
    <cellStyle name="40% - Accent4 4 3 4 7 2" xfId="25418"/>
    <cellStyle name="40% - Accent4 4 3 4 8" xfId="25419"/>
    <cellStyle name="40% - Accent4 4 3 4 9" xfId="25420"/>
    <cellStyle name="40% - Accent4 4 3 5" xfId="25421"/>
    <cellStyle name="40% - Accent4 4 3 5 2" xfId="25422"/>
    <cellStyle name="40% - Accent4 4 3 5 2 2" xfId="25423"/>
    <cellStyle name="40% - Accent4 4 3 5 2 2 2" xfId="25424"/>
    <cellStyle name="40% - Accent4 4 3 5 2 2 3" xfId="25425"/>
    <cellStyle name="40% - Accent4 4 3 5 2 3" xfId="25426"/>
    <cellStyle name="40% - Accent4 4 3 5 2 3 2" xfId="25427"/>
    <cellStyle name="40% - Accent4 4 3 5 2 3 3" xfId="25428"/>
    <cellStyle name="40% - Accent4 4 3 5 2 4" xfId="25429"/>
    <cellStyle name="40% - Accent4 4 3 5 2 4 2" xfId="25430"/>
    <cellStyle name="40% - Accent4 4 3 5 2 5" xfId="25431"/>
    <cellStyle name="40% - Accent4 4 3 5 2 6" xfId="25432"/>
    <cellStyle name="40% - Accent4 4 3 5 3" xfId="25433"/>
    <cellStyle name="40% - Accent4 4 3 5 3 2" xfId="25434"/>
    <cellStyle name="40% - Accent4 4 3 5 3 2 2" xfId="25435"/>
    <cellStyle name="40% - Accent4 4 3 5 3 2 3" xfId="25436"/>
    <cellStyle name="40% - Accent4 4 3 5 3 3" xfId="25437"/>
    <cellStyle name="40% - Accent4 4 3 5 3 3 2" xfId="25438"/>
    <cellStyle name="40% - Accent4 4 3 5 3 3 3" xfId="25439"/>
    <cellStyle name="40% - Accent4 4 3 5 3 4" xfId="25440"/>
    <cellStyle name="40% - Accent4 4 3 5 3 4 2" xfId="25441"/>
    <cellStyle name="40% - Accent4 4 3 5 3 5" xfId="25442"/>
    <cellStyle name="40% - Accent4 4 3 5 3 6" xfId="25443"/>
    <cellStyle name="40% - Accent4 4 3 5 4" xfId="25444"/>
    <cellStyle name="40% - Accent4 4 3 5 4 2" xfId="25445"/>
    <cellStyle name="40% - Accent4 4 3 5 4 2 2" xfId="25446"/>
    <cellStyle name="40% - Accent4 4 3 5 4 2 3" xfId="25447"/>
    <cellStyle name="40% - Accent4 4 3 5 4 3" xfId="25448"/>
    <cellStyle name="40% - Accent4 4 3 5 4 3 2" xfId="25449"/>
    <cellStyle name="40% - Accent4 4 3 5 4 4" xfId="25450"/>
    <cellStyle name="40% - Accent4 4 3 5 4 5" xfId="25451"/>
    <cellStyle name="40% - Accent4 4 3 5 5" xfId="25452"/>
    <cellStyle name="40% - Accent4 4 3 5 5 2" xfId="25453"/>
    <cellStyle name="40% - Accent4 4 3 5 5 3" xfId="25454"/>
    <cellStyle name="40% - Accent4 4 3 5 6" xfId="25455"/>
    <cellStyle name="40% - Accent4 4 3 5 6 2" xfId="25456"/>
    <cellStyle name="40% - Accent4 4 3 5 6 3" xfId="25457"/>
    <cellStyle name="40% - Accent4 4 3 5 7" xfId="25458"/>
    <cellStyle name="40% - Accent4 4 3 5 7 2" xfId="25459"/>
    <cellStyle name="40% - Accent4 4 3 5 8" xfId="25460"/>
    <cellStyle name="40% - Accent4 4 3 5 9" xfId="25461"/>
    <cellStyle name="40% - Accent4 4 3 6" xfId="25462"/>
    <cellStyle name="40% - Accent4 4 3 6 2" xfId="25463"/>
    <cellStyle name="40% - Accent4 4 3 6 2 2" xfId="25464"/>
    <cellStyle name="40% - Accent4 4 3 6 2 3" xfId="25465"/>
    <cellStyle name="40% - Accent4 4 3 6 3" xfId="25466"/>
    <cellStyle name="40% - Accent4 4 3 6 3 2" xfId="25467"/>
    <cellStyle name="40% - Accent4 4 3 6 3 3" xfId="25468"/>
    <cellStyle name="40% - Accent4 4 3 6 4" xfId="25469"/>
    <cellStyle name="40% - Accent4 4 3 6 4 2" xfId="25470"/>
    <cellStyle name="40% - Accent4 4 3 6 5" xfId="25471"/>
    <cellStyle name="40% - Accent4 4 3 6 6" xfId="25472"/>
    <cellStyle name="40% - Accent4 4 3 7" xfId="25473"/>
    <cellStyle name="40% - Accent4 4 3 7 2" xfId="25474"/>
    <cellStyle name="40% - Accent4 4 3 7 2 2" xfId="25475"/>
    <cellStyle name="40% - Accent4 4 3 7 2 3" xfId="25476"/>
    <cellStyle name="40% - Accent4 4 3 7 3" xfId="25477"/>
    <cellStyle name="40% - Accent4 4 3 7 3 2" xfId="25478"/>
    <cellStyle name="40% - Accent4 4 3 7 3 3" xfId="25479"/>
    <cellStyle name="40% - Accent4 4 3 7 4" xfId="25480"/>
    <cellStyle name="40% - Accent4 4 3 7 4 2" xfId="25481"/>
    <cellStyle name="40% - Accent4 4 3 7 5" xfId="25482"/>
    <cellStyle name="40% - Accent4 4 3 7 6" xfId="25483"/>
    <cellStyle name="40% - Accent4 4 3 8" xfId="25484"/>
    <cellStyle name="40% - Accent4 4 3 8 2" xfId="25485"/>
    <cellStyle name="40% - Accent4 4 3 8 2 2" xfId="25486"/>
    <cellStyle name="40% - Accent4 4 3 8 2 3" xfId="25487"/>
    <cellStyle name="40% - Accent4 4 3 8 3" xfId="25488"/>
    <cellStyle name="40% - Accent4 4 3 8 3 2" xfId="25489"/>
    <cellStyle name="40% - Accent4 4 3 8 4" xfId="25490"/>
    <cellStyle name="40% - Accent4 4 3 8 5" xfId="25491"/>
    <cellStyle name="40% - Accent4 4 3 9" xfId="25492"/>
    <cellStyle name="40% - Accent4 4 3 9 2" xfId="25493"/>
    <cellStyle name="40% - Accent4 4 3 9 3" xfId="25494"/>
    <cellStyle name="40% - Accent4 4 4" xfId="2238"/>
    <cellStyle name="40% - Accent4 4 4 10" xfId="25495"/>
    <cellStyle name="40% - Accent4 4 4 10 2" xfId="25496"/>
    <cellStyle name="40% - Accent4 4 4 11" xfId="25497"/>
    <cellStyle name="40% - Accent4 4 4 12" xfId="25498"/>
    <cellStyle name="40% - Accent4 4 4 2" xfId="2239"/>
    <cellStyle name="40% - Accent4 4 4 2 10" xfId="25499"/>
    <cellStyle name="40% - Accent4 4 4 2 2" xfId="2240"/>
    <cellStyle name="40% - Accent4 4 4 2 2 2" xfId="25500"/>
    <cellStyle name="40% - Accent4 4 4 2 2 2 2" xfId="25501"/>
    <cellStyle name="40% - Accent4 4 4 2 2 2 2 2" xfId="25502"/>
    <cellStyle name="40% - Accent4 4 4 2 2 2 2 3" xfId="25503"/>
    <cellStyle name="40% - Accent4 4 4 2 2 2 3" xfId="25504"/>
    <cellStyle name="40% - Accent4 4 4 2 2 2 3 2" xfId="25505"/>
    <cellStyle name="40% - Accent4 4 4 2 2 2 3 3" xfId="25506"/>
    <cellStyle name="40% - Accent4 4 4 2 2 2 4" xfId="25507"/>
    <cellStyle name="40% - Accent4 4 4 2 2 2 4 2" xfId="25508"/>
    <cellStyle name="40% - Accent4 4 4 2 2 2 5" xfId="25509"/>
    <cellStyle name="40% - Accent4 4 4 2 2 2 6" xfId="25510"/>
    <cellStyle name="40% - Accent4 4 4 2 2 3" xfId="25511"/>
    <cellStyle name="40% - Accent4 4 4 2 2 3 2" xfId="25512"/>
    <cellStyle name="40% - Accent4 4 4 2 2 3 2 2" xfId="25513"/>
    <cellStyle name="40% - Accent4 4 4 2 2 3 2 3" xfId="25514"/>
    <cellStyle name="40% - Accent4 4 4 2 2 3 3" xfId="25515"/>
    <cellStyle name="40% - Accent4 4 4 2 2 3 3 2" xfId="25516"/>
    <cellStyle name="40% - Accent4 4 4 2 2 3 3 3" xfId="25517"/>
    <cellStyle name="40% - Accent4 4 4 2 2 3 4" xfId="25518"/>
    <cellStyle name="40% - Accent4 4 4 2 2 3 4 2" xfId="25519"/>
    <cellStyle name="40% - Accent4 4 4 2 2 3 5" xfId="25520"/>
    <cellStyle name="40% - Accent4 4 4 2 2 3 6" xfId="25521"/>
    <cellStyle name="40% - Accent4 4 4 2 2 4" xfId="25522"/>
    <cellStyle name="40% - Accent4 4 4 2 2 4 2" xfId="25523"/>
    <cellStyle name="40% - Accent4 4 4 2 2 4 2 2" xfId="25524"/>
    <cellStyle name="40% - Accent4 4 4 2 2 4 2 3" xfId="25525"/>
    <cellStyle name="40% - Accent4 4 4 2 2 4 3" xfId="25526"/>
    <cellStyle name="40% - Accent4 4 4 2 2 4 3 2" xfId="25527"/>
    <cellStyle name="40% - Accent4 4 4 2 2 4 4" xfId="25528"/>
    <cellStyle name="40% - Accent4 4 4 2 2 4 5" xfId="25529"/>
    <cellStyle name="40% - Accent4 4 4 2 2 5" xfId="25530"/>
    <cellStyle name="40% - Accent4 4 4 2 2 5 2" xfId="25531"/>
    <cellStyle name="40% - Accent4 4 4 2 2 5 3" xfId="25532"/>
    <cellStyle name="40% - Accent4 4 4 2 2 6" xfId="25533"/>
    <cellStyle name="40% - Accent4 4 4 2 2 6 2" xfId="25534"/>
    <cellStyle name="40% - Accent4 4 4 2 2 6 3" xfId="25535"/>
    <cellStyle name="40% - Accent4 4 4 2 2 7" xfId="25536"/>
    <cellStyle name="40% - Accent4 4 4 2 2 7 2" xfId="25537"/>
    <cellStyle name="40% - Accent4 4 4 2 2 8" xfId="25538"/>
    <cellStyle name="40% - Accent4 4 4 2 2 9" xfId="25539"/>
    <cellStyle name="40% - Accent4 4 4 2 3" xfId="25540"/>
    <cellStyle name="40% - Accent4 4 4 2 3 2" xfId="25541"/>
    <cellStyle name="40% - Accent4 4 4 2 3 2 2" xfId="25542"/>
    <cellStyle name="40% - Accent4 4 4 2 3 2 3" xfId="25543"/>
    <cellStyle name="40% - Accent4 4 4 2 3 3" xfId="25544"/>
    <cellStyle name="40% - Accent4 4 4 2 3 3 2" xfId="25545"/>
    <cellStyle name="40% - Accent4 4 4 2 3 3 3" xfId="25546"/>
    <cellStyle name="40% - Accent4 4 4 2 3 4" xfId="25547"/>
    <cellStyle name="40% - Accent4 4 4 2 3 4 2" xfId="25548"/>
    <cellStyle name="40% - Accent4 4 4 2 3 5" xfId="25549"/>
    <cellStyle name="40% - Accent4 4 4 2 3 6" xfId="25550"/>
    <cellStyle name="40% - Accent4 4 4 2 4" xfId="25551"/>
    <cellStyle name="40% - Accent4 4 4 2 4 2" xfId="25552"/>
    <cellStyle name="40% - Accent4 4 4 2 4 2 2" xfId="25553"/>
    <cellStyle name="40% - Accent4 4 4 2 4 2 3" xfId="25554"/>
    <cellStyle name="40% - Accent4 4 4 2 4 3" xfId="25555"/>
    <cellStyle name="40% - Accent4 4 4 2 4 3 2" xfId="25556"/>
    <cellStyle name="40% - Accent4 4 4 2 4 3 3" xfId="25557"/>
    <cellStyle name="40% - Accent4 4 4 2 4 4" xfId="25558"/>
    <cellStyle name="40% - Accent4 4 4 2 4 4 2" xfId="25559"/>
    <cellStyle name="40% - Accent4 4 4 2 4 5" xfId="25560"/>
    <cellStyle name="40% - Accent4 4 4 2 4 6" xfId="25561"/>
    <cellStyle name="40% - Accent4 4 4 2 5" xfId="25562"/>
    <cellStyle name="40% - Accent4 4 4 2 5 2" xfId="25563"/>
    <cellStyle name="40% - Accent4 4 4 2 5 2 2" xfId="25564"/>
    <cellStyle name="40% - Accent4 4 4 2 5 2 3" xfId="25565"/>
    <cellStyle name="40% - Accent4 4 4 2 5 3" xfId="25566"/>
    <cellStyle name="40% - Accent4 4 4 2 5 3 2" xfId="25567"/>
    <cellStyle name="40% - Accent4 4 4 2 5 4" xfId="25568"/>
    <cellStyle name="40% - Accent4 4 4 2 5 5" xfId="25569"/>
    <cellStyle name="40% - Accent4 4 4 2 6" xfId="25570"/>
    <cellStyle name="40% - Accent4 4 4 2 6 2" xfId="25571"/>
    <cellStyle name="40% - Accent4 4 4 2 6 3" xfId="25572"/>
    <cellStyle name="40% - Accent4 4 4 2 7" xfId="25573"/>
    <cellStyle name="40% - Accent4 4 4 2 7 2" xfId="25574"/>
    <cellStyle name="40% - Accent4 4 4 2 7 3" xfId="25575"/>
    <cellStyle name="40% - Accent4 4 4 2 8" xfId="25576"/>
    <cellStyle name="40% - Accent4 4 4 2 8 2" xfId="25577"/>
    <cellStyle name="40% - Accent4 4 4 2 9" xfId="25578"/>
    <cellStyle name="40% - Accent4 4 4 3" xfId="2241"/>
    <cellStyle name="40% - Accent4 4 4 3 2" xfId="25579"/>
    <cellStyle name="40% - Accent4 4 4 3 2 2" xfId="25580"/>
    <cellStyle name="40% - Accent4 4 4 3 2 2 2" xfId="25581"/>
    <cellStyle name="40% - Accent4 4 4 3 2 2 3" xfId="25582"/>
    <cellStyle name="40% - Accent4 4 4 3 2 3" xfId="25583"/>
    <cellStyle name="40% - Accent4 4 4 3 2 3 2" xfId="25584"/>
    <cellStyle name="40% - Accent4 4 4 3 2 3 3" xfId="25585"/>
    <cellStyle name="40% - Accent4 4 4 3 2 4" xfId="25586"/>
    <cellStyle name="40% - Accent4 4 4 3 2 4 2" xfId="25587"/>
    <cellStyle name="40% - Accent4 4 4 3 2 5" xfId="25588"/>
    <cellStyle name="40% - Accent4 4 4 3 2 6" xfId="25589"/>
    <cellStyle name="40% - Accent4 4 4 3 3" xfId="25590"/>
    <cellStyle name="40% - Accent4 4 4 3 3 2" xfId="25591"/>
    <cellStyle name="40% - Accent4 4 4 3 3 2 2" xfId="25592"/>
    <cellStyle name="40% - Accent4 4 4 3 3 2 3" xfId="25593"/>
    <cellStyle name="40% - Accent4 4 4 3 3 3" xfId="25594"/>
    <cellStyle name="40% - Accent4 4 4 3 3 3 2" xfId="25595"/>
    <cellStyle name="40% - Accent4 4 4 3 3 3 3" xfId="25596"/>
    <cellStyle name="40% - Accent4 4 4 3 3 4" xfId="25597"/>
    <cellStyle name="40% - Accent4 4 4 3 3 4 2" xfId="25598"/>
    <cellStyle name="40% - Accent4 4 4 3 3 5" xfId="25599"/>
    <cellStyle name="40% - Accent4 4 4 3 3 6" xfId="25600"/>
    <cellStyle name="40% - Accent4 4 4 3 4" xfId="25601"/>
    <cellStyle name="40% - Accent4 4 4 3 4 2" xfId="25602"/>
    <cellStyle name="40% - Accent4 4 4 3 4 2 2" xfId="25603"/>
    <cellStyle name="40% - Accent4 4 4 3 4 2 3" xfId="25604"/>
    <cellStyle name="40% - Accent4 4 4 3 4 3" xfId="25605"/>
    <cellStyle name="40% - Accent4 4 4 3 4 3 2" xfId="25606"/>
    <cellStyle name="40% - Accent4 4 4 3 4 4" xfId="25607"/>
    <cellStyle name="40% - Accent4 4 4 3 4 5" xfId="25608"/>
    <cellStyle name="40% - Accent4 4 4 3 5" xfId="25609"/>
    <cellStyle name="40% - Accent4 4 4 3 5 2" xfId="25610"/>
    <cellStyle name="40% - Accent4 4 4 3 5 3" xfId="25611"/>
    <cellStyle name="40% - Accent4 4 4 3 6" xfId="25612"/>
    <cellStyle name="40% - Accent4 4 4 3 6 2" xfId="25613"/>
    <cellStyle name="40% - Accent4 4 4 3 6 3" xfId="25614"/>
    <cellStyle name="40% - Accent4 4 4 3 7" xfId="25615"/>
    <cellStyle name="40% - Accent4 4 4 3 7 2" xfId="25616"/>
    <cellStyle name="40% - Accent4 4 4 3 8" xfId="25617"/>
    <cellStyle name="40% - Accent4 4 4 3 9" xfId="25618"/>
    <cellStyle name="40% - Accent4 4 4 4" xfId="25619"/>
    <cellStyle name="40% - Accent4 4 4 4 2" xfId="25620"/>
    <cellStyle name="40% - Accent4 4 4 4 2 2" xfId="25621"/>
    <cellStyle name="40% - Accent4 4 4 4 2 2 2" xfId="25622"/>
    <cellStyle name="40% - Accent4 4 4 4 2 2 3" xfId="25623"/>
    <cellStyle name="40% - Accent4 4 4 4 2 3" xfId="25624"/>
    <cellStyle name="40% - Accent4 4 4 4 2 3 2" xfId="25625"/>
    <cellStyle name="40% - Accent4 4 4 4 2 3 3" xfId="25626"/>
    <cellStyle name="40% - Accent4 4 4 4 2 4" xfId="25627"/>
    <cellStyle name="40% - Accent4 4 4 4 2 4 2" xfId="25628"/>
    <cellStyle name="40% - Accent4 4 4 4 2 5" xfId="25629"/>
    <cellStyle name="40% - Accent4 4 4 4 2 6" xfId="25630"/>
    <cellStyle name="40% - Accent4 4 4 4 3" xfId="25631"/>
    <cellStyle name="40% - Accent4 4 4 4 3 2" xfId="25632"/>
    <cellStyle name="40% - Accent4 4 4 4 3 2 2" xfId="25633"/>
    <cellStyle name="40% - Accent4 4 4 4 3 2 3" xfId="25634"/>
    <cellStyle name="40% - Accent4 4 4 4 3 3" xfId="25635"/>
    <cellStyle name="40% - Accent4 4 4 4 3 3 2" xfId="25636"/>
    <cellStyle name="40% - Accent4 4 4 4 3 3 3" xfId="25637"/>
    <cellStyle name="40% - Accent4 4 4 4 3 4" xfId="25638"/>
    <cellStyle name="40% - Accent4 4 4 4 3 4 2" xfId="25639"/>
    <cellStyle name="40% - Accent4 4 4 4 3 5" xfId="25640"/>
    <cellStyle name="40% - Accent4 4 4 4 3 6" xfId="25641"/>
    <cellStyle name="40% - Accent4 4 4 4 4" xfId="25642"/>
    <cellStyle name="40% - Accent4 4 4 4 4 2" xfId="25643"/>
    <cellStyle name="40% - Accent4 4 4 4 4 2 2" xfId="25644"/>
    <cellStyle name="40% - Accent4 4 4 4 4 2 3" xfId="25645"/>
    <cellStyle name="40% - Accent4 4 4 4 4 3" xfId="25646"/>
    <cellStyle name="40% - Accent4 4 4 4 4 3 2" xfId="25647"/>
    <cellStyle name="40% - Accent4 4 4 4 4 4" xfId="25648"/>
    <cellStyle name="40% - Accent4 4 4 4 4 5" xfId="25649"/>
    <cellStyle name="40% - Accent4 4 4 4 5" xfId="25650"/>
    <cellStyle name="40% - Accent4 4 4 4 5 2" xfId="25651"/>
    <cellStyle name="40% - Accent4 4 4 4 5 3" xfId="25652"/>
    <cellStyle name="40% - Accent4 4 4 4 6" xfId="25653"/>
    <cellStyle name="40% - Accent4 4 4 4 6 2" xfId="25654"/>
    <cellStyle name="40% - Accent4 4 4 4 6 3" xfId="25655"/>
    <cellStyle name="40% - Accent4 4 4 4 7" xfId="25656"/>
    <cellStyle name="40% - Accent4 4 4 4 7 2" xfId="25657"/>
    <cellStyle name="40% - Accent4 4 4 4 8" xfId="25658"/>
    <cellStyle name="40% - Accent4 4 4 4 9" xfId="25659"/>
    <cellStyle name="40% - Accent4 4 4 5" xfId="25660"/>
    <cellStyle name="40% - Accent4 4 4 5 2" xfId="25661"/>
    <cellStyle name="40% - Accent4 4 4 5 2 2" xfId="25662"/>
    <cellStyle name="40% - Accent4 4 4 5 2 3" xfId="25663"/>
    <cellStyle name="40% - Accent4 4 4 5 3" xfId="25664"/>
    <cellStyle name="40% - Accent4 4 4 5 3 2" xfId="25665"/>
    <cellStyle name="40% - Accent4 4 4 5 3 3" xfId="25666"/>
    <cellStyle name="40% - Accent4 4 4 5 4" xfId="25667"/>
    <cellStyle name="40% - Accent4 4 4 5 4 2" xfId="25668"/>
    <cellStyle name="40% - Accent4 4 4 5 5" xfId="25669"/>
    <cellStyle name="40% - Accent4 4 4 5 6" xfId="25670"/>
    <cellStyle name="40% - Accent4 4 4 6" xfId="25671"/>
    <cellStyle name="40% - Accent4 4 4 6 2" xfId="25672"/>
    <cellStyle name="40% - Accent4 4 4 6 2 2" xfId="25673"/>
    <cellStyle name="40% - Accent4 4 4 6 2 3" xfId="25674"/>
    <cellStyle name="40% - Accent4 4 4 6 3" xfId="25675"/>
    <cellStyle name="40% - Accent4 4 4 6 3 2" xfId="25676"/>
    <cellStyle name="40% - Accent4 4 4 6 3 3" xfId="25677"/>
    <cellStyle name="40% - Accent4 4 4 6 4" xfId="25678"/>
    <cellStyle name="40% - Accent4 4 4 6 4 2" xfId="25679"/>
    <cellStyle name="40% - Accent4 4 4 6 5" xfId="25680"/>
    <cellStyle name="40% - Accent4 4 4 6 6" xfId="25681"/>
    <cellStyle name="40% - Accent4 4 4 7" xfId="25682"/>
    <cellStyle name="40% - Accent4 4 4 7 2" xfId="25683"/>
    <cellStyle name="40% - Accent4 4 4 7 2 2" xfId="25684"/>
    <cellStyle name="40% - Accent4 4 4 7 2 3" xfId="25685"/>
    <cellStyle name="40% - Accent4 4 4 7 3" xfId="25686"/>
    <cellStyle name="40% - Accent4 4 4 7 3 2" xfId="25687"/>
    <cellStyle name="40% - Accent4 4 4 7 4" xfId="25688"/>
    <cellStyle name="40% - Accent4 4 4 7 5" xfId="25689"/>
    <cellStyle name="40% - Accent4 4 4 8" xfId="25690"/>
    <cellStyle name="40% - Accent4 4 4 8 2" xfId="25691"/>
    <cellStyle name="40% - Accent4 4 4 8 3" xfId="25692"/>
    <cellStyle name="40% - Accent4 4 4 9" xfId="25693"/>
    <cellStyle name="40% - Accent4 4 4 9 2" xfId="25694"/>
    <cellStyle name="40% - Accent4 4 4 9 3" xfId="25695"/>
    <cellStyle name="40% - Accent4 4 5" xfId="2242"/>
    <cellStyle name="40% - Accent4 4 5 10" xfId="25696"/>
    <cellStyle name="40% - Accent4 4 5 2" xfId="2243"/>
    <cellStyle name="40% - Accent4 4 5 2 2" xfId="25697"/>
    <cellStyle name="40% - Accent4 4 5 2 2 2" xfId="25698"/>
    <cellStyle name="40% - Accent4 4 5 2 2 2 2" xfId="25699"/>
    <cellStyle name="40% - Accent4 4 5 2 2 2 3" xfId="25700"/>
    <cellStyle name="40% - Accent4 4 5 2 2 3" xfId="25701"/>
    <cellStyle name="40% - Accent4 4 5 2 2 3 2" xfId="25702"/>
    <cellStyle name="40% - Accent4 4 5 2 2 3 3" xfId="25703"/>
    <cellStyle name="40% - Accent4 4 5 2 2 4" xfId="25704"/>
    <cellStyle name="40% - Accent4 4 5 2 2 4 2" xfId="25705"/>
    <cellStyle name="40% - Accent4 4 5 2 2 5" xfId="25706"/>
    <cellStyle name="40% - Accent4 4 5 2 2 6" xfId="25707"/>
    <cellStyle name="40% - Accent4 4 5 2 3" xfId="25708"/>
    <cellStyle name="40% - Accent4 4 5 2 3 2" xfId="25709"/>
    <cellStyle name="40% - Accent4 4 5 2 3 2 2" xfId="25710"/>
    <cellStyle name="40% - Accent4 4 5 2 3 2 3" xfId="25711"/>
    <cellStyle name="40% - Accent4 4 5 2 3 3" xfId="25712"/>
    <cellStyle name="40% - Accent4 4 5 2 3 3 2" xfId="25713"/>
    <cellStyle name="40% - Accent4 4 5 2 3 3 3" xfId="25714"/>
    <cellStyle name="40% - Accent4 4 5 2 3 4" xfId="25715"/>
    <cellStyle name="40% - Accent4 4 5 2 3 4 2" xfId="25716"/>
    <cellStyle name="40% - Accent4 4 5 2 3 5" xfId="25717"/>
    <cellStyle name="40% - Accent4 4 5 2 3 6" xfId="25718"/>
    <cellStyle name="40% - Accent4 4 5 2 4" xfId="25719"/>
    <cellStyle name="40% - Accent4 4 5 2 4 2" xfId="25720"/>
    <cellStyle name="40% - Accent4 4 5 2 4 2 2" xfId="25721"/>
    <cellStyle name="40% - Accent4 4 5 2 4 2 3" xfId="25722"/>
    <cellStyle name="40% - Accent4 4 5 2 4 3" xfId="25723"/>
    <cellStyle name="40% - Accent4 4 5 2 4 3 2" xfId="25724"/>
    <cellStyle name="40% - Accent4 4 5 2 4 4" xfId="25725"/>
    <cellStyle name="40% - Accent4 4 5 2 4 5" xfId="25726"/>
    <cellStyle name="40% - Accent4 4 5 2 5" xfId="25727"/>
    <cellStyle name="40% - Accent4 4 5 2 5 2" xfId="25728"/>
    <cellStyle name="40% - Accent4 4 5 2 5 3" xfId="25729"/>
    <cellStyle name="40% - Accent4 4 5 2 6" xfId="25730"/>
    <cellStyle name="40% - Accent4 4 5 2 6 2" xfId="25731"/>
    <cellStyle name="40% - Accent4 4 5 2 6 3" xfId="25732"/>
    <cellStyle name="40% - Accent4 4 5 2 7" xfId="25733"/>
    <cellStyle name="40% - Accent4 4 5 2 7 2" xfId="25734"/>
    <cellStyle name="40% - Accent4 4 5 2 8" xfId="25735"/>
    <cellStyle name="40% - Accent4 4 5 2 9" xfId="25736"/>
    <cellStyle name="40% - Accent4 4 5 3" xfId="25737"/>
    <cellStyle name="40% - Accent4 4 5 3 2" xfId="25738"/>
    <cellStyle name="40% - Accent4 4 5 3 2 2" xfId="25739"/>
    <cellStyle name="40% - Accent4 4 5 3 2 3" xfId="25740"/>
    <cellStyle name="40% - Accent4 4 5 3 3" xfId="25741"/>
    <cellStyle name="40% - Accent4 4 5 3 3 2" xfId="25742"/>
    <cellStyle name="40% - Accent4 4 5 3 3 3" xfId="25743"/>
    <cellStyle name="40% - Accent4 4 5 3 4" xfId="25744"/>
    <cellStyle name="40% - Accent4 4 5 3 4 2" xfId="25745"/>
    <cellStyle name="40% - Accent4 4 5 3 5" xfId="25746"/>
    <cellStyle name="40% - Accent4 4 5 3 6" xfId="25747"/>
    <cellStyle name="40% - Accent4 4 5 4" xfId="25748"/>
    <cellStyle name="40% - Accent4 4 5 4 2" xfId="25749"/>
    <cellStyle name="40% - Accent4 4 5 4 2 2" xfId="25750"/>
    <cellStyle name="40% - Accent4 4 5 4 2 3" xfId="25751"/>
    <cellStyle name="40% - Accent4 4 5 4 3" xfId="25752"/>
    <cellStyle name="40% - Accent4 4 5 4 3 2" xfId="25753"/>
    <cellStyle name="40% - Accent4 4 5 4 3 3" xfId="25754"/>
    <cellStyle name="40% - Accent4 4 5 4 4" xfId="25755"/>
    <cellStyle name="40% - Accent4 4 5 4 4 2" xfId="25756"/>
    <cellStyle name="40% - Accent4 4 5 4 5" xfId="25757"/>
    <cellStyle name="40% - Accent4 4 5 4 6" xfId="25758"/>
    <cellStyle name="40% - Accent4 4 5 5" xfId="25759"/>
    <cellStyle name="40% - Accent4 4 5 5 2" xfId="25760"/>
    <cellStyle name="40% - Accent4 4 5 5 2 2" xfId="25761"/>
    <cellStyle name="40% - Accent4 4 5 5 2 3" xfId="25762"/>
    <cellStyle name="40% - Accent4 4 5 5 3" xfId="25763"/>
    <cellStyle name="40% - Accent4 4 5 5 3 2" xfId="25764"/>
    <cellStyle name="40% - Accent4 4 5 5 4" xfId="25765"/>
    <cellStyle name="40% - Accent4 4 5 5 5" xfId="25766"/>
    <cellStyle name="40% - Accent4 4 5 6" xfId="25767"/>
    <cellStyle name="40% - Accent4 4 5 6 2" xfId="25768"/>
    <cellStyle name="40% - Accent4 4 5 6 3" xfId="25769"/>
    <cellStyle name="40% - Accent4 4 5 7" xfId="25770"/>
    <cellStyle name="40% - Accent4 4 5 7 2" xfId="25771"/>
    <cellStyle name="40% - Accent4 4 5 7 3" xfId="25772"/>
    <cellStyle name="40% - Accent4 4 5 8" xfId="25773"/>
    <cellStyle name="40% - Accent4 4 5 8 2" xfId="25774"/>
    <cellStyle name="40% - Accent4 4 5 9" xfId="25775"/>
    <cellStyle name="40% - Accent4 4 6" xfId="2244"/>
    <cellStyle name="40% - Accent4 4 6 2" xfId="25776"/>
    <cellStyle name="40% - Accent4 4 6 2 2" xfId="25777"/>
    <cellStyle name="40% - Accent4 4 6 2 2 2" xfId="25778"/>
    <cellStyle name="40% - Accent4 4 6 2 2 3" xfId="25779"/>
    <cellStyle name="40% - Accent4 4 6 2 3" xfId="25780"/>
    <cellStyle name="40% - Accent4 4 6 2 3 2" xfId="25781"/>
    <cellStyle name="40% - Accent4 4 6 2 3 3" xfId="25782"/>
    <cellStyle name="40% - Accent4 4 6 2 4" xfId="25783"/>
    <cellStyle name="40% - Accent4 4 6 2 4 2" xfId="25784"/>
    <cellStyle name="40% - Accent4 4 6 2 5" xfId="25785"/>
    <cellStyle name="40% - Accent4 4 6 2 6" xfId="25786"/>
    <cellStyle name="40% - Accent4 4 6 3" xfId="25787"/>
    <cellStyle name="40% - Accent4 4 6 3 2" xfId="25788"/>
    <cellStyle name="40% - Accent4 4 6 3 2 2" xfId="25789"/>
    <cellStyle name="40% - Accent4 4 6 3 2 3" xfId="25790"/>
    <cellStyle name="40% - Accent4 4 6 3 3" xfId="25791"/>
    <cellStyle name="40% - Accent4 4 6 3 3 2" xfId="25792"/>
    <cellStyle name="40% - Accent4 4 6 3 3 3" xfId="25793"/>
    <cellStyle name="40% - Accent4 4 6 3 4" xfId="25794"/>
    <cellStyle name="40% - Accent4 4 6 3 4 2" xfId="25795"/>
    <cellStyle name="40% - Accent4 4 6 3 5" xfId="25796"/>
    <cellStyle name="40% - Accent4 4 6 3 6" xfId="25797"/>
    <cellStyle name="40% - Accent4 4 6 4" xfId="25798"/>
    <cellStyle name="40% - Accent4 4 6 4 2" xfId="25799"/>
    <cellStyle name="40% - Accent4 4 6 4 2 2" xfId="25800"/>
    <cellStyle name="40% - Accent4 4 6 4 2 3" xfId="25801"/>
    <cellStyle name="40% - Accent4 4 6 4 3" xfId="25802"/>
    <cellStyle name="40% - Accent4 4 6 4 3 2" xfId="25803"/>
    <cellStyle name="40% - Accent4 4 6 4 4" xfId="25804"/>
    <cellStyle name="40% - Accent4 4 6 4 5" xfId="25805"/>
    <cellStyle name="40% - Accent4 4 6 5" xfId="25806"/>
    <cellStyle name="40% - Accent4 4 6 5 2" xfId="25807"/>
    <cellStyle name="40% - Accent4 4 6 5 3" xfId="25808"/>
    <cellStyle name="40% - Accent4 4 6 6" xfId="25809"/>
    <cellStyle name="40% - Accent4 4 6 6 2" xfId="25810"/>
    <cellStyle name="40% - Accent4 4 6 6 3" xfId="25811"/>
    <cellStyle name="40% - Accent4 4 6 7" xfId="25812"/>
    <cellStyle name="40% - Accent4 4 6 7 2" xfId="25813"/>
    <cellStyle name="40% - Accent4 4 6 8" xfId="25814"/>
    <cellStyle name="40% - Accent4 4 6 9" xfId="25815"/>
    <cellStyle name="40% - Accent4 4 7" xfId="9037"/>
    <cellStyle name="40% - Accent4 4 7 2" xfId="25816"/>
    <cellStyle name="40% - Accent4 4 7 2 2" xfId="25817"/>
    <cellStyle name="40% - Accent4 4 7 2 2 2" xfId="25818"/>
    <cellStyle name="40% - Accent4 4 7 2 2 3" xfId="25819"/>
    <cellStyle name="40% - Accent4 4 7 2 3" xfId="25820"/>
    <cellStyle name="40% - Accent4 4 7 2 3 2" xfId="25821"/>
    <cellStyle name="40% - Accent4 4 7 2 3 3" xfId="25822"/>
    <cellStyle name="40% - Accent4 4 7 2 4" xfId="25823"/>
    <cellStyle name="40% - Accent4 4 7 2 4 2" xfId="25824"/>
    <cellStyle name="40% - Accent4 4 7 2 5" xfId="25825"/>
    <cellStyle name="40% - Accent4 4 7 2 6" xfId="25826"/>
    <cellStyle name="40% - Accent4 4 7 3" xfId="25827"/>
    <cellStyle name="40% - Accent4 4 7 3 2" xfId="25828"/>
    <cellStyle name="40% - Accent4 4 7 3 2 2" xfId="25829"/>
    <cellStyle name="40% - Accent4 4 7 3 2 3" xfId="25830"/>
    <cellStyle name="40% - Accent4 4 7 3 3" xfId="25831"/>
    <cellStyle name="40% - Accent4 4 7 3 3 2" xfId="25832"/>
    <cellStyle name="40% - Accent4 4 7 3 3 3" xfId="25833"/>
    <cellStyle name="40% - Accent4 4 7 3 4" xfId="25834"/>
    <cellStyle name="40% - Accent4 4 7 3 4 2" xfId="25835"/>
    <cellStyle name="40% - Accent4 4 7 3 5" xfId="25836"/>
    <cellStyle name="40% - Accent4 4 7 3 6" xfId="25837"/>
    <cellStyle name="40% - Accent4 4 7 4" xfId="25838"/>
    <cellStyle name="40% - Accent4 4 7 4 2" xfId="25839"/>
    <cellStyle name="40% - Accent4 4 7 4 2 2" xfId="25840"/>
    <cellStyle name="40% - Accent4 4 7 4 2 3" xfId="25841"/>
    <cellStyle name="40% - Accent4 4 7 4 3" xfId="25842"/>
    <cellStyle name="40% - Accent4 4 7 4 3 2" xfId="25843"/>
    <cellStyle name="40% - Accent4 4 7 4 4" xfId="25844"/>
    <cellStyle name="40% - Accent4 4 7 4 5" xfId="25845"/>
    <cellStyle name="40% - Accent4 4 7 5" xfId="25846"/>
    <cellStyle name="40% - Accent4 4 7 5 2" xfId="25847"/>
    <cellStyle name="40% - Accent4 4 7 5 3" xfId="25848"/>
    <cellStyle name="40% - Accent4 4 7 6" xfId="25849"/>
    <cellStyle name="40% - Accent4 4 7 6 2" xfId="25850"/>
    <cellStyle name="40% - Accent4 4 7 6 3" xfId="25851"/>
    <cellStyle name="40% - Accent4 4 7 7" xfId="25852"/>
    <cellStyle name="40% - Accent4 4 7 7 2" xfId="25853"/>
    <cellStyle name="40% - Accent4 4 7 8" xfId="25854"/>
    <cellStyle name="40% - Accent4 4 7 9" xfId="25855"/>
    <cellStyle name="40% - Accent4 4 8" xfId="25856"/>
    <cellStyle name="40% - Accent4 4 8 2" xfId="25857"/>
    <cellStyle name="40% - Accent4 4 8 2 2" xfId="25858"/>
    <cellStyle name="40% - Accent4 4 8 2 3" xfId="25859"/>
    <cellStyle name="40% - Accent4 4 8 3" xfId="25860"/>
    <cellStyle name="40% - Accent4 4 8 3 2" xfId="25861"/>
    <cellStyle name="40% - Accent4 4 8 3 3" xfId="25862"/>
    <cellStyle name="40% - Accent4 4 8 4" xfId="25863"/>
    <cellStyle name="40% - Accent4 4 8 4 2" xfId="25864"/>
    <cellStyle name="40% - Accent4 4 8 5" xfId="25865"/>
    <cellStyle name="40% - Accent4 4 8 6" xfId="25866"/>
    <cellStyle name="40% - Accent4 4 9" xfId="25867"/>
    <cellStyle name="40% - Accent4 4 9 2" xfId="25868"/>
    <cellStyle name="40% - Accent4 4 9 2 2" xfId="25869"/>
    <cellStyle name="40% - Accent4 4 9 2 3" xfId="25870"/>
    <cellStyle name="40% - Accent4 4 9 3" xfId="25871"/>
    <cellStyle name="40% - Accent4 4 9 3 2" xfId="25872"/>
    <cellStyle name="40% - Accent4 4 9 3 3" xfId="25873"/>
    <cellStyle name="40% - Accent4 4 9 4" xfId="25874"/>
    <cellStyle name="40% - Accent4 4 9 4 2" xfId="25875"/>
    <cellStyle name="40% - Accent4 4 9 5" xfId="25876"/>
    <cellStyle name="40% - Accent4 4 9 6" xfId="25877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39"/>
    <cellStyle name="40% - Accent5 15" xfId="25878"/>
    <cellStyle name="40% - Accent5 16" xfId="25879"/>
    <cellStyle name="40% - Accent5 17" xfId="25880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1"/>
    <cellStyle name="40% - Accent5 4 10 2" xfId="25882"/>
    <cellStyle name="40% - Accent5 4 10 2 2" xfId="25883"/>
    <cellStyle name="40% - Accent5 4 10 2 3" xfId="25884"/>
    <cellStyle name="40% - Accent5 4 10 3" xfId="25885"/>
    <cellStyle name="40% - Accent5 4 10 3 2" xfId="25886"/>
    <cellStyle name="40% - Accent5 4 10 4" xfId="25887"/>
    <cellStyle name="40% - Accent5 4 10 5" xfId="25888"/>
    <cellStyle name="40% - Accent5 4 11" xfId="25889"/>
    <cellStyle name="40% - Accent5 4 11 2" xfId="25890"/>
    <cellStyle name="40% - Accent5 4 11 3" xfId="25891"/>
    <cellStyle name="40% - Accent5 4 12" xfId="25892"/>
    <cellStyle name="40% - Accent5 4 12 2" xfId="25893"/>
    <cellStyle name="40% - Accent5 4 12 3" xfId="25894"/>
    <cellStyle name="40% - Accent5 4 13" xfId="25895"/>
    <cellStyle name="40% - Accent5 4 13 2" xfId="25896"/>
    <cellStyle name="40% - Accent5 4 14" xfId="25897"/>
    <cellStyle name="40% - Accent5 4 15" xfId="25898"/>
    <cellStyle name="40% - Accent5 4 16" xfId="25899"/>
    <cellStyle name="40% - Accent5 4 2" xfId="2431"/>
    <cellStyle name="40% - Accent5 4 2 10" xfId="25900"/>
    <cellStyle name="40% - Accent5 4 2 10 2" xfId="25901"/>
    <cellStyle name="40% - Accent5 4 2 10 3" xfId="25902"/>
    <cellStyle name="40% - Accent5 4 2 11" xfId="25903"/>
    <cellStyle name="40% - Accent5 4 2 11 2" xfId="25904"/>
    <cellStyle name="40% - Accent5 4 2 11 3" xfId="25905"/>
    <cellStyle name="40% - Accent5 4 2 12" xfId="25906"/>
    <cellStyle name="40% - Accent5 4 2 12 2" xfId="25907"/>
    <cellStyle name="40% - Accent5 4 2 13" xfId="25908"/>
    <cellStyle name="40% - Accent5 4 2 14" xfId="25909"/>
    <cellStyle name="40% - Accent5 4 2 15" xfId="25910"/>
    <cellStyle name="40% - Accent5 4 2 2" xfId="2432"/>
    <cellStyle name="40% - Accent5 4 2 2 10" xfId="25911"/>
    <cellStyle name="40% - Accent5 4 2 2 10 2" xfId="25912"/>
    <cellStyle name="40% - Accent5 4 2 2 10 3" xfId="25913"/>
    <cellStyle name="40% - Accent5 4 2 2 11" xfId="25914"/>
    <cellStyle name="40% - Accent5 4 2 2 11 2" xfId="25915"/>
    <cellStyle name="40% - Accent5 4 2 2 12" xfId="25916"/>
    <cellStyle name="40% - Accent5 4 2 2 13" xfId="25917"/>
    <cellStyle name="40% - Accent5 4 2 2 2" xfId="2433"/>
    <cellStyle name="40% - Accent5 4 2 2 2 10" xfId="25918"/>
    <cellStyle name="40% - Accent5 4 2 2 2 10 2" xfId="25919"/>
    <cellStyle name="40% - Accent5 4 2 2 2 11" xfId="25920"/>
    <cellStyle name="40% - Accent5 4 2 2 2 12" xfId="25921"/>
    <cellStyle name="40% - Accent5 4 2 2 2 2" xfId="2434"/>
    <cellStyle name="40% - Accent5 4 2 2 2 2 10" xfId="25922"/>
    <cellStyle name="40% - Accent5 4 2 2 2 2 2" xfId="2435"/>
    <cellStyle name="40% - Accent5 4 2 2 2 2 2 2" xfId="25923"/>
    <cellStyle name="40% - Accent5 4 2 2 2 2 2 2 2" xfId="25924"/>
    <cellStyle name="40% - Accent5 4 2 2 2 2 2 2 2 2" xfId="25925"/>
    <cellStyle name="40% - Accent5 4 2 2 2 2 2 2 2 3" xfId="25926"/>
    <cellStyle name="40% - Accent5 4 2 2 2 2 2 2 3" xfId="25927"/>
    <cellStyle name="40% - Accent5 4 2 2 2 2 2 2 3 2" xfId="25928"/>
    <cellStyle name="40% - Accent5 4 2 2 2 2 2 2 3 3" xfId="25929"/>
    <cellStyle name="40% - Accent5 4 2 2 2 2 2 2 4" xfId="25930"/>
    <cellStyle name="40% - Accent5 4 2 2 2 2 2 2 4 2" xfId="25931"/>
    <cellStyle name="40% - Accent5 4 2 2 2 2 2 2 5" xfId="25932"/>
    <cellStyle name="40% - Accent5 4 2 2 2 2 2 2 6" xfId="25933"/>
    <cellStyle name="40% - Accent5 4 2 2 2 2 2 3" xfId="25934"/>
    <cellStyle name="40% - Accent5 4 2 2 2 2 2 3 2" xfId="25935"/>
    <cellStyle name="40% - Accent5 4 2 2 2 2 2 3 2 2" xfId="25936"/>
    <cellStyle name="40% - Accent5 4 2 2 2 2 2 3 2 3" xfId="25937"/>
    <cellStyle name="40% - Accent5 4 2 2 2 2 2 3 3" xfId="25938"/>
    <cellStyle name="40% - Accent5 4 2 2 2 2 2 3 3 2" xfId="25939"/>
    <cellStyle name="40% - Accent5 4 2 2 2 2 2 3 3 3" xfId="25940"/>
    <cellStyle name="40% - Accent5 4 2 2 2 2 2 3 4" xfId="25941"/>
    <cellStyle name="40% - Accent5 4 2 2 2 2 2 3 4 2" xfId="25942"/>
    <cellStyle name="40% - Accent5 4 2 2 2 2 2 3 5" xfId="25943"/>
    <cellStyle name="40% - Accent5 4 2 2 2 2 2 3 6" xfId="25944"/>
    <cellStyle name="40% - Accent5 4 2 2 2 2 2 4" xfId="25945"/>
    <cellStyle name="40% - Accent5 4 2 2 2 2 2 4 2" xfId="25946"/>
    <cellStyle name="40% - Accent5 4 2 2 2 2 2 4 2 2" xfId="25947"/>
    <cellStyle name="40% - Accent5 4 2 2 2 2 2 4 2 3" xfId="25948"/>
    <cellStyle name="40% - Accent5 4 2 2 2 2 2 4 3" xfId="25949"/>
    <cellStyle name="40% - Accent5 4 2 2 2 2 2 4 3 2" xfId="25950"/>
    <cellStyle name="40% - Accent5 4 2 2 2 2 2 4 4" xfId="25951"/>
    <cellStyle name="40% - Accent5 4 2 2 2 2 2 4 5" xfId="25952"/>
    <cellStyle name="40% - Accent5 4 2 2 2 2 2 5" xfId="25953"/>
    <cellStyle name="40% - Accent5 4 2 2 2 2 2 5 2" xfId="25954"/>
    <cellStyle name="40% - Accent5 4 2 2 2 2 2 5 3" xfId="25955"/>
    <cellStyle name="40% - Accent5 4 2 2 2 2 2 6" xfId="25956"/>
    <cellStyle name="40% - Accent5 4 2 2 2 2 2 6 2" xfId="25957"/>
    <cellStyle name="40% - Accent5 4 2 2 2 2 2 6 3" xfId="25958"/>
    <cellStyle name="40% - Accent5 4 2 2 2 2 2 7" xfId="25959"/>
    <cellStyle name="40% - Accent5 4 2 2 2 2 2 7 2" xfId="25960"/>
    <cellStyle name="40% - Accent5 4 2 2 2 2 2 8" xfId="25961"/>
    <cellStyle name="40% - Accent5 4 2 2 2 2 2 9" xfId="25962"/>
    <cellStyle name="40% - Accent5 4 2 2 2 2 3" xfId="25963"/>
    <cellStyle name="40% - Accent5 4 2 2 2 2 3 2" xfId="25964"/>
    <cellStyle name="40% - Accent5 4 2 2 2 2 3 2 2" xfId="25965"/>
    <cellStyle name="40% - Accent5 4 2 2 2 2 3 2 3" xfId="25966"/>
    <cellStyle name="40% - Accent5 4 2 2 2 2 3 3" xfId="25967"/>
    <cellStyle name="40% - Accent5 4 2 2 2 2 3 3 2" xfId="25968"/>
    <cellStyle name="40% - Accent5 4 2 2 2 2 3 3 3" xfId="25969"/>
    <cellStyle name="40% - Accent5 4 2 2 2 2 3 4" xfId="25970"/>
    <cellStyle name="40% - Accent5 4 2 2 2 2 3 4 2" xfId="25971"/>
    <cellStyle name="40% - Accent5 4 2 2 2 2 3 5" xfId="25972"/>
    <cellStyle name="40% - Accent5 4 2 2 2 2 3 6" xfId="25973"/>
    <cellStyle name="40% - Accent5 4 2 2 2 2 4" xfId="25974"/>
    <cellStyle name="40% - Accent5 4 2 2 2 2 4 2" xfId="25975"/>
    <cellStyle name="40% - Accent5 4 2 2 2 2 4 2 2" xfId="25976"/>
    <cellStyle name="40% - Accent5 4 2 2 2 2 4 2 3" xfId="25977"/>
    <cellStyle name="40% - Accent5 4 2 2 2 2 4 3" xfId="25978"/>
    <cellStyle name="40% - Accent5 4 2 2 2 2 4 3 2" xfId="25979"/>
    <cellStyle name="40% - Accent5 4 2 2 2 2 4 3 3" xfId="25980"/>
    <cellStyle name="40% - Accent5 4 2 2 2 2 4 4" xfId="25981"/>
    <cellStyle name="40% - Accent5 4 2 2 2 2 4 4 2" xfId="25982"/>
    <cellStyle name="40% - Accent5 4 2 2 2 2 4 5" xfId="25983"/>
    <cellStyle name="40% - Accent5 4 2 2 2 2 4 6" xfId="25984"/>
    <cellStyle name="40% - Accent5 4 2 2 2 2 5" xfId="25985"/>
    <cellStyle name="40% - Accent5 4 2 2 2 2 5 2" xfId="25986"/>
    <cellStyle name="40% - Accent5 4 2 2 2 2 5 2 2" xfId="25987"/>
    <cellStyle name="40% - Accent5 4 2 2 2 2 5 2 3" xfId="25988"/>
    <cellStyle name="40% - Accent5 4 2 2 2 2 5 3" xfId="25989"/>
    <cellStyle name="40% - Accent5 4 2 2 2 2 5 3 2" xfId="25990"/>
    <cellStyle name="40% - Accent5 4 2 2 2 2 5 4" xfId="25991"/>
    <cellStyle name="40% - Accent5 4 2 2 2 2 5 5" xfId="25992"/>
    <cellStyle name="40% - Accent5 4 2 2 2 2 6" xfId="25993"/>
    <cellStyle name="40% - Accent5 4 2 2 2 2 6 2" xfId="25994"/>
    <cellStyle name="40% - Accent5 4 2 2 2 2 6 3" xfId="25995"/>
    <cellStyle name="40% - Accent5 4 2 2 2 2 7" xfId="25996"/>
    <cellStyle name="40% - Accent5 4 2 2 2 2 7 2" xfId="25997"/>
    <cellStyle name="40% - Accent5 4 2 2 2 2 7 3" xfId="25998"/>
    <cellStyle name="40% - Accent5 4 2 2 2 2 8" xfId="25999"/>
    <cellStyle name="40% - Accent5 4 2 2 2 2 8 2" xfId="26000"/>
    <cellStyle name="40% - Accent5 4 2 2 2 2 9" xfId="26001"/>
    <cellStyle name="40% - Accent5 4 2 2 2 3" xfId="2436"/>
    <cellStyle name="40% - Accent5 4 2 2 2 3 2" xfId="26002"/>
    <cellStyle name="40% - Accent5 4 2 2 2 3 2 2" xfId="26003"/>
    <cellStyle name="40% - Accent5 4 2 2 2 3 2 2 2" xfId="26004"/>
    <cellStyle name="40% - Accent5 4 2 2 2 3 2 2 3" xfId="26005"/>
    <cellStyle name="40% - Accent5 4 2 2 2 3 2 3" xfId="26006"/>
    <cellStyle name="40% - Accent5 4 2 2 2 3 2 3 2" xfId="26007"/>
    <cellStyle name="40% - Accent5 4 2 2 2 3 2 3 3" xfId="26008"/>
    <cellStyle name="40% - Accent5 4 2 2 2 3 2 4" xfId="26009"/>
    <cellStyle name="40% - Accent5 4 2 2 2 3 2 4 2" xfId="26010"/>
    <cellStyle name="40% - Accent5 4 2 2 2 3 2 5" xfId="26011"/>
    <cellStyle name="40% - Accent5 4 2 2 2 3 2 6" xfId="26012"/>
    <cellStyle name="40% - Accent5 4 2 2 2 3 3" xfId="26013"/>
    <cellStyle name="40% - Accent5 4 2 2 2 3 3 2" xfId="26014"/>
    <cellStyle name="40% - Accent5 4 2 2 2 3 3 2 2" xfId="26015"/>
    <cellStyle name="40% - Accent5 4 2 2 2 3 3 2 3" xfId="26016"/>
    <cellStyle name="40% - Accent5 4 2 2 2 3 3 3" xfId="26017"/>
    <cellStyle name="40% - Accent5 4 2 2 2 3 3 3 2" xfId="26018"/>
    <cellStyle name="40% - Accent5 4 2 2 2 3 3 3 3" xfId="26019"/>
    <cellStyle name="40% - Accent5 4 2 2 2 3 3 4" xfId="26020"/>
    <cellStyle name="40% - Accent5 4 2 2 2 3 3 4 2" xfId="26021"/>
    <cellStyle name="40% - Accent5 4 2 2 2 3 3 5" xfId="26022"/>
    <cellStyle name="40% - Accent5 4 2 2 2 3 3 6" xfId="26023"/>
    <cellStyle name="40% - Accent5 4 2 2 2 3 4" xfId="26024"/>
    <cellStyle name="40% - Accent5 4 2 2 2 3 4 2" xfId="26025"/>
    <cellStyle name="40% - Accent5 4 2 2 2 3 4 2 2" xfId="26026"/>
    <cellStyle name="40% - Accent5 4 2 2 2 3 4 2 3" xfId="26027"/>
    <cellStyle name="40% - Accent5 4 2 2 2 3 4 3" xfId="26028"/>
    <cellStyle name="40% - Accent5 4 2 2 2 3 4 3 2" xfId="26029"/>
    <cellStyle name="40% - Accent5 4 2 2 2 3 4 4" xfId="26030"/>
    <cellStyle name="40% - Accent5 4 2 2 2 3 4 5" xfId="26031"/>
    <cellStyle name="40% - Accent5 4 2 2 2 3 5" xfId="26032"/>
    <cellStyle name="40% - Accent5 4 2 2 2 3 5 2" xfId="26033"/>
    <cellStyle name="40% - Accent5 4 2 2 2 3 5 3" xfId="26034"/>
    <cellStyle name="40% - Accent5 4 2 2 2 3 6" xfId="26035"/>
    <cellStyle name="40% - Accent5 4 2 2 2 3 6 2" xfId="26036"/>
    <cellStyle name="40% - Accent5 4 2 2 2 3 6 3" xfId="26037"/>
    <cellStyle name="40% - Accent5 4 2 2 2 3 7" xfId="26038"/>
    <cellStyle name="40% - Accent5 4 2 2 2 3 7 2" xfId="26039"/>
    <cellStyle name="40% - Accent5 4 2 2 2 3 8" xfId="26040"/>
    <cellStyle name="40% - Accent5 4 2 2 2 3 9" xfId="26041"/>
    <cellStyle name="40% - Accent5 4 2 2 2 4" xfId="26042"/>
    <cellStyle name="40% - Accent5 4 2 2 2 4 2" xfId="26043"/>
    <cellStyle name="40% - Accent5 4 2 2 2 4 2 2" xfId="26044"/>
    <cellStyle name="40% - Accent5 4 2 2 2 4 2 2 2" xfId="26045"/>
    <cellStyle name="40% - Accent5 4 2 2 2 4 2 2 3" xfId="26046"/>
    <cellStyle name="40% - Accent5 4 2 2 2 4 2 3" xfId="26047"/>
    <cellStyle name="40% - Accent5 4 2 2 2 4 2 3 2" xfId="26048"/>
    <cellStyle name="40% - Accent5 4 2 2 2 4 2 3 3" xfId="26049"/>
    <cellStyle name="40% - Accent5 4 2 2 2 4 2 4" xfId="26050"/>
    <cellStyle name="40% - Accent5 4 2 2 2 4 2 4 2" xfId="26051"/>
    <cellStyle name="40% - Accent5 4 2 2 2 4 2 5" xfId="26052"/>
    <cellStyle name="40% - Accent5 4 2 2 2 4 2 6" xfId="26053"/>
    <cellStyle name="40% - Accent5 4 2 2 2 4 3" xfId="26054"/>
    <cellStyle name="40% - Accent5 4 2 2 2 4 3 2" xfId="26055"/>
    <cellStyle name="40% - Accent5 4 2 2 2 4 3 2 2" xfId="26056"/>
    <cellStyle name="40% - Accent5 4 2 2 2 4 3 2 3" xfId="26057"/>
    <cellStyle name="40% - Accent5 4 2 2 2 4 3 3" xfId="26058"/>
    <cellStyle name="40% - Accent5 4 2 2 2 4 3 3 2" xfId="26059"/>
    <cellStyle name="40% - Accent5 4 2 2 2 4 3 3 3" xfId="26060"/>
    <cellStyle name="40% - Accent5 4 2 2 2 4 3 4" xfId="26061"/>
    <cellStyle name="40% - Accent5 4 2 2 2 4 3 4 2" xfId="26062"/>
    <cellStyle name="40% - Accent5 4 2 2 2 4 3 5" xfId="26063"/>
    <cellStyle name="40% - Accent5 4 2 2 2 4 3 6" xfId="26064"/>
    <cellStyle name="40% - Accent5 4 2 2 2 4 4" xfId="26065"/>
    <cellStyle name="40% - Accent5 4 2 2 2 4 4 2" xfId="26066"/>
    <cellStyle name="40% - Accent5 4 2 2 2 4 4 2 2" xfId="26067"/>
    <cellStyle name="40% - Accent5 4 2 2 2 4 4 2 3" xfId="26068"/>
    <cellStyle name="40% - Accent5 4 2 2 2 4 4 3" xfId="26069"/>
    <cellStyle name="40% - Accent5 4 2 2 2 4 4 3 2" xfId="26070"/>
    <cellStyle name="40% - Accent5 4 2 2 2 4 4 4" xfId="26071"/>
    <cellStyle name="40% - Accent5 4 2 2 2 4 4 5" xfId="26072"/>
    <cellStyle name="40% - Accent5 4 2 2 2 4 5" xfId="26073"/>
    <cellStyle name="40% - Accent5 4 2 2 2 4 5 2" xfId="26074"/>
    <cellStyle name="40% - Accent5 4 2 2 2 4 5 3" xfId="26075"/>
    <cellStyle name="40% - Accent5 4 2 2 2 4 6" xfId="26076"/>
    <cellStyle name="40% - Accent5 4 2 2 2 4 6 2" xfId="26077"/>
    <cellStyle name="40% - Accent5 4 2 2 2 4 6 3" xfId="26078"/>
    <cellStyle name="40% - Accent5 4 2 2 2 4 7" xfId="26079"/>
    <cellStyle name="40% - Accent5 4 2 2 2 4 7 2" xfId="26080"/>
    <cellStyle name="40% - Accent5 4 2 2 2 4 8" xfId="26081"/>
    <cellStyle name="40% - Accent5 4 2 2 2 4 9" xfId="26082"/>
    <cellStyle name="40% - Accent5 4 2 2 2 5" xfId="26083"/>
    <cellStyle name="40% - Accent5 4 2 2 2 5 2" xfId="26084"/>
    <cellStyle name="40% - Accent5 4 2 2 2 5 2 2" xfId="26085"/>
    <cellStyle name="40% - Accent5 4 2 2 2 5 2 3" xfId="26086"/>
    <cellStyle name="40% - Accent5 4 2 2 2 5 3" xfId="26087"/>
    <cellStyle name="40% - Accent5 4 2 2 2 5 3 2" xfId="26088"/>
    <cellStyle name="40% - Accent5 4 2 2 2 5 3 3" xfId="26089"/>
    <cellStyle name="40% - Accent5 4 2 2 2 5 4" xfId="26090"/>
    <cellStyle name="40% - Accent5 4 2 2 2 5 4 2" xfId="26091"/>
    <cellStyle name="40% - Accent5 4 2 2 2 5 5" xfId="26092"/>
    <cellStyle name="40% - Accent5 4 2 2 2 5 6" xfId="26093"/>
    <cellStyle name="40% - Accent5 4 2 2 2 6" xfId="26094"/>
    <cellStyle name="40% - Accent5 4 2 2 2 6 2" xfId="26095"/>
    <cellStyle name="40% - Accent5 4 2 2 2 6 2 2" xfId="26096"/>
    <cellStyle name="40% - Accent5 4 2 2 2 6 2 3" xfId="26097"/>
    <cellStyle name="40% - Accent5 4 2 2 2 6 3" xfId="26098"/>
    <cellStyle name="40% - Accent5 4 2 2 2 6 3 2" xfId="26099"/>
    <cellStyle name="40% - Accent5 4 2 2 2 6 3 3" xfId="26100"/>
    <cellStyle name="40% - Accent5 4 2 2 2 6 4" xfId="26101"/>
    <cellStyle name="40% - Accent5 4 2 2 2 6 4 2" xfId="26102"/>
    <cellStyle name="40% - Accent5 4 2 2 2 6 5" xfId="26103"/>
    <cellStyle name="40% - Accent5 4 2 2 2 6 6" xfId="26104"/>
    <cellStyle name="40% - Accent5 4 2 2 2 7" xfId="26105"/>
    <cellStyle name="40% - Accent5 4 2 2 2 7 2" xfId="26106"/>
    <cellStyle name="40% - Accent5 4 2 2 2 7 2 2" xfId="26107"/>
    <cellStyle name="40% - Accent5 4 2 2 2 7 2 3" xfId="26108"/>
    <cellStyle name="40% - Accent5 4 2 2 2 7 3" xfId="26109"/>
    <cellStyle name="40% - Accent5 4 2 2 2 7 3 2" xfId="26110"/>
    <cellStyle name="40% - Accent5 4 2 2 2 7 4" xfId="26111"/>
    <cellStyle name="40% - Accent5 4 2 2 2 7 5" xfId="26112"/>
    <cellStyle name="40% - Accent5 4 2 2 2 8" xfId="26113"/>
    <cellStyle name="40% - Accent5 4 2 2 2 8 2" xfId="26114"/>
    <cellStyle name="40% - Accent5 4 2 2 2 8 3" xfId="26115"/>
    <cellStyle name="40% - Accent5 4 2 2 2 9" xfId="26116"/>
    <cellStyle name="40% - Accent5 4 2 2 2 9 2" xfId="26117"/>
    <cellStyle name="40% - Accent5 4 2 2 2 9 3" xfId="26118"/>
    <cellStyle name="40% - Accent5 4 2 2 3" xfId="2437"/>
    <cellStyle name="40% - Accent5 4 2 2 3 10" xfId="26119"/>
    <cellStyle name="40% - Accent5 4 2 2 3 2" xfId="2438"/>
    <cellStyle name="40% - Accent5 4 2 2 3 2 2" xfId="26120"/>
    <cellStyle name="40% - Accent5 4 2 2 3 2 2 2" xfId="26121"/>
    <cellStyle name="40% - Accent5 4 2 2 3 2 2 2 2" xfId="26122"/>
    <cellStyle name="40% - Accent5 4 2 2 3 2 2 2 3" xfId="26123"/>
    <cellStyle name="40% - Accent5 4 2 2 3 2 2 3" xfId="26124"/>
    <cellStyle name="40% - Accent5 4 2 2 3 2 2 3 2" xfId="26125"/>
    <cellStyle name="40% - Accent5 4 2 2 3 2 2 3 3" xfId="26126"/>
    <cellStyle name="40% - Accent5 4 2 2 3 2 2 4" xfId="26127"/>
    <cellStyle name="40% - Accent5 4 2 2 3 2 2 4 2" xfId="26128"/>
    <cellStyle name="40% - Accent5 4 2 2 3 2 2 5" xfId="26129"/>
    <cellStyle name="40% - Accent5 4 2 2 3 2 2 6" xfId="26130"/>
    <cellStyle name="40% - Accent5 4 2 2 3 2 3" xfId="26131"/>
    <cellStyle name="40% - Accent5 4 2 2 3 2 3 2" xfId="26132"/>
    <cellStyle name="40% - Accent5 4 2 2 3 2 3 2 2" xfId="26133"/>
    <cellStyle name="40% - Accent5 4 2 2 3 2 3 2 3" xfId="26134"/>
    <cellStyle name="40% - Accent5 4 2 2 3 2 3 3" xfId="26135"/>
    <cellStyle name="40% - Accent5 4 2 2 3 2 3 3 2" xfId="26136"/>
    <cellStyle name="40% - Accent5 4 2 2 3 2 3 3 3" xfId="26137"/>
    <cellStyle name="40% - Accent5 4 2 2 3 2 3 4" xfId="26138"/>
    <cellStyle name="40% - Accent5 4 2 2 3 2 3 4 2" xfId="26139"/>
    <cellStyle name="40% - Accent5 4 2 2 3 2 3 5" xfId="26140"/>
    <cellStyle name="40% - Accent5 4 2 2 3 2 3 6" xfId="26141"/>
    <cellStyle name="40% - Accent5 4 2 2 3 2 4" xfId="26142"/>
    <cellStyle name="40% - Accent5 4 2 2 3 2 4 2" xfId="26143"/>
    <cellStyle name="40% - Accent5 4 2 2 3 2 4 2 2" xfId="26144"/>
    <cellStyle name="40% - Accent5 4 2 2 3 2 4 2 3" xfId="26145"/>
    <cellStyle name="40% - Accent5 4 2 2 3 2 4 3" xfId="26146"/>
    <cellStyle name="40% - Accent5 4 2 2 3 2 4 3 2" xfId="26147"/>
    <cellStyle name="40% - Accent5 4 2 2 3 2 4 4" xfId="26148"/>
    <cellStyle name="40% - Accent5 4 2 2 3 2 4 5" xfId="26149"/>
    <cellStyle name="40% - Accent5 4 2 2 3 2 5" xfId="26150"/>
    <cellStyle name="40% - Accent5 4 2 2 3 2 5 2" xfId="26151"/>
    <cellStyle name="40% - Accent5 4 2 2 3 2 5 3" xfId="26152"/>
    <cellStyle name="40% - Accent5 4 2 2 3 2 6" xfId="26153"/>
    <cellStyle name="40% - Accent5 4 2 2 3 2 6 2" xfId="26154"/>
    <cellStyle name="40% - Accent5 4 2 2 3 2 6 3" xfId="26155"/>
    <cellStyle name="40% - Accent5 4 2 2 3 2 7" xfId="26156"/>
    <cellStyle name="40% - Accent5 4 2 2 3 2 7 2" xfId="26157"/>
    <cellStyle name="40% - Accent5 4 2 2 3 2 8" xfId="26158"/>
    <cellStyle name="40% - Accent5 4 2 2 3 2 9" xfId="26159"/>
    <cellStyle name="40% - Accent5 4 2 2 3 3" xfId="26160"/>
    <cellStyle name="40% - Accent5 4 2 2 3 3 2" xfId="26161"/>
    <cellStyle name="40% - Accent5 4 2 2 3 3 2 2" xfId="26162"/>
    <cellStyle name="40% - Accent5 4 2 2 3 3 2 3" xfId="26163"/>
    <cellStyle name="40% - Accent5 4 2 2 3 3 3" xfId="26164"/>
    <cellStyle name="40% - Accent5 4 2 2 3 3 3 2" xfId="26165"/>
    <cellStyle name="40% - Accent5 4 2 2 3 3 3 3" xfId="26166"/>
    <cellStyle name="40% - Accent5 4 2 2 3 3 4" xfId="26167"/>
    <cellStyle name="40% - Accent5 4 2 2 3 3 4 2" xfId="26168"/>
    <cellStyle name="40% - Accent5 4 2 2 3 3 5" xfId="26169"/>
    <cellStyle name="40% - Accent5 4 2 2 3 3 6" xfId="26170"/>
    <cellStyle name="40% - Accent5 4 2 2 3 4" xfId="26171"/>
    <cellStyle name="40% - Accent5 4 2 2 3 4 2" xfId="26172"/>
    <cellStyle name="40% - Accent5 4 2 2 3 4 2 2" xfId="26173"/>
    <cellStyle name="40% - Accent5 4 2 2 3 4 2 3" xfId="26174"/>
    <cellStyle name="40% - Accent5 4 2 2 3 4 3" xfId="26175"/>
    <cellStyle name="40% - Accent5 4 2 2 3 4 3 2" xfId="26176"/>
    <cellStyle name="40% - Accent5 4 2 2 3 4 3 3" xfId="26177"/>
    <cellStyle name="40% - Accent5 4 2 2 3 4 4" xfId="26178"/>
    <cellStyle name="40% - Accent5 4 2 2 3 4 4 2" xfId="26179"/>
    <cellStyle name="40% - Accent5 4 2 2 3 4 5" xfId="26180"/>
    <cellStyle name="40% - Accent5 4 2 2 3 4 6" xfId="26181"/>
    <cellStyle name="40% - Accent5 4 2 2 3 5" xfId="26182"/>
    <cellStyle name="40% - Accent5 4 2 2 3 5 2" xfId="26183"/>
    <cellStyle name="40% - Accent5 4 2 2 3 5 2 2" xfId="26184"/>
    <cellStyle name="40% - Accent5 4 2 2 3 5 2 3" xfId="26185"/>
    <cellStyle name="40% - Accent5 4 2 2 3 5 3" xfId="26186"/>
    <cellStyle name="40% - Accent5 4 2 2 3 5 3 2" xfId="26187"/>
    <cellStyle name="40% - Accent5 4 2 2 3 5 4" xfId="26188"/>
    <cellStyle name="40% - Accent5 4 2 2 3 5 5" xfId="26189"/>
    <cellStyle name="40% - Accent5 4 2 2 3 6" xfId="26190"/>
    <cellStyle name="40% - Accent5 4 2 2 3 6 2" xfId="26191"/>
    <cellStyle name="40% - Accent5 4 2 2 3 6 3" xfId="26192"/>
    <cellStyle name="40% - Accent5 4 2 2 3 7" xfId="26193"/>
    <cellStyle name="40% - Accent5 4 2 2 3 7 2" xfId="26194"/>
    <cellStyle name="40% - Accent5 4 2 2 3 7 3" xfId="26195"/>
    <cellStyle name="40% - Accent5 4 2 2 3 8" xfId="26196"/>
    <cellStyle name="40% - Accent5 4 2 2 3 8 2" xfId="26197"/>
    <cellStyle name="40% - Accent5 4 2 2 3 9" xfId="26198"/>
    <cellStyle name="40% - Accent5 4 2 2 4" xfId="2439"/>
    <cellStyle name="40% - Accent5 4 2 2 4 2" xfId="26199"/>
    <cellStyle name="40% - Accent5 4 2 2 4 2 2" xfId="26200"/>
    <cellStyle name="40% - Accent5 4 2 2 4 2 2 2" xfId="26201"/>
    <cellStyle name="40% - Accent5 4 2 2 4 2 2 3" xfId="26202"/>
    <cellStyle name="40% - Accent5 4 2 2 4 2 3" xfId="26203"/>
    <cellStyle name="40% - Accent5 4 2 2 4 2 3 2" xfId="26204"/>
    <cellStyle name="40% - Accent5 4 2 2 4 2 3 3" xfId="26205"/>
    <cellStyle name="40% - Accent5 4 2 2 4 2 4" xfId="26206"/>
    <cellStyle name="40% - Accent5 4 2 2 4 2 4 2" xfId="26207"/>
    <cellStyle name="40% - Accent5 4 2 2 4 2 5" xfId="26208"/>
    <cellStyle name="40% - Accent5 4 2 2 4 2 6" xfId="26209"/>
    <cellStyle name="40% - Accent5 4 2 2 4 3" xfId="26210"/>
    <cellStyle name="40% - Accent5 4 2 2 4 3 2" xfId="26211"/>
    <cellStyle name="40% - Accent5 4 2 2 4 3 2 2" xfId="26212"/>
    <cellStyle name="40% - Accent5 4 2 2 4 3 2 3" xfId="26213"/>
    <cellStyle name="40% - Accent5 4 2 2 4 3 3" xfId="26214"/>
    <cellStyle name="40% - Accent5 4 2 2 4 3 3 2" xfId="26215"/>
    <cellStyle name="40% - Accent5 4 2 2 4 3 3 3" xfId="26216"/>
    <cellStyle name="40% - Accent5 4 2 2 4 3 4" xfId="26217"/>
    <cellStyle name="40% - Accent5 4 2 2 4 3 4 2" xfId="26218"/>
    <cellStyle name="40% - Accent5 4 2 2 4 3 5" xfId="26219"/>
    <cellStyle name="40% - Accent5 4 2 2 4 3 6" xfId="26220"/>
    <cellStyle name="40% - Accent5 4 2 2 4 4" xfId="26221"/>
    <cellStyle name="40% - Accent5 4 2 2 4 4 2" xfId="26222"/>
    <cellStyle name="40% - Accent5 4 2 2 4 4 2 2" xfId="26223"/>
    <cellStyle name="40% - Accent5 4 2 2 4 4 2 3" xfId="26224"/>
    <cellStyle name="40% - Accent5 4 2 2 4 4 3" xfId="26225"/>
    <cellStyle name="40% - Accent5 4 2 2 4 4 3 2" xfId="26226"/>
    <cellStyle name="40% - Accent5 4 2 2 4 4 4" xfId="26227"/>
    <cellStyle name="40% - Accent5 4 2 2 4 4 5" xfId="26228"/>
    <cellStyle name="40% - Accent5 4 2 2 4 5" xfId="26229"/>
    <cellStyle name="40% - Accent5 4 2 2 4 5 2" xfId="26230"/>
    <cellStyle name="40% - Accent5 4 2 2 4 5 3" xfId="26231"/>
    <cellStyle name="40% - Accent5 4 2 2 4 6" xfId="26232"/>
    <cellStyle name="40% - Accent5 4 2 2 4 6 2" xfId="26233"/>
    <cellStyle name="40% - Accent5 4 2 2 4 6 3" xfId="26234"/>
    <cellStyle name="40% - Accent5 4 2 2 4 7" xfId="26235"/>
    <cellStyle name="40% - Accent5 4 2 2 4 7 2" xfId="26236"/>
    <cellStyle name="40% - Accent5 4 2 2 4 8" xfId="26237"/>
    <cellStyle name="40% - Accent5 4 2 2 4 9" xfId="26238"/>
    <cellStyle name="40% - Accent5 4 2 2 5" xfId="26239"/>
    <cellStyle name="40% - Accent5 4 2 2 5 2" xfId="26240"/>
    <cellStyle name="40% - Accent5 4 2 2 5 2 2" xfId="26241"/>
    <cellStyle name="40% - Accent5 4 2 2 5 2 2 2" xfId="26242"/>
    <cellStyle name="40% - Accent5 4 2 2 5 2 2 3" xfId="26243"/>
    <cellStyle name="40% - Accent5 4 2 2 5 2 3" xfId="26244"/>
    <cellStyle name="40% - Accent5 4 2 2 5 2 3 2" xfId="26245"/>
    <cellStyle name="40% - Accent5 4 2 2 5 2 3 3" xfId="26246"/>
    <cellStyle name="40% - Accent5 4 2 2 5 2 4" xfId="26247"/>
    <cellStyle name="40% - Accent5 4 2 2 5 2 4 2" xfId="26248"/>
    <cellStyle name="40% - Accent5 4 2 2 5 2 5" xfId="26249"/>
    <cellStyle name="40% - Accent5 4 2 2 5 2 6" xfId="26250"/>
    <cellStyle name="40% - Accent5 4 2 2 5 3" xfId="26251"/>
    <cellStyle name="40% - Accent5 4 2 2 5 3 2" xfId="26252"/>
    <cellStyle name="40% - Accent5 4 2 2 5 3 2 2" xfId="26253"/>
    <cellStyle name="40% - Accent5 4 2 2 5 3 2 3" xfId="26254"/>
    <cellStyle name="40% - Accent5 4 2 2 5 3 3" xfId="26255"/>
    <cellStyle name="40% - Accent5 4 2 2 5 3 3 2" xfId="26256"/>
    <cellStyle name="40% - Accent5 4 2 2 5 3 3 3" xfId="26257"/>
    <cellStyle name="40% - Accent5 4 2 2 5 3 4" xfId="26258"/>
    <cellStyle name="40% - Accent5 4 2 2 5 3 4 2" xfId="26259"/>
    <cellStyle name="40% - Accent5 4 2 2 5 3 5" xfId="26260"/>
    <cellStyle name="40% - Accent5 4 2 2 5 3 6" xfId="26261"/>
    <cellStyle name="40% - Accent5 4 2 2 5 4" xfId="26262"/>
    <cellStyle name="40% - Accent5 4 2 2 5 4 2" xfId="26263"/>
    <cellStyle name="40% - Accent5 4 2 2 5 4 2 2" xfId="26264"/>
    <cellStyle name="40% - Accent5 4 2 2 5 4 2 3" xfId="26265"/>
    <cellStyle name="40% - Accent5 4 2 2 5 4 3" xfId="26266"/>
    <cellStyle name="40% - Accent5 4 2 2 5 4 3 2" xfId="26267"/>
    <cellStyle name="40% - Accent5 4 2 2 5 4 4" xfId="26268"/>
    <cellStyle name="40% - Accent5 4 2 2 5 4 5" xfId="26269"/>
    <cellStyle name="40% - Accent5 4 2 2 5 5" xfId="26270"/>
    <cellStyle name="40% - Accent5 4 2 2 5 5 2" xfId="26271"/>
    <cellStyle name="40% - Accent5 4 2 2 5 5 3" xfId="26272"/>
    <cellStyle name="40% - Accent5 4 2 2 5 6" xfId="26273"/>
    <cellStyle name="40% - Accent5 4 2 2 5 6 2" xfId="26274"/>
    <cellStyle name="40% - Accent5 4 2 2 5 6 3" xfId="26275"/>
    <cellStyle name="40% - Accent5 4 2 2 5 7" xfId="26276"/>
    <cellStyle name="40% - Accent5 4 2 2 5 7 2" xfId="26277"/>
    <cellStyle name="40% - Accent5 4 2 2 5 8" xfId="26278"/>
    <cellStyle name="40% - Accent5 4 2 2 5 9" xfId="26279"/>
    <cellStyle name="40% - Accent5 4 2 2 6" xfId="26280"/>
    <cellStyle name="40% - Accent5 4 2 2 6 2" xfId="26281"/>
    <cellStyle name="40% - Accent5 4 2 2 6 2 2" xfId="26282"/>
    <cellStyle name="40% - Accent5 4 2 2 6 2 3" xfId="26283"/>
    <cellStyle name="40% - Accent5 4 2 2 6 3" xfId="26284"/>
    <cellStyle name="40% - Accent5 4 2 2 6 3 2" xfId="26285"/>
    <cellStyle name="40% - Accent5 4 2 2 6 3 3" xfId="26286"/>
    <cellStyle name="40% - Accent5 4 2 2 6 4" xfId="26287"/>
    <cellStyle name="40% - Accent5 4 2 2 6 4 2" xfId="26288"/>
    <cellStyle name="40% - Accent5 4 2 2 6 5" xfId="26289"/>
    <cellStyle name="40% - Accent5 4 2 2 6 6" xfId="26290"/>
    <cellStyle name="40% - Accent5 4 2 2 7" xfId="26291"/>
    <cellStyle name="40% - Accent5 4 2 2 7 2" xfId="26292"/>
    <cellStyle name="40% - Accent5 4 2 2 7 2 2" xfId="26293"/>
    <cellStyle name="40% - Accent5 4 2 2 7 2 3" xfId="26294"/>
    <cellStyle name="40% - Accent5 4 2 2 7 3" xfId="26295"/>
    <cellStyle name="40% - Accent5 4 2 2 7 3 2" xfId="26296"/>
    <cellStyle name="40% - Accent5 4 2 2 7 3 3" xfId="26297"/>
    <cellStyle name="40% - Accent5 4 2 2 7 4" xfId="26298"/>
    <cellStyle name="40% - Accent5 4 2 2 7 4 2" xfId="26299"/>
    <cellStyle name="40% - Accent5 4 2 2 7 5" xfId="26300"/>
    <cellStyle name="40% - Accent5 4 2 2 7 6" xfId="26301"/>
    <cellStyle name="40% - Accent5 4 2 2 8" xfId="26302"/>
    <cellStyle name="40% - Accent5 4 2 2 8 2" xfId="26303"/>
    <cellStyle name="40% - Accent5 4 2 2 8 2 2" xfId="26304"/>
    <cellStyle name="40% - Accent5 4 2 2 8 2 3" xfId="26305"/>
    <cellStyle name="40% - Accent5 4 2 2 8 3" xfId="26306"/>
    <cellStyle name="40% - Accent5 4 2 2 8 3 2" xfId="26307"/>
    <cellStyle name="40% - Accent5 4 2 2 8 4" xfId="26308"/>
    <cellStyle name="40% - Accent5 4 2 2 8 5" xfId="26309"/>
    <cellStyle name="40% - Accent5 4 2 2 9" xfId="26310"/>
    <cellStyle name="40% - Accent5 4 2 2 9 2" xfId="26311"/>
    <cellStyle name="40% - Accent5 4 2 2 9 3" xfId="26312"/>
    <cellStyle name="40% - Accent5 4 2 3" xfId="2440"/>
    <cellStyle name="40% - Accent5 4 2 3 10" xfId="26313"/>
    <cellStyle name="40% - Accent5 4 2 3 10 2" xfId="26314"/>
    <cellStyle name="40% - Accent5 4 2 3 11" xfId="26315"/>
    <cellStyle name="40% - Accent5 4 2 3 12" xfId="26316"/>
    <cellStyle name="40% - Accent5 4 2 3 2" xfId="2441"/>
    <cellStyle name="40% - Accent5 4 2 3 2 10" xfId="26317"/>
    <cellStyle name="40% - Accent5 4 2 3 2 2" xfId="2442"/>
    <cellStyle name="40% - Accent5 4 2 3 2 2 2" xfId="26318"/>
    <cellStyle name="40% - Accent5 4 2 3 2 2 2 2" xfId="26319"/>
    <cellStyle name="40% - Accent5 4 2 3 2 2 2 2 2" xfId="26320"/>
    <cellStyle name="40% - Accent5 4 2 3 2 2 2 2 3" xfId="26321"/>
    <cellStyle name="40% - Accent5 4 2 3 2 2 2 3" xfId="26322"/>
    <cellStyle name="40% - Accent5 4 2 3 2 2 2 3 2" xfId="26323"/>
    <cellStyle name="40% - Accent5 4 2 3 2 2 2 3 3" xfId="26324"/>
    <cellStyle name="40% - Accent5 4 2 3 2 2 2 4" xfId="26325"/>
    <cellStyle name="40% - Accent5 4 2 3 2 2 2 4 2" xfId="26326"/>
    <cellStyle name="40% - Accent5 4 2 3 2 2 2 5" xfId="26327"/>
    <cellStyle name="40% - Accent5 4 2 3 2 2 2 6" xfId="26328"/>
    <cellStyle name="40% - Accent5 4 2 3 2 2 3" xfId="26329"/>
    <cellStyle name="40% - Accent5 4 2 3 2 2 3 2" xfId="26330"/>
    <cellStyle name="40% - Accent5 4 2 3 2 2 3 2 2" xfId="26331"/>
    <cellStyle name="40% - Accent5 4 2 3 2 2 3 2 3" xfId="26332"/>
    <cellStyle name="40% - Accent5 4 2 3 2 2 3 3" xfId="26333"/>
    <cellStyle name="40% - Accent5 4 2 3 2 2 3 3 2" xfId="26334"/>
    <cellStyle name="40% - Accent5 4 2 3 2 2 3 3 3" xfId="26335"/>
    <cellStyle name="40% - Accent5 4 2 3 2 2 3 4" xfId="26336"/>
    <cellStyle name="40% - Accent5 4 2 3 2 2 3 4 2" xfId="26337"/>
    <cellStyle name="40% - Accent5 4 2 3 2 2 3 5" xfId="26338"/>
    <cellStyle name="40% - Accent5 4 2 3 2 2 3 6" xfId="26339"/>
    <cellStyle name="40% - Accent5 4 2 3 2 2 4" xfId="26340"/>
    <cellStyle name="40% - Accent5 4 2 3 2 2 4 2" xfId="26341"/>
    <cellStyle name="40% - Accent5 4 2 3 2 2 4 2 2" xfId="26342"/>
    <cellStyle name="40% - Accent5 4 2 3 2 2 4 2 3" xfId="26343"/>
    <cellStyle name="40% - Accent5 4 2 3 2 2 4 3" xfId="26344"/>
    <cellStyle name="40% - Accent5 4 2 3 2 2 4 3 2" xfId="26345"/>
    <cellStyle name="40% - Accent5 4 2 3 2 2 4 4" xfId="26346"/>
    <cellStyle name="40% - Accent5 4 2 3 2 2 4 5" xfId="26347"/>
    <cellStyle name="40% - Accent5 4 2 3 2 2 5" xfId="26348"/>
    <cellStyle name="40% - Accent5 4 2 3 2 2 5 2" xfId="26349"/>
    <cellStyle name="40% - Accent5 4 2 3 2 2 5 3" xfId="26350"/>
    <cellStyle name="40% - Accent5 4 2 3 2 2 6" xfId="26351"/>
    <cellStyle name="40% - Accent5 4 2 3 2 2 6 2" xfId="26352"/>
    <cellStyle name="40% - Accent5 4 2 3 2 2 6 3" xfId="26353"/>
    <cellStyle name="40% - Accent5 4 2 3 2 2 7" xfId="26354"/>
    <cellStyle name="40% - Accent5 4 2 3 2 2 7 2" xfId="26355"/>
    <cellStyle name="40% - Accent5 4 2 3 2 2 8" xfId="26356"/>
    <cellStyle name="40% - Accent5 4 2 3 2 2 9" xfId="26357"/>
    <cellStyle name="40% - Accent5 4 2 3 2 3" xfId="26358"/>
    <cellStyle name="40% - Accent5 4 2 3 2 3 2" xfId="26359"/>
    <cellStyle name="40% - Accent5 4 2 3 2 3 2 2" xfId="26360"/>
    <cellStyle name="40% - Accent5 4 2 3 2 3 2 3" xfId="26361"/>
    <cellStyle name="40% - Accent5 4 2 3 2 3 3" xfId="26362"/>
    <cellStyle name="40% - Accent5 4 2 3 2 3 3 2" xfId="26363"/>
    <cellStyle name="40% - Accent5 4 2 3 2 3 3 3" xfId="26364"/>
    <cellStyle name="40% - Accent5 4 2 3 2 3 4" xfId="26365"/>
    <cellStyle name="40% - Accent5 4 2 3 2 3 4 2" xfId="26366"/>
    <cellStyle name="40% - Accent5 4 2 3 2 3 5" xfId="26367"/>
    <cellStyle name="40% - Accent5 4 2 3 2 3 6" xfId="26368"/>
    <cellStyle name="40% - Accent5 4 2 3 2 4" xfId="26369"/>
    <cellStyle name="40% - Accent5 4 2 3 2 4 2" xfId="26370"/>
    <cellStyle name="40% - Accent5 4 2 3 2 4 2 2" xfId="26371"/>
    <cellStyle name="40% - Accent5 4 2 3 2 4 2 3" xfId="26372"/>
    <cellStyle name="40% - Accent5 4 2 3 2 4 3" xfId="26373"/>
    <cellStyle name="40% - Accent5 4 2 3 2 4 3 2" xfId="26374"/>
    <cellStyle name="40% - Accent5 4 2 3 2 4 3 3" xfId="26375"/>
    <cellStyle name="40% - Accent5 4 2 3 2 4 4" xfId="26376"/>
    <cellStyle name="40% - Accent5 4 2 3 2 4 4 2" xfId="26377"/>
    <cellStyle name="40% - Accent5 4 2 3 2 4 5" xfId="26378"/>
    <cellStyle name="40% - Accent5 4 2 3 2 4 6" xfId="26379"/>
    <cellStyle name="40% - Accent5 4 2 3 2 5" xfId="26380"/>
    <cellStyle name="40% - Accent5 4 2 3 2 5 2" xfId="26381"/>
    <cellStyle name="40% - Accent5 4 2 3 2 5 2 2" xfId="26382"/>
    <cellStyle name="40% - Accent5 4 2 3 2 5 2 3" xfId="26383"/>
    <cellStyle name="40% - Accent5 4 2 3 2 5 3" xfId="26384"/>
    <cellStyle name="40% - Accent5 4 2 3 2 5 3 2" xfId="26385"/>
    <cellStyle name="40% - Accent5 4 2 3 2 5 4" xfId="26386"/>
    <cellStyle name="40% - Accent5 4 2 3 2 5 5" xfId="26387"/>
    <cellStyle name="40% - Accent5 4 2 3 2 6" xfId="26388"/>
    <cellStyle name="40% - Accent5 4 2 3 2 6 2" xfId="26389"/>
    <cellStyle name="40% - Accent5 4 2 3 2 6 3" xfId="26390"/>
    <cellStyle name="40% - Accent5 4 2 3 2 7" xfId="26391"/>
    <cellStyle name="40% - Accent5 4 2 3 2 7 2" xfId="26392"/>
    <cellStyle name="40% - Accent5 4 2 3 2 7 3" xfId="26393"/>
    <cellStyle name="40% - Accent5 4 2 3 2 8" xfId="26394"/>
    <cellStyle name="40% - Accent5 4 2 3 2 8 2" xfId="26395"/>
    <cellStyle name="40% - Accent5 4 2 3 2 9" xfId="26396"/>
    <cellStyle name="40% - Accent5 4 2 3 3" xfId="2443"/>
    <cellStyle name="40% - Accent5 4 2 3 3 2" xfId="26397"/>
    <cellStyle name="40% - Accent5 4 2 3 3 2 2" xfId="26398"/>
    <cellStyle name="40% - Accent5 4 2 3 3 2 2 2" xfId="26399"/>
    <cellStyle name="40% - Accent5 4 2 3 3 2 2 3" xfId="26400"/>
    <cellStyle name="40% - Accent5 4 2 3 3 2 3" xfId="26401"/>
    <cellStyle name="40% - Accent5 4 2 3 3 2 3 2" xfId="26402"/>
    <cellStyle name="40% - Accent5 4 2 3 3 2 3 3" xfId="26403"/>
    <cellStyle name="40% - Accent5 4 2 3 3 2 4" xfId="26404"/>
    <cellStyle name="40% - Accent5 4 2 3 3 2 4 2" xfId="26405"/>
    <cellStyle name="40% - Accent5 4 2 3 3 2 5" xfId="26406"/>
    <cellStyle name="40% - Accent5 4 2 3 3 2 6" xfId="26407"/>
    <cellStyle name="40% - Accent5 4 2 3 3 3" xfId="26408"/>
    <cellStyle name="40% - Accent5 4 2 3 3 3 2" xfId="26409"/>
    <cellStyle name="40% - Accent5 4 2 3 3 3 2 2" xfId="26410"/>
    <cellStyle name="40% - Accent5 4 2 3 3 3 2 3" xfId="26411"/>
    <cellStyle name="40% - Accent5 4 2 3 3 3 3" xfId="26412"/>
    <cellStyle name="40% - Accent5 4 2 3 3 3 3 2" xfId="26413"/>
    <cellStyle name="40% - Accent5 4 2 3 3 3 3 3" xfId="26414"/>
    <cellStyle name="40% - Accent5 4 2 3 3 3 4" xfId="26415"/>
    <cellStyle name="40% - Accent5 4 2 3 3 3 4 2" xfId="26416"/>
    <cellStyle name="40% - Accent5 4 2 3 3 3 5" xfId="26417"/>
    <cellStyle name="40% - Accent5 4 2 3 3 3 6" xfId="26418"/>
    <cellStyle name="40% - Accent5 4 2 3 3 4" xfId="26419"/>
    <cellStyle name="40% - Accent5 4 2 3 3 4 2" xfId="26420"/>
    <cellStyle name="40% - Accent5 4 2 3 3 4 2 2" xfId="26421"/>
    <cellStyle name="40% - Accent5 4 2 3 3 4 2 3" xfId="26422"/>
    <cellStyle name="40% - Accent5 4 2 3 3 4 3" xfId="26423"/>
    <cellStyle name="40% - Accent5 4 2 3 3 4 3 2" xfId="26424"/>
    <cellStyle name="40% - Accent5 4 2 3 3 4 4" xfId="26425"/>
    <cellStyle name="40% - Accent5 4 2 3 3 4 5" xfId="26426"/>
    <cellStyle name="40% - Accent5 4 2 3 3 5" xfId="26427"/>
    <cellStyle name="40% - Accent5 4 2 3 3 5 2" xfId="26428"/>
    <cellStyle name="40% - Accent5 4 2 3 3 5 3" xfId="26429"/>
    <cellStyle name="40% - Accent5 4 2 3 3 6" xfId="26430"/>
    <cellStyle name="40% - Accent5 4 2 3 3 6 2" xfId="26431"/>
    <cellStyle name="40% - Accent5 4 2 3 3 6 3" xfId="26432"/>
    <cellStyle name="40% - Accent5 4 2 3 3 7" xfId="26433"/>
    <cellStyle name="40% - Accent5 4 2 3 3 7 2" xfId="26434"/>
    <cellStyle name="40% - Accent5 4 2 3 3 8" xfId="26435"/>
    <cellStyle name="40% - Accent5 4 2 3 3 9" xfId="26436"/>
    <cellStyle name="40% - Accent5 4 2 3 4" xfId="26437"/>
    <cellStyle name="40% - Accent5 4 2 3 4 2" xfId="26438"/>
    <cellStyle name="40% - Accent5 4 2 3 4 2 2" xfId="26439"/>
    <cellStyle name="40% - Accent5 4 2 3 4 2 2 2" xfId="26440"/>
    <cellStyle name="40% - Accent5 4 2 3 4 2 2 3" xfId="26441"/>
    <cellStyle name="40% - Accent5 4 2 3 4 2 3" xfId="26442"/>
    <cellStyle name="40% - Accent5 4 2 3 4 2 3 2" xfId="26443"/>
    <cellStyle name="40% - Accent5 4 2 3 4 2 3 3" xfId="26444"/>
    <cellStyle name="40% - Accent5 4 2 3 4 2 4" xfId="26445"/>
    <cellStyle name="40% - Accent5 4 2 3 4 2 4 2" xfId="26446"/>
    <cellStyle name="40% - Accent5 4 2 3 4 2 5" xfId="26447"/>
    <cellStyle name="40% - Accent5 4 2 3 4 2 6" xfId="26448"/>
    <cellStyle name="40% - Accent5 4 2 3 4 3" xfId="26449"/>
    <cellStyle name="40% - Accent5 4 2 3 4 3 2" xfId="26450"/>
    <cellStyle name="40% - Accent5 4 2 3 4 3 2 2" xfId="26451"/>
    <cellStyle name="40% - Accent5 4 2 3 4 3 2 3" xfId="26452"/>
    <cellStyle name="40% - Accent5 4 2 3 4 3 3" xfId="26453"/>
    <cellStyle name="40% - Accent5 4 2 3 4 3 3 2" xfId="26454"/>
    <cellStyle name="40% - Accent5 4 2 3 4 3 3 3" xfId="26455"/>
    <cellStyle name="40% - Accent5 4 2 3 4 3 4" xfId="26456"/>
    <cellStyle name="40% - Accent5 4 2 3 4 3 4 2" xfId="26457"/>
    <cellStyle name="40% - Accent5 4 2 3 4 3 5" xfId="26458"/>
    <cellStyle name="40% - Accent5 4 2 3 4 3 6" xfId="26459"/>
    <cellStyle name="40% - Accent5 4 2 3 4 4" xfId="26460"/>
    <cellStyle name="40% - Accent5 4 2 3 4 4 2" xfId="26461"/>
    <cellStyle name="40% - Accent5 4 2 3 4 4 2 2" xfId="26462"/>
    <cellStyle name="40% - Accent5 4 2 3 4 4 2 3" xfId="26463"/>
    <cellStyle name="40% - Accent5 4 2 3 4 4 3" xfId="26464"/>
    <cellStyle name="40% - Accent5 4 2 3 4 4 3 2" xfId="26465"/>
    <cellStyle name="40% - Accent5 4 2 3 4 4 4" xfId="26466"/>
    <cellStyle name="40% - Accent5 4 2 3 4 4 5" xfId="26467"/>
    <cellStyle name="40% - Accent5 4 2 3 4 5" xfId="26468"/>
    <cellStyle name="40% - Accent5 4 2 3 4 5 2" xfId="26469"/>
    <cellStyle name="40% - Accent5 4 2 3 4 5 3" xfId="26470"/>
    <cellStyle name="40% - Accent5 4 2 3 4 6" xfId="26471"/>
    <cellStyle name="40% - Accent5 4 2 3 4 6 2" xfId="26472"/>
    <cellStyle name="40% - Accent5 4 2 3 4 6 3" xfId="26473"/>
    <cellStyle name="40% - Accent5 4 2 3 4 7" xfId="26474"/>
    <cellStyle name="40% - Accent5 4 2 3 4 7 2" xfId="26475"/>
    <cellStyle name="40% - Accent5 4 2 3 4 8" xfId="26476"/>
    <cellStyle name="40% - Accent5 4 2 3 4 9" xfId="26477"/>
    <cellStyle name="40% - Accent5 4 2 3 5" xfId="26478"/>
    <cellStyle name="40% - Accent5 4 2 3 5 2" xfId="26479"/>
    <cellStyle name="40% - Accent5 4 2 3 5 2 2" xfId="26480"/>
    <cellStyle name="40% - Accent5 4 2 3 5 2 3" xfId="26481"/>
    <cellStyle name="40% - Accent5 4 2 3 5 3" xfId="26482"/>
    <cellStyle name="40% - Accent5 4 2 3 5 3 2" xfId="26483"/>
    <cellStyle name="40% - Accent5 4 2 3 5 3 3" xfId="26484"/>
    <cellStyle name="40% - Accent5 4 2 3 5 4" xfId="26485"/>
    <cellStyle name="40% - Accent5 4 2 3 5 4 2" xfId="26486"/>
    <cellStyle name="40% - Accent5 4 2 3 5 5" xfId="26487"/>
    <cellStyle name="40% - Accent5 4 2 3 5 6" xfId="26488"/>
    <cellStyle name="40% - Accent5 4 2 3 6" xfId="26489"/>
    <cellStyle name="40% - Accent5 4 2 3 6 2" xfId="26490"/>
    <cellStyle name="40% - Accent5 4 2 3 6 2 2" xfId="26491"/>
    <cellStyle name="40% - Accent5 4 2 3 6 2 3" xfId="26492"/>
    <cellStyle name="40% - Accent5 4 2 3 6 3" xfId="26493"/>
    <cellStyle name="40% - Accent5 4 2 3 6 3 2" xfId="26494"/>
    <cellStyle name="40% - Accent5 4 2 3 6 3 3" xfId="26495"/>
    <cellStyle name="40% - Accent5 4 2 3 6 4" xfId="26496"/>
    <cellStyle name="40% - Accent5 4 2 3 6 4 2" xfId="26497"/>
    <cellStyle name="40% - Accent5 4 2 3 6 5" xfId="26498"/>
    <cellStyle name="40% - Accent5 4 2 3 6 6" xfId="26499"/>
    <cellStyle name="40% - Accent5 4 2 3 7" xfId="26500"/>
    <cellStyle name="40% - Accent5 4 2 3 7 2" xfId="26501"/>
    <cellStyle name="40% - Accent5 4 2 3 7 2 2" xfId="26502"/>
    <cellStyle name="40% - Accent5 4 2 3 7 2 3" xfId="26503"/>
    <cellStyle name="40% - Accent5 4 2 3 7 3" xfId="26504"/>
    <cellStyle name="40% - Accent5 4 2 3 7 3 2" xfId="26505"/>
    <cellStyle name="40% - Accent5 4 2 3 7 4" xfId="26506"/>
    <cellStyle name="40% - Accent5 4 2 3 7 5" xfId="26507"/>
    <cellStyle name="40% - Accent5 4 2 3 8" xfId="26508"/>
    <cellStyle name="40% - Accent5 4 2 3 8 2" xfId="26509"/>
    <cellStyle name="40% - Accent5 4 2 3 8 3" xfId="26510"/>
    <cellStyle name="40% - Accent5 4 2 3 9" xfId="26511"/>
    <cellStyle name="40% - Accent5 4 2 3 9 2" xfId="26512"/>
    <cellStyle name="40% - Accent5 4 2 3 9 3" xfId="26513"/>
    <cellStyle name="40% - Accent5 4 2 4" xfId="2444"/>
    <cellStyle name="40% - Accent5 4 2 4 10" xfId="26514"/>
    <cellStyle name="40% - Accent5 4 2 4 2" xfId="2445"/>
    <cellStyle name="40% - Accent5 4 2 4 2 2" xfId="26515"/>
    <cellStyle name="40% - Accent5 4 2 4 2 2 2" xfId="26516"/>
    <cellStyle name="40% - Accent5 4 2 4 2 2 2 2" xfId="26517"/>
    <cellStyle name="40% - Accent5 4 2 4 2 2 2 3" xfId="26518"/>
    <cellStyle name="40% - Accent5 4 2 4 2 2 3" xfId="26519"/>
    <cellStyle name="40% - Accent5 4 2 4 2 2 3 2" xfId="26520"/>
    <cellStyle name="40% - Accent5 4 2 4 2 2 3 3" xfId="26521"/>
    <cellStyle name="40% - Accent5 4 2 4 2 2 4" xfId="26522"/>
    <cellStyle name="40% - Accent5 4 2 4 2 2 4 2" xfId="26523"/>
    <cellStyle name="40% - Accent5 4 2 4 2 2 5" xfId="26524"/>
    <cellStyle name="40% - Accent5 4 2 4 2 2 6" xfId="26525"/>
    <cellStyle name="40% - Accent5 4 2 4 2 3" xfId="26526"/>
    <cellStyle name="40% - Accent5 4 2 4 2 3 2" xfId="26527"/>
    <cellStyle name="40% - Accent5 4 2 4 2 3 2 2" xfId="26528"/>
    <cellStyle name="40% - Accent5 4 2 4 2 3 2 3" xfId="26529"/>
    <cellStyle name="40% - Accent5 4 2 4 2 3 3" xfId="26530"/>
    <cellStyle name="40% - Accent5 4 2 4 2 3 3 2" xfId="26531"/>
    <cellStyle name="40% - Accent5 4 2 4 2 3 3 3" xfId="26532"/>
    <cellStyle name="40% - Accent5 4 2 4 2 3 4" xfId="26533"/>
    <cellStyle name="40% - Accent5 4 2 4 2 3 4 2" xfId="26534"/>
    <cellStyle name="40% - Accent5 4 2 4 2 3 5" xfId="26535"/>
    <cellStyle name="40% - Accent5 4 2 4 2 3 6" xfId="26536"/>
    <cellStyle name="40% - Accent5 4 2 4 2 4" xfId="26537"/>
    <cellStyle name="40% - Accent5 4 2 4 2 4 2" xfId="26538"/>
    <cellStyle name="40% - Accent5 4 2 4 2 4 2 2" xfId="26539"/>
    <cellStyle name="40% - Accent5 4 2 4 2 4 2 3" xfId="26540"/>
    <cellStyle name="40% - Accent5 4 2 4 2 4 3" xfId="26541"/>
    <cellStyle name="40% - Accent5 4 2 4 2 4 3 2" xfId="26542"/>
    <cellStyle name="40% - Accent5 4 2 4 2 4 4" xfId="26543"/>
    <cellStyle name="40% - Accent5 4 2 4 2 4 5" xfId="26544"/>
    <cellStyle name="40% - Accent5 4 2 4 2 5" xfId="26545"/>
    <cellStyle name="40% - Accent5 4 2 4 2 5 2" xfId="26546"/>
    <cellStyle name="40% - Accent5 4 2 4 2 5 3" xfId="26547"/>
    <cellStyle name="40% - Accent5 4 2 4 2 6" xfId="26548"/>
    <cellStyle name="40% - Accent5 4 2 4 2 6 2" xfId="26549"/>
    <cellStyle name="40% - Accent5 4 2 4 2 6 3" xfId="26550"/>
    <cellStyle name="40% - Accent5 4 2 4 2 7" xfId="26551"/>
    <cellStyle name="40% - Accent5 4 2 4 2 7 2" xfId="26552"/>
    <cellStyle name="40% - Accent5 4 2 4 2 8" xfId="26553"/>
    <cellStyle name="40% - Accent5 4 2 4 2 9" xfId="26554"/>
    <cellStyle name="40% - Accent5 4 2 4 3" xfId="26555"/>
    <cellStyle name="40% - Accent5 4 2 4 3 2" xfId="26556"/>
    <cellStyle name="40% - Accent5 4 2 4 3 2 2" xfId="26557"/>
    <cellStyle name="40% - Accent5 4 2 4 3 2 3" xfId="26558"/>
    <cellStyle name="40% - Accent5 4 2 4 3 3" xfId="26559"/>
    <cellStyle name="40% - Accent5 4 2 4 3 3 2" xfId="26560"/>
    <cellStyle name="40% - Accent5 4 2 4 3 3 3" xfId="26561"/>
    <cellStyle name="40% - Accent5 4 2 4 3 4" xfId="26562"/>
    <cellStyle name="40% - Accent5 4 2 4 3 4 2" xfId="26563"/>
    <cellStyle name="40% - Accent5 4 2 4 3 5" xfId="26564"/>
    <cellStyle name="40% - Accent5 4 2 4 3 6" xfId="26565"/>
    <cellStyle name="40% - Accent5 4 2 4 4" xfId="26566"/>
    <cellStyle name="40% - Accent5 4 2 4 4 2" xfId="26567"/>
    <cellStyle name="40% - Accent5 4 2 4 4 2 2" xfId="26568"/>
    <cellStyle name="40% - Accent5 4 2 4 4 2 3" xfId="26569"/>
    <cellStyle name="40% - Accent5 4 2 4 4 3" xfId="26570"/>
    <cellStyle name="40% - Accent5 4 2 4 4 3 2" xfId="26571"/>
    <cellStyle name="40% - Accent5 4 2 4 4 3 3" xfId="26572"/>
    <cellStyle name="40% - Accent5 4 2 4 4 4" xfId="26573"/>
    <cellStyle name="40% - Accent5 4 2 4 4 4 2" xfId="26574"/>
    <cellStyle name="40% - Accent5 4 2 4 4 5" xfId="26575"/>
    <cellStyle name="40% - Accent5 4 2 4 4 6" xfId="26576"/>
    <cellStyle name="40% - Accent5 4 2 4 5" xfId="26577"/>
    <cellStyle name="40% - Accent5 4 2 4 5 2" xfId="26578"/>
    <cellStyle name="40% - Accent5 4 2 4 5 2 2" xfId="26579"/>
    <cellStyle name="40% - Accent5 4 2 4 5 2 3" xfId="26580"/>
    <cellStyle name="40% - Accent5 4 2 4 5 3" xfId="26581"/>
    <cellStyle name="40% - Accent5 4 2 4 5 3 2" xfId="26582"/>
    <cellStyle name="40% - Accent5 4 2 4 5 4" xfId="26583"/>
    <cellStyle name="40% - Accent5 4 2 4 5 5" xfId="26584"/>
    <cellStyle name="40% - Accent5 4 2 4 6" xfId="26585"/>
    <cellStyle name="40% - Accent5 4 2 4 6 2" xfId="26586"/>
    <cellStyle name="40% - Accent5 4 2 4 6 3" xfId="26587"/>
    <cellStyle name="40% - Accent5 4 2 4 7" xfId="26588"/>
    <cellStyle name="40% - Accent5 4 2 4 7 2" xfId="26589"/>
    <cellStyle name="40% - Accent5 4 2 4 7 3" xfId="26590"/>
    <cellStyle name="40% - Accent5 4 2 4 8" xfId="26591"/>
    <cellStyle name="40% - Accent5 4 2 4 8 2" xfId="26592"/>
    <cellStyle name="40% - Accent5 4 2 4 9" xfId="26593"/>
    <cellStyle name="40% - Accent5 4 2 5" xfId="2446"/>
    <cellStyle name="40% - Accent5 4 2 5 2" xfId="26594"/>
    <cellStyle name="40% - Accent5 4 2 5 2 2" xfId="26595"/>
    <cellStyle name="40% - Accent5 4 2 5 2 2 2" xfId="26596"/>
    <cellStyle name="40% - Accent5 4 2 5 2 2 3" xfId="26597"/>
    <cellStyle name="40% - Accent5 4 2 5 2 3" xfId="26598"/>
    <cellStyle name="40% - Accent5 4 2 5 2 3 2" xfId="26599"/>
    <cellStyle name="40% - Accent5 4 2 5 2 3 3" xfId="26600"/>
    <cellStyle name="40% - Accent5 4 2 5 2 4" xfId="26601"/>
    <cellStyle name="40% - Accent5 4 2 5 2 4 2" xfId="26602"/>
    <cellStyle name="40% - Accent5 4 2 5 2 5" xfId="26603"/>
    <cellStyle name="40% - Accent5 4 2 5 2 6" xfId="26604"/>
    <cellStyle name="40% - Accent5 4 2 5 3" xfId="26605"/>
    <cellStyle name="40% - Accent5 4 2 5 3 2" xfId="26606"/>
    <cellStyle name="40% - Accent5 4 2 5 3 2 2" xfId="26607"/>
    <cellStyle name="40% - Accent5 4 2 5 3 2 3" xfId="26608"/>
    <cellStyle name="40% - Accent5 4 2 5 3 3" xfId="26609"/>
    <cellStyle name="40% - Accent5 4 2 5 3 3 2" xfId="26610"/>
    <cellStyle name="40% - Accent5 4 2 5 3 3 3" xfId="26611"/>
    <cellStyle name="40% - Accent5 4 2 5 3 4" xfId="26612"/>
    <cellStyle name="40% - Accent5 4 2 5 3 4 2" xfId="26613"/>
    <cellStyle name="40% - Accent5 4 2 5 3 5" xfId="26614"/>
    <cellStyle name="40% - Accent5 4 2 5 3 6" xfId="26615"/>
    <cellStyle name="40% - Accent5 4 2 5 4" xfId="26616"/>
    <cellStyle name="40% - Accent5 4 2 5 4 2" xfId="26617"/>
    <cellStyle name="40% - Accent5 4 2 5 4 2 2" xfId="26618"/>
    <cellStyle name="40% - Accent5 4 2 5 4 2 3" xfId="26619"/>
    <cellStyle name="40% - Accent5 4 2 5 4 3" xfId="26620"/>
    <cellStyle name="40% - Accent5 4 2 5 4 3 2" xfId="26621"/>
    <cellStyle name="40% - Accent5 4 2 5 4 4" xfId="26622"/>
    <cellStyle name="40% - Accent5 4 2 5 4 5" xfId="26623"/>
    <cellStyle name="40% - Accent5 4 2 5 5" xfId="26624"/>
    <cellStyle name="40% - Accent5 4 2 5 5 2" xfId="26625"/>
    <cellStyle name="40% - Accent5 4 2 5 5 3" xfId="26626"/>
    <cellStyle name="40% - Accent5 4 2 5 6" xfId="26627"/>
    <cellStyle name="40% - Accent5 4 2 5 6 2" xfId="26628"/>
    <cellStyle name="40% - Accent5 4 2 5 6 3" xfId="26629"/>
    <cellStyle name="40% - Accent5 4 2 5 7" xfId="26630"/>
    <cellStyle name="40% - Accent5 4 2 5 7 2" xfId="26631"/>
    <cellStyle name="40% - Accent5 4 2 5 8" xfId="26632"/>
    <cellStyle name="40% - Accent5 4 2 5 9" xfId="26633"/>
    <cellStyle name="40% - Accent5 4 2 6" xfId="26634"/>
    <cellStyle name="40% - Accent5 4 2 6 2" xfId="26635"/>
    <cellStyle name="40% - Accent5 4 2 6 2 2" xfId="26636"/>
    <cellStyle name="40% - Accent5 4 2 6 2 2 2" xfId="26637"/>
    <cellStyle name="40% - Accent5 4 2 6 2 2 3" xfId="26638"/>
    <cellStyle name="40% - Accent5 4 2 6 2 3" xfId="26639"/>
    <cellStyle name="40% - Accent5 4 2 6 2 3 2" xfId="26640"/>
    <cellStyle name="40% - Accent5 4 2 6 2 3 3" xfId="26641"/>
    <cellStyle name="40% - Accent5 4 2 6 2 4" xfId="26642"/>
    <cellStyle name="40% - Accent5 4 2 6 2 4 2" xfId="26643"/>
    <cellStyle name="40% - Accent5 4 2 6 2 5" xfId="26644"/>
    <cellStyle name="40% - Accent5 4 2 6 2 6" xfId="26645"/>
    <cellStyle name="40% - Accent5 4 2 6 3" xfId="26646"/>
    <cellStyle name="40% - Accent5 4 2 6 3 2" xfId="26647"/>
    <cellStyle name="40% - Accent5 4 2 6 3 2 2" xfId="26648"/>
    <cellStyle name="40% - Accent5 4 2 6 3 2 3" xfId="26649"/>
    <cellStyle name="40% - Accent5 4 2 6 3 3" xfId="26650"/>
    <cellStyle name="40% - Accent5 4 2 6 3 3 2" xfId="26651"/>
    <cellStyle name="40% - Accent5 4 2 6 3 3 3" xfId="26652"/>
    <cellStyle name="40% - Accent5 4 2 6 3 4" xfId="26653"/>
    <cellStyle name="40% - Accent5 4 2 6 3 4 2" xfId="26654"/>
    <cellStyle name="40% - Accent5 4 2 6 3 5" xfId="26655"/>
    <cellStyle name="40% - Accent5 4 2 6 3 6" xfId="26656"/>
    <cellStyle name="40% - Accent5 4 2 6 4" xfId="26657"/>
    <cellStyle name="40% - Accent5 4 2 6 4 2" xfId="26658"/>
    <cellStyle name="40% - Accent5 4 2 6 4 2 2" xfId="26659"/>
    <cellStyle name="40% - Accent5 4 2 6 4 2 3" xfId="26660"/>
    <cellStyle name="40% - Accent5 4 2 6 4 3" xfId="26661"/>
    <cellStyle name="40% - Accent5 4 2 6 4 3 2" xfId="26662"/>
    <cellStyle name="40% - Accent5 4 2 6 4 4" xfId="26663"/>
    <cellStyle name="40% - Accent5 4 2 6 4 5" xfId="26664"/>
    <cellStyle name="40% - Accent5 4 2 6 5" xfId="26665"/>
    <cellStyle name="40% - Accent5 4 2 6 5 2" xfId="26666"/>
    <cellStyle name="40% - Accent5 4 2 6 5 3" xfId="26667"/>
    <cellStyle name="40% - Accent5 4 2 6 6" xfId="26668"/>
    <cellStyle name="40% - Accent5 4 2 6 6 2" xfId="26669"/>
    <cellStyle name="40% - Accent5 4 2 6 6 3" xfId="26670"/>
    <cellStyle name="40% - Accent5 4 2 6 7" xfId="26671"/>
    <cellStyle name="40% - Accent5 4 2 6 7 2" xfId="26672"/>
    <cellStyle name="40% - Accent5 4 2 6 8" xfId="26673"/>
    <cellStyle name="40% - Accent5 4 2 6 9" xfId="26674"/>
    <cellStyle name="40% - Accent5 4 2 7" xfId="26675"/>
    <cellStyle name="40% - Accent5 4 2 7 2" xfId="26676"/>
    <cellStyle name="40% - Accent5 4 2 7 2 2" xfId="26677"/>
    <cellStyle name="40% - Accent5 4 2 7 2 3" xfId="26678"/>
    <cellStyle name="40% - Accent5 4 2 7 3" xfId="26679"/>
    <cellStyle name="40% - Accent5 4 2 7 3 2" xfId="26680"/>
    <cellStyle name="40% - Accent5 4 2 7 3 3" xfId="26681"/>
    <cellStyle name="40% - Accent5 4 2 7 4" xfId="26682"/>
    <cellStyle name="40% - Accent5 4 2 7 4 2" xfId="26683"/>
    <cellStyle name="40% - Accent5 4 2 7 5" xfId="26684"/>
    <cellStyle name="40% - Accent5 4 2 7 6" xfId="26685"/>
    <cellStyle name="40% - Accent5 4 2 8" xfId="26686"/>
    <cellStyle name="40% - Accent5 4 2 8 2" xfId="26687"/>
    <cellStyle name="40% - Accent5 4 2 8 2 2" xfId="26688"/>
    <cellStyle name="40% - Accent5 4 2 8 2 3" xfId="26689"/>
    <cellStyle name="40% - Accent5 4 2 8 3" xfId="26690"/>
    <cellStyle name="40% - Accent5 4 2 8 3 2" xfId="26691"/>
    <cellStyle name="40% - Accent5 4 2 8 3 3" xfId="26692"/>
    <cellStyle name="40% - Accent5 4 2 8 4" xfId="26693"/>
    <cellStyle name="40% - Accent5 4 2 8 4 2" xfId="26694"/>
    <cellStyle name="40% - Accent5 4 2 8 5" xfId="26695"/>
    <cellStyle name="40% - Accent5 4 2 8 6" xfId="26696"/>
    <cellStyle name="40% - Accent5 4 2 9" xfId="26697"/>
    <cellStyle name="40% - Accent5 4 2 9 2" xfId="26698"/>
    <cellStyle name="40% - Accent5 4 2 9 2 2" xfId="26699"/>
    <cellStyle name="40% - Accent5 4 2 9 2 3" xfId="26700"/>
    <cellStyle name="40% - Accent5 4 2 9 3" xfId="26701"/>
    <cellStyle name="40% - Accent5 4 2 9 3 2" xfId="26702"/>
    <cellStyle name="40% - Accent5 4 2 9 4" xfId="26703"/>
    <cellStyle name="40% - Accent5 4 2 9 5" xfId="26704"/>
    <cellStyle name="40% - Accent5 4 3" xfId="2447"/>
    <cellStyle name="40% - Accent5 4 3 10" xfId="26705"/>
    <cellStyle name="40% - Accent5 4 3 10 2" xfId="26706"/>
    <cellStyle name="40% - Accent5 4 3 10 3" xfId="26707"/>
    <cellStyle name="40% - Accent5 4 3 11" xfId="26708"/>
    <cellStyle name="40% - Accent5 4 3 11 2" xfId="26709"/>
    <cellStyle name="40% - Accent5 4 3 12" xfId="26710"/>
    <cellStyle name="40% - Accent5 4 3 13" xfId="26711"/>
    <cellStyle name="40% - Accent5 4 3 14" xfId="26712"/>
    <cellStyle name="40% - Accent5 4 3 2" xfId="2448"/>
    <cellStyle name="40% - Accent5 4 3 2 10" xfId="26713"/>
    <cellStyle name="40% - Accent5 4 3 2 10 2" xfId="26714"/>
    <cellStyle name="40% - Accent5 4 3 2 11" xfId="26715"/>
    <cellStyle name="40% - Accent5 4 3 2 12" xfId="26716"/>
    <cellStyle name="40% - Accent5 4 3 2 2" xfId="2449"/>
    <cellStyle name="40% - Accent5 4 3 2 2 10" xfId="26717"/>
    <cellStyle name="40% - Accent5 4 3 2 2 2" xfId="2450"/>
    <cellStyle name="40% - Accent5 4 3 2 2 2 2" xfId="26718"/>
    <cellStyle name="40% - Accent5 4 3 2 2 2 2 2" xfId="26719"/>
    <cellStyle name="40% - Accent5 4 3 2 2 2 2 2 2" xfId="26720"/>
    <cellStyle name="40% - Accent5 4 3 2 2 2 2 2 3" xfId="26721"/>
    <cellStyle name="40% - Accent5 4 3 2 2 2 2 3" xfId="26722"/>
    <cellStyle name="40% - Accent5 4 3 2 2 2 2 3 2" xfId="26723"/>
    <cellStyle name="40% - Accent5 4 3 2 2 2 2 3 3" xfId="26724"/>
    <cellStyle name="40% - Accent5 4 3 2 2 2 2 4" xfId="26725"/>
    <cellStyle name="40% - Accent5 4 3 2 2 2 2 4 2" xfId="26726"/>
    <cellStyle name="40% - Accent5 4 3 2 2 2 2 5" xfId="26727"/>
    <cellStyle name="40% - Accent5 4 3 2 2 2 2 6" xfId="26728"/>
    <cellStyle name="40% - Accent5 4 3 2 2 2 3" xfId="26729"/>
    <cellStyle name="40% - Accent5 4 3 2 2 2 3 2" xfId="26730"/>
    <cellStyle name="40% - Accent5 4 3 2 2 2 3 2 2" xfId="26731"/>
    <cellStyle name="40% - Accent5 4 3 2 2 2 3 2 3" xfId="26732"/>
    <cellStyle name="40% - Accent5 4 3 2 2 2 3 3" xfId="26733"/>
    <cellStyle name="40% - Accent5 4 3 2 2 2 3 3 2" xfId="26734"/>
    <cellStyle name="40% - Accent5 4 3 2 2 2 3 3 3" xfId="26735"/>
    <cellStyle name="40% - Accent5 4 3 2 2 2 3 4" xfId="26736"/>
    <cellStyle name="40% - Accent5 4 3 2 2 2 3 4 2" xfId="26737"/>
    <cellStyle name="40% - Accent5 4 3 2 2 2 3 5" xfId="26738"/>
    <cellStyle name="40% - Accent5 4 3 2 2 2 3 6" xfId="26739"/>
    <cellStyle name="40% - Accent5 4 3 2 2 2 4" xfId="26740"/>
    <cellStyle name="40% - Accent5 4 3 2 2 2 4 2" xfId="26741"/>
    <cellStyle name="40% - Accent5 4 3 2 2 2 4 2 2" xfId="26742"/>
    <cellStyle name="40% - Accent5 4 3 2 2 2 4 2 3" xfId="26743"/>
    <cellStyle name="40% - Accent5 4 3 2 2 2 4 3" xfId="26744"/>
    <cellStyle name="40% - Accent5 4 3 2 2 2 4 3 2" xfId="26745"/>
    <cellStyle name="40% - Accent5 4 3 2 2 2 4 4" xfId="26746"/>
    <cellStyle name="40% - Accent5 4 3 2 2 2 4 5" xfId="26747"/>
    <cellStyle name="40% - Accent5 4 3 2 2 2 5" xfId="26748"/>
    <cellStyle name="40% - Accent5 4 3 2 2 2 5 2" xfId="26749"/>
    <cellStyle name="40% - Accent5 4 3 2 2 2 5 3" xfId="26750"/>
    <cellStyle name="40% - Accent5 4 3 2 2 2 6" xfId="26751"/>
    <cellStyle name="40% - Accent5 4 3 2 2 2 6 2" xfId="26752"/>
    <cellStyle name="40% - Accent5 4 3 2 2 2 6 3" xfId="26753"/>
    <cellStyle name="40% - Accent5 4 3 2 2 2 7" xfId="26754"/>
    <cellStyle name="40% - Accent5 4 3 2 2 2 7 2" xfId="26755"/>
    <cellStyle name="40% - Accent5 4 3 2 2 2 8" xfId="26756"/>
    <cellStyle name="40% - Accent5 4 3 2 2 2 9" xfId="26757"/>
    <cellStyle name="40% - Accent5 4 3 2 2 3" xfId="26758"/>
    <cellStyle name="40% - Accent5 4 3 2 2 3 2" xfId="26759"/>
    <cellStyle name="40% - Accent5 4 3 2 2 3 2 2" xfId="26760"/>
    <cellStyle name="40% - Accent5 4 3 2 2 3 2 3" xfId="26761"/>
    <cellStyle name="40% - Accent5 4 3 2 2 3 3" xfId="26762"/>
    <cellStyle name="40% - Accent5 4 3 2 2 3 3 2" xfId="26763"/>
    <cellStyle name="40% - Accent5 4 3 2 2 3 3 3" xfId="26764"/>
    <cellStyle name="40% - Accent5 4 3 2 2 3 4" xfId="26765"/>
    <cellStyle name="40% - Accent5 4 3 2 2 3 4 2" xfId="26766"/>
    <cellStyle name="40% - Accent5 4 3 2 2 3 5" xfId="26767"/>
    <cellStyle name="40% - Accent5 4 3 2 2 3 6" xfId="26768"/>
    <cellStyle name="40% - Accent5 4 3 2 2 4" xfId="26769"/>
    <cellStyle name="40% - Accent5 4 3 2 2 4 2" xfId="26770"/>
    <cellStyle name="40% - Accent5 4 3 2 2 4 2 2" xfId="26771"/>
    <cellStyle name="40% - Accent5 4 3 2 2 4 2 3" xfId="26772"/>
    <cellStyle name="40% - Accent5 4 3 2 2 4 3" xfId="26773"/>
    <cellStyle name="40% - Accent5 4 3 2 2 4 3 2" xfId="26774"/>
    <cellStyle name="40% - Accent5 4 3 2 2 4 3 3" xfId="26775"/>
    <cellStyle name="40% - Accent5 4 3 2 2 4 4" xfId="26776"/>
    <cellStyle name="40% - Accent5 4 3 2 2 4 4 2" xfId="26777"/>
    <cellStyle name="40% - Accent5 4 3 2 2 4 5" xfId="26778"/>
    <cellStyle name="40% - Accent5 4 3 2 2 4 6" xfId="26779"/>
    <cellStyle name="40% - Accent5 4 3 2 2 5" xfId="26780"/>
    <cellStyle name="40% - Accent5 4 3 2 2 5 2" xfId="26781"/>
    <cellStyle name="40% - Accent5 4 3 2 2 5 2 2" xfId="26782"/>
    <cellStyle name="40% - Accent5 4 3 2 2 5 2 3" xfId="26783"/>
    <cellStyle name="40% - Accent5 4 3 2 2 5 3" xfId="26784"/>
    <cellStyle name="40% - Accent5 4 3 2 2 5 3 2" xfId="26785"/>
    <cellStyle name="40% - Accent5 4 3 2 2 5 4" xfId="26786"/>
    <cellStyle name="40% - Accent5 4 3 2 2 5 5" xfId="26787"/>
    <cellStyle name="40% - Accent5 4 3 2 2 6" xfId="26788"/>
    <cellStyle name="40% - Accent5 4 3 2 2 6 2" xfId="26789"/>
    <cellStyle name="40% - Accent5 4 3 2 2 6 3" xfId="26790"/>
    <cellStyle name="40% - Accent5 4 3 2 2 7" xfId="26791"/>
    <cellStyle name="40% - Accent5 4 3 2 2 7 2" xfId="26792"/>
    <cellStyle name="40% - Accent5 4 3 2 2 7 3" xfId="26793"/>
    <cellStyle name="40% - Accent5 4 3 2 2 8" xfId="26794"/>
    <cellStyle name="40% - Accent5 4 3 2 2 8 2" xfId="26795"/>
    <cellStyle name="40% - Accent5 4 3 2 2 9" xfId="26796"/>
    <cellStyle name="40% - Accent5 4 3 2 3" xfId="2451"/>
    <cellStyle name="40% - Accent5 4 3 2 3 2" xfId="26797"/>
    <cellStyle name="40% - Accent5 4 3 2 3 2 2" xfId="26798"/>
    <cellStyle name="40% - Accent5 4 3 2 3 2 2 2" xfId="26799"/>
    <cellStyle name="40% - Accent5 4 3 2 3 2 2 3" xfId="26800"/>
    <cellStyle name="40% - Accent5 4 3 2 3 2 3" xfId="26801"/>
    <cellStyle name="40% - Accent5 4 3 2 3 2 3 2" xfId="26802"/>
    <cellStyle name="40% - Accent5 4 3 2 3 2 3 3" xfId="26803"/>
    <cellStyle name="40% - Accent5 4 3 2 3 2 4" xfId="26804"/>
    <cellStyle name="40% - Accent5 4 3 2 3 2 4 2" xfId="26805"/>
    <cellStyle name="40% - Accent5 4 3 2 3 2 5" xfId="26806"/>
    <cellStyle name="40% - Accent5 4 3 2 3 2 6" xfId="26807"/>
    <cellStyle name="40% - Accent5 4 3 2 3 3" xfId="26808"/>
    <cellStyle name="40% - Accent5 4 3 2 3 3 2" xfId="26809"/>
    <cellStyle name="40% - Accent5 4 3 2 3 3 2 2" xfId="26810"/>
    <cellStyle name="40% - Accent5 4 3 2 3 3 2 3" xfId="26811"/>
    <cellStyle name="40% - Accent5 4 3 2 3 3 3" xfId="26812"/>
    <cellStyle name="40% - Accent5 4 3 2 3 3 3 2" xfId="26813"/>
    <cellStyle name="40% - Accent5 4 3 2 3 3 3 3" xfId="26814"/>
    <cellStyle name="40% - Accent5 4 3 2 3 3 4" xfId="26815"/>
    <cellStyle name="40% - Accent5 4 3 2 3 3 4 2" xfId="26816"/>
    <cellStyle name="40% - Accent5 4 3 2 3 3 5" xfId="26817"/>
    <cellStyle name="40% - Accent5 4 3 2 3 3 6" xfId="26818"/>
    <cellStyle name="40% - Accent5 4 3 2 3 4" xfId="26819"/>
    <cellStyle name="40% - Accent5 4 3 2 3 4 2" xfId="26820"/>
    <cellStyle name="40% - Accent5 4 3 2 3 4 2 2" xfId="26821"/>
    <cellStyle name="40% - Accent5 4 3 2 3 4 2 3" xfId="26822"/>
    <cellStyle name="40% - Accent5 4 3 2 3 4 3" xfId="26823"/>
    <cellStyle name="40% - Accent5 4 3 2 3 4 3 2" xfId="26824"/>
    <cellStyle name="40% - Accent5 4 3 2 3 4 4" xfId="26825"/>
    <cellStyle name="40% - Accent5 4 3 2 3 4 5" xfId="26826"/>
    <cellStyle name="40% - Accent5 4 3 2 3 5" xfId="26827"/>
    <cellStyle name="40% - Accent5 4 3 2 3 5 2" xfId="26828"/>
    <cellStyle name="40% - Accent5 4 3 2 3 5 3" xfId="26829"/>
    <cellStyle name="40% - Accent5 4 3 2 3 6" xfId="26830"/>
    <cellStyle name="40% - Accent5 4 3 2 3 6 2" xfId="26831"/>
    <cellStyle name="40% - Accent5 4 3 2 3 6 3" xfId="26832"/>
    <cellStyle name="40% - Accent5 4 3 2 3 7" xfId="26833"/>
    <cellStyle name="40% - Accent5 4 3 2 3 7 2" xfId="26834"/>
    <cellStyle name="40% - Accent5 4 3 2 3 8" xfId="26835"/>
    <cellStyle name="40% - Accent5 4 3 2 3 9" xfId="26836"/>
    <cellStyle name="40% - Accent5 4 3 2 4" xfId="26837"/>
    <cellStyle name="40% - Accent5 4 3 2 4 2" xfId="26838"/>
    <cellStyle name="40% - Accent5 4 3 2 4 2 2" xfId="26839"/>
    <cellStyle name="40% - Accent5 4 3 2 4 2 2 2" xfId="26840"/>
    <cellStyle name="40% - Accent5 4 3 2 4 2 2 3" xfId="26841"/>
    <cellStyle name="40% - Accent5 4 3 2 4 2 3" xfId="26842"/>
    <cellStyle name="40% - Accent5 4 3 2 4 2 3 2" xfId="26843"/>
    <cellStyle name="40% - Accent5 4 3 2 4 2 3 3" xfId="26844"/>
    <cellStyle name="40% - Accent5 4 3 2 4 2 4" xfId="26845"/>
    <cellStyle name="40% - Accent5 4 3 2 4 2 4 2" xfId="26846"/>
    <cellStyle name="40% - Accent5 4 3 2 4 2 5" xfId="26847"/>
    <cellStyle name="40% - Accent5 4 3 2 4 2 6" xfId="26848"/>
    <cellStyle name="40% - Accent5 4 3 2 4 3" xfId="26849"/>
    <cellStyle name="40% - Accent5 4 3 2 4 3 2" xfId="26850"/>
    <cellStyle name="40% - Accent5 4 3 2 4 3 2 2" xfId="26851"/>
    <cellStyle name="40% - Accent5 4 3 2 4 3 2 3" xfId="26852"/>
    <cellStyle name="40% - Accent5 4 3 2 4 3 3" xfId="26853"/>
    <cellStyle name="40% - Accent5 4 3 2 4 3 3 2" xfId="26854"/>
    <cellStyle name="40% - Accent5 4 3 2 4 3 3 3" xfId="26855"/>
    <cellStyle name="40% - Accent5 4 3 2 4 3 4" xfId="26856"/>
    <cellStyle name="40% - Accent5 4 3 2 4 3 4 2" xfId="26857"/>
    <cellStyle name="40% - Accent5 4 3 2 4 3 5" xfId="26858"/>
    <cellStyle name="40% - Accent5 4 3 2 4 3 6" xfId="26859"/>
    <cellStyle name="40% - Accent5 4 3 2 4 4" xfId="26860"/>
    <cellStyle name="40% - Accent5 4 3 2 4 4 2" xfId="26861"/>
    <cellStyle name="40% - Accent5 4 3 2 4 4 2 2" xfId="26862"/>
    <cellStyle name="40% - Accent5 4 3 2 4 4 2 3" xfId="26863"/>
    <cellStyle name="40% - Accent5 4 3 2 4 4 3" xfId="26864"/>
    <cellStyle name="40% - Accent5 4 3 2 4 4 3 2" xfId="26865"/>
    <cellStyle name="40% - Accent5 4 3 2 4 4 4" xfId="26866"/>
    <cellStyle name="40% - Accent5 4 3 2 4 4 5" xfId="26867"/>
    <cellStyle name="40% - Accent5 4 3 2 4 5" xfId="26868"/>
    <cellStyle name="40% - Accent5 4 3 2 4 5 2" xfId="26869"/>
    <cellStyle name="40% - Accent5 4 3 2 4 5 3" xfId="26870"/>
    <cellStyle name="40% - Accent5 4 3 2 4 6" xfId="26871"/>
    <cellStyle name="40% - Accent5 4 3 2 4 6 2" xfId="26872"/>
    <cellStyle name="40% - Accent5 4 3 2 4 6 3" xfId="26873"/>
    <cellStyle name="40% - Accent5 4 3 2 4 7" xfId="26874"/>
    <cellStyle name="40% - Accent5 4 3 2 4 7 2" xfId="26875"/>
    <cellStyle name="40% - Accent5 4 3 2 4 8" xfId="26876"/>
    <cellStyle name="40% - Accent5 4 3 2 4 9" xfId="26877"/>
    <cellStyle name="40% - Accent5 4 3 2 5" xfId="26878"/>
    <cellStyle name="40% - Accent5 4 3 2 5 2" xfId="26879"/>
    <cellStyle name="40% - Accent5 4 3 2 5 2 2" xfId="26880"/>
    <cellStyle name="40% - Accent5 4 3 2 5 2 3" xfId="26881"/>
    <cellStyle name="40% - Accent5 4 3 2 5 3" xfId="26882"/>
    <cellStyle name="40% - Accent5 4 3 2 5 3 2" xfId="26883"/>
    <cellStyle name="40% - Accent5 4 3 2 5 3 3" xfId="26884"/>
    <cellStyle name="40% - Accent5 4 3 2 5 4" xfId="26885"/>
    <cellStyle name="40% - Accent5 4 3 2 5 4 2" xfId="26886"/>
    <cellStyle name="40% - Accent5 4 3 2 5 5" xfId="26887"/>
    <cellStyle name="40% - Accent5 4 3 2 5 6" xfId="26888"/>
    <cellStyle name="40% - Accent5 4 3 2 6" xfId="26889"/>
    <cellStyle name="40% - Accent5 4 3 2 6 2" xfId="26890"/>
    <cellStyle name="40% - Accent5 4 3 2 6 2 2" xfId="26891"/>
    <cellStyle name="40% - Accent5 4 3 2 6 2 3" xfId="26892"/>
    <cellStyle name="40% - Accent5 4 3 2 6 3" xfId="26893"/>
    <cellStyle name="40% - Accent5 4 3 2 6 3 2" xfId="26894"/>
    <cellStyle name="40% - Accent5 4 3 2 6 3 3" xfId="26895"/>
    <cellStyle name="40% - Accent5 4 3 2 6 4" xfId="26896"/>
    <cellStyle name="40% - Accent5 4 3 2 6 4 2" xfId="26897"/>
    <cellStyle name="40% - Accent5 4 3 2 6 5" xfId="26898"/>
    <cellStyle name="40% - Accent5 4 3 2 6 6" xfId="26899"/>
    <cellStyle name="40% - Accent5 4 3 2 7" xfId="26900"/>
    <cellStyle name="40% - Accent5 4 3 2 7 2" xfId="26901"/>
    <cellStyle name="40% - Accent5 4 3 2 7 2 2" xfId="26902"/>
    <cellStyle name="40% - Accent5 4 3 2 7 2 3" xfId="26903"/>
    <cellStyle name="40% - Accent5 4 3 2 7 3" xfId="26904"/>
    <cellStyle name="40% - Accent5 4 3 2 7 3 2" xfId="26905"/>
    <cellStyle name="40% - Accent5 4 3 2 7 4" xfId="26906"/>
    <cellStyle name="40% - Accent5 4 3 2 7 5" xfId="26907"/>
    <cellStyle name="40% - Accent5 4 3 2 8" xfId="26908"/>
    <cellStyle name="40% - Accent5 4 3 2 8 2" xfId="26909"/>
    <cellStyle name="40% - Accent5 4 3 2 8 3" xfId="26910"/>
    <cellStyle name="40% - Accent5 4 3 2 9" xfId="26911"/>
    <cellStyle name="40% - Accent5 4 3 2 9 2" xfId="26912"/>
    <cellStyle name="40% - Accent5 4 3 2 9 3" xfId="26913"/>
    <cellStyle name="40% - Accent5 4 3 3" xfId="2452"/>
    <cellStyle name="40% - Accent5 4 3 3 10" xfId="26914"/>
    <cellStyle name="40% - Accent5 4 3 3 2" xfId="2453"/>
    <cellStyle name="40% - Accent5 4 3 3 2 2" xfId="26915"/>
    <cellStyle name="40% - Accent5 4 3 3 2 2 2" xfId="26916"/>
    <cellStyle name="40% - Accent5 4 3 3 2 2 2 2" xfId="26917"/>
    <cellStyle name="40% - Accent5 4 3 3 2 2 2 3" xfId="26918"/>
    <cellStyle name="40% - Accent5 4 3 3 2 2 3" xfId="26919"/>
    <cellStyle name="40% - Accent5 4 3 3 2 2 3 2" xfId="26920"/>
    <cellStyle name="40% - Accent5 4 3 3 2 2 3 3" xfId="26921"/>
    <cellStyle name="40% - Accent5 4 3 3 2 2 4" xfId="26922"/>
    <cellStyle name="40% - Accent5 4 3 3 2 2 4 2" xfId="26923"/>
    <cellStyle name="40% - Accent5 4 3 3 2 2 5" xfId="26924"/>
    <cellStyle name="40% - Accent5 4 3 3 2 2 6" xfId="26925"/>
    <cellStyle name="40% - Accent5 4 3 3 2 3" xfId="26926"/>
    <cellStyle name="40% - Accent5 4 3 3 2 3 2" xfId="26927"/>
    <cellStyle name="40% - Accent5 4 3 3 2 3 2 2" xfId="26928"/>
    <cellStyle name="40% - Accent5 4 3 3 2 3 2 3" xfId="26929"/>
    <cellStyle name="40% - Accent5 4 3 3 2 3 3" xfId="26930"/>
    <cellStyle name="40% - Accent5 4 3 3 2 3 3 2" xfId="26931"/>
    <cellStyle name="40% - Accent5 4 3 3 2 3 3 3" xfId="26932"/>
    <cellStyle name="40% - Accent5 4 3 3 2 3 4" xfId="26933"/>
    <cellStyle name="40% - Accent5 4 3 3 2 3 4 2" xfId="26934"/>
    <cellStyle name="40% - Accent5 4 3 3 2 3 5" xfId="26935"/>
    <cellStyle name="40% - Accent5 4 3 3 2 3 6" xfId="26936"/>
    <cellStyle name="40% - Accent5 4 3 3 2 4" xfId="26937"/>
    <cellStyle name="40% - Accent5 4 3 3 2 4 2" xfId="26938"/>
    <cellStyle name="40% - Accent5 4 3 3 2 4 2 2" xfId="26939"/>
    <cellStyle name="40% - Accent5 4 3 3 2 4 2 3" xfId="26940"/>
    <cellStyle name="40% - Accent5 4 3 3 2 4 3" xfId="26941"/>
    <cellStyle name="40% - Accent5 4 3 3 2 4 3 2" xfId="26942"/>
    <cellStyle name="40% - Accent5 4 3 3 2 4 4" xfId="26943"/>
    <cellStyle name="40% - Accent5 4 3 3 2 4 5" xfId="26944"/>
    <cellStyle name="40% - Accent5 4 3 3 2 5" xfId="26945"/>
    <cellStyle name="40% - Accent5 4 3 3 2 5 2" xfId="26946"/>
    <cellStyle name="40% - Accent5 4 3 3 2 5 3" xfId="26947"/>
    <cellStyle name="40% - Accent5 4 3 3 2 6" xfId="26948"/>
    <cellStyle name="40% - Accent5 4 3 3 2 6 2" xfId="26949"/>
    <cellStyle name="40% - Accent5 4 3 3 2 6 3" xfId="26950"/>
    <cellStyle name="40% - Accent5 4 3 3 2 7" xfId="26951"/>
    <cellStyle name="40% - Accent5 4 3 3 2 7 2" xfId="26952"/>
    <cellStyle name="40% - Accent5 4 3 3 2 8" xfId="26953"/>
    <cellStyle name="40% - Accent5 4 3 3 2 9" xfId="26954"/>
    <cellStyle name="40% - Accent5 4 3 3 3" xfId="26955"/>
    <cellStyle name="40% - Accent5 4 3 3 3 2" xfId="26956"/>
    <cellStyle name="40% - Accent5 4 3 3 3 2 2" xfId="26957"/>
    <cellStyle name="40% - Accent5 4 3 3 3 2 3" xfId="26958"/>
    <cellStyle name="40% - Accent5 4 3 3 3 3" xfId="26959"/>
    <cellStyle name="40% - Accent5 4 3 3 3 3 2" xfId="26960"/>
    <cellStyle name="40% - Accent5 4 3 3 3 3 3" xfId="26961"/>
    <cellStyle name="40% - Accent5 4 3 3 3 4" xfId="26962"/>
    <cellStyle name="40% - Accent5 4 3 3 3 4 2" xfId="26963"/>
    <cellStyle name="40% - Accent5 4 3 3 3 5" xfId="26964"/>
    <cellStyle name="40% - Accent5 4 3 3 3 6" xfId="26965"/>
    <cellStyle name="40% - Accent5 4 3 3 4" xfId="26966"/>
    <cellStyle name="40% - Accent5 4 3 3 4 2" xfId="26967"/>
    <cellStyle name="40% - Accent5 4 3 3 4 2 2" xfId="26968"/>
    <cellStyle name="40% - Accent5 4 3 3 4 2 3" xfId="26969"/>
    <cellStyle name="40% - Accent5 4 3 3 4 3" xfId="26970"/>
    <cellStyle name="40% - Accent5 4 3 3 4 3 2" xfId="26971"/>
    <cellStyle name="40% - Accent5 4 3 3 4 3 3" xfId="26972"/>
    <cellStyle name="40% - Accent5 4 3 3 4 4" xfId="26973"/>
    <cellStyle name="40% - Accent5 4 3 3 4 4 2" xfId="26974"/>
    <cellStyle name="40% - Accent5 4 3 3 4 5" xfId="26975"/>
    <cellStyle name="40% - Accent5 4 3 3 4 6" xfId="26976"/>
    <cellStyle name="40% - Accent5 4 3 3 5" xfId="26977"/>
    <cellStyle name="40% - Accent5 4 3 3 5 2" xfId="26978"/>
    <cellStyle name="40% - Accent5 4 3 3 5 2 2" xfId="26979"/>
    <cellStyle name="40% - Accent5 4 3 3 5 2 3" xfId="26980"/>
    <cellStyle name="40% - Accent5 4 3 3 5 3" xfId="26981"/>
    <cellStyle name="40% - Accent5 4 3 3 5 3 2" xfId="26982"/>
    <cellStyle name="40% - Accent5 4 3 3 5 4" xfId="26983"/>
    <cellStyle name="40% - Accent5 4 3 3 5 5" xfId="26984"/>
    <cellStyle name="40% - Accent5 4 3 3 6" xfId="26985"/>
    <cellStyle name="40% - Accent5 4 3 3 6 2" xfId="26986"/>
    <cellStyle name="40% - Accent5 4 3 3 6 3" xfId="26987"/>
    <cellStyle name="40% - Accent5 4 3 3 7" xfId="26988"/>
    <cellStyle name="40% - Accent5 4 3 3 7 2" xfId="26989"/>
    <cellStyle name="40% - Accent5 4 3 3 7 3" xfId="26990"/>
    <cellStyle name="40% - Accent5 4 3 3 8" xfId="26991"/>
    <cellStyle name="40% - Accent5 4 3 3 8 2" xfId="26992"/>
    <cellStyle name="40% - Accent5 4 3 3 9" xfId="26993"/>
    <cellStyle name="40% - Accent5 4 3 4" xfId="2454"/>
    <cellStyle name="40% - Accent5 4 3 4 2" xfId="26994"/>
    <cellStyle name="40% - Accent5 4 3 4 2 2" xfId="26995"/>
    <cellStyle name="40% - Accent5 4 3 4 2 2 2" xfId="26996"/>
    <cellStyle name="40% - Accent5 4 3 4 2 2 3" xfId="26997"/>
    <cellStyle name="40% - Accent5 4 3 4 2 3" xfId="26998"/>
    <cellStyle name="40% - Accent5 4 3 4 2 3 2" xfId="26999"/>
    <cellStyle name="40% - Accent5 4 3 4 2 3 3" xfId="27000"/>
    <cellStyle name="40% - Accent5 4 3 4 2 4" xfId="27001"/>
    <cellStyle name="40% - Accent5 4 3 4 2 4 2" xfId="27002"/>
    <cellStyle name="40% - Accent5 4 3 4 2 5" xfId="27003"/>
    <cellStyle name="40% - Accent5 4 3 4 2 6" xfId="27004"/>
    <cellStyle name="40% - Accent5 4 3 4 3" xfId="27005"/>
    <cellStyle name="40% - Accent5 4 3 4 3 2" xfId="27006"/>
    <cellStyle name="40% - Accent5 4 3 4 3 2 2" xfId="27007"/>
    <cellStyle name="40% - Accent5 4 3 4 3 2 3" xfId="27008"/>
    <cellStyle name="40% - Accent5 4 3 4 3 3" xfId="27009"/>
    <cellStyle name="40% - Accent5 4 3 4 3 3 2" xfId="27010"/>
    <cellStyle name="40% - Accent5 4 3 4 3 3 3" xfId="27011"/>
    <cellStyle name="40% - Accent5 4 3 4 3 4" xfId="27012"/>
    <cellStyle name="40% - Accent5 4 3 4 3 4 2" xfId="27013"/>
    <cellStyle name="40% - Accent5 4 3 4 3 5" xfId="27014"/>
    <cellStyle name="40% - Accent5 4 3 4 3 6" xfId="27015"/>
    <cellStyle name="40% - Accent5 4 3 4 4" xfId="27016"/>
    <cellStyle name="40% - Accent5 4 3 4 4 2" xfId="27017"/>
    <cellStyle name="40% - Accent5 4 3 4 4 2 2" xfId="27018"/>
    <cellStyle name="40% - Accent5 4 3 4 4 2 3" xfId="27019"/>
    <cellStyle name="40% - Accent5 4 3 4 4 3" xfId="27020"/>
    <cellStyle name="40% - Accent5 4 3 4 4 3 2" xfId="27021"/>
    <cellStyle name="40% - Accent5 4 3 4 4 4" xfId="27022"/>
    <cellStyle name="40% - Accent5 4 3 4 4 5" xfId="27023"/>
    <cellStyle name="40% - Accent5 4 3 4 5" xfId="27024"/>
    <cellStyle name="40% - Accent5 4 3 4 5 2" xfId="27025"/>
    <cellStyle name="40% - Accent5 4 3 4 5 3" xfId="27026"/>
    <cellStyle name="40% - Accent5 4 3 4 6" xfId="27027"/>
    <cellStyle name="40% - Accent5 4 3 4 6 2" xfId="27028"/>
    <cellStyle name="40% - Accent5 4 3 4 6 3" xfId="27029"/>
    <cellStyle name="40% - Accent5 4 3 4 7" xfId="27030"/>
    <cellStyle name="40% - Accent5 4 3 4 7 2" xfId="27031"/>
    <cellStyle name="40% - Accent5 4 3 4 8" xfId="27032"/>
    <cellStyle name="40% - Accent5 4 3 4 9" xfId="27033"/>
    <cellStyle name="40% - Accent5 4 3 5" xfId="27034"/>
    <cellStyle name="40% - Accent5 4 3 5 2" xfId="27035"/>
    <cellStyle name="40% - Accent5 4 3 5 2 2" xfId="27036"/>
    <cellStyle name="40% - Accent5 4 3 5 2 2 2" xfId="27037"/>
    <cellStyle name="40% - Accent5 4 3 5 2 2 3" xfId="27038"/>
    <cellStyle name="40% - Accent5 4 3 5 2 3" xfId="27039"/>
    <cellStyle name="40% - Accent5 4 3 5 2 3 2" xfId="27040"/>
    <cellStyle name="40% - Accent5 4 3 5 2 3 3" xfId="27041"/>
    <cellStyle name="40% - Accent5 4 3 5 2 4" xfId="27042"/>
    <cellStyle name="40% - Accent5 4 3 5 2 4 2" xfId="27043"/>
    <cellStyle name="40% - Accent5 4 3 5 2 5" xfId="27044"/>
    <cellStyle name="40% - Accent5 4 3 5 2 6" xfId="27045"/>
    <cellStyle name="40% - Accent5 4 3 5 3" xfId="27046"/>
    <cellStyle name="40% - Accent5 4 3 5 3 2" xfId="27047"/>
    <cellStyle name="40% - Accent5 4 3 5 3 2 2" xfId="27048"/>
    <cellStyle name="40% - Accent5 4 3 5 3 2 3" xfId="27049"/>
    <cellStyle name="40% - Accent5 4 3 5 3 3" xfId="27050"/>
    <cellStyle name="40% - Accent5 4 3 5 3 3 2" xfId="27051"/>
    <cellStyle name="40% - Accent5 4 3 5 3 3 3" xfId="27052"/>
    <cellStyle name="40% - Accent5 4 3 5 3 4" xfId="27053"/>
    <cellStyle name="40% - Accent5 4 3 5 3 4 2" xfId="27054"/>
    <cellStyle name="40% - Accent5 4 3 5 3 5" xfId="27055"/>
    <cellStyle name="40% - Accent5 4 3 5 3 6" xfId="27056"/>
    <cellStyle name="40% - Accent5 4 3 5 4" xfId="27057"/>
    <cellStyle name="40% - Accent5 4 3 5 4 2" xfId="27058"/>
    <cellStyle name="40% - Accent5 4 3 5 4 2 2" xfId="27059"/>
    <cellStyle name="40% - Accent5 4 3 5 4 2 3" xfId="27060"/>
    <cellStyle name="40% - Accent5 4 3 5 4 3" xfId="27061"/>
    <cellStyle name="40% - Accent5 4 3 5 4 3 2" xfId="27062"/>
    <cellStyle name="40% - Accent5 4 3 5 4 4" xfId="27063"/>
    <cellStyle name="40% - Accent5 4 3 5 4 5" xfId="27064"/>
    <cellStyle name="40% - Accent5 4 3 5 5" xfId="27065"/>
    <cellStyle name="40% - Accent5 4 3 5 5 2" xfId="27066"/>
    <cellStyle name="40% - Accent5 4 3 5 5 3" xfId="27067"/>
    <cellStyle name="40% - Accent5 4 3 5 6" xfId="27068"/>
    <cellStyle name="40% - Accent5 4 3 5 6 2" xfId="27069"/>
    <cellStyle name="40% - Accent5 4 3 5 6 3" xfId="27070"/>
    <cellStyle name="40% - Accent5 4 3 5 7" xfId="27071"/>
    <cellStyle name="40% - Accent5 4 3 5 7 2" xfId="27072"/>
    <cellStyle name="40% - Accent5 4 3 5 8" xfId="27073"/>
    <cellStyle name="40% - Accent5 4 3 5 9" xfId="27074"/>
    <cellStyle name="40% - Accent5 4 3 6" xfId="27075"/>
    <cellStyle name="40% - Accent5 4 3 6 2" xfId="27076"/>
    <cellStyle name="40% - Accent5 4 3 6 2 2" xfId="27077"/>
    <cellStyle name="40% - Accent5 4 3 6 2 3" xfId="27078"/>
    <cellStyle name="40% - Accent5 4 3 6 3" xfId="27079"/>
    <cellStyle name="40% - Accent5 4 3 6 3 2" xfId="27080"/>
    <cellStyle name="40% - Accent5 4 3 6 3 3" xfId="27081"/>
    <cellStyle name="40% - Accent5 4 3 6 4" xfId="27082"/>
    <cellStyle name="40% - Accent5 4 3 6 4 2" xfId="27083"/>
    <cellStyle name="40% - Accent5 4 3 6 5" xfId="27084"/>
    <cellStyle name="40% - Accent5 4 3 6 6" xfId="27085"/>
    <cellStyle name="40% - Accent5 4 3 7" xfId="27086"/>
    <cellStyle name="40% - Accent5 4 3 7 2" xfId="27087"/>
    <cellStyle name="40% - Accent5 4 3 7 2 2" xfId="27088"/>
    <cellStyle name="40% - Accent5 4 3 7 2 3" xfId="27089"/>
    <cellStyle name="40% - Accent5 4 3 7 3" xfId="27090"/>
    <cellStyle name="40% - Accent5 4 3 7 3 2" xfId="27091"/>
    <cellStyle name="40% - Accent5 4 3 7 3 3" xfId="27092"/>
    <cellStyle name="40% - Accent5 4 3 7 4" xfId="27093"/>
    <cellStyle name="40% - Accent5 4 3 7 4 2" xfId="27094"/>
    <cellStyle name="40% - Accent5 4 3 7 5" xfId="27095"/>
    <cellStyle name="40% - Accent5 4 3 7 6" xfId="27096"/>
    <cellStyle name="40% - Accent5 4 3 8" xfId="27097"/>
    <cellStyle name="40% - Accent5 4 3 8 2" xfId="27098"/>
    <cellStyle name="40% - Accent5 4 3 8 2 2" xfId="27099"/>
    <cellStyle name="40% - Accent5 4 3 8 2 3" xfId="27100"/>
    <cellStyle name="40% - Accent5 4 3 8 3" xfId="27101"/>
    <cellStyle name="40% - Accent5 4 3 8 3 2" xfId="27102"/>
    <cellStyle name="40% - Accent5 4 3 8 4" xfId="27103"/>
    <cellStyle name="40% - Accent5 4 3 8 5" xfId="27104"/>
    <cellStyle name="40% - Accent5 4 3 9" xfId="27105"/>
    <cellStyle name="40% - Accent5 4 3 9 2" xfId="27106"/>
    <cellStyle name="40% - Accent5 4 3 9 3" xfId="27107"/>
    <cellStyle name="40% - Accent5 4 4" xfId="2455"/>
    <cellStyle name="40% - Accent5 4 4 10" xfId="27108"/>
    <cellStyle name="40% - Accent5 4 4 10 2" xfId="27109"/>
    <cellStyle name="40% - Accent5 4 4 11" xfId="27110"/>
    <cellStyle name="40% - Accent5 4 4 12" xfId="27111"/>
    <cellStyle name="40% - Accent5 4 4 2" xfId="2456"/>
    <cellStyle name="40% - Accent5 4 4 2 10" xfId="27112"/>
    <cellStyle name="40% - Accent5 4 4 2 2" xfId="2457"/>
    <cellStyle name="40% - Accent5 4 4 2 2 2" xfId="27113"/>
    <cellStyle name="40% - Accent5 4 4 2 2 2 2" xfId="27114"/>
    <cellStyle name="40% - Accent5 4 4 2 2 2 2 2" xfId="27115"/>
    <cellStyle name="40% - Accent5 4 4 2 2 2 2 3" xfId="27116"/>
    <cellStyle name="40% - Accent5 4 4 2 2 2 3" xfId="27117"/>
    <cellStyle name="40% - Accent5 4 4 2 2 2 3 2" xfId="27118"/>
    <cellStyle name="40% - Accent5 4 4 2 2 2 3 3" xfId="27119"/>
    <cellStyle name="40% - Accent5 4 4 2 2 2 4" xfId="27120"/>
    <cellStyle name="40% - Accent5 4 4 2 2 2 4 2" xfId="27121"/>
    <cellStyle name="40% - Accent5 4 4 2 2 2 5" xfId="27122"/>
    <cellStyle name="40% - Accent5 4 4 2 2 2 6" xfId="27123"/>
    <cellStyle name="40% - Accent5 4 4 2 2 3" xfId="27124"/>
    <cellStyle name="40% - Accent5 4 4 2 2 3 2" xfId="27125"/>
    <cellStyle name="40% - Accent5 4 4 2 2 3 2 2" xfId="27126"/>
    <cellStyle name="40% - Accent5 4 4 2 2 3 2 3" xfId="27127"/>
    <cellStyle name="40% - Accent5 4 4 2 2 3 3" xfId="27128"/>
    <cellStyle name="40% - Accent5 4 4 2 2 3 3 2" xfId="27129"/>
    <cellStyle name="40% - Accent5 4 4 2 2 3 3 3" xfId="27130"/>
    <cellStyle name="40% - Accent5 4 4 2 2 3 4" xfId="27131"/>
    <cellStyle name="40% - Accent5 4 4 2 2 3 4 2" xfId="27132"/>
    <cellStyle name="40% - Accent5 4 4 2 2 3 5" xfId="27133"/>
    <cellStyle name="40% - Accent5 4 4 2 2 3 6" xfId="27134"/>
    <cellStyle name="40% - Accent5 4 4 2 2 4" xfId="27135"/>
    <cellStyle name="40% - Accent5 4 4 2 2 4 2" xfId="27136"/>
    <cellStyle name="40% - Accent5 4 4 2 2 4 2 2" xfId="27137"/>
    <cellStyle name="40% - Accent5 4 4 2 2 4 2 3" xfId="27138"/>
    <cellStyle name="40% - Accent5 4 4 2 2 4 3" xfId="27139"/>
    <cellStyle name="40% - Accent5 4 4 2 2 4 3 2" xfId="27140"/>
    <cellStyle name="40% - Accent5 4 4 2 2 4 4" xfId="27141"/>
    <cellStyle name="40% - Accent5 4 4 2 2 4 5" xfId="27142"/>
    <cellStyle name="40% - Accent5 4 4 2 2 5" xfId="27143"/>
    <cellStyle name="40% - Accent5 4 4 2 2 5 2" xfId="27144"/>
    <cellStyle name="40% - Accent5 4 4 2 2 5 3" xfId="27145"/>
    <cellStyle name="40% - Accent5 4 4 2 2 6" xfId="27146"/>
    <cellStyle name="40% - Accent5 4 4 2 2 6 2" xfId="27147"/>
    <cellStyle name="40% - Accent5 4 4 2 2 6 3" xfId="27148"/>
    <cellStyle name="40% - Accent5 4 4 2 2 7" xfId="27149"/>
    <cellStyle name="40% - Accent5 4 4 2 2 7 2" xfId="27150"/>
    <cellStyle name="40% - Accent5 4 4 2 2 8" xfId="27151"/>
    <cellStyle name="40% - Accent5 4 4 2 2 9" xfId="27152"/>
    <cellStyle name="40% - Accent5 4 4 2 3" xfId="27153"/>
    <cellStyle name="40% - Accent5 4 4 2 3 2" xfId="27154"/>
    <cellStyle name="40% - Accent5 4 4 2 3 2 2" xfId="27155"/>
    <cellStyle name="40% - Accent5 4 4 2 3 2 3" xfId="27156"/>
    <cellStyle name="40% - Accent5 4 4 2 3 3" xfId="27157"/>
    <cellStyle name="40% - Accent5 4 4 2 3 3 2" xfId="27158"/>
    <cellStyle name="40% - Accent5 4 4 2 3 3 3" xfId="27159"/>
    <cellStyle name="40% - Accent5 4 4 2 3 4" xfId="27160"/>
    <cellStyle name="40% - Accent5 4 4 2 3 4 2" xfId="27161"/>
    <cellStyle name="40% - Accent5 4 4 2 3 5" xfId="27162"/>
    <cellStyle name="40% - Accent5 4 4 2 3 6" xfId="27163"/>
    <cellStyle name="40% - Accent5 4 4 2 4" xfId="27164"/>
    <cellStyle name="40% - Accent5 4 4 2 4 2" xfId="27165"/>
    <cellStyle name="40% - Accent5 4 4 2 4 2 2" xfId="27166"/>
    <cellStyle name="40% - Accent5 4 4 2 4 2 3" xfId="27167"/>
    <cellStyle name="40% - Accent5 4 4 2 4 3" xfId="27168"/>
    <cellStyle name="40% - Accent5 4 4 2 4 3 2" xfId="27169"/>
    <cellStyle name="40% - Accent5 4 4 2 4 3 3" xfId="27170"/>
    <cellStyle name="40% - Accent5 4 4 2 4 4" xfId="27171"/>
    <cellStyle name="40% - Accent5 4 4 2 4 4 2" xfId="27172"/>
    <cellStyle name="40% - Accent5 4 4 2 4 5" xfId="27173"/>
    <cellStyle name="40% - Accent5 4 4 2 4 6" xfId="27174"/>
    <cellStyle name="40% - Accent5 4 4 2 5" xfId="27175"/>
    <cellStyle name="40% - Accent5 4 4 2 5 2" xfId="27176"/>
    <cellStyle name="40% - Accent5 4 4 2 5 2 2" xfId="27177"/>
    <cellStyle name="40% - Accent5 4 4 2 5 2 3" xfId="27178"/>
    <cellStyle name="40% - Accent5 4 4 2 5 3" xfId="27179"/>
    <cellStyle name="40% - Accent5 4 4 2 5 3 2" xfId="27180"/>
    <cellStyle name="40% - Accent5 4 4 2 5 4" xfId="27181"/>
    <cellStyle name="40% - Accent5 4 4 2 5 5" xfId="27182"/>
    <cellStyle name="40% - Accent5 4 4 2 6" xfId="27183"/>
    <cellStyle name="40% - Accent5 4 4 2 6 2" xfId="27184"/>
    <cellStyle name="40% - Accent5 4 4 2 6 3" xfId="27185"/>
    <cellStyle name="40% - Accent5 4 4 2 7" xfId="27186"/>
    <cellStyle name="40% - Accent5 4 4 2 7 2" xfId="27187"/>
    <cellStyle name="40% - Accent5 4 4 2 7 3" xfId="27188"/>
    <cellStyle name="40% - Accent5 4 4 2 8" xfId="27189"/>
    <cellStyle name="40% - Accent5 4 4 2 8 2" xfId="27190"/>
    <cellStyle name="40% - Accent5 4 4 2 9" xfId="27191"/>
    <cellStyle name="40% - Accent5 4 4 3" xfId="2458"/>
    <cellStyle name="40% - Accent5 4 4 3 2" xfId="27192"/>
    <cellStyle name="40% - Accent5 4 4 3 2 2" xfId="27193"/>
    <cellStyle name="40% - Accent5 4 4 3 2 2 2" xfId="27194"/>
    <cellStyle name="40% - Accent5 4 4 3 2 2 3" xfId="27195"/>
    <cellStyle name="40% - Accent5 4 4 3 2 3" xfId="27196"/>
    <cellStyle name="40% - Accent5 4 4 3 2 3 2" xfId="27197"/>
    <cellStyle name="40% - Accent5 4 4 3 2 3 3" xfId="27198"/>
    <cellStyle name="40% - Accent5 4 4 3 2 4" xfId="27199"/>
    <cellStyle name="40% - Accent5 4 4 3 2 4 2" xfId="27200"/>
    <cellStyle name="40% - Accent5 4 4 3 2 5" xfId="27201"/>
    <cellStyle name="40% - Accent5 4 4 3 2 6" xfId="27202"/>
    <cellStyle name="40% - Accent5 4 4 3 3" xfId="27203"/>
    <cellStyle name="40% - Accent5 4 4 3 3 2" xfId="27204"/>
    <cellStyle name="40% - Accent5 4 4 3 3 2 2" xfId="27205"/>
    <cellStyle name="40% - Accent5 4 4 3 3 2 3" xfId="27206"/>
    <cellStyle name="40% - Accent5 4 4 3 3 3" xfId="27207"/>
    <cellStyle name="40% - Accent5 4 4 3 3 3 2" xfId="27208"/>
    <cellStyle name="40% - Accent5 4 4 3 3 3 3" xfId="27209"/>
    <cellStyle name="40% - Accent5 4 4 3 3 4" xfId="27210"/>
    <cellStyle name="40% - Accent5 4 4 3 3 4 2" xfId="27211"/>
    <cellStyle name="40% - Accent5 4 4 3 3 5" xfId="27212"/>
    <cellStyle name="40% - Accent5 4 4 3 3 6" xfId="27213"/>
    <cellStyle name="40% - Accent5 4 4 3 4" xfId="27214"/>
    <cellStyle name="40% - Accent5 4 4 3 4 2" xfId="27215"/>
    <cellStyle name="40% - Accent5 4 4 3 4 2 2" xfId="27216"/>
    <cellStyle name="40% - Accent5 4 4 3 4 2 3" xfId="27217"/>
    <cellStyle name="40% - Accent5 4 4 3 4 3" xfId="27218"/>
    <cellStyle name="40% - Accent5 4 4 3 4 3 2" xfId="27219"/>
    <cellStyle name="40% - Accent5 4 4 3 4 4" xfId="27220"/>
    <cellStyle name="40% - Accent5 4 4 3 4 5" xfId="27221"/>
    <cellStyle name="40% - Accent5 4 4 3 5" xfId="27222"/>
    <cellStyle name="40% - Accent5 4 4 3 5 2" xfId="27223"/>
    <cellStyle name="40% - Accent5 4 4 3 5 3" xfId="27224"/>
    <cellStyle name="40% - Accent5 4 4 3 6" xfId="27225"/>
    <cellStyle name="40% - Accent5 4 4 3 6 2" xfId="27226"/>
    <cellStyle name="40% - Accent5 4 4 3 6 3" xfId="27227"/>
    <cellStyle name="40% - Accent5 4 4 3 7" xfId="27228"/>
    <cellStyle name="40% - Accent5 4 4 3 7 2" xfId="27229"/>
    <cellStyle name="40% - Accent5 4 4 3 8" xfId="27230"/>
    <cellStyle name="40% - Accent5 4 4 3 9" xfId="27231"/>
    <cellStyle name="40% - Accent5 4 4 4" xfId="27232"/>
    <cellStyle name="40% - Accent5 4 4 4 2" xfId="27233"/>
    <cellStyle name="40% - Accent5 4 4 4 2 2" xfId="27234"/>
    <cellStyle name="40% - Accent5 4 4 4 2 2 2" xfId="27235"/>
    <cellStyle name="40% - Accent5 4 4 4 2 2 3" xfId="27236"/>
    <cellStyle name="40% - Accent5 4 4 4 2 3" xfId="27237"/>
    <cellStyle name="40% - Accent5 4 4 4 2 3 2" xfId="27238"/>
    <cellStyle name="40% - Accent5 4 4 4 2 3 3" xfId="27239"/>
    <cellStyle name="40% - Accent5 4 4 4 2 4" xfId="27240"/>
    <cellStyle name="40% - Accent5 4 4 4 2 4 2" xfId="27241"/>
    <cellStyle name="40% - Accent5 4 4 4 2 5" xfId="27242"/>
    <cellStyle name="40% - Accent5 4 4 4 2 6" xfId="27243"/>
    <cellStyle name="40% - Accent5 4 4 4 3" xfId="27244"/>
    <cellStyle name="40% - Accent5 4 4 4 3 2" xfId="27245"/>
    <cellStyle name="40% - Accent5 4 4 4 3 2 2" xfId="27246"/>
    <cellStyle name="40% - Accent5 4 4 4 3 2 3" xfId="27247"/>
    <cellStyle name="40% - Accent5 4 4 4 3 3" xfId="27248"/>
    <cellStyle name="40% - Accent5 4 4 4 3 3 2" xfId="27249"/>
    <cellStyle name="40% - Accent5 4 4 4 3 3 3" xfId="27250"/>
    <cellStyle name="40% - Accent5 4 4 4 3 4" xfId="27251"/>
    <cellStyle name="40% - Accent5 4 4 4 3 4 2" xfId="27252"/>
    <cellStyle name="40% - Accent5 4 4 4 3 5" xfId="27253"/>
    <cellStyle name="40% - Accent5 4 4 4 3 6" xfId="27254"/>
    <cellStyle name="40% - Accent5 4 4 4 4" xfId="27255"/>
    <cellStyle name="40% - Accent5 4 4 4 4 2" xfId="27256"/>
    <cellStyle name="40% - Accent5 4 4 4 4 2 2" xfId="27257"/>
    <cellStyle name="40% - Accent5 4 4 4 4 2 3" xfId="27258"/>
    <cellStyle name="40% - Accent5 4 4 4 4 3" xfId="27259"/>
    <cellStyle name="40% - Accent5 4 4 4 4 3 2" xfId="27260"/>
    <cellStyle name="40% - Accent5 4 4 4 4 4" xfId="27261"/>
    <cellStyle name="40% - Accent5 4 4 4 4 5" xfId="27262"/>
    <cellStyle name="40% - Accent5 4 4 4 5" xfId="27263"/>
    <cellStyle name="40% - Accent5 4 4 4 5 2" xfId="27264"/>
    <cellStyle name="40% - Accent5 4 4 4 5 3" xfId="27265"/>
    <cellStyle name="40% - Accent5 4 4 4 6" xfId="27266"/>
    <cellStyle name="40% - Accent5 4 4 4 6 2" xfId="27267"/>
    <cellStyle name="40% - Accent5 4 4 4 6 3" xfId="27268"/>
    <cellStyle name="40% - Accent5 4 4 4 7" xfId="27269"/>
    <cellStyle name="40% - Accent5 4 4 4 7 2" xfId="27270"/>
    <cellStyle name="40% - Accent5 4 4 4 8" xfId="27271"/>
    <cellStyle name="40% - Accent5 4 4 4 9" xfId="27272"/>
    <cellStyle name="40% - Accent5 4 4 5" xfId="27273"/>
    <cellStyle name="40% - Accent5 4 4 5 2" xfId="27274"/>
    <cellStyle name="40% - Accent5 4 4 5 2 2" xfId="27275"/>
    <cellStyle name="40% - Accent5 4 4 5 2 3" xfId="27276"/>
    <cellStyle name="40% - Accent5 4 4 5 3" xfId="27277"/>
    <cellStyle name="40% - Accent5 4 4 5 3 2" xfId="27278"/>
    <cellStyle name="40% - Accent5 4 4 5 3 3" xfId="27279"/>
    <cellStyle name="40% - Accent5 4 4 5 4" xfId="27280"/>
    <cellStyle name="40% - Accent5 4 4 5 4 2" xfId="27281"/>
    <cellStyle name="40% - Accent5 4 4 5 5" xfId="27282"/>
    <cellStyle name="40% - Accent5 4 4 5 6" xfId="27283"/>
    <cellStyle name="40% - Accent5 4 4 6" xfId="27284"/>
    <cellStyle name="40% - Accent5 4 4 6 2" xfId="27285"/>
    <cellStyle name="40% - Accent5 4 4 6 2 2" xfId="27286"/>
    <cellStyle name="40% - Accent5 4 4 6 2 3" xfId="27287"/>
    <cellStyle name="40% - Accent5 4 4 6 3" xfId="27288"/>
    <cellStyle name="40% - Accent5 4 4 6 3 2" xfId="27289"/>
    <cellStyle name="40% - Accent5 4 4 6 3 3" xfId="27290"/>
    <cellStyle name="40% - Accent5 4 4 6 4" xfId="27291"/>
    <cellStyle name="40% - Accent5 4 4 6 4 2" xfId="27292"/>
    <cellStyle name="40% - Accent5 4 4 6 5" xfId="27293"/>
    <cellStyle name="40% - Accent5 4 4 6 6" xfId="27294"/>
    <cellStyle name="40% - Accent5 4 4 7" xfId="27295"/>
    <cellStyle name="40% - Accent5 4 4 7 2" xfId="27296"/>
    <cellStyle name="40% - Accent5 4 4 7 2 2" xfId="27297"/>
    <cellStyle name="40% - Accent5 4 4 7 2 3" xfId="27298"/>
    <cellStyle name="40% - Accent5 4 4 7 3" xfId="27299"/>
    <cellStyle name="40% - Accent5 4 4 7 3 2" xfId="27300"/>
    <cellStyle name="40% - Accent5 4 4 7 4" xfId="27301"/>
    <cellStyle name="40% - Accent5 4 4 7 5" xfId="27302"/>
    <cellStyle name="40% - Accent5 4 4 8" xfId="27303"/>
    <cellStyle name="40% - Accent5 4 4 8 2" xfId="27304"/>
    <cellStyle name="40% - Accent5 4 4 8 3" xfId="27305"/>
    <cellStyle name="40% - Accent5 4 4 9" xfId="27306"/>
    <cellStyle name="40% - Accent5 4 4 9 2" xfId="27307"/>
    <cellStyle name="40% - Accent5 4 4 9 3" xfId="27308"/>
    <cellStyle name="40% - Accent5 4 5" xfId="2459"/>
    <cellStyle name="40% - Accent5 4 5 10" xfId="27309"/>
    <cellStyle name="40% - Accent5 4 5 2" xfId="2460"/>
    <cellStyle name="40% - Accent5 4 5 2 2" xfId="27310"/>
    <cellStyle name="40% - Accent5 4 5 2 2 2" xfId="27311"/>
    <cellStyle name="40% - Accent5 4 5 2 2 2 2" xfId="27312"/>
    <cellStyle name="40% - Accent5 4 5 2 2 2 3" xfId="27313"/>
    <cellStyle name="40% - Accent5 4 5 2 2 3" xfId="27314"/>
    <cellStyle name="40% - Accent5 4 5 2 2 3 2" xfId="27315"/>
    <cellStyle name="40% - Accent5 4 5 2 2 3 3" xfId="27316"/>
    <cellStyle name="40% - Accent5 4 5 2 2 4" xfId="27317"/>
    <cellStyle name="40% - Accent5 4 5 2 2 4 2" xfId="27318"/>
    <cellStyle name="40% - Accent5 4 5 2 2 5" xfId="27319"/>
    <cellStyle name="40% - Accent5 4 5 2 2 6" xfId="27320"/>
    <cellStyle name="40% - Accent5 4 5 2 3" xfId="27321"/>
    <cellStyle name="40% - Accent5 4 5 2 3 2" xfId="27322"/>
    <cellStyle name="40% - Accent5 4 5 2 3 2 2" xfId="27323"/>
    <cellStyle name="40% - Accent5 4 5 2 3 2 3" xfId="27324"/>
    <cellStyle name="40% - Accent5 4 5 2 3 3" xfId="27325"/>
    <cellStyle name="40% - Accent5 4 5 2 3 3 2" xfId="27326"/>
    <cellStyle name="40% - Accent5 4 5 2 3 3 3" xfId="27327"/>
    <cellStyle name="40% - Accent5 4 5 2 3 4" xfId="27328"/>
    <cellStyle name="40% - Accent5 4 5 2 3 4 2" xfId="27329"/>
    <cellStyle name="40% - Accent5 4 5 2 3 5" xfId="27330"/>
    <cellStyle name="40% - Accent5 4 5 2 3 6" xfId="27331"/>
    <cellStyle name="40% - Accent5 4 5 2 4" xfId="27332"/>
    <cellStyle name="40% - Accent5 4 5 2 4 2" xfId="27333"/>
    <cellStyle name="40% - Accent5 4 5 2 4 2 2" xfId="27334"/>
    <cellStyle name="40% - Accent5 4 5 2 4 2 3" xfId="27335"/>
    <cellStyle name="40% - Accent5 4 5 2 4 3" xfId="27336"/>
    <cellStyle name="40% - Accent5 4 5 2 4 3 2" xfId="27337"/>
    <cellStyle name="40% - Accent5 4 5 2 4 4" xfId="27338"/>
    <cellStyle name="40% - Accent5 4 5 2 4 5" xfId="27339"/>
    <cellStyle name="40% - Accent5 4 5 2 5" xfId="27340"/>
    <cellStyle name="40% - Accent5 4 5 2 5 2" xfId="27341"/>
    <cellStyle name="40% - Accent5 4 5 2 5 3" xfId="27342"/>
    <cellStyle name="40% - Accent5 4 5 2 6" xfId="27343"/>
    <cellStyle name="40% - Accent5 4 5 2 6 2" xfId="27344"/>
    <cellStyle name="40% - Accent5 4 5 2 6 3" xfId="27345"/>
    <cellStyle name="40% - Accent5 4 5 2 7" xfId="27346"/>
    <cellStyle name="40% - Accent5 4 5 2 7 2" xfId="27347"/>
    <cellStyle name="40% - Accent5 4 5 2 8" xfId="27348"/>
    <cellStyle name="40% - Accent5 4 5 2 9" xfId="27349"/>
    <cellStyle name="40% - Accent5 4 5 3" xfId="27350"/>
    <cellStyle name="40% - Accent5 4 5 3 2" xfId="27351"/>
    <cellStyle name="40% - Accent5 4 5 3 2 2" xfId="27352"/>
    <cellStyle name="40% - Accent5 4 5 3 2 3" xfId="27353"/>
    <cellStyle name="40% - Accent5 4 5 3 3" xfId="27354"/>
    <cellStyle name="40% - Accent5 4 5 3 3 2" xfId="27355"/>
    <cellStyle name="40% - Accent5 4 5 3 3 3" xfId="27356"/>
    <cellStyle name="40% - Accent5 4 5 3 4" xfId="27357"/>
    <cellStyle name="40% - Accent5 4 5 3 4 2" xfId="27358"/>
    <cellStyle name="40% - Accent5 4 5 3 5" xfId="27359"/>
    <cellStyle name="40% - Accent5 4 5 3 6" xfId="27360"/>
    <cellStyle name="40% - Accent5 4 5 4" xfId="27361"/>
    <cellStyle name="40% - Accent5 4 5 4 2" xfId="27362"/>
    <cellStyle name="40% - Accent5 4 5 4 2 2" xfId="27363"/>
    <cellStyle name="40% - Accent5 4 5 4 2 3" xfId="27364"/>
    <cellStyle name="40% - Accent5 4 5 4 3" xfId="27365"/>
    <cellStyle name="40% - Accent5 4 5 4 3 2" xfId="27366"/>
    <cellStyle name="40% - Accent5 4 5 4 3 3" xfId="27367"/>
    <cellStyle name="40% - Accent5 4 5 4 4" xfId="27368"/>
    <cellStyle name="40% - Accent5 4 5 4 4 2" xfId="27369"/>
    <cellStyle name="40% - Accent5 4 5 4 5" xfId="27370"/>
    <cellStyle name="40% - Accent5 4 5 4 6" xfId="27371"/>
    <cellStyle name="40% - Accent5 4 5 5" xfId="27372"/>
    <cellStyle name="40% - Accent5 4 5 5 2" xfId="27373"/>
    <cellStyle name="40% - Accent5 4 5 5 2 2" xfId="27374"/>
    <cellStyle name="40% - Accent5 4 5 5 2 3" xfId="27375"/>
    <cellStyle name="40% - Accent5 4 5 5 3" xfId="27376"/>
    <cellStyle name="40% - Accent5 4 5 5 3 2" xfId="27377"/>
    <cellStyle name="40% - Accent5 4 5 5 4" xfId="27378"/>
    <cellStyle name="40% - Accent5 4 5 5 5" xfId="27379"/>
    <cellStyle name="40% - Accent5 4 5 6" xfId="27380"/>
    <cellStyle name="40% - Accent5 4 5 6 2" xfId="27381"/>
    <cellStyle name="40% - Accent5 4 5 6 3" xfId="27382"/>
    <cellStyle name="40% - Accent5 4 5 7" xfId="27383"/>
    <cellStyle name="40% - Accent5 4 5 7 2" xfId="27384"/>
    <cellStyle name="40% - Accent5 4 5 7 3" xfId="27385"/>
    <cellStyle name="40% - Accent5 4 5 8" xfId="27386"/>
    <cellStyle name="40% - Accent5 4 5 8 2" xfId="27387"/>
    <cellStyle name="40% - Accent5 4 5 9" xfId="27388"/>
    <cellStyle name="40% - Accent5 4 6" xfId="2461"/>
    <cellStyle name="40% - Accent5 4 6 2" xfId="27389"/>
    <cellStyle name="40% - Accent5 4 6 2 2" xfId="27390"/>
    <cellStyle name="40% - Accent5 4 6 2 2 2" xfId="27391"/>
    <cellStyle name="40% - Accent5 4 6 2 2 3" xfId="27392"/>
    <cellStyle name="40% - Accent5 4 6 2 3" xfId="27393"/>
    <cellStyle name="40% - Accent5 4 6 2 3 2" xfId="27394"/>
    <cellStyle name="40% - Accent5 4 6 2 3 3" xfId="27395"/>
    <cellStyle name="40% - Accent5 4 6 2 4" xfId="27396"/>
    <cellStyle name="40% - Accent5 4 6 2 4 2" xfId="27397"/>
    <cellStyle name="40% - Accent5 4 6 2 5" xfId="27398"/>
    <cellStyle name="40% - Accent5 4 6 2 6" xfId="27399"/>
    <cellStyle name="40% - Accent5 4 6 3" xfId="27400"/>
    <cellStyle name="40% - Accent5 4 6 3 2" xfId="27401"/>
    <cellStyle name="40% - Accent5 4 6 3 2 2" xfId="27402"/>
    <cellStyle name="40% - Accent5 4 6 3 2 3" xfId="27403"/>
    <cellStyle name="40% - Accent5 4 6 3 3" xfId="27404"/>
    <cellStyle name="40% - Accent5 4 6 3 3 2" xfId="27405"/>
    <cellStyle name="40% - Accent5 4 6 3 3 3" xfId="27406"/>
    <cellStyle name="40% - Accent5 4 6 3 4" xfId="27407"/>
    <cellStyle name="40% - Accent5 4 6 3 4 2" xfId="27408"/>
    <cellStyle name="40% - Accent5 4 6 3 5" xfId="27409"/>
    <cellStyle name="40% - Accent5 4 6 3 6" xfId="27410"/>
    <cellStyle name="40% - Accent5 4 6 4" xfId="27411"/>
    <cellStyle name="40% - Accent5 4 6 4 2" xfId="27412"/>
    <cellStyle name="40% - Accent5 4 6 4 2 2" xfId="27413"/>
    <cellStyle name="40% - Accent5 4 6 4 2 3" xfId="27414"/>
    <cellStyle name="40% - Accent5 4 6 4 3" xfId="27415"/>
    <cellStyle name="40% - Accent5 4 6 4 3 2" xfId="27416"/>
    <cellStyle name="40% - Accent5 4 6 4 4" xfId="27417"/>
    <cellStyle name="40% - Accent5 4 6 4 5" xfId="27418"/>
    <cellStyle name="40% - Accent5 4 6 5" xfId="27419"/>
    <cellStyle name="40% - Accent5 4 6 5 2" xfId="27420"/>
    <cellStyle name="40% - Accent5 4 6 5 3" xfId="27421"/>
    <cellStyle name="40% - Accent5 4 6 6" xfId="27422"/>
    <cellStyle name="40% - Accent5 4 6 6 2" xfId="27423"/>
    <cellStyle name="40% - Accent5 4 6 6 3" xfId="27424"/>
    <cellStyle name="40% - Accent5 4 6 7" xfId="27425"/>
    <cellStyle name="40% - Accent5 4 6 7 2" xfId="27426"/>
    <cellStyle name="40% - Accent5 4 6 8" xfId="27427"/>
    <cellStyle name="40% - Accent5 4 6 9" xfId="27428"/>
    <cellStyle name="40% - Accent5 4 7" xfId="9048"/>
    <cellStyle name="40% - Accent5 4 7 2" xfId="27429"/>
    <cellStyle name="40% - Accent5 4 7 2 2" xfId="27430"/>
    <cellStyle name="40% - Accent5 4 7 2 2 2" xfId="27431"/>
    <cellStyle name="40% - Accent5 4 7 2 2 3" xfId="27432"/>
    <cellStyle name="40% - Accent5 4 7 2 3" xfId="27433"/>
    <cellStyle name="40% - Accent5 4 7 2 3 2" xfId="27434"/>
    <cellStyle name="40% - Accent5 4 7 2 3 3" xfId="27435"/>
    <cellStyle name="40% - Accent5 4 7 2 4" xfId="27436"/>
    <cellStyle name="40% - Accent5 4 7 2 4 2" xfId="27437"/>
    <cellStyle name="40% - Accent5 4 7 2 5" xfId="27438"/>
    <cellStyle name="40% - Accent5 4 7 2 6" xfId="27439"/>
    <cellStyle name="40% - Accent5 4 7 3" xfId="27440"/>
    <cellStyle name="40% - Accent5 4 7 3 2" xfId="27441"/>
    <cellStyle name="40% - Accent5 4 7 3 2 2" xfId="27442"/>
    <cellStyle name="40% - Accent5 4 7 3 2 3" xfId="27443"/>
    <cellStyle name="40% - Accent5 4 7 3 3" xfId="27444"/>
    <cellStyle name="40% - Accent5 4 7 3 3 2" xfId="27445"/>
    <cellStyle name="40% - Accent5 4 7 3 3 3" xfId="27446"/>
    <cellStyle name="40% - Accent5 4 7 3 4" xfId="27447"/>
    <cellStyle name="40% - Accent5 4 7 3 4 2" xfId="27448"/>
    <cellStyle name="40% - Accent5 4 7 3 5" xfId="27449"/>
    <cellStyle name="40% - Accent5 4 7 3 6" xfId="27450"/>
    <cellStyle name="40% - Accent5 4 7 4" xfId="27451"/>
    <cellStyle name="40% - Accent5 4 7 4 2" xfId="27452"/>
    <cellStyle name="40% - Accent5 4 7 4 2 2" xfId="27453"/>
    <cellStyle name="40% - Accent5 4 7 4 2 3" xfId="27454"/>
    <cellStyle name="40% - Accent5 4 7 4 3" xfId="27455"/>
    <cellStyle name="40% - Accent5 4 7 4 3 2" xfId="27456"/>
    <cellStyle name="40% - Accent5 4 7 4 4" xfId="27457"/>
    <cellStyle name="40% - Accent5 4 7 4 5" xfId="27458"/>
    <cellStyle name="40% - Accent5 4 7 5" xfId="27459"/>
    <cellStyle name="40% - Accent5 4 7 5 2" xfId="27460"/>
    <cellStyle name="40% - Accent5 4 7 5 3" xfId="27461"/>
    <cellStyle name="40% - Accent5 4 7 6" xfId="27462"/>
    <cellStyle name="40% - Accent5 4 7 6 2" xfId="27463"/>
    <cellStyle name="40% - Accent5 4 7 6 3" xfId="27464"/>
    <cellStyle name="40% - Accent5 4 7 7" xfId="27465"/>
    <cellStyle name="40% - Accent5 4 7 7 2" xfId="27466"/>
    <cellStyle name="40% - Accent5 4 7 8" xfId="27467"/>
    <cellStyle name="40% - Accent5 4 7 9" xfId="27468"/>
    <cellStyle name="40% - Accent5 4 8" xfId="27469"/>
    <cellStyle name="40% - Accent5 4 8 2" xfId="27470"/>
    <cellStyle name="40% - Accent5 4 8 2 2" xfId="27471"/>
    <cellStyle name="40% - Accent5 4 8 2 3" xfId="27472"/>
    <cellStyle name="40% - Accent5 4 8 3" xfId="27473"/>
    <cellStyle name="40% - Accent5 4 8 3 2" xfId="27474"/>
    <cellStyle name="40% - Accent5 4 8 3 3" xfId="27475"/>
    <cellStyle name="40% - Accent5 4 8 4" xfId="27476"/>
    <cellStyle name="40% - Accent5 4 8 4 2" xfId="27477"/>
    <cellStyle name="40% - Accent5 4 8 5" xfId="27478"/>
    <cellStyle name="40% - Accent5 4 8 6" xfId="27479"/>
    <cellStyle name="40% - Accent5 4 9" xfId="27480"/>
    <cellStyle name="40% - Accent5 4 9 2" xfId="27481"/>
    <cellStyle name="40% - Accent5 4 9 2 2" xfId="27482"/>
    <cellStyle name="40% - Accent5 4 9 2 3" xfId="27483"/>
    <cellStyle name="40% - Accent5 4 9 3" xfId="27484"/>
    <cellStyle name="40% - Accent5 4 9 3 2" xfId="27485"/>
    <cellStyle name="40% - Accent5 4 9 3 3" xfId="27486"/>
    <cellStyle name="40% - Accent5 4 9 4" xfId="27487"/>
    <cellStyle name="40% - Accent5 4 9 4 2" xfId="27488"/>
    <cellStyle name="40% - Accent5 4 9 5" xfId="27489"/>
    <cellStyle name="40% - Accent5 4 9 6" xfId="2749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50"/>
    <cellStyle name="40% - Accent6 15" xfId="27491"/>
    <cellStyle name="40% - Accent6 16" xfId="27492"/>
    <cellStyle name="40% - Accent6 17" xfId="27493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4"/>
    <cellStyle name="40% - Accent6 4 10 2" xfId="27495"/>
    <cellStyle name="40% - Accent6 4 10 2 2" xfId="27496"/>
    <cellStyle name="40% - Accent6 4 10 2 3" xfId="27497"/>
    <cellStyle name="40% - Accent6 4 10 3" xfId="27498"/>
    <cellStyle name="40% - Accent6 4 10 3 2" xfId="27499"/>
    <cellStyle name="40% - Accent6 4 10 4" xfId="27500"/>
    <cellStyle name="40% - Accent6 4 10 5" xfId="27501"/>
    <cellStyle name="40% - Accent6 4 11" xfId="27502"/>
    <cellStyle name="40% - Accent6 4 11 2" xfId="27503"/>
    <cellStyle name="40% - Accent6 4 11 3" xfId="27504"/>
    <cellStyle name="40% - Accent6 4 12" xfId="27505"/>
    <cellStyle name="40% - Accent6 4 12 2" xfId="27506"/>
    <cellStyle name="40% - Accent6 4 12 3" xfId="27507"/>
    <cellStyle name="40% - Accent6 4 13" xfId="27508"/>
    <cellStyle name="40% - Accent6 4 13 2" xfId="27509"/>
    <cellStyle name="40% - Accent6 4 14" xfId="27510"/>
    <cellStyle name="40% - Accent6 4 15" xfId="27511"/>
    <cellStyle name="40% - Accent6 4 16" xfId="27512"/>
    <cellStyle name="40% - Accent6 4 2" xfId="2648"/>
    <cellStyle name="40% - Accent6 4 2 10" xfId="27513"/>
    <cellStyle name="40% - Accent6 4 2 10 2" xfId="27514"/>
    <cellStyle name="40% - Accent6 4 2 10 3" xfId="27515"/>
    <cellStyle name="40% - Accent6 4 2 11" xfId="27516"/>
    <cellStyle name="40% - Accent6 4 2 11 2" xfId="27517"/>
    <cellStyle name="40% - Accent6 4 2 11 3" xfId="27518"/>
    <cellStyle name="40% - Accent6 4 2 12" xfId="27519"/>
    <cellStyle name="40% - Accent6 4 2 12 2" xfId="27520"/>
    <cellStyle name="40% - Accent6 4 2 13" xfId="27521"/>
    <cellStyle name="40% - Accent6 4 2 14" xfId="27522"/>
    <cellStyle name="40% - Accent6 4 2 15" xfId="27523"/>
    <cellStyle name="40% - Accent6 4 2 2" xfId="2649"/>
    <cellStyle name="40% - Accent6 4 2 2 10" xfId="27524"/>
    <cellStyle name="40% - Accent6 4 2 2 10 2" xfId="27525"/>
    <cellStyle name="40% - Accent6 4 2 2 10 3" xfId="27526"/>
    <cellStyle name="40% - Accent6 4 2 2 11" xfId="27527"/>
    <cellStyle name="40% - Accent6 4 2 2 11 2" xfId="27528"/>
    <cellStyle name="40% - Accent6 4 2 2 12" xfId="27529"/>
    <cellStyle name="40% - Accent6 4 2 2 13" xfId="27530"/>
    <cellStyle name="40% - Accent6 4 2 2 2" xfId="2650"/>
    <cellStyle name="40% - Accent6 4 2 2 2 10" xfId="27531"/>
    <cellStyle name="40% - Accent6 4 2 2 2 10 2" xfId="27532"/>
    <cellStyle name="40% - Accent6 4 2 2 2 11" xfId="27533"/>
    <cellStyle name="40% - Accent6 4 2 2 2 12" xfId="27534"/>
    <cellStyle name="40% - Accent6 4 2 2 2 2" xfId="2651"/>
    <cellStyle name="40% - Accent6 4 2 2 2 2 10" xfId="27535"/>
    <cellStyle name="40% - Accent6 4 2 2 2 2 2" xfId="2652"/>
    <cellStyle name="40% - Accent6 4 2 2 2 2 2 2" xfId="27536"/>
    <cellStyle name="40% - Accent6 4 2 2 2 2 2 2 2" xfId="27537"/>
    <cellStyle name="40% - Accent6 4 2 2 2 2 2 2 2 2" xfId="27538"/>
    <cellStyle name="40% - Accent6 4 2 2 2 2 2 2 2 3" xfId="27539"/>
    <cellStyle name="40% - Accent6 4 2 2 2 2 2 2 3" xfId="27540"/>
    <cellStyle name="40% - Accent6 4 2 2 2 2 2 2 3 2" xfId="27541"/>
    <cellStyle name="40% - Accent6 4 2 2 2 2 2 2 3 3" xfId="27542"/>
    <cellStyle name="40% - Accent6 4 2 2 2 2 2 2 4" xfId="27543"/>
    <cellStyle name="40% - Accent6 4 2 2 2 2 2 2 4 2" xfId="27544"/>
    <cellStyle name="40% - Accent6 4 2 2 2 2 2 2 5" xfId="27545"/>
    <cellStyle name="40% - Accent6 4 2 2 2 2 2 2 6" xfId="27546"/>
    <cellStyle name="40% - Accent6 4 2 2 2 2 2 3" xfId="27547"/>
    <cellStyle name="40% - Accent6 4 2 2 2 2 2 3 2" xfId="27548"/>
    <cellStyle name="40% - Accent6 4 2 2 2 2 2 3 2 2" xfId="27549"/>
    <cellStyle name="40% - Accent6 4 2 2 2 2 2 3 2 3" xfId="27550"/>
    <cellStyle name="40% - Accent6 4 2 2 2 2 2 3 3" xfId="27551"/>
    <cellStyle name="40% - Accent6 4 2 2 2 2 2 3 3 2" xfId="27552"/>
    <cellStyle name="40% - Accent6 4 2 2 2 2 2 3 3 3" xfId="27553"/>
    <cellStyle name="40% - Accent6 4 2 2 2 2 2 3 4" xfId="27554"/>
    <cellStyle name="40% - Accent6 4 2 2 2 2 2 3 4 2" xfId="27555"/>
    <cellStyle name="40% - Accent6 4 2 2 2 2 2 3 5" xfId="27556"/>
    <cellStyle name="40% - Accent6 4 2 2 2 2 2 3 6" xfId="27557"/>
    <cellStyle name="40% - Accent6 4 2 2 2 2 2 4" xfId="27558"/>
    <cellStyle name="40% - Accent6 4 2 2 2 2 2 4 2" xfId="27559"/>
    <cellStyle name="40% - Accent6 4 2 2 2 2 2 4 2 2" xfId="27560"/>
    <cellStyle name="40% - Accent6 4 2 2 2 2 2 4 2 3" xfId="27561"/>
    <cellStyle name="40% - Accent6 4 2 2 2 2 2 4 3" xfId="27562"/>
    <cellStyle name="40% - Accent6 4 2 2 2 2 2 4 3 2" xfId="27563"/>
    <cellStyle name="40% - Accent6 4 2 2 2 2 2 4 4" xfId="27564"/>
    <cellStyle name="40% - Accent6 4 2 2 2 2 2 4 5" xfId="27565"/>
    <cellStyle name="40% - Accent6 4 2 2 2 2 2 5" xfId="27566"/>
    <cellStyle name="40% - Accent6 4 2 2 2 2 2 5 2" xfId="27567"/>
    <cellStyle name="40% - Accent6 4 2 2 2 2 2 5 3" xfId="27568"/>
    <cellStyle name="40% - Accent6 4 2 2 2 2 2 6" xfId="27569"/>
    <cellStyle name="40% - Accent6 4 2 2 2 2 2 6 2" xfId="27570"/>
    <cellStyle name="40% - Accent6 4 2 2 2 2 2 6 3" xfId="27571"/>
    <cellStyle name="40% - Accent6 4 2 2 2 2 2 7" xfId="27572"/>
    <cellStyle name="40% - Accent6 4 2 2 2 2 2 7 2" xfId="27573"/>
    <cellStyle name="40% - Accent6 4 2 2 2 2 2 8" xfId="27574"/>
    <cellStyle name="40% - Accent6 4 2 2 2 2 2 9" xfId="27575"/>
    <cellStyle name="40% - Accent6 4 2 2 2 2 3" xfId="27576"/>
    <cellStyle name="40% - Accent6 4 2 2 2 2 3 2" xfId="27577"/>
    <cellStyle name="40% - Accent6 4 2 2 2 2 3 2 2" xfId="27578"/>
    <cellStyle name="40% - Accent6 4 2 2 2 2 3 2 3" xfId="27579"/>
    <cellStyle name="40% - Accent6 4 2 2 2 2 3 3" xfId="27580"/>
    <cellStyle name="40% - Accent6 4 2 2 2 2 3 3 2" xfId="27581"/>
    <cellStyle name="40% - Accent6 4 2 2 2 2 3 3 3" xfId="27582"/>
    <cellStyle name="40% - Accent6 4 2 2 2 2 3 4" xfId="27583"/>
    <cellStyle name="40% - Accent6 4 2 2 2 2 3 4 2" xfId="27584"/>
    <cellStyle name="40% - Accent6 4 2 2 2 2 3 5" xfId="27585"/>
    <cellStyle name="40% - Accent6 4 2 2 2 2 3 6" xfId="27586"/>
    <cellStyle name="40% - Accent6 4 2 2 2 2 4" xfId="27587"/>
    <cellStyle name="40% - Accent6 4 2 2 2 2 4 2" xfId="27588"/>
    <cellStyle name="40% - Accent6 4 2 2 2 2 4 2 2" xfId="27589"/>
    <cellStyle name="40% - Accent6 4 2 2 2 2 4 2 3" xfId="27590"/>
    <cellStyle name="40% - Accent6 4 2 2 2 2 4 3" xfId="27591"/>
    <cellStyle name="40% - Accent6 4 2 2 2 2 4 3 2" xfId="27592"/>
    <cellStyle name="40% - Accent6 4 2 2 2 2 4 3 3" xfId="27593"/>
    <cellStyle name="40% - Accent6 4 2 2 2 2 4 4" xfId="27594"/>
    <cellStyle name="40% - Accent6 4 2 2 2 2 4 4 2" xfId="27595"/>
    <cellStyle name="40% - Accent6 4 2 2 2 2 4 5" xfId="27596"/>
    <cellStyle name="40% - Accent6 4 2 2 2 2 4 6" xfId="27597"/>
    <cellStyle name="40% - Accent6 4 2 2 2 2 5" xfId="27598"/>
    <cellStyle name="40% - Accent6 4 2 2 2 2 5 2" xfId="27599"/>
    <cellStyle name="40% - Accent6 4 2 2 2 2 5 2 2" xfId="27600"/>
    <cellStyle name="40% - Accent6 4 2 2 2 2 5 2 3" xfId="27601"/>
    <cellStyle name="40% - Accent6 4 2 2 2 2 5 3" xfId="27602"/>
    <cellStyle name="40% - Accent6 4 2 2 2 2 5 3 2" xfId="27603"/>
    <cellStyle name="40% - Accent6 4 2 2 2 2 5 4" xfId="27604"/>
    <cellStyle name="40% - Accent6 4 2 2 2 2 5 5" xfId="27605"/>
    <cellStyle name="40% - Accent6 4 2 2 2 2 6" xfId="27606"/>
    <cellStyle name="40% - Accent6 4 2 2 2 2 6 2" xfId="27607"/>
    <cellStyle name="40% - Accent6 4 2 2 2 2 6 3" xfId="27608"/>
    <cellStyle name="40% - Accent6 4 2 2 2 2 7" xfId="27609"/>
    <cellStyle name="40% - Accent6 4 2 2 2 2 7 2" xfId="27610"/>
    <cellStyle name="40% - Accent6 4 2 2 2 2 7 3" xfId="27611"/>
    <cellStyle name="40% - Accent6 4 2 2 2 2 8" xfId="27612"/>
    <cellStyle name="40% - Accent6 4 2 2 2 2 8 2" xfId="27613"/>
    <cellStyle name="40% - Accent6 4 2 2 2 2 9" xfId="27614"/>
    <cellStyle name="40% - Accent6 4 2 2 2 3" xfId="2653"/>
    <cellStyle name="40% - Accent6 4 2 2 2 3 2" xfId="27615"/>
    <cellStyle name="40% - Accent6 4 2 2 2 3 2 2" xfId="27616"/>
    <cellStyle name="40% - Accent6 4 2 2 2 3 2 2 2" xfId="27617"/>
    <cellStyle name="40% - Accent6 4 2 2 2 3 2 2 3" xfId="27618"/>
    <cellStyle name="40% - Accent6 4 2 2 2 3 2 3" xfId="27619"/>
    <cellStyle name="40% - Accent6 4 2 2 2 3 2 3 2" xfId="27620"/>
    <cellStyle name="40% - Accent6 4 2 2 2 3 2 3 3" xfId="27621"/>
    <cellStyle name="40% - Accent6 4 2 2 2 3 2 4" xfId="27622"/>
    <cellStyle name="40% - Accent6 4 2 2 2 3 2 4 2" xfId="27623"/>
    <cellStyle name="40% - Accent6 4 2 2 2 3 2 5" xfId="27624"/>
    <cellStyle name="40% - Accent6 4 2 2 2 3 2 6" xfId="27625"/>
    <cellStyle name="40% - Accent6 4 2 2 2 3 3" xfId="27626"/>
    <cellStyle name="40% - Accent6 4 2 2 2 3 3 2" xfId="27627"/>
    <cellStyle name="40% - Accent6 4 2 2 2 3 3 2 2" xfId="27628"/>
    <cellStyle name="40% - Accent6 4 2 2 2 3 3 2 3" xfId="27629"/>
    <cellStyle name="40% - Accent6 4 2 2 2 3 3 3" xfId="27630"/>
    <cellStyle name="40% - Accent6 4 2 2 2 3 3 3 2" xfId="27631"/>
    <cellStyle name="40% - Accent6 4 2 2 2 3 3 3 3" xfId="27632"/>
    <cellStyle name="40% - Accent6 4 2 2 2 3 3 4" xfId="27633"/>
    <cellStyle name="40% - Accent6 4 2 2 2 3 3 4 2" xfId="27634"/>
    <cellStyle name="40% - Accent6 4 2 2 2 3 3 5" xfId="27635"/>
    <cellStyle name="40% - Accent6 4 2 2 2 3 3 6" xfId="27636"/>
    <cellStyle name="40% - Accent6 4 2 2 2 3 4" xfId="27637"/>
    <cellStyle name="40% - Accent6 4 2 2 2 3 4 2" xfId="27638"/>
    <cellStyle name="40% - Accent6 4 2 2 2 3 4 2 2" xfId="27639"/>
    <cellStyle name="40% - Accent6 4 2 2 2 3 4 2 3" xfId="27640"/>
    <cellStyle name="40% - Accent6 4 2 2 2 3 4 3" xfId="27641"/>
    <cellStyle name="40% - Accent6 4 2 2 2 3 4 3 2" xfId="27642"/>
    <cellStyle name="40% - Accent6 4 2 2 2 3 4 4" xfId="27643"/>
    <cellStyle name="40% - Accent6 4 2 2 2 3 4 5" xfId="27644"/>
    <cellStyle name="40% - Accent6 4 2 2 2 3 5" xfId="27645"/>
    <cellStyle name="40% - Accent6 4 2 2 2 3 5 2" xfId="27646"/>
    <cellStyle name="40% - Accent6 4 2 2 2 3 5 3" xfId="27647"/>
    <cellStyle name="40% - Accent6 4 2 2 2 3 6" xfId="27648"/>
    <cellStyle name="40% - Accent6 4 2 2 2 3 6 2" xfId="27649"/>
    <cellStyle name="40% - Accent6 4 2 2 2 3 6 3" xfId="27650"/>
    <cellStyle name="40% - Accent6 4 2 2 2 3 7" xfId="27651"/>
    <cellStyle name="40% - Accent6 4 2 2 2 3 7 2" xfId="27652"/>
    <cellStyle name="40% - Accent6 4 2 2 2 3 8" xfId="27653"/>
    <cellStyle name="40% - Accent6 4 2 2 2 3 9" xfId="27654"/>
    <cellStyle name="40% - Accent6 4 2 2 2 4" xfId="27655"/>
    <cellStyle name="40% - Accent6 4 2 2 2 4 2" xfId="27656"/>
    <cellStyle name="40% - Accent6 4 2 2 2 4 2 2" xfId="27657"/>
    <cellStyle name="40% - Accent6 4 2 2 2 4 2 2 2" xfId="27658"/>
    <cellStyle name="40% - Accent6 4 2 2 2 4 2 2 3" xfId="27659"/>
    <cellStyle name="40% - Accent6 4 2 2 2 4 2 3" xfId="27660"/>
    <cellStyle name="40% - Accent6 4 2 2 2 4 2 3 2" xfId="27661"/>
    <cellStyle name="40% - Accent6 4 2 2 2 4 2 3 3" xfId="27662"/>
    <cellStyle name="40% - Accent6 4 2 2 2 4 2 4" xfId="27663"/>
    <cellStyle name="40% - Accent6 4 2 2 2 4 2 4 2" xfId="27664"/>
    <cellStyle name="40% - Accent6 4 2 2 2 4 2 5" xfId="27665"/>
    <cellStyle name="40% - Accent6 4 2 2 2 4 2 6" xfId="27666"/>
    <cellStyle name="40% - Accent6 4 2 2 2 4 3" xfId="27667"/>
    <cellStyle name="40% - Accent6 4 2 2 2 4 3 2" xfId="27668"/>
    <cellStyle name="40% - Accent6 4 2 2 2 4 3 2 2" xfId="27669"/>
    <cellStyle name="40% - Accent6 4 2 2 2 4 3 2 3" xfId="27670"/>
    <cellStyle name="40% - Accent6 4 2 2 2 4 3 3" xfId="27671"/>
    <cellStyle name="40% - Accent6 4 2 2 2 4 3 3 2" xfId="27672"/>
    <cellStyle name="40% - Accent6 4 2 2 2 4 3 3 3" xfId="27673"/>
    <cellStyle name="40% - Accent6 4 2 2 2 4 3 4" xfId="27674"/>
    <cellStyle name="40% - Accent6 4 2 2 2 4 3 4 2" xfId="27675"/>
    <cellStyle name="40% - Accent6 4 2 2 2 4 3 5" xfId="27676"/>
    <cellStyle name="40% - Accent6 4 2 2 2 4 3 6" xfId="27677"/>
    <cellStyle name="40% - Accent6 4 2 2 2 4 4" xfId="27678"/>
    <cellStyle name="40% - Accent6 4 2 2 2 4 4 2" xfId="27679"/>
    <cellStyle name="40% - Accent6 4 2 2 2 4 4 2 2" xfId="27680"/>
    <cellStyle name="40% - Accent6 4 2 2 2 4 4 2 3" xfId="27681"/>
    <cellStyle name="40% - Accent6 4 2 2 2 4 4 3" xfId="27682"/>
    <cellStyle name="40% - Accent6 4 2 2 2 4 4 3 2" xfId="27683"/>
    <cellStyle name="40% - Accent6 4 2 2 2 4 4 4" xfId="27684"/>
    <cellStyle name="40% - Accent6 4 2 2 2 4 4 5" xfId="27685"/>
    <cellStyle name="40% - Accent6 4 2 2 2 4 5" xfId="27686"/>
    <cellStyle name="40% - Accent6 4 2 2 2 4 5 2" xfId="27687"/>
    <cellStyle name="40% - Accent6 4 2 2 2 4 5 3" xfId="27688"/>
    <cellStyle name="40% - Accent6 4 2 2 2 4 6" xfId="27689"/>
    <cellStyle name="40% - Accent6 4 2 2 2 4 6 2" xfId="27690"/>
    <cellStyle name="40% - Accent6 4 2 2 2 4 6 3" xfId="27691"/>
    <cellStyle name="40% - Accent6 4 2 2 2 4 7" xfId="27692"/>
    <cellStyle name="40% - Accent6 4 2 2 2 4 7 2" xfId="27693"/>
    <cellStyle name="40% - Accent6 4 2 2 2 4 8" xfId="27694"/>
    <cellStyle name="40% - Accent6 4 2 2 2 4 9" xfId="27695"/>
    <cellStyle name="40% - Accent6 4 2 2 2 5" xfId="27696"/>
    <cellStyle name="40% - Accent6 4 2 2 2 5 2" xfId="27697"/>
    <cellStyle name="40% - Accent6 4 2 2 2 5 2 2" xfId="27698"/>
    <cellStyle name="40% - Accent6 4 2 2 2 5 2 3" xfId="27699"/>
    <cellStyle name="40% - Accent6 4 2 2 2 5 3" xfId="27700"/>
    <cellStyle name="40% - Accent6 4 2 2 2 5 3 2" xfId="27701"/>
    <cellStyle name="40% - Accent6 4 2 2 2 5 3 3" xfId="27702"/>
    <cellStyle name="40% - Accent6 4 2 2 2 5 4" xfId="27703"/>
    <cellStyle name="40% - Accent6 4 2 2 2 5 4 2" xfId="27704"/>
    <cellStyle name="40% - Accent6 4 2 2 2 5 5" xfId="27705"/>
    <cellStyle name="40% - Accent6 4 2 2 2 5 6" xfId="27706"/>
    <cellStyle name="40% - Accent6 4 2 2 2 6" xfId="27707"/>
    <cellStyle name="40% - Accent6 4 2 2 2 6 2" xfId="27708"/>
    <cellStyle name="40% - Accent6 4 2 2 2 6 2 2" xfId="27709"/>
    <cellStyle name="40% - Accent6 4 2 2 2 6 2 3" xfId="27710"/>
    <cellStyle name="40% - Accent6 4 2 2 2 6 3" xfId="27711"/>
    <cellStyle name="40% - Accent6 4 2 2 2 6 3 2" xfId="27712"/>
    <cellStyle name="40% - Accent6 4 2 2 2 6 3 3" xfId="27713"/>
    <cellStyle name="40% - Accent6 4 2 2 2 6 4" xfId="27714"/>
    <cellStyle name="40% - Accent6 4 2 2 2 6 4 2" xfId="27715"/>
    <cellStyle name="40% - Accent6 4 2 2 2 6 5" xfId="27716"/>
    <cellStyle name="40% - Accent6 4 2 2 2 6 6" xfId="27717"/>
    <cellStyle name="40% - Accent6 4 2 2 2 7" xfId="27718"/>
    <cellStyle name="40% - Accent6 4 2 2 2 7 2" xfId="27719"/>
    <cellStyle name="40% - Accent6 4 2 2 2 7 2 2" xfId="27720"/>
    <cellStyle name="40% - Accent6 4 2 2 2 7 2 3" xfId="27721"/>
    <cellStyle name="40% - Accent6 4 2 2 2 7 3" xfId="27722"/>
    <cellStyle name="40% - Accent6 4 2 2 2 7 3 2" xfId="27723"/>
    <cellStyle name="40% - Accent6 4 2 2 2 7 4" xfId="27724"/>
    <cellStyle name="40% - Accent6 4 2 2 2 7 5" xfId="27725"/>
    <cellStyle name="40% - Accent6 4 2 2 2 8" xfId="27726"/>
    <cellStyle name="40% - Accent6 4 2 2 2 8 2" xfId="27727"/>
    <cellStyle name="40% - Accent6 4 2 2 2 8 3" xfId="27728"/>
    <cellStyle name="40% - Accent6 4 2 2 2 9" xfId="27729"/>
    <cellStyle name="40% - Accent6 4 2 2 2 9 2" xfId="27730"/>
    <cellStyle name="40% - Accent6 4 2 2 2 9 3" xfId="27731"/>
    <cellStyle name="40% - Accent6 4 2 2 3" xfId="2654"/>
    <cellStyle name="40% - Accent6 4 2 2 3 10" xfId="27732"/>
    <cellStyle name="40% - Accent6 4 2 2 3 2" xfId="2655"/>
    <cellStyle name="40% - Accent6 4 2 2 3 2 2" xfId="27733"/>
    <cellStyle name="40% - Accent6 4 2 2 3 2 2 2" xfId="27734"/>
    <cellStyle name="40% - Accent6 4 2 2 3 2 2 2 2" xfId="27735"/>
    <cellStyle name="40% - Accent6 4 2 2 3 2 2 2 3" xfId="27736"/>
    <cellStyle name="40% - Accent6 4 2 2 3 2 2 3" xfId="27737"/>
    <cellStyle name="40% - Accent6 4 2 2 3 2 2 3 2" xfId="27738"/>
    <cellStyle name="40% - Accent6 4 2 2 3 2 2 3 3" xfId="27739"/>
    <cellStyle name="40% - Accent6 4 2 2 3 2 2 4" xfId="27740"/>
    <cellStyle name="40% - Accent6 4 2 2 3 2 2 4 2" xfId="27741"/>
    <cellStyle name="40% - Accent6 4 2 2 3 2 2 5" xfId="27742"/>
    <cellStyle name="40% - Accent6 4 2 2 3 2 2 6" xfId="27743"/>
    <cellStyle name="40% - Accent6 4 2 2 3 2 3" xfId="27744"/>
    <cellStyle name="40% - Accent6 4 2 2 3 2 3 2" xfId="27745"/>
    <cellStyle name="40% - Accent6 4 2 2 3 2 3 2 2" xfId="27746"/>
    <cellStyle name="40% - Accent6 4 2 2 3 2 3 2 3" xfId="27747"/>
    <cellStyle name="40% - Accent6 4 2 2 3 2 3 3" xfId="27748"/>
    <cellStyle name="40% - Accent6 4 2 2 3 2 3 3 2" xfId="27749"/>
    <cellStyle name="40% - Accent6 4 2 2 3 2 3 3 3" xfId="27750"/>
    <cellStyle name="40% - Accent6 4 2 2 3 2 3 4" xfId="27751"/>
    <cellStyle name="40% - Accent6 4 2 2 3 2 3 4 2" xfId="27752"/>
    <cellStyle name="40% - Accent6 4 2 2 3 2 3 5" xfId="27753"/>
    <cellStyle name="40% - Accent6 4 2 2 3 2 3 6" xfId="27754"/>
    <cellStyle name="40% - Accent6 4 2 2 3 2 4" xfId="27755"/>
    <cellStyle name="40% - Accent6 4 2 2 3 2 4 2" xfId="27756"/>
    <cellStyle name="40% - Accent6 4 2 2 3 2 4 2 2" xfId="27757"/>
    <cellStyle name="40% - Accent6 4 2 2 3 2 4 2 3" xfId="27758"/>
    <cellStyle name="40% - Accent6 4 2 2 3 2 4 3" xfId="27759"/>
    <cellStyle name="40% - Accent6 4 2 2 3 2 4 3 2" xfId="27760"/>
    <cellStyle name="40% - Accent6 4 2 2 3 2 4 4" xfId="27761"/>
    <cellStyle name="40% - Accent6 4 2 2 3 2 4 5" xfId="27762"/>
    <cellStyle name="40% - Accent6 4 2 2 3 2 5" xfId="27763"/>
    <cellStyle name="40% - Accent6 4 2 2 3 2 5 2" xfId="27764"/>
    <cellStyle name="40% - Accent6 4 2 2 3 2 5 3" xfId="27765"/>
    <cellStyle name="40% - Accent6 4 2 2 3 2 6" xfId="27766"/>
    <cellStyle name="40% - Accent6 4 2 2 3 2 6 2" xfId="27767"/>
    <cellStyle name="40% - Accent6 4 2 2 3 2 6 3" xfId="27768"/>
    <cellStyle name="40% - Accent6 4 2 2 3 2 7" xfId="27769"/>
    <cellStyle name="40% - Accent6 4 2 2 3 2 7 2" xfId="27770"/>
    <cellStyle name="40% - Accent6 4 2 2 3 2 8" xfId="27771"/>
    <cellStyle name="40% - Accent6 4 2 2 3 2 9" xfId="27772"/>
    <cellStyle name="40% - Accent6 4 2 2 3 3" xfId="27773"/>
    <cellStyle name="40% - Accent6 4 2 2 3 3 2" xfId="27774"/>
    <cellStyle name="40% - Accent6 4 2 2 3 3 2 2" xfId="27775"/>
    <cellStyle name="40% - Accent6 4 2 2 3 3 2 3" xfId="27776"/>
    <cellStyle name="40% - Accent6 4 2 2 3 3 3" xfId="27777"/>
    <cellStyle name="40% - Accent6 4 2 2 3 3 3 2" xfId="27778"/>
    <cellStyle name="40% - Accent6 4 2 2 3 3 3 3" xfId="27779"/>
    <cellStyle name="40% - Accent6 4 2 2 3 3 4" xfId="27780"/>
    <cellStyle name="40% - Accent6 4 2 2 3 3 4 2" xfId="27781"/>
    <cellStyle name="40% - Accent6 4 2 2 3 3 5" xfId="27782"/>
    <cellStyle name="40% - Accent6 4 2 2 3 3 6" xfId="27783"/>
    <cellStyle name="40% - Accent6 4 2 2 3 4" xfId="27784"/>
    <cellStyle name="40% - Accent6 4 2 2 3 4 2" xfId="27785"/>
    <cellStyle name="40% - Accent6 4 2 2 3 4 2 2" xfId="27786"/>
    <cellStyle name="40% - Accent6 4 2 2 3 4 2 3" xfId="27787"/>
    <cellStyle name="40% - Accent6 4 2 2 3 4 3" xfId="27788"/>
    <cellStyle name="40% - Accent6 4 2 2 3 4 3 2" xfId="27789"/>
    <cellStyle name="40% - Accent6 4 2 2 3 4 3 3" xfId="27790"/>
    <cellStyle name="40% - Accent6 4 2 2 3 4 4" xfId="27791"/>
    <cellStyle name="40% - Accent6 4 2 2 3 4 4 2" xfId="27792"/>
    <cellStyle name="40% - Accent6 4 2 2 3 4 5" xfId="27793"/>
    <cellStyle name="40% - Accent6 4 2 2 3 4 6" xfId="27794"/>
    <cellStyle name="40% - Accent6 4 2 2 3 5" xfId="27795"/>
    <cellStyle name="40% - Accent6 4 2 2 3 5 2" xfId="27796"/>
    <cellStyle name="40% - Accent6 4 2 2 3 5 2 2" xfId="27797"/>
    <cellStyle name="40% - Accent6 4 2 2 3 5 2 3" xfId="27798"/>
    <cellStyle name="40% - Accent6 4 2 2 3 5 3" xfId="27799"/>
    <cellStyle name="40% - Accent6 4 2 2 3 5 3 2" xfId="27800"/>
    <cellStyle name="40% - Accent6 4 2 2 3 5 4" xfId="27801"/>
    <cellStyle name="40% - Accent6 4 2 2 3 5 5" xfId="27802"/>
    <cellStyle name="40% - Accent6 4 2 2 3 6" xfId="27803"/>
    <cellStyle name="40% - Accent6 4 2 2 3 6 2" xfId="27804"/>
    <cellStyle name="40% - Accent6 4 2 2 3 6 3" xfId="27805"/>
    <cellStyle name="40% - Accent6 4 2 2 3 7" xfId="27806"/>
    <cellStyle name="40% - Accent6 4 2 2 3 7 2" xfId="27807"/>
    <cellStyle name="40% - Accent6 4 2 2 3 7 3" xfId="27808"/>
    <cellStyle name="40% - Accent6 4 2 2 3 8" xfId="27809"/>
    <cellStyle name="40% - Accent6 4 2 2 3 8 2" xfId="27810"/>
    <cellStyle name="40% - Accent6 4 2 2 3 9" xfId="27811"/>
    <cellStyle name="40% - Accent6 4 2 2 4" xfId="2656"/>
    <cellStyle name="40% - Accent6 4 2 2 4 2" xfId="27812"/>
    <cellStyle name="40% - Accent6 4 2 2 4 2 2" xfId="27813"/>
    <cellStyle name="40% - Accent6 4 2 2 4 2 2 2" xfId="27814"/>
    <cellStyle name="40% - Accent6 4 2 2 4 2 2 3" xfId="27815"/>
    <cellStyle name="40% - Accent6 4 2 2 4 2 3" xfId="27816"/>
    <cellStyle name="40% - Accent6 4 2 2 4 2 3 2" xfId="27817"/>
    <cellStyle name="40% - Accent6 4 2 2 4 2 3 3" xfId="27818"/>
    <cellStyle name="40% - Accent6 4 2 2 4 2 4" xfId="27819"/>
    <cellStyle name="40% - Accent6 4 2 2 4 2 4 2" xfId="27820"/>
    <cellStyle name="40% - Accent6 4 2 2 4 2 5" xfId="27821"/>
    <cellStyle name="40% - Accent6 4 2 2 4 2 6" xfId="27822"/>
    <cellStyle name="40% - Accent6 4 2 2 4 3" xfId="27823"/>
    <cellStyle name="40% - Accent6 4 2 2 4 3 2" xfId="27824"/>
    <cellStyle name="40% - Accent6 4 2 2 4 3 2 2" xfId="27825"/>
    <cellStyle name="40% - Accent6 4 2 2 4 3 2 3" xfId="27826"/>
    <cellStyle name="40% - Accent6 4 2 2 4 3 3" xfId="27827"/>
    <cellStyle name="40% - Accent6 4 2 2 4 3 3 2" xfId="27828"/>
    <cellStyle name="40% - Accent6 4 2 2 4 3 3 3" xfId="27829"/>
    <cellStyle name="40% - Accent6 4 2 2 4 3 4" xfId="27830"/>
    <cellStyle name="40% - Accent6 4 2 2 4 3 4 2" xfId="27831"/>
    <cellStyle name="40% - Accent6 4 2 2 4 3 5" xfId="27832"/>
    <cellStyle name="40% - Accent6 4 2 2 4 3 6" xfId="27833"/>
    <cellStyle name="40% - Accent6 4 2 2 4 4" xfId="27834"/>
    <cellStyle name="40% - Accent6 4 2 2 4 4 2" xfId="27835"/>
    <cellStyle name="40% - Accent6 4 2 2 4 4 2 2" xfId="27836"/>
    <cellStyle name="40% - Accent6 4 2 2 4 4 2 3" xfId="27837"/>
    <cellStyle name="40% - Accent6 4 2 2 4 4 3" xfId="27838"/>
    <cellStyle name="40% - Accent6 4 2 2 4 4 3 2" xfId="27839"/>
    <cellStyle name="40% - Accent6 4 2 2 4 4 4" xfId="27840"/>
    <cellStyle name="40% - Accent6 4 2 2 4 4 5" xfId="27841"/>
    <cellStyle name="40% - Accent6 4 2 2 4 5" xfId="27842"/>
    <cellStyle name="40% - Accent6 4 2 2 4 5 2" xfId="27843"/>
    <cellStyle name="40% - Accent6 4 2 2 4 5 3" xfId="27844"/>
    <cellStyle name="40% - Accent6 4 2 2 4 6" xfId="27845"/>
    <cellStyle name="40% - Accent6 4 2 2 4 6 2" xfId="27846"/>
    <cellStyle name="40% - Accent6 4 2 2 4 6 3" xfId="27847"/>
    <cellStyle name="40% - Accent6 4 2 2 4 7" xfId="27848"/>
    <cellStyle name="40% - Accent6 4 2 2 4 7 2" xfId="27849"/>
    <cellStyle name="40% - Accent6 4 2 2 4 8" xfId="27850"/>
    <cellStyle name="40% - Accent6 4 2 2 4 9" xfId="27851"/>
    <cellStyle name="40% - Accent6 4 2 2 5" xfId="27852"/>
    <cellStyle name="40% - Accent6 4 2 2 5 2" xfId="27853"/>
    <cellStyle name="40% - Accent6 4 2 2 5 2 2" xfId="27854"/>
    <cellStyle name="40% - Accent6 4 2 2 5 2 2 2" xfId="27855"/>
    <cellStyle name="40% - Accent6 4 2 2 5 2 2 3" xfId="27856"/>
    <cellStyle name="40% - Accent6 4 2 2 5 2 3" xfId="27857"/>
    <cellStyle name="40% - Accent6 4 2 2 5 2 3 2" xfId="27858"/>
    <cellStyle name="40% - Accent6 4 2 2 5 2 3 3" xfId="27859"/>
    <cellStyle name="40% - Accent6 4 2 2 5 2 4" xfId="27860"/>
    <cellStyle name="40% - Accent6 4 2 2 5 2 4 2" xfId="27861"/>
    <cellStyle name="40% - Accent6 4 2 2 5 2 5" xfId="27862"/>
    <cellStyle name="40% - Accent6 4 2 2 5 2 6" xfId="27863"/>
    <cellStyle name="40% - Accent6 4 2 2 5 3" xfId="27864"/>
    <cellStyle name="40% - Accent6 4 2 2 5 3 2" xfId="27865"/>
    <cellStyle name="40% - Accent6 4 2 2 5 3 2 2" xfId="27866"/>
    <cellStyle name="40% - Accent6 4 2 2 5 3 2 3" xfId="27867"/>
    <cellStyle name="40% - Accent6 4 2 2 5 3 3" xfId="27868"/>
    <cellStyle name="40% - Accent6 4 2 2 5 3 3 2" xfId="27869"/>
    <cellStyle name="40% - Accent6 4 2 2 5 3 3 3" xfId="27870"/>
    <cellStyle name="40% - Accent6 4 2 2 5 3 4" xfId="27871"/>
    <cellStyle name="40% - Accent6 4 2 2 5 3 4 2" xfId="27872"/>
    <cellStyle name="40% - Accent6 4 2 2 5 3 5" xfId="27873"/>
    <cellStyle name="40% - Accent6 4 2 2 5 3 6" xfId="27874"/>
    <cellStyle name="40% - Accent6 4 2 2 5 4" xfId="27875"/>
    <cellStyle name="40% - Accent6 4 2 2 5 4 2" xfId="27876"/>
    <cellStyle name="40% - Accent6 4 2 2 5 4 2 2" xfId="27877"/>
    <cellStyle name="40% - Accent6 4 2 2 5 4 2 3" xfId="27878"/>
    <cellStyle name="40% - Accent6 4 2 2 5 4 3" xfId="27879"/>
    <cellStyle name="40% - Accent6 4 2 2 5 4 3 2" xfId="27880"/>
    <cellStyle name="40% - Accent6 4 2 2 5 4 4" xfId="27881"/>
    <cellStyle name="40% - Accent6 4 2 2 5 4 5" xfId="27882"/>
    <cellStyle name="40% - Accent6 4 2 2 5 5" xfId="27883"/>
    <cellStyle name="40% - Accent6 4 2 2 5 5 2" xfId="27884"/>
    <cellStyle name="40% - Accent6 4 2 2 5 5 3" xfId="27885"/>
    <cellStyle name="40% - Accent6 4 2 2 5 6" xfId="27886"/>
    <cellStyle name="40% - Accent6 4 2 2 5 6 2" xfId="27887"/>
    <cellStyle name="40% - Accent6 4 2 2 5 6 3" xfId="27888"/>
    <cellStyle name="40% - Accent6 4 2 2 5 7" xfId="27889"/>
    <cellStyle name="40% - Accent6 4 2 2 5 7 2" xfId="27890"/>
    <cellStyle name="40% - Accent6 4 2 2 5 8" xfId="27891"/>
    <cellStyle name="40% - Accent6 4 2 2 5 9" xfId="27892"/>
    <cellStyle name="40% - Accent6 4 2 2 6" xfId="27893"/>
    <cellStyle name="40% - Accent6 4 2 2 6 2" xfId="27894"/>
    <cellStyle name="40% - Accent6 4 2 2 6 2 2" xfId="27895"/>
    <cellStyle name="40% - Accent6 4 2 2 6 2 3" xfId="27896"/>
    <cellStyle name="40% - Accent6 4 2 2 6 3" xfId="27897"/>
    <cellStyle name="40% - Accent6 4 2 2 6 3 2" xfId="27898"/>
    <cellStyle name="40% - Accent6 4 2 2 6 3 3" xfId="27899"/>
    <cellStyle name="40% - Accent6 4 2 2 6 4" xfId="27900"/>
    <cellStyle name="40% - Accent6 4 2 2 6 4 2" xfId="27901"/>
    <cellStyle name="40% - Accent6 4 2 2 6 5" xfId="27902"/>
    <cellStyle name="40% - Accent6 4 2 2 6 6" xfId="27903"/>
    <cellStyle name="40% - Accent6 4 2 2 7" xfId="27904"/>
    <cellStyle name="40% - Accent6 4 2 2 7 2" xfId="27905"/>
    <cellStyle name="40% - Accent6 4 2 2 7 2 2" xfId="27906"/>
    <cellStyle name="40% - Accent6 4 2 2 7 2 3" xfId="27907"/>
    <cellStyle name="40% - Accent6 4 2 2 7 3" xfId="27908"/>
    <cellStyle name="40% - Accent6 4 2 2 7 3 2" xfId="27909"/>
    <cellStyle name="40% - Accent6 4 2 2 7 3 3" xfId="27910"/>
    <cellStyle name="40% - Accent6 4 2 2 7 4" xfId="27911"/>
    <cellStyle name="40% - Accent6 4 2 2 7 4 2" xfId="27912"/>
    <cellStyle name="40% - Accent6 4 2 2 7 5" xfId="27913"/>
    <cellStyle name="40% - Accent6 4 2 2 7 6" xfId="27914"/>
    <cellStyle name="40% - Accent6 4 2 2 8" xfId="27915"/>
    <cellStyle name="40% - Accent6 4 2 2 8 2" xfId="27916"/>
    <cellStyle name="40% - Accent6 4 2 2 8 2 2" xfId="27917"/>
    <cellStyle name="40% - Accent6 4 2 2 8 2 3" xfId="27918"/>
    <cellStyle name="40% - Accent6 4 2 2 8 3" xfId="27919"/>
    <cellStyle name="40% - Accent6 4 2 2 8 3 2" xfId="27920"/>
    <cellStyle name="40% - Accent6 4 2 2 8 4" xfId="27921"/>
    <cellStyle name="40% - Accent6 4 2 2 8 5" xfId="27922"/>
    <cellStyle name="40% - Accent6 4 2 2 9" xfId="27923"/>
    <cellStyle name="40% - Accent6 4 2 2 9 2" xfId="27924"/>
    <cellStyle name="40% - Accent6 4 2 2 9 3" xfId="27925"/>
    <cellStyle name="40% - Accent6 4 2 3" xfId="2657"/>
    <cellStyle name="40% - Accent6 4 2 3 10" xfId="27926"/>
    <cellStyle name="40% - Accent6 4 2 3 10 2" xfId="27927"/>
    <cellStyle name="40% - Accent6 4 2 3 11" xfId="27928"/>
    <cellStyle name="40% - Accent6 4 2 3 12" xfId="27929"/>
    <cellStyle name="40% - Accent6 4 2 3 2" xfId="2658"/>
    <cellStyle name="40% - Accent6 4 2 3 2 10" xfId="27930"/>
    <cellStyle name="40% - Accent6 4 2 3 2 2" xfId="2659"/>
    <cellStyle name="40% - Accent6 4 2 3 2 2 2" xfId="27931"/>
    <cellStyle name="40% - Accent6 4 2 3 2 2 2 2" xfId="27932"/>
    <cellStyle name="40% - Accent6 4 2 3 2 2 2 2 2" xfId="27933"/>
    <cellStyle name="40% - Accent6 4 2 3 2 2 2 2 3" xfId="27934"/>
    <cellStyle name="40% - Accent6 4 2 3 2 2 2 3" xfId="27935"/>
    <cellStyle name="40% - Accent6 4 2 3 2 2 2 3 2" xfId="27936"/>
    <cellStyle name="40% - Accent6 4 2 3 2 2 2 3 3" xfId="27937"/>
    <cellStyle name="40% - Accent6 4 2 3 2 2 2 4" xfId="27938"/>
    <cellStyle name="40% - Accent6 4 2 3 2 2 2 4 2" xfId="27939"/>
    <cellStyle name="40% - Accent6 4 2 3 2 2 2 5" xfId="27940"/>
    <cellStyle name="40% - Accent6 4 2 3 2 2 2 6" xfId="27941"/>
    <cellStyle name="40% - Accent6 4 2 3 2 2 3" xfId="27942"/>
    <cellStyle name="40% - Accent6 4 2 3 2 2 3 2" xfId="27943"/>
    <cellStyle name="40% - Accent6 4 2 3 2 2 3 2 2" xfId="27944"/>
    <cellStyle name="40% - Accent6 4 2 3 2 2 3 2 3" xfId="27945"/>
    <cellStyle name="40% - Accent6 4 2 3 2 2 3 3" xfId="27946"/>
    <cellStyle name="40% - Accent6 4 2 3 2 2 3 3 2" xfId="27947"/>
    <cellStyle name="40% - Accent6 4 2 3 2 2 3 3 3" xfId="27948"/>
    <cellStyle name="40% - Accent6 4 2 3 2 2 3 4" xfId="27949"/>
    <cellStyle name="40% - Accent6 4 2 3 2 2 3 4 2" xfId="27950"/>
    <cellStyle name="40% - Accent6 4 2 3 2 2 3 5" xfId="27951"/>
    <cellStyle name="40% - Accent6 4 2 3 2 2 3 6" xfId="27952"/>
    <cellStyle name="40% - Accent6 4 2 3 2 2 4" xfId="27953"/>
    <cellStyle name="40% - Accent6 4 2 3 2 2 4 2" xfId="27954"/>
    <cellStyle name="40% - Accent6 4 2 3 2 2 4 2 2" xfId="27955"/>
    <cellStyle name="40% - Accent6 4 2 3 2 2 4 2 3" xfId="27956"/>
    <cellStyle name="40% - Accent6 4 2 3 2 2 4 3" xfId="27957"/>
    <cellStyle name="40% - Accent6 4 2 3 2 2 4 3 2" xfId="27958"/>
    <cellStyle name="40% - Accent6 4 2 3 2 2 4 4" xfId="27959"/>
    <cellStyle name="40% - Accent6 4 2 3 2 2 4 5" xfId="27960"/>
    <cellStyle name="40% - Accent6 4 2 3 2 2 5" xfId="27961"/>
    <cellStyle name="40% - Accent6 4 2 3 2 2 5 2" xfId="27962"/>
    <cellStyle name="40% - Accent6 4 2 3 2 2 5 3" xfId="27963"/>
    <cellStyle name="40% - Accent6 4 2 3 2 2 6" xfId="27964"/>
    <cellStyle name="40% - Accent6 4 2 3 2 2 6 2" xfId="27965"/>
    <cellStyle name="40% - Accent6 4 2 3 2 2 6 3" xfId="27966"/>
    <cellStyle name="40% - Accent6 4 2 3 2 2 7" xfId="27967"/>
    <cellStyle name="40% - Accent6 4 2 3 2 2 7 2" xfId="27968"/>
    <cellStyle name="40% - Accent6 4 2 3 2 2 8" xfId="27969"/>
    <cellStyle name="40% - Accent6 4 2 3 2 2 9" xfId="27970"/>
    <cellStyle name="40% - Accent6 4 2 3 2 3" xfId="27971"/>
    <cellStyle name="40% - Accent6 4 2 3 2 3 2" xfId="27972"/>
    <cellStyle name="40% - Accent6 4 2 3 2 3 2 2" xfId="27973"/>
    <cellStyle name="40% - Accent6 4 2 3 2 3 2 3" xfId="27974"/>
    <cellStyle name="40% - Accent6 4 2 3 2 3 3" xfId="27975"/>
    <cellStyle name="40% - Accent6 4 2 3 2 3 3 2" xfId="27976"/>
    <cellStyle name="40% - Accent6 4 2 3 2 3 3 3" xfId="27977"/>
    <cellStyle name="40% - Accent6 4 2 3 2 3 4" xfId="27978"/>
    <cellStyle name="40% - Accent6 4 2 3 2 3 4 2" xfId="27979"/>
    <cellStyle name="40% - Accent6 4 2 3 2 3 5" xfId="27980"/>
    <cellStyle name="40% - Accent6 4 2 3 2 3 6" xfId="27981"/>
    <cellStyle name="40% - Accent6 4 2 3 2 4" xfId="27982"/>
    <cellStyle name="40% - Accent6 4 2 3 2 4 2" xfId="27983"/>
    <cellStyle name="40% - Accent6 4 2 3 2 4 2 2" xfId="27984"/>
    <cellStyle name="40% - Accent6 4 2 3 2 4 2 3" xfId="27985"/>
    <cellStyle name="40% - Accent6 4 2 3 2 4 3" xfId="27986"/>
    <cellStyle name="40% - Accent6 4 2 3 2 4 3 2" xfId="27987"/>
    <cellStyle name="40% - Accent6 4 2 3 2 4 3 3" xfId="27988"/>
    <cellStyle name="40% - Accent6 4 2 3 2 4 4" xfId="27989"/>
    <cellStyle name="40% - Accent6 4 2 3 2 4 4 2" xfId="27990"/>
    <cellStyle name="40% - Accent6 4 2 3 2 4 5" xfId="27991"/>
    <cellStyle name="40% - Accent6 4 2 3 2 4 6" xfId="27992"/>
    <cellStyle name="40% - Accent6 4 2 3 2 5" xfId="27993"/>
    <cellStyle name="40% - Accent6 4 2 3 2 5 2" xfId="27994"/>
    <cellStyle name="40% - Accent6 4 2 3 2 5 2 2" xfId="27995"/>
    <cellStyle name="40% - Accent6 4 2 3 2 5 2 3" xfId="27996"/>
    <cellStyle name="40% - Accent6 4 2 3 2 5 3" xfId="27997"/>
    <cellStyle name="40% - Accent6 4 2 3 2 5 3 2" xfId="27998"/>
    <cellStyle name="40% - Accent6 4 2 3 2 5 4" xfId="27999"/>
    <cellStyle name="40% - Accent6 4 2 3 2 5 5" xfId="28000"/>
    <cellStyle name="40% - Accent6 4 2 3 2 6" xfId="28001"/>
    <cellStyle name="40% - Accent6 4 2 3 2 6 2" xfId="28002"/>
    <cellStyle name="40% - Accent6 4 2 3 2 6 3" xfId="28003"/>
    <cellStyle name="40% - Accent6 4 2 3 2 7" xfId="28004"/>
    <cellStyle name="40% - Accent6 4 2 3 2 7 2" xfId="28005"/>
    <cellStyle name="40% - Accent6 4 2 3 2 7 3" xfId="28006"/>
    <cellStyle name="40% - Accent6 4 2 3 2 8" xfId="28007"/>
    <cellStyle name="40% - Accent6 4 2 3 2 8 2" xfId="28008"/>
    <cellStyle name="40% - Accent6 4 2 3 2 9" xfId="28009"/>
    <cellStyle name="40% - Accent6 4 2 3 3" xfId="2660"/>
    <cellStyle name="40% - Accent6 4 2 3 3 2" xfId="28010"/>
    <cellStyle name="40% - Accent6 4 2 3 3 2 2" xfId="28011"/>
    <cellStyle name="40% - Accent6 4 2 3 3 2 2 2" xfId="28012"/>
    <cellStyle name="40% - Accent6 4 2 3 3 2 2 3" xfId="28013"/>
    <cellStyle name="40% - Accent6 4 2 3 3 2 3" xfId="28014"/>
    <cellStyle name="40% - Accent6 4 2 3 3 2 3 2" xfId="28015"/>
    <cellStyle name="40% - Accent6 4 2 3 3 2 3 3" xfId="28016"/>
    <cellStyle name="40% - Accent6 4 2 3 3 2 4" xfId="28017"/>
    <cellStyle name="40% - Accent6 4 2 3 3 2 4 2" xfId="28018"/>
    <cellStyle name="40% - Accent6 4 2 3 3 2 5" xfId="28019"/>
    <cellStyle name="40% - Accent6 4 2 3 3 2 6" xfId="28020"/>
    <cellStyle name="40% - Accent6 4 2 3 3 3" xfId="28021"/>
    <cellStyle name="40% - Accent6 4 2 3 3 3 2" xfId="28022"/>
    <cellStyle name="40% - Accent6 4 2 3 3 3 2 2" xfId="28023"/>
    <cellStyle name="40% - Accent6 4 2 3 3 3 2 3" xfId="28024"/>
    <cellStyle name="40% - Accent6 4 2 3 3 3 3" xfId="28025"/>
    <cellStyle name="40% - Accent6 4 2 3 3 3 3 2" xfId="28026"/>
    <cellStyle name="40% - Accent6 4 2 3 3 3 3 3" xfId="28027"/>
    <cellStyle name="40% - Accent6 4 2 3 3 3 4" xfId="28028"/>
    <cellStyle name="40% - Accent6 4 2 3 3 3 4 2" xfId="28029"/>
    <cellStyle name="40% - Accent6 4 2 3 3 3 5" xfId="28030"/>
    <cellStyle name="40% - Accent6 4 2 3 3 3 6" xfId="28031"/>
    <cellStyle name="40% - Accent6 4 2 3 3 4" xfId="28032"/>
    <cellStyle name="40% - Accent6 4 2 3 3 4 2" xfId="28033"/>
    <cellStyle name="40% - Accent6 4 2 3 3 4 2 2" xfId="28034"/>
    <cellStyle name="40% - Accent6 4 2 3 3 4 2 3" xfId="28035"/>
    <cellStyle name="40% - Accent6 4 2 3 3 4 3" xfId="28036"/>
    <cellStyle name="40% - Accent6 4 2 3 3 4 3 2" xfId="28037"/>
    <cellStyle name="40% - Accent6 4 2 3 3 4 4" xfId="28038"/>
    <cellStyle name="40% - Accent6 4 2 3 3 4 5" xfId="28039"/>
    <cellStyle name="40% - Accent6 4 2 3 3 5" xfId="28040"/>
    <cellStyle name="40% - Accent6 4 2 3 3 5 2" xfId="28041"/>
    <cellStyle name="40% - Accent6 4 2 3 3 5 3" xfId="28042"/>
    <cellStyle name="40% - Accent6 4 2 3 3 6" xfId="28043"/>
    <cellStyle name="40% - Accent6 4 2 3 3 6 2" xfId="28044"/>
    <cellStyle name="40% - Accent6 4 2 3 3 6 3" xfId="28045"/>
    <cellStyle name="40% - Accent6 4 2 3 3 7" xfId="28046"/>
    <cellStyle name="40% - Accent6 4 2 3 3 7 2" xfId="28047"/>
    <cellStyle name="40% - Accent6 4 2 3 3 8" xfId="28048"/>
    <cellStyle name="40% - Accent6 4 2 3 3 9" xfId="28049"/>
    <cellStyle name="40% - Accent6 4 2 3 4" xfId="28050"/>
    <cellStyle name="40% - Accent6 4 2 3 4 2" xfId="28051"/>
    <cellStyle name="40% - Accent6 4 2 3 4 2 2" xfId="28052"/>
    <cellStyle name="40% - Accent6 4 2 3 4 2 2 2" xfId="28053"/>
    <cellStyle name="40% - Accent6 4 2 3 4 2 2 3" xfId="28054"/>
    <cellStyle name="40% - Accent6 4 2 3 4 2 3" xfId="28055"/>
    <cellStyle name="40% - Accent6 4 2 3 4 2 3 2" xfId="28056"/>
    <cellStyle name="40% - Accent6 4 2 3 4 2 3 3" xfId="28057"/>
    <cellStyle name="40% - Accent6 4 2 3 4 2 4" xfId="28058"/>
    <cellStyle name="40% - Accent6 4 2 3 4 2 4 2" xfId="28059"/>
    <cellStyle name="40% - Accent6 4 2 3 4 2 5" xfId="28060"/>
    <cellStyle name="40% - Accent6 4 2 3 4 2 6" xfId="28061"/>
    <cellStyle name="40% - Accent6 4 2 3 4 3" xfId="28062"/>
    <cellStyle name="40% - Accent6 4 2 3 4 3 2" xfId="28063"/>
    <cellStyle name="40% - Accent6 4 2 3 4 3 2 2" xfId="28064"/>
    <cellStyle name="40% - Accent6 4 2 3 4 3 2 3" xfId="28065"/>
    <cellStyle name="40% - Accent6 4 2 3 4 3 3" xfId="28066"/>
    <cellStyle name="40% - Accent6 4 2 3 4 3 3 2" xfId="28067"/>
    <cellStyle name="40% - Accent6 4 2 3 4 3 3 3" xfId="28068"/>
    <cellStyle name="40% - Accent6 4 2 3 4 3 4" xfId="28069"/>
    <cellStyle name="40% - Accent6 4 2 3 4 3 4 2" xfId="28070"/>
    <cellStyle name="40% - Accent6 4 2 3 4 3 5" xfId="28071"/>
    <cellStyle name="40% - Accent6 4 2 3 4 3 6" xfId="28072"/>
    <cellStyle name="40% - Accent6 4 2 3 4 4" xfId="28073"/>
    <cellStyle name="40% - Accent6 4 2 3 4 4 2" xfId="28074"/>
    <cellStyle name="40% - Accent6 4 2 3 4 4 2 2" xfId="28075"/>
    <cellStyle name="40% - Accent6 4 2 3 4 4 2 3" xfId="28076"/>
    <cellStyle name="40% - Accent6 4 2 3 4 4 3" xfId="28077"/>
    <cellStyle name="40% - Accent6 4 2 3 4 4 3 2" xfId="28078"/>
    <cellStyle name="40% - Accent6 4 2 3 4 4 4" xfId="28079"/>
    <cellStyle name="40% - Accent6 4 2 3 4 4 5" xfId="28080"/>
    <cellStyle name="40% - Accent6 4 2 3 4 5" xfId="28081"/>
    <cellStyle name="40% - Accent6 4 2 3 4 5 2" xfId="28082"/>
    <cellStyle name="40% - Accent6 4 2 3 4 5 3" xfId="28083"/>
    <cellStyle name="40% - Accent6 4 2 3 4 6" xfId="28084"/>
    <cellStyle name="40% - Accent6 4 2 3 4 6 2" xfId="28085"/>
    <cellStyle name="40% - Accent6 4 2 3 4 6 3" xfId="28086"/>
    <cellStyle name="40% - Accent6 4 2 3 4 7" xfId="28087"/>
    <cellStyle name="40% - Accent6 4 2 3 4 7 2" xfId="28088"/>
    <cellStyle name="40% - Accent6 4 2 3 4 8" xfId="28089"/>
    <cellStyle name="40% - Accent6 4 2 3 4 9" xfId="28090"/>
    <cellStyle name="40% - Accent6 4 2 3 5" xfId="28091"/>
    <cellStyle name="40% - Accent6 4 2 3 5 2" xfId="28092"/>
    <cellStyle name="40% - Accent6 4 2 3 5 2 2" xfId="28093"/>
    <cellStyle name="40% - Accent6 4 2 3 5 2 3" xfId="28094"/>
    <cellStyle name="40% - Accent6 4 2 3 5 3" xfId="28095"/>
    <cellStyle name="40% - Accent6 4 2 3 5 3 2" xfId="28096"/>
    <cellStyle name="40% - Accent6 4 2 3 5 3 3" xfId="28097"/>
    <cellStyle name="40% - Accent6 4 2 3 5 4" xfId="28098"/>
    <cellStyle name="40% - Accent6 4 2 3 5 4 2" xfId="28099"/>
    <cellStyle name="40% - Accent6 4 2 3 5 5" xfId="28100"/>
    <cellStyle name="40% - Accent6 4 2 3 5 6" xfId="28101"/>
    <cellStyle name="40% - Accent6 4 2 3 6" xfId="28102"/>
    <cellStyle name="40% - Accent6 4 2 3 6 2" xfId="28103"/>
    <cellStyle name="40% - Accent6 4 2 3 6 2 2" xfId="28104"/>
    <cellStyle name="40% - Accent6 4 2 3 6 2 3" xfId="28105"/>
    <cellStyle name="40% - Accent6 4 2 3 6 3" xfId="28106"/>
    <cellStyle name="40% - Accent6 4 2 3 6 3 2" xfId="28107"/>
    <cellStyle name="40% - Accent6 4 2 3 6 3 3" xfId="28108"/>
    <cellStyle name="40% - Accent6 4 2 3 6 4" xfId="28109"/>
    <cellStyle name="40% - Accent6 4 2 3 6 4 2" xfId="28110"/>
    <cellStyle name="40% - Accent6 4 2 3 6 5" xfId="28111"/>
    <cellStyle name="40% - Accent6 4 2 3 6 6" xfId="28112"/>
    <cellStyle name="40% - Accent6 4 2 3 7" xfId="28113"/>
    <cellStyle name="40% - Accent6 4 2 3 7 2" xfId="28114"/>
    <cellStyle name="40% - Accent6 4 2 3 7 2 2" xfId="28115"/>
    <cellStyle name="40% - Accent6 4 2 3 7 2 3" xfId="28116"/>
    <cellStyle name="40% - Accent6 4 2 3 7 3" xfId="28117"/>
    <cellStyle name="40% - Accent6 4 2 3 7 3 2" xfId="28118"/>
    <cellStyle name="40% - Accent6 4 2 3 7 4" xfId="28119"/>
    <cellStyle name="40% - Accent6 4 2 3 7 5" xfId="28120"/>
    <cellStyle name="40% - Accent6 4 2 3 8" xfId="28121"/>
    <cellStyle name="40% - Accent6 4 2 3 8 2" xfId="28122"/>
    <cellStyle name="40% - Accent6 4 2 3 8 3" xfId="28123"/>
    <cellStyle name="40% - Accent6 4 2 3 9" xfId="28124"/>
    <cellStyle name="40% - Accent6 4 2 3 9 2" xfId="28125"/>
    <cellStyle name="40% - Accent6 4 2 3 9 3" xfId="28126"/>
    <cellStyle name="40% - Accent6 4 2 4" xfId="2661"/>
    <cellStyle name="40% - Accent6 4 2 4 10" xfId="28127"/>
    <cellStyle name="40% - Accent6 4 2 4 2" xfId="2662"/>
    <cellStyle name="40% - Accent6 4 2 4 2 2" xfId="28128"/>
    <cellStyle name="40% - Accent6 4 2 4 2 2 2" xfId="28129"/>
    <cellStyle name="40% - Accent6 4 2 4 2 2 2 2" xfId="28130"/>
    <cellStyle name="40% - Accent6 4 2 4 2 2 2 3" xfId="28131"/>
    <cellStyle name="40% - Accent6 4 2 4 2 2 3" xfId="28132"/>
    <cellStyle name="40% - Accent6 4 2 4 2 2 3 2" xfId="28133"/>
    <cellStyle name="40% - Accent6 4 2 4 2 2 3 3" xfId="28134"/>
    <cellStyle name="40% - Accent6 4 2 4 2 2 4" xfId="28135"/>
    <cellStyle name="40% - Accent6 4 2 4 2 2 4 2" xfId="28136"/>
    <cellStyle name="40% - Accent6 4 2 4 2 2 5" xfId="28137"/>
    <cellStyle name="40% - Accent6 4 2 4 2 2 6" xfId="28138"/>
    <cellStyle name="40% - Accent6 4 2 4 2 3" xfId="28139"/>
    <cellStyle name="40% - Accent6 4 2 4 2 3 2" xfId="28140"/>
    <cellStyle name="40% - Accent6 4 2 4 2 3 2 2" xfId="28141"/>
    <cellStyle name="40% - Accent6 4 2 4 2 3 2 3" xfId="28142"/>
    <cellStyle name="40% - Accent6 4 2 4 2 3 3" xfId="28143"/>
    <cellStyle name="40% - Accent6 4 2 4 2 3 3 2" xfId="28144"/>
    <cellStyle name="40% - Accent6 4 2 4 2 3 3 3" xfId="28145"/>
    <cellStyle name="40% - Accent6 4 2 4 2 3 4" xfId="28146"/>
    <cellStyle name="40% - Accent6 4 2 4 2 3 4 2" xfId="28147"/>
    <cellStyle name="40% - Accent6 4 2 4 2 3 5" xfId="28148"/>
    <cellStyle name="40% - Accent6 4 2 4 2 3 6" xfId="28149"/>
    <cellStyle name="40% - Accent6 4 2 4 2 4" xfId="28150"/>
    <cellStyle name="40% - Accent6 4 2 4 2 4 2" xfId="28151"/>
    <cellStyle name="40% - Accent6 4 2 4 2 4 2 2" xfId="28152"/>
    <cellStyle name="40% - Accent6 4 2 4 2 4 2 3" xfId="28153"/>
    <cellStyle name="40% - Accent6 4 2 4 2 4 3" xfId="28154"/>
    <cellStyle name="40% - Accent6 4 2 4 2 4 3 2" xfId="28155"/>
    <cellStyle name="40% - Accent6 4 2 4 2 4 4" xfId="28156"/>
    <cellStyle name="40% - Accent6 4 2 4 2 4 5" xfId="28157"/>
    <cellStyle name="40% - Accent6 4 2 4 2 5" xfId="28158"/>
    <cellStyle name="40% - Accent6 4 2 4 2 5 2" xfId="28159"/>
    <cellStyle name="40% - Accent6 4 2 4 2 5 3" xfId="28160"/>
    <cellStyle name="40% - Accent6 4 2 4 2 6" xfId="28161"/>
    <cellStyle name="40% - Accent6 4 2 4 2 6 2" xfId="28162"/>
    <cellStyle name="40% - Accent6 4 2 4 2 6 3" xfId="28163"/>
    <cellStyle name="40% - Accent6 4 2 4 2 7" xfId="28164"/>
    <cellStyle name="40% - Accent6 4 2 4 2 7 2" xfId="28165"/>
    <cellStyle name="40% - Accent6 4 2 4 2 8" xfId="28166"/>
    <cellStyle name="40% - Accent6 4 2 4 2 9" xfId="28167"/>
    <cellStyle name="40% - Accent6 4 2 4 3" xfId="28168"/>
    <cellStyle name="40% - Accent6 4 2 4 3 2" xfId="28169"/>
    <cellStyle name="40% - Accent6 4 2 4 3 2 2" xfId="28170"/>
    <cellStyle name="40% - Accent6 4 2 4 3 2 3" xfId="28171"/>
    <cellStyle name="40% - Accent6 4 2 4 3 3" xfId="28172"/>
    <cellStyle name="40% - Accent6 4 2 4 3 3 2" xfId="28173"/>
    <cellStyle name="40% - Accent6 4 2 4 3 3 3" xfId="28174"/>
    <cellStyle name="40% - Accent6 4 2 4 3 4" xfId="28175"/>
    <cellStyle name="40% - Accent6 4 2 4 3 4 2" xfId="28176"/>
    <cellStyle name="40% - Accent6 4 2 4 3 5" xfId="28177"/>
    <cellStyle name="40% - Accent6 4 2 4 3 6" xfId="28178"/>
    <cellStyle name="40% - Accent6 4 2 4 4" xfId="28179"/>
    <cellStyle name="40% - Accent6 4 2 4 4 2" xfId="28180"/>
    <cellStyle name="40% - Accent6 4 2 4 4 2 2" xfId="28181"/>
    <cellStyle name="40% - Accent6 4 2 4 4 2 3" xfId="28182"/>
    <cellStyle name="40% - Accent6 4 2 4 4 3" xfId="28183"/>
    <cellStyle name="40% - Accent6 4 2 4 4 3 2" xfId="28184"/>
    <cellStyle name="40% - Accent6 4 2 4 4 3 3" xfId="28185"/>
    <cellStyle name="40% - Accent6 4 2 4 4 4" xfId="28186"/>
    <cellStyle name="40% - Accent6 4 2 4 4 4 2" xfId="28187"/>
    <cellStyle name="40% - Accent6 4 2 4 4 5" xfId="28188"/>
    <cellStyle name="40% - Accent6 4 2 4 4 6" xfId="28189"/>
    <cellStyle name="40% - Accent6 4 2 4 5" xfId="28190"/>
    <cellStyle name="40% - Accent6 4 2 4 5 2" xfId="28191"/>
    <cellStyle name="40% - Accent6 4 2 4 5 2 2" xfId="28192"/>
    <cellStyle name="40% - Accent6 4 2 4 5 2 3" xfId="28193"/>
    <cellStyle name="40% - Accent6 4 2 4 5 3" xfId="28194"/>
    <cellStyle name="40% - Accent6 4 2 4 5 3 2" xfId="28195"/>
    <cellStyle name="40% - Accent6 4 2 4 5 4" xfId="28196"/>
    <cellStyle name="40% - Accent6 4 2 4 5 5" xfId="28197"/>
    <cellStyle name="40% - Accent6 4 2 4 6" xfId="28198"/>
    <cellStyle name="40% - Accent6 4 2 4 6 2" xfId="28199"/>
    <cellStyle name="40% - Accent6 4 2 4 6 3" xfId="28200"/>
    <cellStyle name="40% - Accent6 4 2 4 7" xfId="28201"/>
    <cellStyle name="40% - Accent6 4 2 4 7 2" xfId="28202"/>
    <cellStyle name="40% - Accent6 4 2 4 7 3" xfId="28203"/>
    <cellStyle name="40% - Accent6 4 2 4 8" xfId="28204"/>
    <cellStyle name="40% - Accent6 4 2 4 8 2" xfId="28205"/>
    <cellStyle name="40% - Accent6 4 2 4 9" xfId="28206"/>
    <cellStyle name="40% - Accent6 4 2 5" xfId="2663"/>
    <cellStyle name="40% - Accent6 4 2 5 2" xfId="28207"/>
    <cellStyle name="40% - Accent6 4 2 5 2 2" xfId="28208"/>
    <cellStyle name="40% - Accent6 4 2 5 2 2 2" xfId="28209"/>
    <cellStyle name="40% - Accent6 4 2 5 2 2 3" xfId="28210"/>
    <cellStyle name="40% - Accent6 4 2 5 2 3" xfId="28211"/>
    <cellStyle name="40% - Accent6 4 2 5 2 3 2" xfId="28212"/>
    <cellStyle name="40% - Accent6 4 2 5 2 3 3" xfId="28213"/>
    <cellStyle name="40% - Accent6 4 2 5 2 4" xfId="28214"/>
    <cellStyle name="40% - Accent6 4 2 5 2 4 2" xfId="28215"/>
    <cellStyle name="40% - Accent6 4 2 5 2 5" xfId="28216"/>
    <cellStyle name="40% - Accent6 4 2 5 2 6" xfId="28217"/>
    <cellStyle name="40% - Accent6 4 2 5 3" xfId="28218"/>
    <cellStyle name="40% - Accent6 4 2 5 3 2" xfId="28219"/>
    <cellStyle name="40% - Accent6 4 2 5 3 2 2" xfId="28220"/>
    <cellStyle name="40% - Accent6 4 2 5 3 2 3" xfId="28221"/>
    <cellStyle name="40% - Accent6 4 2 5 3 3" xfId="28222"/>
    <cellStyle name="40% - Accent6 4 2 5 3 3 2" xfId="28223"/>
    <cellStyle name="40% - Accent6 4 2 5 3 3 3" xfId="28224"/>
    <cellStyle name="40% - Accent6 4 2 5 3 4" xfId="28225"/>
    <cellStyle name="40% - Accent6 4 2 5 3 4 2" xfId="28226"/>
    <cellStyle name="40% - Accent6 4 2 5 3 5" xfId="28227"/>
    <cellStyle name="40% - Accent6 4 2 5 3 6" xfId="28228"/>
    <cellStyle name="40% - Accent6 4 2 5 4" xfId="28229"/>
    <cellStyle name="40% - Accent6 4 2 5 4 2" xfId="28230"/>
    <cellStyle name="40% - Accent6 4 2 5 4 2 2" xfId="28231"/>
    <cellStyle name="40% - Accent6 4 2 5 4 2 3" xfId="28232"/>
    <cellStyle name="40% - Accent6 4 2 5 4 3" xfId="28233"/>
    <cellStyle name="40% - Accent6 4 2 5 4 3 2" xfId="28234"/>
    <cellStyle name="40% - Accent6 4 2 5 4 4" xfId="28235"/>
    <cellStyle name="40% - Accent6 4 2 5 4 5" xfId="28236"/>
    <cellStyle name="40% - Accent6 4 2 5 5" xfId="28237"/>
    <cellStyle name="40% - Accent6 4 2 5 5 2" xfId="28238"/>
    <cellStyle name="40% - Accent6 4 2 5 5 3" xfId="28239"/>
    <cellStyle name="40% - Accent6 4 2 5 6" xfId="28240"/>
    <cellStyle name="40% - Accent6 4 2 5 6 2" xfId="28241"/>
    <cellStyle name="40% - Accent6 4 2 5 6 3" xfId="28242"/>
    <cellStyle name="40% - Accent6 4 2 5 7" xfId="28243"/>
    <cellStyle name="40% - Accent6 4 2 5 7 2" xfId="28244"/>
    <cellStyle name="40% - Accent6 4 2 5 8" xfId="28245"/>
    <cellStyle name="40% - Accent6 4 2 5 9" xfId="28246"/>
    <cellStyle name="40% - Accent6 4 2 6" xfId="28247"/>
    <cellStyle name="40% - Accent6 4 2 6 2" xfId="28248"/>
    <cellStyle name="40% - Accent6 4 2 6 2 2" xfId="28249"/>
    <cellStyle name="40% - Accent6 4 2 6 2 2 2" xfId="28250"/>
    <cellStyle name="40% - Accent6 4 2 6 2 2 3" xfId="28251"/>
    <cellStyle name="40% - Accent6 4 2 6 2 3" xfId="28252"/>
    <cellStyle name="40% - Accent6 4 2 6 2 3 2" xfId="28253"/>
    <cellStyle name="40% - Accent6 4 2 6 2 3 3" xfId="28254"/>
    <cellStyle name="40% - Accent6 4 2 6 2 4" xfId="28255"/>
    <cellStyle name="40% - Accent6 4 2 6 2 4 2" xfId="28256"/>
    <cellStyle name="40% - Accent6 4 2 6 2 5" xfId="28257"/>
    <cellStyle name="40% - Accent6 4 2 6 2 6" xfId="28258"/>
    <cellStyle name="40% - Accent6 4 2 6 3" xfId="28259"/>
    <cellStyle name="40% - Accent6 4 2 6 3 2" xfId="28260"/>
    <cellStyle name="40% - Accent6 4 2 6 3 2 2" xfId="28261"/>
    <cellStyle name="40% - Accent6 4 2 6 3 2 3" xfId="28262"/>
    <cellStyle name="40% - Accent6 4 2 6 3 3" xfId="28263"/>
    <cellStyle name="40% - Accent6 4 2 6 3 3 2" xfId="28264"/>
    <cellStyle name="40% - Accent6 4 2 6 3 3 3" xfId="28265"/>
    <cellStyle name="40% - Accent6 4 2 6 3 4" xfId="28266"/>
    <cellStyle name="40% - Accent6 4 2 6 3 4 2" xfId="28267"/>
    <cellStyle name="40% - Accent6 4 2 6 3 5" xfId="28268"/>
    <cellStyle name="40% - Accent6 4 2 6 3 6" xfId="28269"/>
    <cellStyle name="40% - Accent6 4 2 6 4" xfId="28270"/>
    <cellStyle name="40% - Accent6 4 2 6 4 2" xfId="28271"/>
    <cellStyle name="40% - Accent6 4 2 6 4 2 2" xfId="28272"/>
    <cellStyle name="40% - Accent6 4 2 6 4 2 3" xfId="28273"/>
    <cellStyle name="40% - Accent6 4 2 6 4 3" xfId="28274"/>
    <cellStyle name="40% - Accent6 4 2 6 4 3 2" xfId="28275"/>
    <cellStyle name="40% - Accent6 4 2 6 4 4" xfId="28276"/>
    <cellStyle name="40% - Accent6 4 2 6 4 5" xfId="28277"/>
    <cellStyle name="40% - Accent6 4 2 6 5" xfId="28278"/>
    <cellStyle name="40% - Accent6 4 2 6 5 2" xfId="28279"/>
    <cellStyle name="40% - Accent6 4 2 6 5 3" xfId="28280"/>
    <cellStyle name="40% - Accent6 4 2 6 6" xfId="28281"/>
    <cellStyle name="40% - Accent6 4 2 6 6 2" xfId="28282"/>
    <cellStyle name="40% - Accent6 4 2 6 6 3" xfId="28283"/>
    <cellStyle name="40% - Accent6 4 2 6 7" xfId="28284"/>
    <cellStyle name="40% - Accent6 4 2 6 7 2" xfId="28285"/>
    <cellStyle name="40% - Accent6 4 2 6 8" xfId="28286"/>
    <cellStyle name="40% - Accent6 4 2 6 9" xfId="28287"/>
    <cellStyle name="40% - Accent6 4 2 7" xfId="28288"/>
    <cellStyle name="40% - Accent6 4 2 7 2" xfId="28289"/>
    <cellStyle name="40% - Accent6 4 2 7 2 2" xfId="28290"/>
    <cellStyle name="40% - Accent6 4 2 7 2 3" xfId="28291"/>
    <cellStyle name="40% - Accent6 4 2 7 3" xfId="28292"/>
    <cellStyle name="40% - Accent6 4 2 7 3 2" xfId="28293"/>
    <cellStyle name="40% - Accent6 4 2 7 3 3" xfId="28294"/>
    <cellStyle name="40% - Accent6 4 2 7 4" xfId="28295"/>
    <cellStyle name="40% - Accent6 4 2 7 4 2" xfId="28296"/>
    <cellStyle name="40% - Accent6 4 2 7 5" xfId="28297"/>
    <cellStyle name="40% - Accent6 4 2 7 6" xfId="28298"/>
    <cellStyle name="40% - Accent6 4 2 8" xfId="28299"/>
    <cellStyle name="40% - Accent6 4 2 8 2" xfId="28300"/>
    <cellStyle name="40% - Accent6 4 2 8 2 2" xfId="28301"/>
    <cellStyle name="40% - Accent6 4 2 8 2 3" xfId="28302"/>
    <cellStyle name="40% - Accent6 4 2 8 3" xfId="28303"/>
    <cellStyle name="40% - Accent6 4 2 8 3 2" xfId="28304"/>
    <cellStyle name="40% - Accent6 4 2 8 3 3" xfId="28305"/>
    <cellStyle name="40% - Accent6 4 2 8 4" xfId="28306"/>
    <cellStyle name="40% - Accent6 4 2 8 4 2" xfId="28307"/>
    <cellStyle name="40% - Accent6 4 2 8 5" xfId="28308"/>
    <cellStyle name="40% - Accent6 4 2 8 6" xfId="28309"/>
    <cellStyle name="40% - Accent6 4 2 9" xfId="28310"/>
    <cellStyle name="40% - Accent6 4 2 9 2" xfId="28311"/>
    <cellStyle name="40% - Accent6 4 2 9 2 2" xfId="28312"/>
    <cellStyle name="40% - Accent6 4 2 9 2 3" xfId="28313"/>
    <cellStyle name="40% - Accent6 4 2 9 3" xfId="28314"/>
    <cellStyle name="40% - Accent6 4 2 9 3 2" xfId="28315"/>
    <cellStyle name="40% - Accent6 4 2 9 4" xfId="28316"/>
    <cellStyle name="40% - Accent6 4 2 9 5" xfId="28317"/>
    <cellStyle name="40% - Accent6 4 3" xfId="2664"/>
    <cellStyle name="40% - Accent6 4 3 10" xfId="28318"/>
    <cellStyle name="40% - Accent6 4 3 10 2" xfId="28319"/>
    <cellStyle name="40% - Accent6 4 3 10 3" xfId="28320"/>
    <cellStyle name="40% - Accent6 4 3 11" xfId="28321"/>
    <cellStyle name="40% - Accent6 4 3 11 2" xfId="28322"/>
    <cellStyle name="40% - Accent6 4 3 12" xfId="28323"/>
    <cellStyle name="40% - Accent6 4 3 13" xfId="28324"/>
    <cellStyle name="40% - Accent6 4 3 14" xfId="28325"/>
    <cellStyle name="40% - Accent6 4 3 2" xfId="2665"/>
    <cellStyle name="40% - Accent6 4 3 2 10" xfId="28326"/>
    <cellStyle name="40% - Accent6 4 3 2 10 2" xfId="28327"/>
    <cellStyle name="40% - Accent6 4 3 2 11" xfId="28328"/>
    <cellStyle name="40% - Accent6 4 3 2 12" xfId="28329"/>
    <cellStyle name="40% - Accent6 4 3 2 2" xfId="2666"/>
    <cellStyle name="40% - Accent6 4 3 2 2 10" xfId="28330"/>
    <cellStyle name="40% - Accent6 4 3 2 2 2" xfId="2667"/>
    <cellStyle name="40% - Accent6 4 3 2 2 2 2" xfId="28331"/>
    <cellStyle name="40% - Accent6 4 3 2 2 2 2 2" xfId="28332"/>
    <cellStyle name="40% - Accent6 4 3 2 2 2 2 2 2" xfId="28333"/>
    <cellStyle name="40% - Accent6 4 3 2 2 2 2 2 3" xfId="28334"/>
    <cellStyle name="40% - Accent6 4 3 2 2 2 2 3" xfId="28335"/>
    <cellStyle name="40% - Accent6 4 3 2 2 2 2 3 2" xfId="28336"/>
    <cellStyle name="40% - Accent6 4 3 2 2 2 2 3 3" xfId="28337"/>
    <cellStyle name="40% - Accent6 4 3 2 2 2 2 4" xfId="28338"/>
    <cellStyle name="40% - Accent6 4 3 2 2 2 2 4 2" xfId="28339"/>
    <cellStyle name="40% - Accent6 4 3 2 2 2 2 5" xfId="28340"/>
    <cellStyle name="40% - Accent6 4 3 2 2 2 2 6" xfId="28341"/>
    <cellStyle name="40% - Accent6 4 3 2 2 2 3" xfId="28342"/>
    <cellStyle name="40% - Accent6 4 3 2 2 2 3 2" xfId="28343"/>
    <cellStyle name="40% - Accent6 4 3 2 2 2 3 2 2" xfId="28344"/>
    <cellStyle name="40% - Accent6 4 3 2 2 2 3 2 3" xfId="28345"/>
    <cellStyle name="40% - Accent6 4 3 2 2 2 3 3" xfId="28346"/>
    <cellStyle name="40% - Accent6 4 3 2 2 2 3 3 2" xfId="28347"/>
    <cellStyle name="40% - Accent6 4 3 2 2 2 3 3 3" xfId="28348"/>
    <cellStyle name="40% - Accent6 4 3 2 2 2 3 4" xfId="28349"/>
    <cellStyle name="40% - Accent6 4 3 2 2 2 3 4 2" xfId="28350"/>
    <cellStyle name="40% - Accent6 4 3 2 2 2 3 5" xfId="28351"/>
    <cellStyle name="40% - Accent6 4 3 2 2 2 3 6" xfId="28352"/>
    <cellStyle name="40% - Accent6 4 3 2 2 2 4" xfId="28353"/>
    <cellStyle name="40% - Accent6 4 3 2 2 2 4 2" xfId="28354"/>
    <cellStyle name="40% - Accent6 4 3 2 2 2 4 2 2" xfId="28355"/>
    <cellStyle name="40% - Accent6 4 3 2 2 2 4 2 3" xfId="28356"/>
    <cellStyle name="40% - Accent6 4 3 2 2 2 4 3" xfId="28357"/>
    <cellStyle name="40% - Accent6 4 3 2 2 2 4 3 2" xfId="28358"/>
    <cellStyle name="40% - Accent6 4 3 2 2 2 4 4" xfId="28359"/>
    <cellStyle name="40% - Accent6 4 3 2 2 2 4 5" xfId="28360"/>
    <cellStyle name="40% - Accent6 4 3 2 2 2 5" xfId="28361"/>
    <cellStyle name="40% - Accent6 4 3 2 2 2 5 2" xfId="28362"/>
    <cellStyle name="40% - Accent6 4 3 2 2 2 5 3" xfId="28363"/>
    <cellStyle name="40% - Accent6 4 3 2 2 2 6" xfId="28364"/>
    <cellStyle name="40% - Accent6 4 3 2 2 2 6 2" xfId="28365"/>
    <cellStyle name="40% - Accent6 4 3 2 2 2 6 3" xfId="28366"/>
    <cellStyle name="40% - Accent6 4 3 2 2 2 7" xfId="28367"/>
    <cellStyle name="40% - Accent6 4 3 2 2 2 7 2" xfId="28368"/>
    <cellStyle name="40% - Accent6 4 3 2 2 2 8" xfId="28369"/>
    <cellStyle name="40% - Accent6 4 3 2 2 2 9" xfId="28370"/>
    <cellStyle name="40% - Accent6 4 3 2 2 3" xfId="28371"/>
    <cellStyle name="40% - Accent6 4 3 2 2 3 2" xfId="28372"/>
    <cellStyle name="40% - Accent6 4 3 2 2 3 2 2" xfId="28373"/>
    <cellStyle name="40% - Accent6 4 3 2 2 3 2 3" xfId="28374"/>
    <cellStyle name="40% - Accent6 4 3 2 2 3 3" xfId="28375"/>
    <cellStyle name="40% - Accent6 4 3 2 2 3 3 2" xfId="28376"/>
    <cellStyle name="40% - Accent6 4 3 2 2 3 3 3" xfId="28377"/>
    <cellStyle name="40% - Accent6 4 3 2 2 3 4" xfId="28378"/>
    <cellStyle name="40% - Accent6 4 3 2 2 3 4 2" xfId="28379"/>
    <cellStyle name="40% - Accent6 4 3 2 2 3 5" xfId="28380"/>
    <cellStyle name="40% - Accent6 4 3 2 2 3 6" xfId="28381"/>
    <cellStyle name="40% - Accent6 4 3 2 2 4" xfId="28382"/>
    <cellStyle name="40% - Accent6 4 3 2 2 4 2" xfId="28383"/>
    <cellStyle name="40% - Accent6 4 3 2 2 4 2 2" xfId="28384"/>
    <cellStyle name="40% - Accent6 4 3 2 2 4 2 3" xfId="28385"/>
    <cellStyle name="40% - Accent6 4 3 2 2 4 3" xfId="28386"/>
    <cellStyle name="40% - Accent6 4 3 2 2 4 3 2" xfId="28387"/>
    <cellStyle name="40% - Accent6 4 3 2 2 4 3 3" xfId="28388"/>
    <cellStyle name="40% - Accent6 4 3 2 2 4 4" xfId="28389"/>
    <cellStyle name="40% - Accent6 4 3 2 2 4 4 2" xfId="28390"/>
    <cellStyle name="40% - Accent6 4 3 2 2 4 5" xfId="28391"/>
    <cellStyle name="40% - Accent6 4 3 2 2 4 6" xfId="28392"/>
    <cellStyle name="40% - Accent6 4 3 2 2 5" xfId="28393"/>
    <cellStyle name="40% - Accent6 4 3 2 2 5 2" xfId="28394"/>
    <cellStyle name="40% - Accent6 4 3 2 2 5 2 2" xfId="28395"/>
    <cellStyle name="40% - Accent6 4 3 2 2 5 2 3" xfId="28396"/>
    <cellStyle name="40% - Accent6 4 3 2 2 5 3" xfId="28397"/>
    <cellStyle name="40% - Accent6 4 3 2 2 5 3 2" xfId="28398"/>
    <cellStyle name="40% - Accent6 4 3 2 2 5 4" xfId="28399"/>
    <cellStyle name="40% - Accent6 4 3 2 2 5 5" xfId="28400"/>
    <cellStyle name="40% - Accent6 4 3 2 2 6" xfId="28401"/>
    <cellStyle name="40% - Accent6 4 3 2 2 6 2" xfId="28402"/>
    <cellStyle name="40% - Accent6 4 3 2 2 6 3" xfId="28403"/>
    <cellStyle name="40% - Accent6 4 3 2 2 7" xfId="28404"/>
    <cellStyle name="40% - Accent6 4 3 2 2 7 2" xfId="28405"/>
    <cellStyle name="40% - Accent6 4 3 2 2 7 3" xfId="28406"/>
    <cellStyle name="40% - Accent6 4 3 2 2 8" xfId="28407"/>
    <cellStyle name="40% - Accent6 4 3 2 2 8 2" xfId="28408"/>
    <cellStyle name="40% - Accent6 4 3 2 2 9" xfId="28409"/>
    <cellStyle name="40% - Accent6 4 3 2 3" xfId="2668"/>
    <cellStyle name="40% - Accent6 4 3 2 3 2" xfId="28410"/>
    <cellStyle name="40% - Accent6 4 3 2 3 2 2" xfId="28411"/>
    <cellStyle name="40% - Accent6 4 3 2 3 2 2 2" xfId="28412"/>
    <cellStyle name="40% - Accent6 4 3 2 3 2 2 3" xfId="28413"/>
    <cellStyle name="40% - Accent6 4 3 2 3 2 3" xfId="28414"/>
    <cellStyle name="40% - Accent6 4 3 2 3 2 3 2" xfId="28415"/>
    <cellStyle name="40% - Accent6 4 3 2 3 2 3 3" xfId="28416"/>
    <cellStyle name="40% - Accent6 4 3 2 3 2 4" xfId="28417"/>
    <cellStyle name="40% - Accent6 4 3 2 3 2 4 2" xfId="28418"/>
    <cellStyle name="40% - Accent6 4 3 2 3 2 5" xfId="28419"/>
    <cellStyle name="40% - Accent6 4 3 2 3 2 6" xfId="28420"/>
    <cellStyle name="40% - Accent6 4 3 2 3 3" xfId="28421"/>
    <cellStyle name="40% - Accent6 4 3 2 3 3 2" xfId="28422"/>
    <cellStyle name="40% - Accent6 4 3 2 3 3 2 2" xfId="28423"/>
    <cellStyle name="40% - Accent6 4 3 2 3 3 2 3" xfId="28424"/>
    <cellStyle name="40% - Accent6 4 3 2 3 3 3" xfId="28425"/>
    <cellStyle name="40% - Accent6 4 3 2 3 3 3 2" xfId="28426"/>
    <cellStyle name="40% - Accent6 4 3 2 3 3 3 3" xfId="28427"/>
    <cellStyle name="40% - Accent6 4 3 2 3 3 4" xfId="28428"/>
    <cellStyle name="40% - Accent6 4 3 2 3 3 4 2" xfId="28429"/>
    <cellStyle name="40% - Accent6 4 3 2 3 3 5" xfId="28430"/>
    <cellStyle name="40% - Accent6 4 3 2 3 3 6" xfId="28431"/>
    <cellStyle name="40% - Accent6 4 3 2 3 4" xfId="28432"/>
    <cellStyle name="40% - Accent6 4 3 2 3 4 2" xfId="28433"/>
    <cellStyle name="40% - Accent6 4 3 2 3 4 2 2" xfId="28434"/>
    <cellStyle name="40% - Accent6 4 3 2 3 4 2 3" xfId="28435"/>
    <cellStyle name="40% - Accent6 4 3 2 3 4 3" xfId="28436"/>
    <cellStyle name="40% - Accent6 4 3 2 3 4 3 2" xfId="28437"/>
    <cellStyle name="40% - Accent6 4 3 2 3 4 4" xfId="28438"/>
    <cellStyle name="40% - Accent6 4 3 2 3 4 5" xfId="28439"/>
    <cellStyle name="40% - Accent6 4 3 2 3 5" xfId="28440"/>
    <cellStyle name="40% - Accent6 4 3 2 3 5 2" xfId="28441"/>
    <cellStyle name="40% - Accent6 4 3 2 3 5 3" xfId="28442"/>
    <cellStyle name="40% - Accent6 4 3 2 3 6" xfId="28443"/>
    <cellStyle name="40% - Accent6 4 3 2 3 6 2" xfId="28444"/>
    <cellStyle name="40% - Accent6 4 3 2 3 6 3" xfId="28445"/>
    <cellStyle name="40% - Accent6 4 3 2 3 7" xfId="28446"/>
    <cellStyle name="40% - Accent6 4 3 2 3 7 2" xfId="28447"/>
    <cellStyle name="40% - Accent6 4 3 2 3 8" xfId="28448"/>
    <cellStyle name="40% - Accent6 4 3 2 3 9" xfId="28449"/>
    <cellStyle name="40% - Accent6 4 3 2 4" xfId="28450"/>
    <cellStyle name="40% - Accent6 4 3 2 4 2" xfId="28451"/>
    <cellStyle name="40% - Accent6 4 3 2 4 2 2" xfId="28452"/>
    <cellStyle name="40% - Accent6 4 3 2 4 2 2 2" xfId="28453"/>
    <cellStyle name="40% - Accent6 4 3 2 4 2 2 3" xfId="28454"/>
    <cellStyle name="40% - Accent6 4 3 2 4 2 3" xfId="28455"/>
    <cellStyle name="40% - Accent6 4 3 2 4 2 3 2" xfId="28456"/>
    <cellStyle name="40% - Accent6 4 3 2 4 2 3 3" xfId="28457"/>
    <cellStyle name="40% - Accent6 4 3 2 4 2 4" xfId="28458"/>
    <cellStyle name="40% - Accent6 4 3 2 4 2 4 2" xfId="28459"/>
    <cellStyle name="40% - Accent6 4 3 2 4 2 5" xfId="28460"/>
    <cellStyle name="40% - Accent6 4 3 2 4 2 6" xfId="28461"/>
    <cellStyle name="40% - Accent6 4 3 2 4 3" xfId="28462"/>
    <cellStyle name="40% - Accent6 4 3 2 4 3 2" xfId="28463"/>
    <cellStyle name="40% - Accent6 4 3 2 4 3 2 2" xfId="28464"/>
    <cellStyle name="40% - Accent6 4 3 2 4 3 2 3" xfId="28465"/>
    <cellStyle name="40% - Accent6 4 3 2 4 3 3" xfId="28466"/>
    <cellStyle name="40% - Accent6 4 3 2 4 3 3 2" xfId="28467"/>
    <cellStyle name="40% - Accent6 4 3 2 4 3 3 3" xfId="28468"/>
    <cellStyle name="40% - Accent6 4 3 2 4 3 4" xfId="28469"/>
    <cellStyle name="40% - Accent6 4 3 2 4 3 4 2" xfId="28470"/>
    <cellStyle name="40% - Accent6 4 3 2 4 3 5" xfId="28471"/>
    <cellStyle name="40% - Accent6 4 3 2 4 3 6" xfId="28472"/>
    <cellStyle name="40% - Accent6 4 3 2 4 4" xfId="28473"/>
    <cellStyle name="40% - Accent6 4 3 2 4 4 2" xfId="28474"/>
    <cellStyle name="40% - Accent6 4 3 2 4 4 2 2" xfId="28475"/>
    <cellStyle name="40% - Accent6 4 3 2 4 4 2 3" xfId="28476"/>
    <cellStyle name="40% - Accent6 4 3 2 4 4 3" xfId="28477"/>
    <cellStyle name="40% - Accent6 4 3 2 4 4 3 2" xfId="28478"/>
    <cellStyle name="40% - Accent6 4 3 2 4 4 4" xfId="28479"/>
    <cellStyle name="40% - Accent6 4 3 2 4 4 5" xfId="28480"/>
    <cellStyle name="40% - Accent6 4 3 2 4 5" xfId="28481"/>
    <cellStyle name="40% - Accent6 4 3 2 4 5 2" xfId="28482"/>
    <cellStyle name="40% - Accent6 4 3 2 4 5 3" xfId="28483"/>
    <cellStyle name="40% - Accent6 4 3 2 4 6" xfId="28484"/>
    <cellStyle name="40% - Accent6 4 3 2 4 6 2" xfId="28485"/>
    <cellStyle name="40% - Accent6 4 3 2 4 6 3" xfId="28486"/>
    <cellStyle name="40% - Accent6 4 3 2 4 7" xfId="28487"/>
    <cellStyle name="40% - Accent6 4 3 2 4 7 2" xfId="28488"/>
    <cellStyle name="40% - Accent6 4 3 2 4 8" xfId="28489"/>
    <cellStyle name="40% - Accent6 4 3 2 4 9" xfId="28490"/>
    <cellStyle name="40% - Accent6 4 3 2 5" xfId="28491"/>
    <cellStyle name="40% - Accent6 4 3 2 5 2" xfId="28492"/>
    <cellStyle name="40% - Accent6 4 3 2 5 2 2" xfId="28493"/>
    <cellStyle name="40% - Accent6 4 3 2 5 2 3" xfId="28494"/>
    <cellStyle name="40% - Accent6 4 3 2 5 3" xfId="28495"/>
    <cellStyle name="40% - Accent6 4 3 2 5 3 2" xfId="28496"/>
    <cellStyle name="40% - Accent6 4 3 2 5 3 3" xfId="28497"/>
    <cellStyle name="40% - Accent6 4 3 2 5 4" xfId="28498"/>
    <cellStyle name="40% - Accent6 4 3 2 5 4 2" xfId="28499"/>
    <cellStyle name="40% - Accent6 4 3 2 5 5" xfId="28500"/>
    <cellStyle name="40% - Accent6 4 3 2 5 6" xfId="28501"/>
    <cellStyle name="40% - Accent6 4 3 2 6" xfId="28502"/>
    <cellStyle name="40% - Accent6 4 3 2 6 2" xfId="28503"/>
    <cellStyle name="40% - Accent6 4 3 2 6 2 2" xfId="28504"/>
    <cellStyle name="40% - Accent6 4 3 2 6 2 3" xfId="28505"/>
    <cellStyle name="40% - Accent6 4 3 2 6 3" xfId="28506"/>
    <cellStyle name="40% - Accent6 4 3 2 6 3 2" xfId="28507"/>
    <cellStyle name="40% - Accent6 4 3 2 6 3 3" xfId="28508"/>
    <cellStyle name="40% - Accent6 4 3 2 6 4" xfId="28509"/>
    <cellStyle name="40% - Accent6 4 3 2 6 4 2" xfId="28510"/>
    <cellStyle name="40% - Accent6 4 3 2 6 5" xfId="28511"/>
    <cellStyle name="40% - Accent6 4 3 2 6 6" xfId="28512"/>
    <cellStyle name="40% - Accent6 4 3 2 7" xfId="28513"/>
    <cellStyle name="40% - Accent6 4 3 2 7 2" xfId="28514"/>
    <cellStyle name="40% - Accent6 4 3 2 7 2 2" xfId="28515"/>
    <cellStyle name="40% - Accent6 4 3 2 7 2 3" xfId="28516"/>
    <cellStyle name="40% - Accent6 4 3 2 7 3" xfId="28517"/>
    <cellStyle name="40% - Accent6 4 3 2 7 3 2" xfId="28518"/>
    <cellStyle name="40% - Accent6 4 3 2 7 4" xfId="28519"/>
    <cellStyle name="40% - Accent6 4 3 2 7 5" xfId="28520"/>
    <cellStyle name="40% - Accent6 4 3 2 8" xfId="28521"/>
    <cellStyle name="40% - Accent6 4 3 2 8 2" xfId="28522"/>
    <cellStyle name="40% - Accent6 4 3 2 8 3" xfId="28523"/>
    <cellStyle name="40% - Accent6 4 3 2 9" xfId="28524"/>
    <cellStyle name="40% - Accent6 4 3 2 9 2" xfId="28525"/>
    <cellStyle name="40% - Accent6 4 3 2 9 3" xfId="28526"/>
    <cellStyle name="40% - Accent6 4 3 3" xfId="2669"/>
    <cellStyle name="40% - Accent6 4 3 3 10" xfId="28527"/>
    <cellStyle name="40% - Accent6 4 3 3 2" xfId="2670"/>
    <cellStyle name="40% - Accent6 4 3 3 2 2" xfId="28528"/>
    <cellStyle name="40% - Accent6 4 3 3 2 2 2" xfId="28529"/>
    <cellStyle name="40% - Accent6 4 3 3 2 2 2 2" xfId="28530"/>
    <cellStyle name="40% - Accent6 4 3 3 2 2 2 3" xfId="28531"/>
    <cellStyle name="40% - Accent6 4 3 3 2 2 3" xfId="28532"/>
    <cellStyle name="40% - Accent6 4 3 3 2 2 3 2" xfId="28533"/>
    <cellStyle name="40% - Accent6 4 3 3 2 2 3 3" xfId="28534"/>
    <cellStyle name="40% - Accent6 4 3 3 2 2 4" xfId="28535"/>
    <cellStyle name="40% - Accent6 4 3 3 2 2 4 2" xfId="28536"/>
    <cellStyle name="40% - Accent6 4 3 3 2 2 5" xfId="28537"/>
    <cellStyle name="40% - Accent6 4 3 3 2 2 6" xfId="28538"/>
    <cellStyle name="40% - Accent6 4 3 3 2 3" xfId="28539"/>
    <cellStyle name="40% - Accent6 4 3 3 2 3 2" xfId="28540"/>
    <cellStyle name="40% - Accent6 4 3 3 2 3 2 2" xfId="28541"/>
    <cellStyle name="40% - Accent6 4 3 3 2 3 2 3" xfId="28542"/>
    <cellStyle name="40% - Accent6 4 3 3 2 3 3" xfId="28543"/>
    <cellStyle name="40% - Accent6 4 3 3 2 3 3 2" xfId="28544"/>
    <cellStyle name="40% - Accent6 4 3 3 2 3 3 3" xfId="28545"/>
    <cellStyle name="40% - Accent6 4 3 3 2 3 4" xfId="28546"/>
    <cellStyle name="40% - Accent6 4 3 3 2 3 4 2" xfId="28547"/>
    <cellStyle name="40% - Accent6 4 3 3 2 3 5" xfId="28548"/>
    <cellStyle name="40% - Accent6 4 3 3 2 3 6" xfId="28549"/>
    <cellStyle name="40% - Accent6 4 3 3 2 4" xfId="28550"/>
    <cellStyle name="40% - Accent6 4 3 3 2 4 2" xfId="28551"/>
    <cellStyle name="40% - Accent6 4 3 3 2 4 2 2" xfId="28552"/>
    <cellStyle name="40% - Accent6 4 3 3 2 4 2 3" xfId="28553"/>
    <cellStyle name="40% - Accent6 4 3 3 2 4 3" xfId="28554"/>
    <cellStyle name="40% - Accent6 4 3 3 2 4 3 2" xfId="28555"/>
    <cellStyle name="40% - Accent6 4 3 3 2 4 4" xfId="28556"/>
    <cellStyle name="40% - Accent6 4 3 3 2 4 5" xfId="28557"/>
    <cellStyle name="40% - Accent6 4 3 3 2 5" xfId="28558"/>
    <cellStyle name="40% - Accent6 4 3 3 2 5 2" xfId="28559"/>
    <cellStyle name="40% - Accent6 4 3 3 2 5 3" xfId="28560"/>
    <cellStyle name="40% - Accent6 4 3 3 2 6" xfId="28561"/>
    <cellStyle name="40% - Accent6 4 3 3 2 6 2" xfId="28562"/>
    <cellStyle name="40% - Accent6 4 3 3 2 6 3" xfId="28563"/>
    <cellStyle name="40% - Accent6 4 3 3 2 7" xfId="28564"/>
    <cellStyle name="40% - Accent6 4 3 3 2 7 2" xfId="28565"/>
    <cellStyle name="40% - Accent6 4 3 3 2 8" xfId="28566"/>
    <cellStyle name="40% - Accent6 4 3 3 2 9" xfId="28567"/>
    <cellStyle name="40% - Accent6 4 3 3 3" xfId="28568"/>
    <cellStyle name="40% - Accent6 4 3 3 3 2" xfId="28569"/>
    <cellStyle name="40% - Accent6 4 3 3 3 2 2" xfId="28570"/>
    <cellStyle name="40% - Accent6 4 3 3 3 2 3" xfId="28571"/>
    <cellStyle name="40% - Accent6 4 3 3 3 3" xfId="28572"/>
    <cellStyle name="40% - Accent6 4 3 3 3 3 2" xfId="28573"/>
    <cellStyle name="40% - Accent6 4 3 3 3 3 3" xfId="28574"/>
    <cellStyle name="40% - Accent6 4 3 3 3 4" xfId="28575"/>
    <cellStyle name="40% - Accent6 4 3 3 3 4 2" xfId="28576"/>
    <cellStyle name="40% - Accent6 4 3 3 3 5" xfId="28577"/>
    <cellStyle name="40% - Accent6 4 3 3 3 6" xfId="28578"/>
    <cellStyle name="40% - Accent6 4 3 3 4" xfId="28579"/>
    <cellStyle name="40% - Accent6 4 3 3 4 2" xfId="28580"/>
    <cellStyle name="40% - Accent6 4 3 3 4 2 2" xfId="28581"/>
    <cellStyle name="40% - Accent6 4 3 3 4 2 3" xfId="28582"/>
    <cellStyle name="40% - Accent6 4 3 3 4 3" xfId="28583"/>
    <cellStyle name="40% - Accent6 4 3 3 4 3 2" xfId="28584"/>
    <cellStyle name="40% - Accent6 4 3 3 4 3 3" xfId="28585"/>
    <cellStyle name="40% - Accent6 4 3 3 4 4" xfId="28586"/>
    <cellStyle name="40% - Accent6 4 3 3 4 4 2" xfId="28587"/>
    <cellStyle name="40% - Accent6 4 3 3 4 5" xfId="28588"/>
    <cellStyle name="40% - Accent6 4 3 3 4 6" xfId="28589"/>
    <cellStyle name="40% - Accent6 4 3 3 5" xfId="28590"/>
    <cellStyle name="40% - Accent6 4 3 3 5 2" xfId="28591"/>
    <cellStyle name="40% - Accent6 4 3 3 5 2 2" xfId="28592"/>
    <cellStyle name="40% - Accent6 4 3 3 5 2 3" xfId="28593"/>
    <cellStyle name="40% - Accent6 4 3 3 5 3" xfId="28594"/>
    <cellStyle name="40% - Accent6 4 3 3 5 3 2" xfId="28595"/>
    <cellStyle name="40% - Accent6 4 3 3 5 4" xfId="28596"/>
    <cellStyle name="40% - Accent6 4 3 3 5 5" xfId="28597"/>
    <cellStyle name="40% - Accent6 4 3 3 6" xfId="28598"/>
    <cellStyle name="40% - Accent6 4 3 3 6 2" xfId="28599"/>
    <cellStyle name="40% - Accent6 4 3 3 6 3" xfId="28600"/>
    <cellStyle name="40% - Accent6 4 3 3 7" xfId="28601"/>
    <cellStyle name="40% - Accent6 4 3 3 7 2" xfId="28602"/>
    <cellStyle name="40% - Accent6 4 3 3 7 3" xfId="28603"/>
    <cellStyle name="40% - Accent6 4 3 3 8" xfId="28604"/>
    <cellStyle name="40% - Accent6 4 3 3 8 2" xfId="28605"/>
    <cellStyle name="40% - Accent6 4 3 3 9" xfId="28606"/>
    <cellStyle name="40% - Accent6 4 3 4" xfId="2671"/>
    <cellStyle name="40% - Accent6 4 3 4 2" xfId="28607"/>
    <cellStyle name="40% - Accent6 4 3 4 2 2" xfId="28608"/>
    <cellStyle name="40% - Accent6 4 3 4 2 2 2" xfId="28609"/>
    <cellStyle name="40% - Accent6 4 3 4 2 2 3" xfId="28610"/>
    <cellStyle name="40% - Accent6 4 3 4 2 3" xfId="28611"/>
    <cellStyle name="40% - Accent6 4 3 4 2 3 2" xfId="28612"/>
    <cellStyle name="40% - Accent6 4 3 4 2 3 3" xfId="28613"/>
    <cellStyle name="40% - Accent6 4 3 4 2 4" xfId="28614"/>
    <cellStyle name="40% - Accent6 4 3 4 2 4 2" xfId="28615"/>
    <cellStyle name="40% - Accent6 4 3 4 2 5" xfId="28616"/>
    <cellStyle name="40% - Accent6 4 3 4 2 6" xfId="28617"/>
    <cellStyle name="40% - Accent6 4 3 4 3" xfId="28618"/>
    <cellStyle name="40% - Accent6 4 3 4 3 2" xfId="28619"/>
    <cellStyle name="40% - Accent6 4 3 4 3 2 2" xfId="28620"/>
    <cellStyle name="40% - Accent6 4 3 4 3 2 3" xfId="28621"/>
    <cellStyle name="40% - Accent6 4 3 4 3 3" xfId="28622"/>
    <cellStyle name="40% - Accent6 4 3 4 3 3 2" xfId="28623"/>
    <cellStyle name="40% - Accent6 4 3 4 3 3 3" xfId="28624"/>
    <cellStyle name="40% - Accent6 4 3 4 3 4" xfId="28625"/>
    <cellStyle name="40% - Accent6 4 3 4 3 4 2" xfId="28626"/>
    <cellStyle name="40% - Accent6 4 3 4 3 5" xfId="28627"/>
    <cellStyle name="40% - Accent6 4 3 4 3 6" xfId="28628"/>
    <cellStyle name="40% - Accent6 4 3 4 4" xfId="28629"/>
    <cellStyle name="40% - Accent6 4 3 4 4 2" xfId="28630"/>
    <cellStyle name="40% - Accent6 4 3 4 4 2 2" xfId="28631"/>
    <cellStyle name="40% - Accent6 4 3 4 4 2 3" xfId="28632"/>
    <cellStyle name="40% - Accent6 4 3 4 4 3" xfId="28633"/>
    <cellStyle name="40% - Accent6 4 3 4 4 3 2" xfId="28634"/>
    <cellStyle name="40% - Accent6 4 3 4 4 4" xfId="28635"/>
    <cellStyle name="40% - Accent6 4 3 4 4 5" xfId="28636"/>
    <cellStyle name="40% - Accent6 4 3 4 5" xfId="28637"/>
    <cellStyle name="40% - Accent6 4 3 4 5 2" xfId="28638"/>
    <cellStyle name="40% - Accent6 4 3 4 5 3" xfId="28639"/>
    <cellStyle name="40% - Accent6 4 3 4 6" xfId="28640"/>
    <cellStyle name="40% - Accent6 4 3 4 6 2" xfId="28641"/>
    <cellStyle name="40% - Accent6 4 3 4 6 3" xfId="28642"/>
    <cellStyle name="40% - Accent6 4 3 4 7" xfId="28643"/>
    <cellStyle name="40% - Accent6 4 3 4 7 2" xfId="28644"/>
    <cellStyle name="40% - Accent6 4 3 4 8" xfId="28645"/>
    <cellStyle name="40% - Accent6 4 3 4 9" xfId="28646"/>
    <cellStyle name="40% - Accent6 4 3 5" xfId="28647"/>
    <cellStyle name="40% - Accent6 4 3 5 2" xfId="28648"/>
    <cellStyle name="40% - Accent6 4 3 5 2 2" xfId="28649"/>
    <cellStyle name="40% - Accent6 4 3 5 2 2 2" xfId="28650"/>
    <cellStyle name="40% - Accent6 4 3 5 2 2 3" xfId="28651"/>
    <cellStyle name="40% - Accent6 4 3 5 2 3" xfId="28652"/>
    <cellStyle name="40% - Accent6 4 3 5 2 3 2" xfId="28653"/>
    <cellStyle name="40% - Accent6 4 3 5 2 3 3" xfId="28654"/>
    <cellStyle name="40% - Accent6 4 3 5 2 4" xfId="28655"/>
    <cellStyle name="40% - Accent6 4 3 5 2 4 2" xfId="28656"/>
    <cellStyle name="40% - Accent6 4 3 5 2 5" xfId="28657"/>
    <cellStyle name="40% - Accent6 4 3 5 2 6" xfId="28658"/>
    <cellStyle name="40% - Accent6 4 3 5 3" xfId="28659"/>
    <cellStyle name="40% - Accent6 4 3 5 3 2" xfId="28660"/>
    <cellStyle name="40% - Accent6 4 3 5 3 2 2" xfId="28661"/>
    <cellStyle name="40% - Accent6 4 3 5 3 2 3" xfId="28662"/>
    <cellStyle name="40% - Accent6 4 3 5 3 3" xfId="28663"/>
    <cellStyle name="40% - Accent6 4 3 5 3 3 2" xfId="28664"/>
    <cellStyle name="40% - Accent6 4 3 5 3 3 3" xfId="28665"/>
    <cellStyle name="40% - Accent6 4 3 5 3 4" xfId="28666"/>
    <cellStyle name="40% - Accent6 4 3 5 3 4 2" xfId="28667"/>
    <cellStyle name="40% - Accent6 4 3 5 3 5" xfId="28668"/>
    <cellStyle name="40% - Accent6 4 3 5 3 6" xfId="28669"/>
    <cellStyle name="40% - Accent6 4 3 5 4" xfId="28670"/>
    <cellStyle name="40% - Accent6 4 3 5 4 2" xfId="28671"/>
    <cellStyle name="40% - Accent6 4 3 5 4 2 2" xfId="28672"/>
    <cellStyle name="40% - Accent6 4 3 5 4 2 3" xfId="28673"/>
    <cellStyle name="40% - Accent6 4 3 5 4 3" xfId="28674"/>
    <cellStyle name="40% - Accent6 4 3 5 4 3 2" xfId="28675"/>
    <cellStyle name="40% - Accent6 4 3 5 4 4" xfId="28676"/>
    <cellStyle name="40% - Accent6 4 3 5 4 5" xfId="28677"/>
    <cellStyle name="40% - Accent6 4 3 5 5" xfId="28678"/>
    <cellStyle name="40% - Accent6 4 3 5 5 2" xfId="28679"/>
    <cellStyle name="40% - Accent6 4 3 5 5 3" xfId="28680"/>
    <cellStyle name="40% - Accent6 4 3 5 6" xfId="28681"/>
    <cellStyle name="40% - Accent6 4 3 5 6 2" xfId="28682"/>
    <cellStyle name="40% - Accent6 4 3 5 6 3" xfId="28683"/>
    <cellStyle name="40% - Accent6 4 3 5 7" xfId="28684"/>
    <cellStyle name="40% - Accent6 4 3 5 7 2" xfId="28685"/>
    <cellStyle name="40% - Accent6 4 3 5 8" xfId="28686"/>
    <cellStyle name="40% - Accent6 4 3 5 9" xfId="28687"/>
    <cellStyle name="40% - Accent6 4 3 6" xfId="28688"/>
    <cellStyle name="40% - Accent6 4 3 6 2" xfId="28689"/>
    <cellStyle name="40% - Accent6 4 3 6 2 2" xfId="28690"/>
    <cellStyle name="40% - Accent6 4 3 6 2 3" xfId="28691"/>
    <cellStyle name="40% - Accent6 4 3 6 3" xfId="28692"/>
    <cellStyle name="40% - Accent6 4 3 6 3 2" xfId="28693"/>
    <cellStyle name="40% - Accent6 4 3 6 3 3" xfId="28694"/>
    <cellStyle name="40% - Accent6 4 3 6 4" xfId="28695"/>
    <cellStyle name="40% - Accent6 4 3 6 4 2" xfId="28696"/>
    <cellStyle name="40% - Accent6 4 3 6 5" xfId="28697"/>
    <cellStyle name="40% - Accent6 4 3 6 6" xfId="28698"/>
    <cellStyle name="40% - Accent6 4 3 7" xfId="28699"/>
    <cellStyle name="40% - Accent6 4 3 7 2" xfId="28700"/>
    <cellStyle name="40% - Accent6 4 3 7 2 2" xfId="28701"/>
    <cellStyle name="40% - Accent6 4 3 7 2 3" xfId="28702"/>
    <cellStyle name="40% - Accent6 4 3 7 3" xfId="28703"/>
    <cellStyle name="40% - Accent6 4 3 7 3 2" xfId="28704"/>
    <cellStyle name="40% - Accent6 4 3 7 3 3" xfId="28705"/>
    <cellStyle name="40% - Accent6 4 3 7 4" xfId="28706"/>
    <cellStyle name="40% - Accent6 4 3 7 4 2" xfId="28707"/>
    <cellStyle name="40% - Accent6 4 3 7 5" xfId="28708"/>
    <cellStyle name="40% - Accent6 4 3 7 6" xfId="28709"/>
    <cellStyle name="40% - Accent6 4 3 8" xfId="28710"/>
    <cellStyle name="40% - Accent6 4 3 8 2" xfId="28711"/>
    <cellStyle name="40% - Accent6 4 3 8 2 2" xfId="28712"/>
    <cellStyle name="40% - Accent6 4 3 8 2 3" xfId="28713"/>
    <cellStyle name="40% - Accent6 4 3 8 3" xfId="28714"/>
    <cellStyle name="40% - Accent6 4 3 8 3 2" xfId="28715"/>
    <cellStyle name="40% - Accent6 4 3 8 4" xfId="28716"/>
    <cellStyle name="40% - Accent6 4 3 8 5" xfId="28717"/>
    <cellStyle name="40% - Accent6 4 3 9" xfId="28718"/>
    <cellStyle name="40% - Accent6 4 3 9 2" xfId="28719"/>
    <cellStyle name="40% - Accent6 4 3 9 3" xfId="28720"/>
    <cellStyle name="40% - Accent6 4 4" xfId="2672"/>
    <cellStyle name="40% - Accent6 4 4 10" xfId="28721"/>
    <cellStyle name="40% - Accent6 4 4 10 2" xfId="28722"/>
    <cellStyle name="40% - Accent6 4 4 11" xfId="28723"/>
    <cellStyle name="40% - Accent6 4 4 12" xfId="28724"/>
    <cellStyle name="40% - Accent6 4 4 2" xfId="2673"/>
    <cellStyle name="40% - Accent6 4 4 2 10" xfId="28725"/>
    <cellStyle name="40% - Accent6 4 4 2 2" xfId="2674"/>
    <cellStyle name="40% - Accent6 4 4 2 2 2" xfId="28726"/>
    <cellStyle name="40% - Accent6 4 4 2 2 2 2" xfId="28727"/>
    <cellStyle name="40% - Accent6 4 4 2 2 2 2 2" xfId="28728"/>
    <cellStyle name="40% - Accent6 4 4 2 2 2 2 3" xfId="28729"/>
    <cellStyle name="40% - Accent6 4 4 2 2 2 3" xfId="28730"/>
    <cellStyle name="40% - Accent6 4 4 2 2 2 3 2" xfId="28731"/>
    <cellStyle name="40% - Accent6 4 4 2 2 2 3 3" xfId="28732"/>
    <cellStyle name="40% - Accent6 4 4 2 2 2 4" xfId="28733"/>
    <cellStyle name="40% - Accent6 4 4 2 2 2 4 2" xfId="28734"/>
    <cellStyle name="40% - Accent6 4 4 2 2 2 5" xfId="28735"/>
    <cellStyle name="40% - Accent6 4 4 2 2 2 6" xfId="28736"/>
    <cellStyle name="40% - Accent6 4 4 2 2 3" xfId="28737"/>
    <cellStyle name="40% - Accent6 4 4 2 2 3 2" xfId="28738"/>
    <cellStyle name="40% - Accent6 4 4 2 2 3 2 2" xfId="28739"/>
    <cellStyle name="40% - Accent6 4 4 2 2 3 2 3" xfId="28740"/>
    <cellStyle name="40% - Accent6 4 4 2 2 3 3" xfId="28741"/>
    <cellStyle name="40% - Accent6 4 4 2 2 3 3 2" xfId="28742"/>
    <cellStyle name="40% - Accent6 4 4 2 2 3 3 3" xfId="28743"/>
    <cellStyle name="40% - Accent6 4 4 2 2 3 4" xfId="28744"/>
    <cellStyle name="40% - Accent6 4 4 2 2 3 4 2" xfId="28745"/>
    <cellStyle name="40% - Accent6 4 4 2 2 3 5" xfId="28746"/>
    <cellStyle name="40% - Accent6 4 4 2 2 3 6" xfId="28747"/>
    <cellStyle name="40% - Accent6 4 4 2 2 4" xfId="28748"/>
    <cellStyle name="40% - Accent6 4 4 2 2 4 2" xfId="28749"/>
    <cellStyle name="40% - Accent6 4 4 2 2 4 2 2" xfId="28750"/>
    <cellStyle name="40% - Accent6 4 4 2 2 4 2 3" xfId="28751"/>
    <cellStyle name="40% - Accent6 4 4 2 2 4 3" xfId="28752"/>
    <cellStyle name="40% - Accent6 4 4 2 2 4 3 2" xfId="28753"/>
    <cellStyle name="40% - Accent6 4 4 2 2 4 4" xfId="28754"/>
    <cellStyle name="40% - Accent6 4 4 2 2 4 5" xfId="28755"/>
    <cellStyle name="40% - Accent6 4 4 2 2 5" xfId="28756"/>
    <cellStyle name="40% - Accent6 4 4 2 2 5 2" xfId="28757"/>
    <cellStyle name="40% - Accent6 4 4 2 2 5 3" xfId="28758"/>
    <cellStyle name="40% - Accent6 4 4 2 2 6" xfId="28759"/>
    <cellStyle name="40% - Accent6 4 4 2 2 6 2" xfId="28760"/>
    <cellStyle name="40% - Accent6 4 4 2 2 6 3" xfId="28761"/>
    <cellStyle name="40% - Accent6 4 4 2 2 7" xfId="28762"/>
    <cellStyle name="40% - Accent6 4 4 2 2 7 2" xfId="28763"/>
    <cellStyle name="40% - Accent6 4 4 2 2 8" xfId="28764"/>
    <cellStyle name="40% - Accent6 4 4 2 2 9" xfId="28765"/>
    <cellStyle name="40% - Accent6 4 4 2 3" xfId="28766"/>
    <cellStyle name="40% - Accent6 4 4 2 3 2" xfId="28767"/>
    <cellStyle name="40% - Accent6 4 4 2 3 2 2" xfId="28768"/>
    <cellStyle name="40% - Accent6 4 4 2 3 2 3" xfId="28769"/>
    <cellStyle name="40% - Accent6 4 4 2 3 3" xfId="28770"/>
    <cellStyle name="40% - Accent6 4 4 2 3 3 2" xfId="28771"/>
    <cellStyle name="40% - Accent6 4 4 2 3 3 3" xfId="28772"/>
    <cellStyle name="40% - Accent6 4 4 2 3 4" xfId="28773"/>
    <cellStyle name="40% - Accent6 4 4 2 3 4 2" xfId="28774"/>
    <cellStyle name="40% - Accent6 4 4 2 3 5" xfId="28775"/>
    <cellStyle name="40% - Accent6 4 4 2 3 6" xfId="28776"/>
    <cellStyle name="40% - Accent6 4 4 2 4" xfId="28777"/>
    <cellStyle name="40% - Accent6 4 4 2 4 2" xfId="28778"/>
    <cellStyle name="40% - Accent6 4 4 2 4 2 2" xfId="28779"/>
    <cellStyle name="40% - Accent6 4 4 2 4 2 3" xfId="28780"/>
    <cellStyle name="40% - Accent6 4 4 2 4 3" xfId="28781"/>
    <cellStyle name="40% - Accent6 4 4 2 4 3 2" xfId="28782"/>
    <cellStyle name="40% - Accent6 4 4 2 4 3 3" xfId="28783"/>
    <cellStyle name="40% - Accent6 4 4 2 4 4" xfId="28784"/>
    <cellStyle name="40% - Accent6 4 4 2 4 4 2" xfId="28785"/>
    <cellStyle name="40% - Accent6 4 4 2 4 5" xfId="28786"/>
    <cellStyle name="40% - Accent6 4 4 2 4 6" xfId="28787"/>
    <cellStyle name="40% - Accent6 4 4 2 5" xfId="28788"/>
    <cellStyle name="40% - Accent6 4 4 2 5 2" xfId="28789"/>
    <cellStyle name="40% - Accent6 4 4 2 5 2 2" xfId="28790"/>
    <cellStyle name="40% - Accent6 4 4 2 5 2 3" xfId="28791"/>
    <cellStyle name="40% - Accent6 4 4 2 5 3" xfId="28792"/>
    <cellStyle name="40% - Accent6 4 4 2 5 3 2" xfId="28793"/>
    <cellStyle name="40% - Accent6 4 4 2 5 4" xfId="28794"/>
    <cellStyle name="40% - Accent6 4 4 2 5 5" xfId="28795"/>
    <cellStyle name="40% - Accent6 4 4 2 6" xfId="28796"/>
    <cellStyle name="40% - Accent6 4 4 2 6 2" xfId="28797"/>
    <cellStyle name="40% - Accent6 4 4 2 6 3" xfId="28798"/>
    <cellStyle name="40% - Accent6 4 4 2 7" xfId="28799"/>
    <cellStyle name="40% - Accent6 4 4 2 7 2" xfId="28800"/>
    <cellStyle name="40% - Accent6 4 4 2 7 3" xfId="28801"/>
    <cellStyle name="40% - Accent6 4 4 2 8" xfId="28802"/>
    <cellStyle name="40% - Accent6 4 4 2 8 2" xfId="28803"/>
    <cellStyle name="40% - Accent6 4 4 2 9" xfId="28804"/>
    <cellStyle name="40% - Accent6 4 4 3" xfId="2675"/>
    <cellStyle name="40% - Accent6 4 4 3 2" xfId="28805"/>
    <cellStyle name="40% - Accent6 4 4 3 2 2" xfId="28806"/>
    <cellStyle name="40% - Accent6 4 4 3 2 2 2" xfId="28807"/>
    <cellStyle name="40% - Accent6 4 4 3 2 2 3" xfId="28808"/>
    <cellStyle name="40% - Accent6 4 4 3 2 3" xfId="28809"/>
    <cellStyle name="40% - Accent6 4 4 3 2 3 2" xfId="28810"/>
    <cellStyle name="40% - Accent6 4 4 3 2 3 3" xfId="28811"/>
    <cellStyle name="40% - Accent6 4 4 3 2 4" xfId="28812"/>
    <cellStyle name="40% - Accent6 4 4 3 2 4 2" xfId="28813"/>
    <cellStyle name="40% - Accent6 4 4 3 2 5" xfId="28814"/>
    <cellStyle name="40% - Accent6 4 4 3 2 6" xfId="28815"/>
    <cellStyle name="40% - Accent6 4 4 3 3" xfId="28816"/>
    <cellStyle name="40% - Accent6 4 4 3 3 2" xfId="28817"/>
    <cellStyle name="40% - Accent6 4 4 3 3 2 2" xfId="28818"/>
    <cellStyle name="40% - Accent6 4 4 3 3 2 3" xfId="28819"/>
    <cellStyle name="40% - Accent6 4 4 3 3 3" xfId="28820"/>
    <cellStyle name="40% - Accent6 4 4 3 3 3 2" xfId="28821"/>
    <cellStyle name="40% - Accent6 4 4 3 3 3 3" xfId="28822"/>
    <cellStyle name="40% - Accent6 4 4 3 3 4" xfId="28823"/>
    <cellStyle name="40% - Accent6 4 4 3 3 4 2" xfId="28824"/>
    <cellStyle name="40% - Accent6 4 4 3 3 5" xfId="28825"/>
    <cellStyle name="40% - Accent6 4 4 3 3 6" xfId="28826"/>
    <cellStyle name="40% - Accent6 4 4 3 4" xfId="28827"/>
    <cellStyle name="40% - Accent6 4 4 3 4 2" xfId="28828"/>
    <cellStyle name="40% - Accent6 4 4 3 4 2 2" xfId="28829"/>
    <cellStyle name="40% - Accent6 4 4 3 4 2 3" xfId="28830"/>
    <cellStyle name="40% - Accent6 4 4 3 4 3" xfId="28831"/>
    <cellStyle name="40% - Accent6 4 4 3 4 3 2" xfId="28832"/>
    <cellStyle name="40% - Accent6 4 4 3 4 4" xfId="28833"/>
    <cellStyle name="40% - Accent6 4 4 3 4 5" xfId="28834"/>
    <cellStyle name="40% - Accent6 4 4 3 5" xfId="28835"/>
    <cellStyle name="40% - Accent6 4 4 3 5 2" xfId="28836"/>
    <cellStyle name="40% - Accent6 4 4 3 5 3" xfId="28837"/>
    <cellStyle name="40% - Accent6 4 4 3 6" xfId="28838"/>
    <cellStyle name="40% - Accent6 4 4 3 6 2" xfId="28839"/>
    <cellStyle name="40% - Accent6 4 4 3 6 3" xfId="28840"/>
    <cellStyle name="40% - Accent6 4 4 3 7" xfId="28841"/>
    <cellStyle name="40% - Accent6 4 4 3 7 2" xfId="28842"/>
    <cellStyle name="40% - Accent6 4 4 3 8" xfId="28843"/>
    <cellStyle name="40% - Accent6 4 4 3 9" xfId="28844"/>
    <cellStyle name="40% - Accent6 4 4 4" xfId="28845"/>
    <cellStyle name="40% - Accent6 4 4 4 2" xfId="28846"/>
    <cellStyle name="40% - Accent6 4 4 4 2 2" xfId="28847"/>
    <cellStyle name="40% - Accent6 4 4 4 2 2 2" xfId="28848"/>
    <cellStyle name="40% - Accent6 4 4 4 2 2 3" xfId="28849"/>
    <cellStyle name="40% - Accent6 4 4 4 2 3" xfId="28850"/>
    <cellStyle name="40% - Accent6 4 4 4 2 3 2" xfId="28851"/>
    <cellStyle name="40% - Accent6 4 4 4 2 3 3" xfId="28852"/>
    <cellStyle name="40% - Accent6 4 4 4 2 4" xfId="28853"/>
    <cellStyle name="40% - Accent6 4 4 4 2 4 2" xfId="28854"/>
    <cellStyle name="40% - Accent6 4 4 4 2 5" xfId="28855"/>
    <cellStyle name="40% - Accent6 4 4 4 2 6" xfId="28856"/>
    <cellStyle name="40% - Accent6 4 4 4 3" xfId="28857"/>
    <cellStyle name="40% - Accent6 4 4 4 3 2" xfId="28858"/>
    <cellStyle name="40% - Accent6 4 4 4 3 2 2" xfId="28859"/>
    <cellStyle name="40% - Accent6 4 4 4 3 2 3" xfId="28860"/>
    <cellStyle name="40% - Accent6 4 4 4 3 3" xfId="28861"/>
    <cellStyle name="40% - Accent6 4 4 4 3 3 2" xfId="28862"/>
    <cellStyle name="40% - Accent6 4 4 4 3 3 3" xfId="28863"/>
    <cellStyle name="40% - Accent6 4 4 4 3 4" xfId="28864"/>
    <cellStyle name="40% - Accent6 4 4 4 3 4 2" xfId="28865"/>
    <cellStyle name="40% - Accent6 4 4 4 3 5" xfId="28866"/>
    <cellStyle name="40% - Accent6 4 4 4 3 6" xfId="28867"/>
    <cellStyle name="40% - Accent6 4 4 4 4" xfId="28868"/>
    <cellStyle name="40% - Accent6 4 4 4 4 2" xfId="28869"/>
    <cellStyle name="40% - Accent6 4 4 4 4 2 2" xfId="28870"/>
    <cellStyle name="40% - Accent6 4 4 4 4 2 3" xfId="28871"/>
    <cellStyle name="40% - Accent6 4 4 4 4 3" xfId="28872"/>
    <cellStyle name="40% - Accent6 4 4 4 4 3 2" xfId="28873"/>
    <cellStyle name="40% - Accent6 4 4 4 4 4" xfId="28874"/>
    <cellStyle name="40% - Accent6 4 4 4 4 5" xfId="28875"/>
    <cellStyle name="40% - Accent6 4 4 4 5" xfId="28876"/>
    <cellStyle name="40% - Accent6 4 4 4 5 2" xfId="28877"/>
    <cellStyle name="40% - Accent6 4 4 4 5 3" xfId="28878"/>
    <cellStyle name="40% - Accent6 4 4 4 6" xfId="28879"/>
    <cellStyle name="40% - Accent6 4 4 4 6 2" xfId="28880"/>
    <cellStyle name="40% - Accent6 4 4 4 6 3" xfId="28881"/>
    <cellStyle name="40% - Accent6 4 4 4 7" xfId="28882"/>
    <cellStyle name="40% - Accent6 4 4 4 7 2" xfId="28883"/>
    <cellStyle name="40% - Accent6 4 4 4 8" xfId="28884"/>
    <cellStyle name="40% - Accent6 4 4 4 9" xfId="28885"/>
    <cellStyle name="40% - Accent6 4 4 5" xfId="28886"/>
    <cellStyle name="40% - Accent6 4 4 5 2" xfId="28887"/>
    <cellStyle name="40% - Accent6 4 4 5 2 2" xfId="28888"/>
    <cellStyle name="40% - Accent6 4 4 5 2 3" xfId="28889"/>
    <cellStyle name="40% - Accent6 4 4 5 3" xfId="28890"/>
    <cellStyle name="40% - Accent6 4 4 5 3 2" xfId="28891"/>
    <cellStyle name="40% - Accent6 4 4 5 3 3" xfId="28892"/>
    <cellStyle name="40% - Accent6 4 4 5 4" xfId="28893"/>
    <cellStyle name="40% - Accent6 4 4 5 4 2" xfId="28894"/>
    <cellStyle name="40% - Accent6 4 4 5 5" xfId="28895"/>
    <cellStyle name="40% - Accent6 4 4 5 6" xfId="28896"/>
    <cellStyle name="40% - Accent6 4 4 6" xfId="28897"/>
    <cellStyle name="40% - Accent6 4 4 6 2" xfId="28898"/>
    <cellStyle name="40% - Accent6 4 4 6 2 2" xfId="28899"/>
    <cellStyle name="40% - Accent6 4 4 6 2 3" xfId="28900"/>
    <cellStyle name="40% - Accent6 4 4 6 3" xfId="28901"/>
    <cellStyle name="40% - Accent6 4 4 6 3 2" xfId="28902"/>
    <cellStyle name="40% - Accent6 4 4 6 3 3" xfId="28903"/>
    <cellStyle name="40% - Accent6 4 4 6 4" xfId="28904"/>
    <cellStyle name="40% - Accent6 4 4 6 4 2" xfId="28905"/>
    <cellStyle name="40% - Accent6 4 4 6 5" xfId="28906"/>
    <cellStyle name="40% - Accent6 4 4 6 6" xfId="28907"/>
    <cellStyle name="40% - Accent6 4 4 7" xfId="28908"/>
    <cellStyle name="40% - Accent6 4 4 7 2" xfId="28909"/>
    <cellStyle name="40% - Accent6 4 4 7 2 2" xfId="28910"/>
    <cellStyle name="40% - Accent6 4 4 7 2 3" xfId="28911"/>
    <cellStyle name="40% - Accent6 4 4 7 3" xfId="28912"/>
    <cellStyle name="40% - Accent6 4 4 7 3 2" xfId="28913"/>
    <cellStyle name="40% - Accent6 4 4 7 4" xfId="28914"/>
    <cellStyle name="40% - Accent6 4 4 7 5" xfId="28915"/>
    <cellStyle name="40% - Accent6 4 4 8" xfId="28916"/>
    <cellStyle name="40% - Accent6 4 4 8 2" xfId="28917"/>
    <cellStyle name="40% - Accent6 4 4 8 3" xfId="28918"/>
    <cellStyle name="40% - Accent6 4 4 9" xfId="28919"/>
    <cellStyle name="40% - Accent6 4 4 9 2" xfId="28920"/>
    <cellStyle name="40% - Accent6 4 4 9 3" xfId="28921"/>
    <cellStyle name="40% - Accent6 4 5" xfId="2676"/>
    <cellStyle name="40% - Accent6 4 5 10" xfId="28922"/>
    <cellStyle name="40% - Accent6 4 5 2" xfId="2677"/>
    <cellStyle name="40% - Accent6 4 5 2 2" xfId="28923"/>
    <cellStyle name="40% - Accent6 4 5 2 2 2" xfId="28924"/>
    <cellStyle name="40% - Accent6 4 5 2 2 2 2" xfId="28925"/>
    <cellStyle name="40% - Accent6 4 5 2 2 2 3" xfId="28926"/>
    <cellStyle name="40% - Accent6 4 5 2 2 3" xfId="28927"/>
    <cellStyle name="40% - Accent6 4 5 2 2 3 2" xfId="28928"/>
    <cellStyle name="40% - Accent6 4 5 2 2 3 3" xfId="28929"/>
    <cellStyle name="40% - Accent6 4 5 2 2 4" xfId="28930"/>
    <cellStyle name="40% - Accent6 4 5 2 2 4 2" xfId="28931"/>
    <cellStyle name="40% - Accent6 4 5 2 2 5" xfId="28932"/>
    <cellStyle name="40% - Accent6 4 5 2 2 6" xfId="28933"/>
    <cellStyle name="40% - Accent6 4 5 2 3" xfId="28934"/>
    <cellStyle name="40% - Accent6 4 5 2 3 2" xfId="28935"/>
    <cellStyle name="40% - Accent6 4 5 2 3 2 2" xfId="28936"/>
    <cellStyle name="40% - Accent6 4 5 2 3 2 3" xfId="28937"/>
    <cellStyle name="40% - Accent6 4 5 2 3 3" xfId="28938"/>
    <cellStyle name="40% - Accent6 4 5 2 3 3 2" xfId="28939"/>
    <cellStyle name="40% - Accent6 4 5 2 3 3 3" xfId="28940"/>
    <cellStyle name="40% - Accent6 4 5 2 3 4" xfId="28941"/>
    <cellStyle name="40% - Accent6 4 5 2 3 4 2" xfId="28942"/>
    <cellStyle name="40% - Accent6 4 5 2 3 5" xfId="28943"/>
    <cellStyle name="40% - Accent6 4 5 2 3 6" xfId="28944"/>
    <cellStyle name="40% - Accent6 4 5 2 4" xfId="28945"/>
    <cellStyle name="40% - Accent6 4 5 2 4 2" xfId="28946"/>
    <cellStyle name="40% - Accent6 4 5 2 4 2 2" xfId="28947"/>
    <cellStyle name="40% - Accent6 4 5 2 4 2 3" xfId="28948"/>
    <cellStyle name="40% - Accent6 4 5 2 4 3" xfId="28949"/>
    <cellStyle name="40% - Accent6 4 5 2 4 3 2" xfId="28950"/>
    <cellStyle name="40% - Accent6 4 5 2 4 4" xfId="28951"/>
    <cellStyle name="40% - Accent6 4 5 2 4 5" xfId="28952"/>
    <cellStyle name="40% - Accent6 4 5 2 5" xfId="28953"/>
    <cellStyle name="40% - Accent6 4 5 2 5 2" xfId="28954"/>
    <cellStyle name="40% - Accent6 4 5 2 5 3" xfId="28955"/>
    <cellStyle name="40% - Accent6 4 5 2 6" xfId="28956"/>
    <cellStyle name="40% - Accent6 4 5 2 6 2" xfId="28957"/>
    <cellStyle name="40% - Accent6 4 5 2 6 3" xfId="28958"/>
    <cellStyle name="40% - Accent6 4 5 2 7" xfId="28959"/>
    <cellStyle name="40% - Accent6 4 5 2 7 2" xfId="28960"/>
    <cellStyle name="40% - Accent6 4 5 2 8" xfId="28961"/>
    <cellStyle name="40% - Accent6 4 5 2 9" xfId="28962"/>
    <cellStyle name="40% - Accent6 4 5 3" xfId="28963"/>
    <cellStyle name="40% - Accent6 4 5 3 2" xfId="28964"/>
    <cellStyle name="40% - Accent6 4 5 3 2 2" xfId="28965"/>
    <cellStyle name="40% - Accent6 4 5 3 2 3" xfId="28966"/>
    <cellStyle name="40% - Accent6 4 5 3 3" xfId="28967"/>
    <cellStyle name="40% - Accent6 4 5 3 3 2" xfId="28968"/>
    <cellStyle name="40% - Accent6 4 5 3 3 3" xfId="28969"/>
    <cellStyle name="40% - Accent6 4 5 3 4" xfId="28970"/>
    <cellStyle name="40% - Accent6 4 5 3 4 2" xfId="28971"/>
    <cellStyle name="40% - Accent6 4 5 3 5" xfId="28972"/>
    <cellStyle name="40% - Accent6 4 5 3 6" xfId="28973"/>
    <cellStyle name="40% - Accent6 4 5 4" xfId="28974"/>
    <cellStyle name="40% - Accent6 4 5 4 2" xfId="28975"/>
    <cellStyle name="40% - Accent6 4 5 4 2 2" xfId="28976"/>
    <cellStyle name="40% - Accent6 4 5 4 2 3" xfId="28977"/>
    <cellStyle name="40% - Accent6 4 5 4 3" xfId="28978"/>
    <cellStyle name="40% - Accent6 4 5 4 3 2" xfId="28979"/>
    <cellStyle name="40% - Accent6 4 5 4 3 3" xfId="28980"/>
    <cellStyle name="40% - Accent6 4 5 4 4" xfId="28981"/>
    <cellStyle name="40% - Accent6 4 5 4 4 2" xfId="28982"/>
    <cellStyle name="40% - Accent6 4 5 4 5" xfId="28983"/>
    <cellStyle name="40% - Accent6 4 5 4 6" xfId="28984"/>
    <cellStyle name="40% - Accent6 4 5 5" xfId="28985"/>
    <cellStyle name="40% - Accent6 4 5 5 2" xfId="28986"/>
    <cellStyle name="40% - Accent6 4 5 5 2 2" xfId="28987"/>
    <cellStyle name="40% - Accent6 4 5 5 2 3" xfId="28988"/>
    <cellStyle name="40% - Accent6 4 5 5 3" xfId="28989"/>
    <cellStyle name="40% - Accent6 4 5 5 3 2" xfId="28990"/>
    <cellStyle name="40% - Accent6 4 5 5 4" xfId="28991"/>
    <cellStyle name="40% - Accent6 4 5 5 5" xfId="28992"/>
    <cellStyle name="40% - Accent6 4 5 6" xfId="28993"/>
    <cellStyle name="40% - Accent6 4 5 6 2" xfId="28994"/>
    <cellStyle name="40% - Accent6 4 5 6 3" xfId="28995"/>
    <cellStyle name="40% - Accent6 4 5 7" xfId="28996"/>
    <cellStyle name="40% - Accent6 4 5 7 2" xfId="28997"/>
    <cellStyle name="40% - Accent6 4 5 7 3" xfId="28998"/>
    <cellStyle name="40% - Accent6 4 5 8" xfId="28999"/>
    <cellStyle name="40% - Accent6 4 5 8 2" xfId="29000"/>
    <cellStyle name="40% - Accent6 4 5 9" xfId="29001"/>
    <cellStyle name="40% - Accent6 4 6" xfId="2678"/>
    <cellStyle name="40% - Accent6 4 6 2" xfId="29002"/>
    <cellStyle name="40% - Accent6 4 6 2 2" xfId="29003"/>
    <cellStyle name="40% - Accent6 4 6 2 2 2" xfId="29004"/>
    <cellStyle name="40% - Accent6 4 6 2 2 3" xfId="29005"/>
    <cellStyle name="40% - Accent6 4 6 2 3" xfId="29006"/>
    <cellStyle name="40% - Accent6 4 6 2 3 2" xfId="29007"/>
    <cellStyle name="40% - Accent6 4 6 2 3 3" xfId="29008"/>
    <cellStyle name="40% - Accent6 4 6 2 4" xfId="29009"/>
    <cellStyle name="40% - Accent6 4 6 2 4 2" xfId="29010"/>
    <cellStyle name="40% - Accent6 4 6 2 5" xfId="29011"/>
    <cellStyle name="40% - Accent6 4 6 2 6" xfId="29012"/>
    <cellStyle name="40% - Accent6 4 6 3" xfId="29013"/>
    <cellStyle name="40% - Accent6 4 6 3 2" xfId="29014"/>
    <cellStyle name="40% - Accent6 4 6 3 2 2" xfId="29015"/>
    <cellStyle name="40% - Accent6 4 6 3 2 3" xfId="29016"/>
    <cellStyle name="40% - Accent6 4 6 3 3" xfId="29017"/>
    <cellStyle name="40% - Accent6 4 6 3 3 2" xfId="29018"/>
    <cellStyle name="40% - Accent6 4 6 3 3 3" xfId="29019"/>
    <cellStyle name="40% - Accent6 4 6 3 4" xfId="29020"/>
    <cellStyle name="40% - Accent6 4 6 3 4 2" xfId="29021"/>
    <cellStyle name="40% - Accent6 4 6 3 5" xfId="29022"/>
    <cellStyle name="40% - Accent6 4 6 3 6" xfId="29023"/>
    <cellStyle name="40% - Accent6 4 6 4" xfId="29024"/>
    <cellStyle name="40% - Accent6 4 6 4 2" xfId="29025"/>
    <cellStyle name="40% - Accent6 4 6 4 2 2" xfId="29026"/>
    <cellStyle name="40% - Accent6 4 6 4 2 3" xfId="29027"/>
    <cellStyle name="40% - Accent6 4 6 4 3" xfId="29028"/>
    <cellStyle name="40% - Accent6 4 6 4 3 2" xfId="29029"/>
    <cellStyle name="40% - Accent6 4 6 4 4" xfId="29030"/>
    <cellStyle name="40% - Accent6 4 6 4 5" xfId="29031"/>
    <cellStyle name="40% - Accent6 4 6 5" xfId="29032"/>
    <cellStyle name="40% - Accent6 4 6 5 2" xfId="29033"/>
    <cellStyle name="40% - Accent6 4 6 5 3" xfId="29034"/>
    <cellStyle name="40% - Accent6 4 6 6" xfId="29035"/>
    <cellStyle name="40% - Accent6 4 6 6 2" xfId="29036"/>
    <cellStyle name="40% - Accent6 4 6 6 3" xfId="29037"/>
    <cellStyle name="40% - Accent6 4 6 7" xfId="29038"/>
    <cellStyle name="40% - Accent6 4 6 7 2" xfId="29039"/>
    <cellStyle name="40% - Accent6 4 6 8" xfId="29040"/>
    <cellStyle name="40% - Accent6 4 6 9" xfId="29041"/>
    <cellStyle name="40% - Accent6 4 7" xfId="9059"/>
    <cellStyle name="40% - Accent6 4 7 2" xfId="29042"/>
    <cellStyle name="40% - Accent6 4 7 2 2" xfId="29043"/>
    <cellStyle name="40% - Accent6 4 7 2 2 2" xfId="29044"/>
    <cellStyle name="40% - Accent6 4 7 2 2 3" xfId="29045"/>
    <cellStyle name="40% - Accent6 4 7 2 3" xfId="29046"/>
    <cellStyle name="40% - Accent6 4 7 2 3 2" xfId="29047"/>
    <cellStyle name="40% - Accent6 4 7 2 3 3" xfId="29048"/>
    <cellStyle name="40% - Accent6 4 7 2 4" xfId="29049"/>
    <cellStyle name="40% - Accent6 4 7 2 4 2" xfId="29050"/>
    <cellStyle name="40% - Accent6 4 7 2 5" xfId="29051"/>
    <cellStyle name="40% - Accent6 4 7 2 6" xfId="29052"/>
    <cellStyle name="40% - Accent6 4 7 3" xfId="29053"/>
    <cellStyle name="40% - Accent6 4 7 3 2" xfId="29054"/>
    <cellStyle name="40% - Accent6 4 7 3 2 2" xfId="29055"/>
    <cellStyle name="40% - Accent6 4 7 3 2 3" xfId="29056"/>
    <cellStyle name="40% - Accent6 4 7 3 3" xfId="29057"/>
    <cellStyle name="40% - Accent6 4 7 3 3 2" xfId="29058"/>
    <cellStyle name="40% - Accent6 4 7 3 3 3" xfId="29059"/>
    <cellStyle name="40% - Accent6 4 7 3 4" xfId="29060"/>
    <cellStyle name="40% - Accent6 4 7 3 4 2" xfId="29061"/>
    <cellStyle name="40% - Accent6 4 7 3 5" xfId="29062"/>
    <cellStyle name="40% - Accent6 4 7 3 6" xfId="29063"/>
    <cellStyle name="40% - Accent6 4 7 4" xfId="29064"/>
    <cellStyle name="40% - Accent6 4 7 4 2" xfId="29065"/>
    <cellStyle name="40% - Accent6 4 7 4 2 2" xfId="29066"/>
    <cellStyle name="40% - Accent6 4 7 4 2 3" xfId="29067"/>
    <cellStyle name="40% - Accent6 4 7 4 3" xfId="29068"/>
    <cellStyle name="40% - Accent6 4 7 4 3 2" xfId="29069"/>
    <cellStyle name="40% - Accent6 4 7 4 4" xfId="29070"/>
    <cellStyle name="40% - Accent6 4 7 4 5" xfId="29071"/>
    <cellStyle name="40% - Accent6 4 7 5" xfId="29072"/>
    <cellStyle name="40% - Accent6 4 7 5 2" xfId="29073"/>
    <cellStyle name="40% - Accent6 4 7 5 3" xfId="29074"/>
    <cellStyle name="40% - Accent6 4 7 6" xfId="29075"/>
    <cellStyle name="40% - Accent6 4 7 6 2" xfId="29076"/>
    <cellStyle name="40% - Accent6 4 7 6 3" xfId="29077"/>
    <cellStyle name="40% - Accent6 4 7 7" xfId="29078"/>
    <cellStyle name="40% - Accent6 4 7 7 2" xfId="29079"/>
    <cellStyle name="40% - Accent6 4 7 8" xfId="29080"/>
    <cellStyle name="40% - Accent6 4 7 9" xfId="29081"/>
    <cellStyle name="40% - Accent6 4 8" xfId="29082"/>
    <cellStyle name="40% - Accent6 4 8 2" xfId="29083"/>
    <cellStyle name="40% - Accent6 4 8 2 2" xfId="29084"/>
    <cellStyle name="40% - Accent6 4 8 2 3" xfId="29085"/>
    <cellStyle name="40% - Accent6 4 8 3" xfId="29086"/>
    <cellStyle name="40% - Accent6 4 8 3 2" xfId="29087"/>
    <cellStyle name="40% - Accent6 4 8 3 3" xfId="29088"/>
    <cellStyle name="40% - Accent6 4 8 4" xfId="29089"/>
    <cellStyle name="40% - Accent6 4 8 4 2" xfId="29090"/>
    <cellStyle name="40% - Accent6 4 8 5" xfId="29091"/>
    <cellStyle name="40% - Accent6 4 8 6" xfId="29092"/>
    <cellStyle name="40% - Accent6 4 9" xfId="29093"/>
    <cellStyle name="40% - Accent6 4 9 2" xfId="29094"/>
    <cellStyle name="40% - Accent6 4 9 2 2" xfId="29095"/>
    <cellStyle name="40% - Accent6 4 9 2 3" xfId="29096"/>
    <cellStyle name="40% - Accent6 4 9 3" xfId="29097"/>
    <cellStyle name="40% - Accent6 4 9 3 2" xfId="29098"/>
    <cellStyle name="40% - Accent6 4 9 3 3" xfId="29099"/>
    <cellStyle name="40% - Accent6 4 9 4" xfId="29100"/>
    <cellStyle name="40% - Accent6 4 9 4 2" xfId="29101"/>
    <cellStyle name="40% - Accent6 4 9 5" xfId="29102"/>
    <cellStyle name="40% - Accent6 4 9 6" xfId="29103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9104"/>
    <cellStyle name="60% - Accent1 11" xfId="29105"/>
    <cellStyle name="60% - Accent1 12" xfId="29106"/>
    <cellStyle name="60% - Accent1 13" xfId="29107"/>
    <cellStyle name="60% - Accent1 14" xfId="29108"/>
    <cellStyle name="60% - Accent1 15" xfId="29109"/>
    <cellStyle name="60% - Accent1 16" xfId="29110"/>
    <cellStyle name="60% - Accent1 17" xfId="29111"/>
    <cellStyle name="60% - Accent1 17 2" xfId="58310"/>
    <cellStyle name="60% - Accent1 2" xfId="2723"/>
    <cellStyle name="60% - Accent1 2 2" xfId="2724"/>
    <cellStyle name="60% - Accent1 2 2 2" xfId="9385"/>
    <cellStyle name="60% - Accent1 2 3" xfId="29112"/>
    <cellStyle name="60% - Accent1 2 4" xfId="29113"/>
    <cellStyle name="60% - Accent1 2 5" xfId="29114"/>
    <cellStyle name="60% - Accent1 2 6" xfId="29115"/>
    <cellStyle name="60% - Accent1 3" xfId="2725"/>
    <cellStyle name="60% - Accent1 3 2" xfId="9061"/>
    <cellStyle name="60% - Accent1 3 3" xfId="29116"/>
    <cellStyle name="60% - Accent1 4" xfId="2726"/>
    <cellStyle name="60% - Accent1 4 2" xfId="29117"/>
    <cellStyle name="60% - Accent1 4 3" xfId="29118"/>
    <cellStyle name="60% - Accent1 5" xfId="9062"/>
    <cellStyle name="60% - Accent1 5 2" xfId="29119"/>
    <cellStyle name="60% - Accent1 6" xfId="29120"/>
    <cellStyle name="60% - Accent1 6 2" xfId="29121"/>
    <cellStyle name="60% - Accent1 7" xfId="29122"/>
    <cellStyle name="60% - Accent1 7 2" xfId="29123"/>
    <cellStyle name="60% - Accent1 8" xfId="29124"/>
    <cellStyle name="60% - Accent1 8 2" xfId="29125"/>
    <cellStyle name="60% - Accent1 9" xfId="29126"/>
    <cellStyle name="60% - Accent2 10" xfId="29127"/>
    <cellStyle name="60% - Accent2 11" xfId="29128"/>
    <cellStyle name="60% - Accent2 12" xfId="29129"/>
    <cellStyle name="60% - Accent2 13" xfId="29130"/>
    <cellStyle name="60% - Accent2 14" xfId="29131"/>
    <cellStyle name="60% - Accent2 15" xfId="29132"/>
    <cellStyle name="60% - Accent2 16" xfId="29133"/>
    <cellStyle name="60% - Accent2 17" xfId="29134"/>
    <cellStyle name="60% - Accent2 17 2" xfId="58311"/>
    <cellStyle name="60% - Accent2 2" xfId="2727"/>
    <cellStyle name="60% - Accent2 2 2" xfId="2728"/>
    <cellStyle name="60% - Accent2 2 2 2" xfId="9386"/>
    <cellStyle name="60% - Accent2 2 3" xfId="29135"/>
    <cellStyle name="60% - Accent2 2 4" xfId="29136"/>
    <cellStyle name="60% - Accent2 2 5" xfId="29137"/>
    <cellStyle name="60% - Accent2 2 6" xfId="29138"/>
    <cellStyle name="60% - Accent2 3" xfId="2729"/>
    <cellStyle name="60% - Accent2 3 2" xfId="9063"/>
    <cellStyle name="60% - Accent2 3 3" xfId="29139"/>
    <cellStyle name="60% - Accent2 4" xfId="2730"/>
    <cellStyle name="60% - Accent2 4 2" xfId="29140"/>
    <cellStyle name="60% - Accent2 4 3" xfId="29141"/>
    <cellStyle name="60% - Accent2 5" xfId="9064"/>
    <cellStyle name="60% - Accent2 5 2" xfId="29142"/>
    <cellStyle name="60% - Accent2 6" xfId="29143"/>
    <cellStyle name="60% - Accent2 6 2" xfId="29144"/>
    <cellStyle name="60% - Accent2 7" xfId="29145"/>
    <cellStyle name="60% - Accent2 7 2" xfId="29146"/>
    <cellStyle name="60% - Accent2 8" xfId="29147"/>
    <cellStyle name="60% - Accent2 8 2" xfId="29148"/>
    <cellStyle name="60% - Accent2 9" xfId="29149"/>
    <cellStyle name="60% - Accent3 10" xfId="29150"/>
    <cellStyle name="60% - Accent3 11" xfId="29151"/>
    <cellStyle name="60% - Accent3 12" xfId="29152"/>
    <cellStyle name="60% - Accent3 13" xfId="29153"/>
    <cellStyle name="60% - Accent3 14" xfId="29154"/>
    <cellStyle name="60% - Accent3 15" xfId="29155"/>
    <cellStyle name="60% - Accent3 16" xfId="29156"/>
    <cellStyle name="60% - Accent3 17" xfId="29157"/>
    <cellStyle name="60% - Accent3 17 2" xfId="58312"/>
    <cellStyle name="60% - Accent3 2" xfId="2731"/>
    <cellStyle name="60% - Accent3 2 2" xfId="2732"/>
    <cellStyle name="60% - Accent3 2 2 2" xfId="9387"/>
    <cellStyle name="60% - Accent3 2 3" xfId="29158"/>
    <cellStyle name="60% - Accent3 2 4" xfId="29159"/>
    <cellStyle name="60% - Accent3 2 5" xfId="29160"/>
    <cellStyle name="60% - Accent3 2 6" xfId="29161"/>
    <cellStyle name="60% - Accent3 3" xfId="2733"/>
    <cellStyle name="60% - Accent3 3 2" xfId="9065"/>
    <cellStyle name="60% - Accent3 3 3" xfId="29162"/>
    <cellStyle name="60% - Accent3 4" xfId="2734"/>
    <cellStyle name="60% - Accent3 4 2" xfId="29163"/>
    <cellStyle name="60% - Accent3 5" xfId="9066"/>
    <cellStyle name="60% - Accent3 5 2" xfId="29164"/>
    <cellStyle name="60% - Accent3 6" xfId="29165"/>
    <cellStyle name="60% - Accent3 6 2" xfId="29166"/>
    <cellStyle name="60% - Accent3 7" xfId="29167"/>
    <cellStyle name="60% - Accent3 7 2" xfId="29168"/>
    <cellStyle name="60% - Accent3 8" xfId="29169"/>
    <cellStyle name="60% - Accent3 8 2" xfId="29170"/>
    <cellStyle name="60% - Accent3 9" xfId="29171"/>
    <cellStyle name="60% - Accent4 10" xfId="29172"/>
    <cellStyle name="60% - Accent4 11" xfId="29173"/>
    <cellStyle name="60% - Accent4 12" xfId="29174"/>
    <cellStyle name="60% - Accent4 13" xfId="29175"/>
    <cellStyle name="60% - Accent4 14" xfId="29176"/>
    <cellStyle name="60% - Accent4 15" xfId="29177"/>
    <cellStyle name="60% - Accent4 16" xfId="29178"/>
    <cellStyle name="60% - Accent4 17" xfId="29179"/>
    <cellStyle name="60% - Accent4 17 2" xfId="58313"/>
    <cellStyle name="60% - Accent4 2" xfId="2735"/>
    <cellStyle name="60% - Accent4 2 2" xfId="2736"/>
    <cellStyle name="60% - Accent4 2 2 2" xfId="9388"/>
    <cellStyle name="60% - Accent4 2 3" xfId="29180"/>
    <cellStyle name="60% - Accent4 2 4" xfId="29181"/>
    <cellStyle name="60% - Accent4 2 5" xfId="29182"/>
    <cellStyle name="60% - Accent4 2 6" xfId="29183"/>
    <cellStyle name="60% - Accent4 3" xfId="2737"/>
    <cellStyle name="60% - Accent4 3 2" xfId="9067"/>
    <cellStyle name="60% - Accent4 3 3" xfId="29184"/>
    <cellStyle name="60% - Accent4 4" xfId="2738"/>
    <cellStyle name="60% - Accent4 4 2" xfId="29185"/>
    <cellStyle name="60% - Accent4 5" xfId="9068"/>
    <cellStyle name="60% - Accent4 5 2" xfId="29186"/>
    <cellStyle name="60% - Accent4 6" xfId="29187"/>
    <cellStyle name="60% - Accent4 6 2" xfId="29188"/>
    <cellStyle name="60% - Accent4 7" xfId="29189"/>
    <cellStyle name="60% - Accent4 7 2" xfId="29190"/>
    <cellStyle name="60% - Accent4 8" xfId="29191"/>
    <cellStyle name="60% - Accent4 8 2" xfId="29192"/>
    <cellStyle name="60% - Accent4 9" xfId="29193"/>
    <cellStyle name="60% - Accent5 10" xfId="29194"/>
    <cellStyle name="60% - Accent5 11" xfId="29195"/>
    <cellStyle name="60% - Accent5 12" xfId="29196"/>
    <cellStyle name="60% - Accent5 13" xfId="29197"/>
    <cellStyle name="60% - Accent5 14" xfId="29198"/>
    <cellStyle name="60% - Accent5 15" xfId="29199"/>
    <cellStyle name="60% - Accent5 16" xfId="29200"/>
    <cellStyle name="60% - Accent5 17" xfId="29201"/>
    <cellStyle name="60% - Accent5 17 2" xfId="58314"/>
    <cellStyle name="60% - Accent5 2" xfId="2739"/>
    <cellStyle name="60% - Accent5 2 2" xfId="2740"/>
    <cellStyle name="60% - Accent5 2 2 2" xfId="9389"/>
    <cellStyle name="60% - Accent5 2 3" xfId="29202"/>
    <cellStyle name="60% - Accent5 2 4" xfId="29203"/>
    <cellStyle name="60% - Accent5 2 5" xfId="29204"/>
    <cellStyle name="60% - Accent5 2 6" xfId="29205"/>
    <cellStyle name="60% - Accent5 3" xfId="2741"/>
    <cellStyle name="60% - Accent5 3 2" xfId="9069"/>
    <cellStyle name="60% - Accent5 3 3" xfId="29206"/>
    <cellStyle name="60% - Accent5 4" xfId="2742"/>
    <cellStyle name="60% - Accent5 4 2" xfId="29207"/>
    <cellStyle name="60% - Accent5 4 3" xfId="29208"/>
    <cellStyle name="60% - Accent5 5" xfId="9070"/>
    <cellStyle name="60% - Accent5 5 2" xfId="29209"/>
    <cellStyle name="60% - Accent5 6" xfId="29210"/>
    <cellStyle name="60% - Accent5 6 2" xfId="29211"/>
    <cellStyle name="60% - Accent5 7" xfId="29212"/>
    <cellStyle name="60% - Accent5 7 2" xfId="29213"/>
    <cellStyle name="60% - Accent5 8" xfId="29214"/>
    <cellStyle name="60% - Accent5 8 2" xfId="29215"/>
    <cellStyle name="60% - Accent5 9" xfId="29216"/>
    <cellStyle name="60% - Accent6 10" xfId="29217"/>
    <cellStyle name="60% - Accent6 11" xfId="29218"/>
    <cellStyle name="60% - Accent6 12" xfId="29219"/>
    <cellStyle name="60% - Accent6 13" xfId="29220"/>
    <cellStyle name="60% - Accent6 14" xfId="29221"/>
    <cellStyle name="60% - Accent6 15" xfId="29222"/>
    <cellStyle name="60% - Accent6 16" xfId="29223"/>
    <cellStyle name="60% - Accent6 17" xfId="29224"/>
    <cellStyle name="60% - Accent6 17 2" xfId="58315"/>
    <cellStyle name="60% - Accent6 2" xfId="2743"/>
    <cellStyle name="60% - Accent6 2 2" xfId="2744"/>
    <cellStyle name="60% - Accent6 2 2 2" xfId="9390"/>
    <cellStyle name="60% - Accent6 2 3" xfId="29225"/>
    <cellStyle name="60% - Accent6 2 4" xfId="29226"/>
    <cellStyle name="60% - Accent6 2 5" xfId="29227"/>
    <cellStyle name="60% - Accent6 2 6" xfId="29228"/>
    <cellStyle name="60% - Accent6 3" xfId="2745"/>
    <cellStyle name="60% - Accent6 3 2" xfId="9071"/>
    <cellStyle name="60% - Accent6 3 3" xfId="29229"/>
    <cellStyle name="60% - Accent6 4" xfId="2746"/>
    <cellStyle name="60% - Accent6 4 2" xfId="29230"/>
    <cellStyle name="60% - Accent6 5" xfId="9072"/>
    <cellStyle name="60% - Accent6 5 2" xfId="29231"/>
    <cellStyle name="60% - Accent6 6" xfId="29232"/>
    <cellStyle name="60% - Accent6 6 2" xfId="29233"/>
    <cellStyle name="60% - Accent6 7" xfId="29234"/>
    <cellStyle name="60% - Accent6 7 2" xfId="29235"/>
    <cellStyle name="60% - Accent6 8" xfId="29236"/>
    <cellStyle name="60% - Accent6 8 2" xfId="29237"/>
    <cellStyle name="60% - Accent6 9" xfId="29238"/>
    <cellStyle name="ac" xfId="9391"/>
    <cellStyle name="ac 2" xfId="9392"/>
    <cellStyle name="Accent1 10" xfId="29239"/>
    <cellStyle name="Accent1 11" xfId="29240"/>
    <cellStyle name="Accent1 12" xfId="29241"/>
    <cellStyle name="Accent1 13" xfId="29242"/>
    <cellStyle name="Accent1 14" xfId="29243"/>
    <cellStyle name="Accent1 15" xfId="29244"/>
    <cellStyle name="Accent1 16" xfId="29245"/>
    <cellStyle name="Accent1 17" xfId="29246"/>
    <cellStyle name="Accent1 17 2" xfId="58316"/>
    <cellStyle name="Accent1 2" xfId="2747"/>
    <cellStyle name="Accent1 2 2" xfId="2748"/>
    <cellStyle name="Accent1 2 2 2" xfId="9393"/>
    <cellStyle name="Accent1 2 3" xfId="29247"/>
    <cellStyle name="Accent1 2 4" xfId="29248"/>
    <cellStyle name="Accent1 2 5" xfId="29249"/>
    <cellStyle name="Accent1 2 6" xfId="29250"/>
    <cellStyle name="Accent1 3" xfId="2749"/>
    <cellStyle name="Accent1 3 2" xfId="9073"/>
    <cellStyle name="Accent1 3 3" xfId="29251"/>
    <cellStyle name="Accent1 4" xfId="2750"/>
    <cellStyle name="Accent1 4 2" xfId="29252"/>
    <cellStyle name="Accent1 5" xfId="9074"/>
    <cellStyle name="Accent1 5 2" xfId="29253"/>
    <cellStyle name="Accent1 6" xfId="29254"/>
    <cellStyle name="Accent1 6 2" xfId="29255"/>
    <cellStyle name="Accent1 7" xfId="29256"/>
    <cellStyle name="Accent1 7 2" xfId="29257"/>
    <cellStyle name="Accent1 8" xfId="29258"/>
    <cellStyle name="Accent1 8 2" xfId="29259"/>
    <cellStyle name="Accent1 9" xfId="29260"/>
    <cellStyle name="Accent2 10" xfId="29261"/>
    <cellStyle name="Accent2 11" xfId="29262"/>
    <cellStyle name="Accent2 12" xfId="29263"/>
    <cellStyle name="Accent2 13" xfId="29264"/>
    <cellStyle name="Accent2 14" xfId="29265"/>
    <cellStyle name="Accent2 15" xfId="29266"/>
    <cellStyle name="Accent2 16" xfId="29267"/>
    <cellStyle name="Accent2 17" xfId="29268"/>
    <cellStyle name="Accent2 17 2" xfId="58317"/>
    <cellStyle name="Accent2 2" xfId="2751"/>
    <cellStyle name="Accent2 2 2" xfId="2752"/>
    <cellStyle name="Accent2 2 2 2" xfId="9394"/>
    <cellStyle name="Accent2 2 3" xfId="29269"/>
    <cellStyle name="Accent2 2 4" xfId="29270"/>
    <cellStyle name="Accent2 2 5" xfId="29271"/>
    <cellStyle name="Accent2 2 6" xfId="29272"/>
    <cellStyle name="Accent2 3" xfId="2753"/>
    <cellStyle name="Accent2 3 2" xfId="9075"/>
    <cellStyle name="Accent2 3 3" xfId="29273"/>
    <cellStyle name="Accent2 4" xfId="2754"/>
    <cellStyle name="Accent2 4 2" xfId="29274"/>
    <cellStyle name="Accent2 5" xfId="9076"/>
    <cellStyle name="Accent2 5 2" xfId="29275"/>
    <cellStyle name="Accent2 6" xfId="29276"/>
    <cellStyle name="Accent2 6 2" xfId="29277"/>
    <cellStyle name="Accent2 7" xfId="29278"/>
    <cellStyle name="Accent2 7 2" xfId="29279"/>
    <cellStyle name="Accent2 8" xfId="29280"/>
    <cellStyle name="Accent2 8 2" xfId="29281"/>
    <cellStyle name="Accent2 9" xfId="29282"/>
    <cellStyle name="Accent3 10" xfId="29283"/>
    <cellStyle name="Accent3 11" xfId="29284"/>
    <cellStyle name="Accent3 12" xfId="29285"/>
    <cellStyle name="Accent3 13" xfId="29286"/>
    <cellStyle name="Accent3 14" xfId="29287"/>
    <cellStyle name="Accent3 15" xfId="29288"/>
    <cellStyle name="Accent3 16" xfId="29289"/>
    <cellStyle name="Accent3 17" xfId="29290"/>
    <cellStyle name="Accent3 17 2" xfId="58318"/>
    <cellStyle name="Accent3 2" xfId="2755"/>
    <cellStyle name="Accent3 2 2" xfId="2756"/>
    <cellStyle name="Accent3 2 2 2" xfId="9395"/>
    <cellStyle name="Accent3 2 3" xfId="29291"/>
    <cellStyle name="Accent3 2 4" xfId="29292"/>
    <cellStyle name="Accent3 2 5" xfId="29293"/>
    <cellStyle name="Accent3 2 6" xfId="29294"/>
    <cellStyle name="Accent3 3" xfId="2757"/>
    <cellStyle name="Accent3 3 2" xfId="9077"/>
    <cellStyle name="Accent3 3 3" xfId="29295"/>
    <cellStyle name="Accent3 4" xfId="2758"/>
    <cellStyle name="Accent3 4 2" xfId="29296"/>
    <cellStyle name="Accent3 5" xfId="9078"/>
    <cellStyle name="Accent3 5 2" xfId="29297"/>
    <cellStyle name="Accent3 6" xfId="29298"/>
    <cellStyle name="Accent3 6 2" xfId="29299"/>
    <cellStyle name="Accent3 7" xfId="29300"/>
    <cellStyle name="Accent3 7 2" xfId="29301"/>
    <cellStyle name="Accent3 8" xfId="29302"/>
    <cellStyle name="Accent3 8 2" xfId="29303"/>
    <cellStyle name="Accent3 9" xfId="29304"/>
    <cellStyle name="Accent4 10" xfId="29305"/>
    <cellStyle name="Accent4 11" xfId="29306"/>
    <cellStyle name="Accent4 12" xfId="29307"/>
    <cellStyle name="Accent4 13" xfId="29308"/>
    <cellStyle name="Accent4 14" xfId="29309"/>
    <cellStyle name="Accent4 15" xfId="29310"/>
    <cellStyle name="Accent4 16" xfId="29311"/>
    <cellStyle name="Accent4 17" xfId="29312"/>
    <cellStyle name="Accent4 17 2" xfId="58319"/>
    <cellStyle name="Accent4 2" xfId="2759"/>
    <cellStyle name="Accent4 2 2" xfId="2760"/>
    <cellStyle name="Accent4 2 2 2" xfId="9396"/>
    <cellStyle name="Accent4 2 3" xfId="29313"/>
    <cellStyle name="Accent4 2 4" xfId="29314"/>
    <cellStyle name="Accent4 2 5" xfId="29315"/>
    <cellStyle name="Accent4 2 6" xfId="29316"/>
    <cellStyle name="Accent4 3" xfId="2761"/>
    <cellStyle name="Accent4 3 2" xfId="9079"/>
    <cellStyle name="Accent4 3 3" xfId="29317"/>
    <cellStyle name="Accent4 4" xfId="2762"/>
    <cellStyle name="Accent4 4 2" xfId="29318"/>
    <cellStyle name="Accent4 5" xfId="9080"/>
    <cellStyle name="Accent4 5 2" xfId="29319"/>
    <cellStyle name="Accent4 6" xfId="29320"/>
    <cellStyle name="Accent4 6 2" xfId="29321"/>
    <cellStyle name="Accent4 7" xfId="29322"/>
    <cellStyle name="Accent4 7 2" xfId="29323"/>
    <cellStyle name="Accent4 8" xfId="29324"/>
    <cellStyle name="Accent4 8 2" xfId="29325"/>
    <cellStyle name="Accent4 9" xfId="29326"/>
    <cellStyle name="Accent5 10" xfId="29327"/>
    <cellStyle name="Accent5 11" xfId="29328"/>
    <cellStyle name="Accent5 12" xfId="29329"/>
    <cellStyle name="Accent5 13" xfId="29330"/>
    <cellStyle name="Accent5 14" xfId="29331"/>
    <cellStyle name="Accent5 15" xfId="29332"/>
    <cellStyle name="Accent5 16" xfId="29333"/>
    <cellStyle name="Accent5 17" xfId="29334"/>
    <cellStyle name="Accent5 2" xfId="2763"/>
    <cellStyle name="Accent5 2 2" xfId="2764"/>
    <cellStyle name="Accent5 2 2 2" xfId="58320"/>
    <cellStyle name="Accent5 2 3" xfId="29335"/>
    <cellStyle name="Accent5 2 4" xfId="29336"/>
    <cellStyle name="Accent5 2 5" xfId="29337"/>
    <cellStyle name="Accent5 2 6" xfId="29338"/>
    <cellStyle name="Accent5 3" xfId="2765"/>
    <cellStyle name="Accent5 3 2" xfId="9081"/>
    <cellStyle name="Accent5 3 3" xfId="29339"/>
    <cellStyle name="Accent5 4" xfId="2766"/>
    <cellStyle name="Accent5 4 2" xfId="29340"/>
    <cellStyle name="Accent5 5" xfId="9082"/>
    <cellStyle name="Accent5 5 2" xfId="29341"/>
    <cellStyle name="Accent5 6" xfId="29342"/>
    <cellStyle name="Accent5 6 2" xfId="29343"/>
    <cellStyle name="Accent5 7" xfId="29344"/>
    <cellStyle name="Accent5 7 2" xfId="29345"/>
    <cellStyle name="Accent5 8" xfId="29346"/>
    <cellStyle name="Accent5 8 2" xfId="29347"/>
    <cellStyle name="Accent5 9" xfId="29348"/>
    <cellStyle name="Accent6 10" xfId="29349"/>
    <cellStyle name="Accent6 11" xfId="29350"/>
    <cellStyle name="Accent6 12" xfId="29351"/>
    <cellStyle name="Accent6 13" xfId="29352"/>
    <cellStyle name="Accent6 14" xfId="29353"/>
    <cellStyle name="Accent6 15" xfId="29354"/>
    <cellStyle name="Accent6 16" xfId="29355"/>
    <cellStyle name="Accent6 17" xfId="29356"/>
    <cellStyle name="Accent6 17 2" xfId="58321"/>
    <cellStyle name="Accent6 2" xfId="2767"/>
    <cellStyle name="Accent6 2 2" xfId="2768"/>
    <cellStyle name="Accent6 2 2 2" xfId="9397"/>
    <cellStyle name="Accent6 2 3" xfId="29357"/>
    <cellStyle name="Accent6 2 4" xfId="29358"/>
    <cellStyle name="Accent6 2 5" xfId="29359"/>
    <cellStyle name="Accent6 2 6" xfId="29360"/>
    <cellStyle name="Accent6 3" xfId="2769"/>
    <cellStyle name="Accent6 3 2" xfId="9083"/>
    <cellStyle name="Accent6 3 3" xfId="29361"/>
    <cellStyle name="Accent6 4" xfId="2770"/>
    <cellStyle name="Accent6 4 2" xfId="29362"/>
    <cellStyle name="Accent6 5" xfId="9084"/>
    <cellStyle name="Accent6 5 2" xfId="29363"/>
    <cellStyle name="Accent6 6" xfId="29364"/>
    <cellStyle name="Accent6 6 2" xfId="29365"/>
    <cellStyle name="Accent6 7" xfId="29366"/>
    <cellStyle name="Accent6 7 2" xfId="29367"/>
    <cellStyle name="Accent6 8" xfId="29368"/>
    <cellStyle name="Accent6 8 2" xfId="29369"/>
    <cellStyle name="Accent6 9" xfId="29370"/>
    <cellStyle name="Bad 10" xfId="29371"/>
    <cellStyle name="Bad 11" xfId="29372"/>
    <cellStyle name="Bad 12" xfId="29373"/>
    <cellStyle name="Bad 13" xfId="29374"/>
    <cellStyle name="Bad 14" xfId="29375"/>
    <cellStyle name="Bad 15" xfId="29376"/>
    <cellStyle name="Bad 16" xfId="29377"/>
    <cellStyle name="Bad 17" xfId="29378"/>
    <cellStyle name="Bad 17 2" xfId="58322"/>
    <cellStyle name="Bad 2" xfId="2771"/>
    <cellStyle name="Bad 2 2" xfId="2772"/>
    <cellStyle name="Bad 2 2 2" xfId="9398"/>
    <cellStyle name="Bad 2 3" xfId="29379"/>
    <cellStyle name="Bad 2 4" xfId="29380"/>
    <cellStyle name="Bad 2 5" xfId="29381"/>
    <cellStyle name="Bad 3" xfId="2773"/>
    <cellStyle name="Bad 3 2" xfId="9085"/>
    <cellStyle name="Bad 4" xfId="8820"/>
    <cellStyle name="Bad 4 2" xfId="29382"/>
    <cellStyle name="Bad 5" xfId="29383"/>
    <cellStyle name="Bad 5 2" xfId="29384"/>
    <cellStyle name="Bad 6" xfId="29385"/>
    <cellStyle name="Bad 6 2" xfId="29386"/>
    <cellStyle name="Bad 7" xfId="29387"/>
    <cellStyle name="Bad 7 2" xfId="29388"/>
    <cellStyle name="Bad 8" xfId="29389"/>
    <cellStyle name="Bad 9" xfId="29390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5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6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7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8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9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20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21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22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3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4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5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6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7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9391"/>
    <cellStyle name="Check Cell 11" xfId="29392"/>
    <cellStyle name="Check Cell 12" xfId="29393"/>
    <cellStyle name="Check Cell 13" xfId="29394"/>
    <cellStyle name="Check Cell 14" xfId="29395"/>
    <cellStyle name="Check Cell 15" xfId="29396"/>
    <cellStyle name="Check Cell 16" xfId="29397"/>
    <cellStyle name="Check Cell 17" xfId="29398"/>
    <cellStyle name="Check Cell 2" xfId="3144"/>
    <cellStyle name="Check Cell 2 2" xfId="3145"/>
    <cellStyle name="Check Cell 2 2 2" xfId="58625"/>
    <cellStyle name="Check Cell 2 3" xfId="29399"/>
    <cellStyle name="Check Cell 2 4" xfId="29400"/>
    <cellStyle name="Check Cell 2 5" xfId="29401"/>
    <cellStyle name="Check Cell 3" xfId="3146"/>
    <cellStyle name="Check Cell 3 2" xfId="9088"/>
    <cellStyle name="Check Cell 4" xfId="8821"/>
    <cellStyle name="Check Cell 4 2" xfId="29402"/>
    <cellStyle name="Check Cell 5" xfId="29403"/>
    <cellStyle name="Check Cell 5 2" xfId="29404"/>
    <cellStyle name="Check Cell 6" xfId="29405"/>
    <cellStyle name="Check Cell 6 2" xfId="29406"/>
    <cellStyle name="Check Cell 7" xfId="29407"/>
    <cellStyle name="Check Cell 7 2" xfId="29408"/>
    <cellStyle name="Check Cell 8" xfId="29409"/>
    <cellStyle name="Check Cell 9" xfId="29410"/>
    <cellStyle name="CodeEingabe" xfId="3147"/>
    <cellStyle name="ColumnAttributeAbovePrompt" xfId="3148"/>
    <cellStyle name="ColumnAttributeAbovePrompt 2" xfId="3149"/>
    <cellStyle name="ColumnAttributeAbovePrompt 2 2" xfId="29411"/>
    <cellStyle name="ColumnAttributeAbovePrompt 2 3" xfId="29412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3"/>
    <cellStyle name="ColumnAttributePrompt 2 3" xfId="29414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5"/>
    <cellStyle name="ColumnAttributeValue 2 3" xfId="29416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7"/>
    <cellStyle name="ColumnHeadingPrompt 2 3" xfId="29418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19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0"/>
    <cellStyle name="Comma [0] 3 2 2 2" xfId="29421"/>
    <cellStyle name="Comma [0] 3 2 3" xfId="29422"/>
    <cellStyle name="Comma [0] 3 2 4" xfId="58626"/>
    <cellStyle name="Comma [0] 3 3" xfId="29423"/>
    <cellStyle name="Comma [0] 3 4" xfId="29424"/>
    <cellStyle name="Comma [0] 3 4 2" xfId="29425"/>
    <cellStyle name="Comma [0] 3 5" xfId="29426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7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7"/>
    <cellStyle name="Comma [0] 6 3" xfId="29428"/>
    <cellStyle name="Comma 10" xfId="3171"/>
    <cellStyle name="Comma 10 10" xfId="9094"/>
    <cellStyle name="Comma 10 10 2" xfId="29429"/>
    <cellStyle name="Comma 10 10 2 2" xfId="29430"/>
    <cellStyle name="Comma 10 10 2 3" xfId="29431"/>
    <cellStyle name="Comma 10 10 3" xfId="29432"/>
    <cellStyle name="Comma 10 10 3 2" xfId="29433"/>
    <cellStyle name="Comma 10 10 4" xfId="29434"/>
    <cellStyle name="Comma 10 10 5" xfId="29435"/>
    <cellStyle name="Comma 10 11" xfId="29436"/>
    <cellStyle name="Comma 10 11 2" xfId="29437"/>
    <cellStyle name="Comma 10 11 3" xfId="29438"/>
    <cellStyle name="Comma 10 12" xfId="29439"/>
    <cellStyle name="Comma 10 12 2" xfId="29440"/>
    <cellStyle name="Comma 10 12 3" xfId="29441"/>
    <cellStyle name="Comma 10 13" xfId="29442"/>
    <cellStyle name="Comma 10 13 2" xfId="29443"/>
    <cellStyle name="Comma 10 14" xfId="29444"/>
    <cellStyle name="Comma 10 15" xfId="29445"/>
    <cellStyle name="Comma 10 16" xfId="29446"/>
    <cellStyle name="Comma 10 2" xfId="3172"/>
    <cellStyle name="Comma 10 2 10" xfId="29447"/>
    <cellStyle name="Comma 10 2 10 2" xfId="29448"/>
    <cellStyle name="Comma 10 2 10 3" xfId="29449"/>
    <cellStyle name="Comma 10 2 11" xfId="29450"/>
    <cellStyle name="Comma 10 2 11 2" xfId="29451"/>
    <cellStyle name="Comma 10 2 11 3" xfId="29452"/>
    <cellStyle name="Comma 10 2 12" xfId="29453"/>
    <cellStyle name="Comma 10 2 12 2" xfId="29454"/>
    <cellStyle name="Comma 10 2 13" xfId="29455"/>
    <cellStyle name="Comma 10 2 14" xfId="29456"/>
    <cellStyle name="Comma 10 2 15" xfId="29457"/>
    <cellStyle name="Comma 10 2 2" xfId="3173"/>
    <cellStyle name="Comma 10 2 2 10" xfId="29458"/>
    <cellStyle name="Comma 10 2 2 10 2" xfId="29459"/>
    <cellStyle name="Comma 10 2 2 10 3" xfId="29460"/>
    <cellStyle name="Comma 10 2 2 11" xfId="29461"/>
    <cellStyle name="Comma 10 2 2 11 2" xfId="29462"/>
    <cellStyle name="Comma 10 2 2 12" xfId="29463"/>
    <cellStyle name="Comma 10 2 2 13" xfId="29464"/>
    <cellStyle name="Comma 10 2 2 14" xfId="29465"/>
    <cellStyle name="Comma 10 2 2 2" xfId="3174"/>
    <cellStyle name="Comma 10 2 2 2 10" xfId="29466"/>
    <cellStyle name="Comma 10 2 2 2 10 2" xfId="29467"/>
    <cellStyle name="Comma 10 2 2 2 11" xfId="29468"/>
    <cellStyle name="Comma 10 2 2 2 12" xfId="29469"/>
    <cellStyle name="Comma 10 2 2 2 2" xfId="3175"/>
    <cellStyle name="Comma 10 2 2 2 2 10" xfId="29470"/>
    <cellStyle name="Comma 10 2 2 2 2 2" xfId="3176"/>
    <cellStyle name="Comma 10 2 2 2 2 2 2" xfId="3177"/>
    <cellStyle name="Comma 10 2 2 2 2 2 2 2" xfId="29471"/>
    <cellStyle name="Comma 10 2 2 2 2 2 2 2 2" xfId="29472"/>
    <cellStyle name="Comma 10 2 2 2 2 2 2 2 3" xfId="29473"/>
    <cellStyle name="Comma 10 2 2 2 2 2 2 3" xfId="29474"/>
    <cellStyle name="Comma 10 2 2 2 2 2 2 3 2" xfId="29475"/>
    <cellStyle name="Comma 10 2 2 2 2 2 2 3 3" xfId="29476"/>
    <cellStyle name="Comma 10 2 2 2 2 2 2 4" xfId="29477"/>
    <cellStyle name="Comma 10 2 2 2 2 2 2 4 2" xfId="29478"/>
    <cellStyle name="Comma 10 2 2 2 2 2 2 5" xfId="29479"/>
    <cellStyle name="Comma 10 2 2 2 2 2 2 6" xfId="29480"/>
    <cellStyle name="Comma 10 2 2 2 2 2 3" xfId="29481"/>
    <cellStyle name="Comma 10 2 2 2 2 2 3 2" xfId="29482"/>
    <cellStyle name="Comma 10 2 2 2 2 2 3 2 2" xfId="29483"/>
    <cellStyle name="Comma 10 2 2 2 2 2 3 2 3" xfId="29484"/>
    <cellStyle name="Comma 10 2 2 2 2 2 3 3" xfId="29485"/>
    <cellStyle name="Comma 10 2 2 2 2 2 3 3 2" xfId="29486"/>
    <cellStyle name="Comma 10 2 2 2 2 2 3 3 3" xfId="29487"/>
    <cellStyle name="Comma 10 2 2 2 2 2 3 4" xfId="29488"/>
    <cellStyle name="Comma 10 2 2 2 2 2 3 4 2" xfId="29489"/>
    <cellStyle name="Comma 10 2 2 2 2 2 3 5" xfId="29490"/>
    <cellStyle name="Comma 10 2 2 2 2 2 3 6" xfId="29491"/>
    <cellStyle name="Comma 10 2 2 2 2 2 4" xfId="29492"/>
    <cellStyle name="Comma 10 2 2 2 2 2 4 2" xfId="29493"/>
    <cellStyle name="Comma 10 2 2 2 2 2 4 2 2" xfId="29494"/>
    <cellStyle name="Comma 10 2 2 2 2 2 4 2 3" xfId="29495"/>
    <cellStyle name="Comma 10 2 2 2 2 2 4 3" xfId="29496"/>
    <cellStyle name="Comma 10 2 2 2 2 2 4 3 2" xfId="29497"/>
    <cellStyle name="Comma 10 2 2 2 2 2 4 4" xfId="29498"/>
    <cellStyle name="Comma 10 2 2 2 2 2 4 5" xfId="29499"/>
    <cellStyle name="Comma 10 2 2 2 2 2 5" xfId="29500"/>
    <cellStyle name="Comma 10 2 2 2 2 2 5 2" xfId="29501"/>
    <cellStyle name="Comma 10 2 2 2 2 2 5 3" xfId="29502"/>
    <cellStyle name="Comma 10 2 2 2 2 2 6" xfId="29503"/>
    <cellStyle name="Comma 10 2 2 2 2 2 6 2" xfId="29504"/>
    <cellStyle name="Comma 10 2 2 2 2 2 6 3" xfId="29505"/>
    <cellStyle name="Comma 10 2 2 2 2 2 7" xfId="29506"/>
    <cellStyle name="Comma 10 2 2 2 2 2 7 2" xfId="29507"/>
    <cellStyle name="Comma 10 2 2 2 2 2 8" xfId="29508"/>
    <cellStyle name="Comma 10 2 2 2 2 2 9" xfId="29509"/>
    <cellStyle name="Comma 10 2 2 2 2 3" xfId="3178"/>
    <cellStyle name="Comma 10 2 2 2 2 3 2" xfId="29510"/>
    <cellStyle name="Comma 10 2 2 2 2 3 2 2" xfId="29511"/>
    <cellStyle name="Comma 10 2 2 2 2 3 2 3" xfId="29512"/>
    <cellStyle name="Comma 10 2 2 2 2 3 3" xfId="29513"/>
    <cellStyle name="Comma 10 2 2 2 2 3 3 2" xfId="29514"/>
    <cellStyle name="Comma 10 2 2 2 2 3 3 3" xfId="29515"/>
    <cellStyle name="Comma 10 2 2 2 2 3 4" xfId="29516"/>
    <cellStyle name="Comma 10 2 2 2 2 3 4 2" xfId="29517"/>
    <cellStyle name="Comma 10 2 2 2 2 3 5" xfId="29518"/>
    <cellStyle name="Comma 10 2 2 2 2 3 6" xfId="29519"/>
    <cellStyle name="Comma 10 2 2 2 2 4" xfId="29520"/>
    <cellStyle name="Comma 10 2 2 2 2 4 2" xfId="29521"/>
    <cellStyle name="Comma 10 2 2 2 2 4 2 2" xfId="29522"/>
    <cellStyle name="Comma 10 2 2 2 2 4 2 3" xfId="29523"/>
    <cellStyle name="Comma 10 2 2 2 2 4 3" xfId="29524"/>
    <cellStyle name="Comma 10 2 2 2 2 4 3 2" xfId="29525"/>
    <cellStyle name="Comma 10 2 2 2 2 4 3 3" xfId="29526"/>
    <cellStyle name="Comma 10 2 2 2 2 4 4" xfId="29527"/>
    <cellStyle name="Comma 10 2 2 2 2 4 4 2" xfId="29528"/>
    <cellStyle name="Comma 10 2 2 2 2 4 5" xfId="29529"/>
    <cellStyle name="Comma 10 2 2 2 2 4 6" xfId="29530"/>
    <cellStyle name="Comma 10 2 2 2 2 5" xfId="29531"/>
    <cellStyle name="Comma 10 2 2 2 2 5 2" xfId="29532"/>
    <cellStyle name="Comma 10 2 2 2 2 5 2 2" xfId="29533"/>
    <cellStyle name="Comma 10 2 2 2 2 5 2 3" xfId="29534"/>
    <cellStyle name="Comma 10 2 2 2 2 5 3" xfId="29535"/>
    <cellStyle name="Comma 10 2 2 2 2 5 3 2" xfId="29536"/>
    <cellStyle name="Comma 10 2 2 2 2 5 4" xfId="29537"/>
    <cellStyle name="Comma 10 2 2 2 2 5 5" xfId="29538"/>
    <cellStyle name="Comma 10 2 2 2 2 6" xfId="29539"/>
    <cellStyle name="Comma 10 2 2 2 2 6 2" xfId="29540"/>
    <cellStyle name="Comma 10 2 2 2 2 6 3" xfId="29541"/>
    <cellStyle name="Comma 10 2 2 2 2 7" xfId="29542"/>
    <cellStyle name="Comma 10 2 2 2 2 7 2" xfId="29543"/>
    <cellStyle name="Comma 10 2 2 2 2 7 3" xfId="29544"/>
    <cellStyle name="Comma 10 2 2 2 2 8" xfId="29545"/>
    <cellStyle name="Comma 10 2 2 2 2 8 2" xfId="29546"/>
    <cellStyle name="Comma 10 2 2 2 2 9" xfId="29547"/>
    <cellStyle name="Comma 10 2 2 2 3" xfId="3179"/>
    <cellStyle name="Comma 10 2 2 2 3 2" xfId="3180"/>
    <cellStyle name="Comma 10 2 2 2 3 2 2" xfId="29548"/>
    <cellStyle name="Comma 10 2 2 2 3 2 2 2" xfId="29549"/>
    <cellStyle name="Comma 10 2 2 2 3 2 2 3" xfId="29550"/>
    <cellStyle name="Comma 10 2 2 2 3 2 3" xfId="29551"/>
    <cellStyle name="Comma 10 2 2 2 3 2 3 2" xfId="29552"/>
    <cellStyle name="Comma 10 2 2 2 3 2 3 3" xfId="29553"/>
    <cellStyle name="Comma 10 2 2 2 3 2 4" xfId="29554"/>
    <cellStyle name="Comma 10 2 2 2 3 2 4 2" xfId="29555"/>
    <cellStyle name="Comma 10 2 2 2 3 2 5" xfId="29556"/>
    <cellStyle name="Comma 10 2 2 2 3 2 6" xfId="29557"/>
    <cellStyle name="Comma 10 2 2 2 3 3" xfId="29558"/>
    <cellStyle name="Comma 10 2 2 2 3 3 2" xfId="29559"/>
    <cellStyle name="Comma 10 2 2 2 3 3 2 2" xfId="29560"/>
    <cellStyle name="Comma 10 2 2 2 3 3 2 3" xfId="29561"/>
    <cellStyle name="Comma 10 2 2 2 3 3 3" xfId="29562"/>
    <cellStyle name="Comma 10 2 2 2 3 3 3 2" xfId="29563"/>
    <cellStyle name="Comma 10 2 2 2 3 3 3 3" xfId="29564"/>
    <cellStyle name="Comma 10 2 2 2 3 3 4" xfId="29565"/>
    <cellStyle name="Comma 10 2 2 2 3 3 4 2" xfId="29566"/>
    <cellStyle name="Comma 10 2 2 2 3 3 5" xfId="29567"/>
    <cellStyle name="Comma 10 2 2 2 3 3 6" xfId="29568"/>
    <cellStyle name="Comma 10 2 2 2 3 4" xfId="29569"/>
    <cellStyle name="Comma 10 2 2 2 3 4 2" xfId="29570"/>
    <cellStyle name="Comma 10 2 2 2 3 4 2 2" xfId="29571"/>
    <cellStyle name="Comma 10 2 2 2 3 4 2 3" xfId="29572"/>
    <cellStyle name="Comma 10 2 2 2 3 4 3" xfId="29573"/>
    <cellStyle name="Comma 10 2 2 2 3 4 3 2" xfId="29574"/>
    <cellStyle name="Comma 10 2 2 2 3 4 4" xfId="29575"/>
    <cellStyle name="Comma 10 2 2 2 3 4 5" xfId="29576"/>
    <cellStyle name="Comma 10 2 2 2 3 5" xfId="29577"/>
    <cellStyle name="Comma 10 2 2 2 3 5 2" xfId="29578"/>
    <cellStyle name="Comma 10 2 2 2 3 5 3" xfId="29579"/>
    <cellStyle name="Comma 10 2 2 2 3 6" xfId="29580"/>
    <cellStyle name="Comma 10 2 2 2 3 6 2" xfId="29581"/>
    <cellStyle name="Comma 10 2 2 2 3 6 3" xfId="29582"/>
    <cellStyle name="Comma 10 2 2 2 3 7" xfId="29583"/>
    <cellStyle name="Comma 10 2 2 2 3 7 2" xfId="29584"/>
    <cellStyle name="Comma 10 2 2 2 3 8" xfId="29585"/>
    <cellStyle name="Comma 10 2 2 2 3 9" xfId="29586"/>
    <cellStyle name="Comma 10 2 2 2 4" xfId="3181"/>
    <cellStyle name="Comma 10 2 2 2 4 2" xfId="29587"/>
    <cellStyle name="Comma 10 2 2 2 4 2 2" xfId="29588"/>
    <cellStyle name="Comma 10 2 2 2 4 2 2 2" xfId="29589"/>
    <cellStyle name="Comma 10 2 2 2 4 2 2 3" xfId="29590"/>
    <cellStyle name="Comma 10 2 2 2 4 2 3" xfId="29591"/>
    <cellStyle name="Comma 10 2 2 2 4 2 3 2" xfId="29592"/>
    <cellStyle name="Comma 10 2 2 2 4 2 3 3" xfId="29593"/>
    <cellStyle name="Comma 10 2 2 2 4 2 4" xfId="29594"/>
    <cellStyle name="Comma 10 2 2 2 4 2 4 2" xfId="29595"/>
    <cellStyle name="Comma 10 2 2 2 4 2 5" xfId="29596"/>
    <cellStyle name="Comma 10 2 2 2 4 2 6" xfId="29597"/>
    <cellStyle name="Comma 10 2 2 2 4 3" xfId="29598"/>
    <cellStyle name="Comma 10 2 2 2 4 3 2" xfId="29599"/>
    <cellStyle name="Comma 10 2 2 2 4 3 2 2" xfId="29600"/>
    <cellStyle name="Comma 10 2 2 2 4 3 2 3" xfId="29601"/>
    <cellStyle name="Comma 10 2 2 2 4 3 3" xfId="29602"/>
    <cellStyle name="Comma 10 2 2 2 4 3 3 2" xfId="29603"/>
    <cellStyle name="Comma 10 2 2 2 4 3 3 3" xfId="29604"/>
    <cellStyle name="Comma 10 2 2 2 4 3 4" xfId="29605"/>
    <cellStyle name="Comma 10 2 2 2 4 3 4 2" xfId="29606"/>
    <cellStyle name="Comma 10 2 2 2 4 3 5" xfId="29607"/>
    <cellStyle name="Comma 10 2 2 2 4 3 6" xfId="29608"/>
    <cellStyle name="Comma 10 2 2 2 4 4" xfId="29609"/>
    <cellStyle name="Comma 10 2 2 2 4 4 2" xfId="29610"/>
    <cellStyle name="Comma 10 2 2 2 4 4 2 2" xfId="29611"/>
    <cellStyle name="Comma 10 2 2 2 4 4 2 3" xfId="29612"/>
    <cellStyle name="Comma 10 2 2 2 4 4 3" xfId="29613"/>
    <cellStyle name="Comma 10 2 2 2 4 4 3 2" xfId="29614"/>
    <cellStyle name="Comma 10 2 2 2 4 4 4" xfId="29615"/>
    <cellStyle name="Comma 10 2 2 2 4 4 5" xfId="29616"/>
    <cellStyle name="Comma 10 2 2 2 4 5" xfId="29617"/>
    <cellStyle name="Comma 10 2 2 2 4 5 2" xfId="29618"/>
    <cellStyle name="Comma 10 2 2 2 4 5 3" xfId="29619"/>
    <cellStyle name="Comma 10 2 2 2 4 6" xfId="29620"/>
    <cellStyle name="Comma 10 2 2 2 4 6 2" xfId="29621"/>
    <cellStyle name="Comma 10 2 2 2 4 6 3" xfId="29622"/>
    <cellStyle name="Comma 10 2 2 2 4 7" xfId="29623"/>
    <cellStyle name="Comma 10 2 2 2 4 7 2" xfId="29624"/>
    <cellStyle name="Comma 10 2 2 2 4 8" xfId="29625"/>
    <cellStyle name="Comma 10 2 2 2 4 9" xfId="29626"/>
    <cellStyle name="Comma 10 2 2 2 5" xfId="29627"/>
    <cellStyle name="Comma 10 2 2 2 5 2" xfId="29628"/>
    <cellStyle name="Comma 10 2 2 2 5 2 2" xfId="29629"/>
    <cellStyle name="Comma 10 2 2 2 5 2 3" xfId="29630"/>
    <cellStyle name="Comma 10 2 2 2 5 3" xfId="29631"/>
    <cellStyle name="Comma 10 2 2 2 5 3 2" xfId="29632"/>
    <cellStyle name="Comma 10 2 2 2 5 3 3" xfId="29633"/>
    <cellStyle name="Comma 10 2 2 2 5 4" xfId="29634"/>
    <cellStyle name="Comma 10 2 2 2 5 4 2" xfId="29635"/>
    <cellStyle name="Comma 10 2 2 2 5 5" xfId="29636"/>
    <cellStyle name="Comma 10 2 2 2 5 6" xfId="29637"/>
    <cellStyle name="Comma 10 2 2 2 6" xfId="29638"/>
    <cellStyle name="Comma 10 2 2 2 6 2" xfId="29639"/>
    <cellStyle name="Comma 10 2 2 2 6 2 2" xfId="29640"/>
    <cellStyle name="Comma 10 2 2 2 6 2 3" xfId="29641"/>
    <cellStyle name="Comma 10 2 2 2 6 3" xfId="29642"/>
    <cellStyle name="Comma 10 2 2 2 6 3 2" xfId="29643"/>
    <cellStyle name="Comma 10 2 2 2 6 3 3" xfId="29644"/>
    <cellStyle name="Comma 10 2 2 2 6 4" xfId="29645"/>
    <cellStyle name="Comma 10 2 2 2 6 4 2" xfId="29646"/>
    <cellStyle name="Comma 10 2 2 2 6 5" xfId="29647"/>
    <cellStyle name="Comma 10 2 2 2 6 6" xfId="29648"/>
    <cellStyle name="Comma 10 2 2 2 7" xfId="29649"/>
    <cellStyle name="Comma 10 2 2 2 7 2" xfId="29650"/>
    <cellStyle name="Comma 10 2 2 2 7 2 2" xfId="29651"/>
    <cellStyle name="Comma 10 2 2 2 7 2 3" xfId="29652"/>
    <cellStyle name="Comma 10 2 2 2 7 3" xfId="29653"/>
    <cellStyle name="Comma 10 2 2 2 7 3 2" xfId="29654"/>
    <cellStyle name="Comma 10 2 2 2 7 4" xfId="29655"/>
    <cellStyle name="Comma 10 2 2 2 7 5" xfId="29656"/>
    <cellStyle name="Comma 10 2 2 2 8" xfId="29657"/>
    <cellStyle name="Comma 10 2 2 2 8 2" xfId="29658"/>
    <cellStyle name="Comma 10 2 2 2 8 3" xfId="29659"/>
    <cellStyle name="Comma 10 2 2 2 9" xfId="29660"/>
    <cellStyle name="Comma 10 2 2 2 9 2" xfId="29661"/>
    <cellStyle name="Comma 10 2 2 2 9 3" xfId="29662"/>
    <cellStyle name="Comma 10 2 2 3" xfId="3182"/>
    <cellStyle name="Comma 10 2 2 3 10" xfId="29663"/>
    <cellStyle name="Comma 10 2 2 3 2" xfId="3183"/>
    <cellStyle name="Comma 10 2 2 3 2 2" xfId="3184"/>
    <cellStyle name="Comma 10 2 2 3 2 2 2" xfId="29664"/>
    <cellStyle name="Comma 10 2 2 3 2 2 2 2" xfId="29665"/>
    <cellStyle name="Comma 10 2 2 3 2 2 2 3" xfId="29666"/>
    <cellStyle name="Comma 10 2 2 3 2 2 3" xfId="29667"/>
    <cellStyle name="Comma 10 2 2 3 2 2 3 2" xfId="29668"/>
    <cellStyle name="Comma 10 2 2 3 2 2 3 3" xfId="29669"/>
    <cellStyle name="Comma 10 2 2 3 2 2 4" xfId="29670"/>
    <cellStyle name="Comma 10 2 2 3 2 2 4 2" xfId="29671"/>
    <cellStyle name="Comma 10 2 2 3 2 2 5" xfId="29672"/>
    <cellStyle name="Comma 10 2 2 3 2 2 6" xfId="29673"/>
    <cellStyle name="Comma 10 2 2 3 2 3" xfId="29674"/>
    <cellStyle name="Comma 10 2 2 3 2 3 2" xfId="29675"/>
    <cellStyle name="Comma 10 2 2 3 2 3 2 2" xfId="29676"/>
    <cellStyle name="Comma 10 2 2 3 2 3 2 3" xfId="29677"/>
    <cellStyle name="Comma 10 2 2 3 2 3 3" xfId="29678"/>
    <cellStyle name="Comma 10 2 2 3 2 3 3 2" xfId="29679"/>
    <cellStyle name="Comma 10 2 2 3 2 3 3 3" xfId="29680"/>
    <cellStyle name="Comma 10 2 2 3 2 3 4" xfId="29681"/>
    <cellStyle name="Comma 10 2 2 3 2 3 4 2" xfId="29682"/>
    <cellStyle name="Comma 10 2 2 3 2 3 5" xfId="29683"/>
    <cellStyle name="Comma 10 2 2 3 2 3 6" xfId="29684"/>
    <cellStyle name="Comma 10 2 2 3 2 4" xfId="29685"/>
    <cellStyle name="Comma 10 2 2 3 2 4 2" xfId="29686"/>
    <cellStyle name="Comma 10 2 2 3 2 4 2 2" xfId="29687"/>
    <cellStyle name="Comma 10 2 2 3 2 4 2 3" xfId="29688"/>
    <cellStyle name="Comma 10 2 2 3 2 4 3" xfId="29689"/>
    <cellStyle name="Comma 10 2 2 3 2 4 3 2" xfId="29690"/>
    <cellStyle name="Comma 10 2 2 3 2 4 4" xfId="29691"/>
    <cellStyle name="Comma 10 2 2 3 2 4 5" xfId="29692"/>
    <cellStyle name="Comma 10 2 2 3 2 5" xfId="29693"/>
    <cellStyle name="Comma 10 2 2 3 2 5 2" xfId="29694"/>
    <cellStyle name="Comma 10 2 2 3 2 5 3" xfId="29695"/>
    <cellStyle name="Comma 10 2 2 3 2 6" xfId="29696"/>
    <cellStyle name="Comma 10 2 2 3 2 6 2" xfId="29697"/>
    <cellStyle name="Comma 10 2 2 3 2 6 3" xfId="29698"/>
    <cellStyle name="Comma 10 2 2 3 2 7" xfId="29699"/>
    <cellStyle name="Comma 10 2 2 3 2 7 2" xfId="29700"/>
    <cellStyle name="Comma 10 2 2 3 2 8" xfId="29701"/>
    <cellStyle name="Comma 10 2 2 3 2 9" xfId="29702"/>
    <cellStyle name="Comma 10 2 2 3 3" xfId="3185"/>
    <cellStyle name="Comma 10 2 2 3 3 2" xfId="29703"/>
    <cellStyle name="Comma 10 2 2 3 3 2 2" xfId="29704"/>
    <cellStyle name="Comma 10 2 2 3 3 2 3" xfId="29705"/>
    <cellStyle name="Comma 10 2 2 3 3 3" xfId="29706"/>
    <cellStyle name="Comma 10 2 2 3 3 3 2" xfId="29707"/>
    <cellStyle name="Comma 10 2 2 3 3 3 3" xfId="29708"/>
    <cellStyle name="Comma 10 2 2 3 3 4" xfId="29709"/>
    <cellStyle name="Comma 10 2 2 3 3 4 2" xfId="29710"/>
    <cellStyle name="Comma 10 2 2 3 3 5" xfId="29711"/>
    <cellStyle name="Comma 10 2 2 3 3 6" xfId="29712"/>
    <cellStyle name="Comma 10 2 2 3 4" xfId="29713"/>
    <cellStyle name="Comma 10 2 2 3 4 2" xfId="29714"/>
    <cellStyle name="Comma 10 2 2 3 4 2 2" xfId="29715"/>
    <cellStyle name="Comma 10 2 2 3 4 2 3" xfId="29716"/>
    <cellStyle name="Comma 10 2 2 3 4 3" xfId="29717"/>
    <cellStyle name="Comma 10 2 2 3 4 3 2" xfId="29718"/>
    <cellStyle name="Comma 10 2 2 3 4 3 3" xfId="29719"/>
    <cellStyle name="Comma 10 2 2 3 4 4" xfId="29720"/>
    <cellStyle name="Comma 10 2 2 3 4 4 2" xfId="29721"/>
    <cellStyle name="Comma 10 2 2 3 4 5" xfId="29722"/>
    <cellStyle name="Comma 10 2 2 3 4 6" xfId="29723"/>
    <cellStyle name="Comma 10 2 2 3 5" xfId="29724"/>
    <cellStyle name="Comma 10 2 2 3 5 2" xfId="29725"/>
    <cellStyle name="Comma 10 2 2 3 5 2 2" xfId="29726"/>
    <cellStyle name="Comma 10 2 2 3 5 2 3" xfId="29727"/>
    <cellStyle name="Comma 10 2 2 3 5 3" xfId="29728"/>
    <cellStyle name="Comma 10 2 2 3 5 3 2" xfId="29729"/>
    <cellStyle name="Comma 10 2 2 3 5 4" xfId="29730"/>
    <cellStyle name="Comma 10 2 2 3 5 5" xfId="29731"/>
    <cellStyle name="Comma 10 2 2 3 6" xfId="29732"/>
    <cellStyle name="Comma 10 2 2 3 6 2" xfId="29733"/>
    <cellStyle name="Comma 10 2 2 3 6 3" xfId="29734"/>
    <cellStyle name="Comma 10 2 2 3 7" xfId="29735"/>
    <cellStyle name="Comma 10 2 2 3 7 2" xfId="29736"/>
    <cellStyle name="Comma 10 2 2 3 7 3" xfId="29737"/>
    <cellStyle name="Comma 10 2 2 3 8" xfId="29738"/>
    <cellStyle name="Comma 10 2 2 3 8 2" xfId="29739"/>
    <cellStyle name="Comma 10 2 2 3 9" xfId="29740"/>
    <cellStyle name="Comma 10 2 2 4" xfId="3186"/>
    <cellStyle name="Comma 10 2 2 4 2" xfId="3187"/>
    <cellStyle name="Comma 10 2 2 4 2 2" xfId="29741"/>
    <cellStyle name="Comma 10 2 2 4 2 2 2" xfId="29742"/>
    <cellStyle name="Comma 10 2 2 4 2 2 3" xfId="29743"/>
    <cellStyle name="Comma 10 2 2 4 2 3" xfId="29744"/>
    <cellStyle name="Comma 10 2 2 4 2 3 2" xfId="29745"/>
    <cellStyle name="Comma 10 2 2 4 2 3 3" xfId="29746"/>
    <cellStyle name="Comma 10 2 2 4 2 4" xfId="29747"/>
    <cellStyle name="Comma 10 2 2 4 2 4 2" xfId="29748"/>
    <cellStyle name="Comma 10 2 2 4 2 5" xfId="29749"/>
    <cellStyle name="Comma 10 2 2 4 2 6" xfId="29750"/>
    <cellStyle name="Comma 10 2 2 4 3" xfId="29751"/>
    <cellStyle name="Comma 10 2 2 4 3 2" xfId="29752"/>
    <cellStyle name="Comma 10 2 2 4 3 2 2" xfId="29753"/>
    <cellStyle name="Comma 10 2 2 4 3 2 3" xfId="29754"/>
    <cellStyle name="Comma 10 2 2 4 3 3" xfId="29755"/>
    <cellStyle name="Comma 10 2 2 4 3 3 2" xfId="29756"/>
    <cellStyle name="Comma 10 2 2 4 3 3 3" xfId="29757"/>
    <cellStyle name="Comma 10 2 2 4 3 4" xfId="29758"/>
    <cellStyle name="Comma 10 2 2 4 3 4 2" xfId="29759"/>
    <cellStyle name="Comma 10 2 2 4 3 5" xfId="29760"/>
    <cellStyle name="Comma 10 2 2 4 3 6" xfId="29761"/>
    <cellStyle name="Comma 10 2 2 4 4" xfId="29762"/>
    <cellStyle name="Comma 10 2 2 4 4 2" xfId="29763"/>
    <cellStyle name="Comma 10 2 2 4 4 2 2" xfId="29764"/>
    <cellStyle name="Comma 10 2 2 4 4 2 3" xfId="29765"/>
    <cellStyle name="Comma 10 2 2 4 4 3" xfId="29766"/>
    <cellStyle name="Comma 10 2 2 4 4 3 2" xfId="29767"/>
    <cellStyle name="Comma 10 2 2 4 4 4" xfId="29768"/>
    <cellStyle name="Comma 10 2 2 4 4 5" xfId="29769"/>
    <cellStyle name="Comma 10 2 2 4 5" xfId="29770"/>
    <cellStyle name="Comma 10 2 2 4 5 2" xfId="29771"/>
    <cellStyle name="Comma 10 2 2 4 5 3" xfId="29772"/>
    <cellStyle name="Comma 10 2 2 4 6" xfId="29773"/>
    <cellStyle name="Comma 10 2 2 4 6 2" xfId="29774"/>
    <cellStyle name="Comma 10 2 2 4 6 3" xfId="29775"/>
    <cellStyle name="Comma 10 2 2 4 7" xfId="29776"/>
    <cellStyle name="Comma 10 2 2 4 7 2" xfId="29777"/>
    <cellStyle name="Comma 10 2 2 4 8" xfId="29778"/>
    <cellStyle name="Comma 10 2 2 4 9" xfId="29779"/>
    <cellStyle name="Comma 10 2 2 5" xfId="3188"/>
    <cellStyle name="Comma 10 2 2 5 2" xfId="29780"/>
    <cellStyle name="Comma 10 2 2 5 2 2" xfId="29781"/>
    <cellStyle name="Comma 10 2 2 5 2 2 2" xfId="29782"/>
    <cellStyle name="Comma 10 2 2 5 2 2 3" xfId="29783"/>
    <cellStyle name="Comma 10 2 2 5 2 3" xfId="29784"/>
    <cellStyle name="Comma 10 2 2 5 2 3 2" xfId="29785"/>
    <cellStyle name="Comma 10 2 2 5 2 3 3" xfId="29786"/>
    <cellStyle name="Comma 10 2 2 5 2 4" xfId="29787"/>
    <cellStyle name="Comma 10 2 2 5 2 4 2" xfId="29788"/>
    <cellStyle name="Comma 10 2 2 5 2 5" xfId="29789"/>
    <cellStyle name="Comma 10 2 2 5 2 6" xfId="29790"/>
    <cellStyle name="Comma 10 2 2 5 3" xfId="29791"/>
    <cellStyle name="Comma 10 2 2 5 3 2" xfId="29792"/>
    <cellStyle name="Comma 10 2 2 5 3 2 2" xfId="29793"/>
    <cellStyle name="Comma 10 2 2 5 3 2 3" xfId="29794"/>
    <cellStyle name="Comma 10 2 2 5 3 3" xfId="29795"/>
    <cellStyle name="Comma 10 2 2 5 3 3 2" xfId="29796"/>
    <cellStyle name="Comma 10 2 2 5 3 3 3" xfId="29797"/>
    <cellStyle name="Comma 10 2 2 5 3 4" xfId="29798"/>
    <cellStyle name="Comma 10 2 2 5 3 4 2" xfId="29799"/>
    <cellStyle name="Comma 10 2 2 5 3 5" xfId="29800"/>
    <cellStyle name="Comma 10 2 2 5 3 6" xfId="29801"/>
    <cellStyle name="Comma 10 2 2 5 4" xfId="29802"/>
    <cellStyle name="Comma 10 2 2 5 4 2" xfId="29803"/>
    <cellStyle name="Comma 10 2 2 5 4 2 2" xfId="29804"/>
    <cellStyle name="Comma 10 2 2 5 4 2 3" xfId="29805"/>
    <cellStyle name="Comma 10 2 2 5 4 3" xfId="29806"/>
    <cellStyle name="Comma 10 2 2 5 4 3 2" xfId="29807"/>
    <cellStyle name="Comma 10 2 2 5 4 4" xfId="29808"/>
    <cellStyle name="Comma 10 2 2 5 4 5" xfId="29809"/>
    <cellStyle name="Comma 10 2 2 5 5" xfId="29810"/>
    <cellStyle name="Comma 10 2 2 5 5 2" xfId="29811"/>
    <cellStyle name="Comma 10 2 2 5 5 3" xfId="29812"/>
    <cellStyle name="Comma 10 2 2 5 6" xfId="29813"/>
    <cellStyle name="Comma 10 2 2 5 6 2" xfId="29814"/>
    <cellStyle name="Comma 10 2 2 5 6 3" xfId="29815"/>
    <cellStyle name="Comma 10 2 2 5 7" xfId="29816"/>
    <cellStyle name="Comma 10 2 2 5 7 2" xfId="29817"/>
    <cellStyle name="Comma 10 2 2 5 8" xfId="29818"/>
    <cellStyle name="Comma 10 2 2 5 9" xfId="29819"/>
    <cellStyle name="Comma 10 2 2 6" xfId="29820"/>
    <cellStyle name="Comma 10 2 2 6 2" xfId="29821"/>
    <cellStyle name="Comma 10 2 2 6 2 2" xfId="29822"/>
    <cellStyle name="Comma 10 2 2 6 2 3" xfId="29823"/>
    <cellStyle name="Comma 10 2 2 6 3" xfId="29824"/>
    <cellStyle name="Comma 10 2 2 6 3 2" xfId="29825"/>
    <cellStyle name="Comma 10 2 2 6 3 3" xfId="29826"/>
    <cellStyle name="Comma 10 2 2 6 4" xfId="29827"/>
    <cellStyle name="Comma 10 2 2 6 4 2" xfId="29828"/>
    <cellStyle name="Comma 10 2 2 6 5" xfId="29829"/>
    <cellStyle name="Comma 10 2 2 6 6" xfId="29830"/>
    <cellStyle name="Comma 10 2 2 7" xfId="29831"/>
    <cellStyle name="Comma 10 2 2 7 2" xfId="29832"/>
    <cellStyle name="Comma 10 2 2 7 2 2" xfId="29833"/>
    <cellStyle name="Comma 10 2 2 7 2 3" xfId="29834"/>
    <cellStyle name="Comma 10 2 2 7 3" xfId="29835"/>
    <cellStyle name="Comma 10 2 2 7 3 2" xfId="29836"/>
    <cellStyle name="Comma 10 2 2 7 3 3" xfId="29837"/>
    <cellStyle name="Comma 10 2 2 7 4" xfId="29838"/>
    <cellStyle name="Comma 10 2 2 7 4 2" xfId="29839"/>
    <cellStyle name="Comma 10 2 2 7 5" xfId="29840"/>
    <cellStyle name="Comma 10 2 2 7 6" xfId="29841"/>
    <cellStyle name="Comma 10 2 2 8" xfId="29842"/>
    <cellStyle name="Comma 10 2 2 8 2" xfId="29843"/>
    <cellStyle name="Comma 10 2 2 8 2 2" xfId="29844"/>
    <cellStyle name="Comma 10 2 2 8 2 3" xfId="29845"/>
    <cellStyle name="Comma 10 2 2 8 3" xfId="29846"/>
    <cellStyle name="Comma 10 2 2 8 3 2" xfId="29847"/>
    <cellStyle name="Comma 10 2 2 8 4" xfId="29848"/>
    <cellStyle name="Comma 10 2 2 8 5" xfId="29849"/>
    <cellStyle name="Comma 10 2 2 9" xfId="29850"/>
    <cellStyle name="Comma 10 2 2 9 2" xfId="29851"/>
    <cellStyle name="Comma 10 2 2 9 3" xfId="29852"/>
    <cellStyle name="Comma 10 2 3" xfId="3189"/>
    <cellStyle name="Comma 10 2 3 10" xfId="29853"/>
    <cellStyle name="Comma 10 2 3 10 2" xfId="29854"/>
    <cellStyle name="Comma 10 2 3 11" xfId="29855"/>
    <cellStyle name="Comma 10 2 3 12" xfId="29856"/>
    <cellStyle name="Comma 10 2 3 2" xfId="3190"/>
    <cellStyle name="Comma 10 2 3 2 10" xfId="29857"/>
    <cellStyle name="Comma 10 2 3 2 2" xfId="3191"/>
    <cellStyle name="Comma 10 2 3 2 2 2" xfId="3192"/>
    <cellStyle name="Comma 10 2 3 2 2 2 2" xfId="29858"/>
    <cellStyle name="Comma 10 2 3 2 2 2 2 2" xfId="29859"/>
    <cellStyle name="Comma 10 2 3 2 2 2 2 3" xfId="29860"/>
    <cellStyle name="Comma 10 2 3 2 2 2 3" xfId="29861"/>
    <cellStyle name="Comma 10 2 3 2 2 2 3 2" xfId="29862"/>
    <cellStyle name="Comma 10 2 3 2 2 2 3 3" xfId="29863"/>
    <cellStyle name="Comma 10 2 3 2 2 2 4" xfId="29864"/>
    <cellStyle name="Comma 10 2 3 2 2 2 4 2" xfId="29865"/>
    <cellStyle name="Comma 10 2 3 2 2 2 5" xfId="29866"/>
    <cellStyle name="Comma 10 2 3 2 2 2 6" xfId="29867"/>
    <cellStyle name="Comma 10 2 3 2 2 3" xfId="29868"/>
    <cellStyle name="Comma 10 2 3 2 2 3 2" xfId="29869"/>
    <cellStyle name="Comma 10 2 3 2 2 3 2 2" xfId="29870"/>
    <cellStyle name="Comma 10 2 3 2 2 3 2 3" xfId="29871"/>
    <cellStyle name="Comma 10 2 3 2 2 3 3" xfId="29872"/>
    <cellStyle name="Comma 10 2 3 2 2 3 3 2" xfId="29873"/>
    <cellStyle name="Comma 10 2 3 2 2 3 3 3" xfId="29874"/>
    <cellStyle name="Comma 10 2 3 2 2 3 4" xfId="29875"/>
    <cellStyle name="Comma 10 2 3 2 2 3 4 2" xfId="29876"/>
    <cellStyle name="Comma 10 2 3 2 2 3 5" xfId="29877"/>
    <cellStyle name="Comma 10 2 3 2 2 3 6" xfId="29878"/>
    <cellStyle name="Comma 10 2 3 2 2 4" xfId="29879"/>
    <cellStyle name="Comma 10 2 3 2 2 4 2" xfId="29880"/>
    <cellStyle name="Comma 10 2 3 2 2 4 2 2" xfId="29881"/>
    <cellStyle name="Comma 10 2 3 2 2 4 2 3" xfId="29882"/>
    <cellStyle name="Comma 10 2 3 2 2 4 3" xfId="29883"/>
    <cellStyle name="Comma 10 2 3 2 2 4 3 2" xfId="29884"/>
    <cellStyle name="Comma 10 2 3 2 2 4 4" xfId="29885"/>
    <cellStyle name="Comma 10 2 3 2 2 4 5" xfId="29886"/>
    <cellStyle name="Comma 10 2 3 2 2 5" xfId="29887"/>
    <cellStyle name="Comma 10 2 3 2 2 5 2" xfId="29888"/>
    <cellStyle name="Comma 10 2 3 2 2 5 3" xfId="29889"/>
    <cellStyle name="Comma 10 2 3 2 2 6" xfId="29890"/>
    <cellStyle name="Comma 10 2 3 2 2 6 2" xfId="29891"/>
    <cellStyle name="Comma 10 2 3 2 2 6 3" xfId="29892"/>
    <cellStyle name="Comma 10 2 3 2 2 7" xfId="29893"/>
    <cellStyle name="Comma 10 2 3 2 2 7 2" xfId="29894"/>
    <cellStyle name="Comma 10 2 3 2 2 8" xfId="29895"/>
    <cellStyle name="Comma 10 2 3 2 2 9" xfId="29896"/>
    <cellStyle name="Comma 10 2 3 2 3" xfId="3193"/>
    <cellStyle name="Comma 10 2 3 2 3 2" xfId="29897"/>
    <cellStyle name="Comma 10 2 3 2 3 2 2" xfId="29898"/>
    <cellStyle name="Comma 10 2 3 2 3 2 3" xfId="29899"/>
    <cellStyle name="Comma 10 2 3 2 3 3" xfId="29900"/>
    <cellStyle name="Comma 10 2 3 2 3 3 2" xfId="29901"/>
    <cellStyle name="Comma 10 2 3 2 3 3 3" xfId="29902"/>
    <cellStyle name="Comma 10 2 3 2 3 4" xfId="29903"/>
    <cellStyle name="Comma 10 2 3 2 3 4 2" xfId="29904"/>
    <cellStyle name="Comma 10 2 3 2 3 5" xfId="29905"/>
    <cellStyle name="Comma 10 2 3 2 3 6" xfId="29906"/>
    <cellStyle name="Comma 10 2 3 2 4" xfId="29907"/>
    <cellStyle name="Comma 10 2 3 2 4 2" xfId="29908"/>
    <cellStyle name="Comma 10 2 3 2 4 2 2" xfId="29909"/>
    <cellStyle name="Comma 10 2 3 2 4 2 3" xfId="29910"/>
    <cellStyle name="Comma 10 2 3 2 4 3" xfId="29911"/>
    <cellStyle name="Comma 10 2 3 2 4 3 2" xfId="29912"/>
    <cellStyle name="Comma 10 2 3 2 4 3 3" xfId="29913"/>
    <cellStyle name="Comma 10 2 3 2 4 4" xfId="29914"/>
    <cellStyle name="Comma 10 2 3 2 4 4 2" xfId="29915"/>
    <cellStyle name="Comma 10 2 3 2 4 5" xfId="29916"/>
    <cellStyle name="Comma 10 2 3 2 4 6" xfId="29917"/>
    <cellStyle name="Comma 10 2 3 2 5" xfId="29918"/>
    <cellStyle name="Comma 10 2 3 2 5 2" xfId="29919"/>
    <cellStyle name="Comma 10 2 3 2 5 2 2" xfId="29920"/>
    <cellStyle name="Comma 10 2 3 2 5 2 3" xfId="29921"/>
    <cellStyle name="Comma 10 2 3 2 5 3" xfId="29922"/>
    <cellStyle name="Comma 10 2 3 2 5 3 2" xfId="29923"/>
    <cellStyle name="Comma 10 2 3 2 5 4" xfId="29924"/>
    <cellStyle name="Comma 10 2 3 2 5 5" xfId="29925"/>
    <cellStyle name="Comma 10 2 3 2 6" xfId="29926"/>
    <cellStyle name="Comma 10 2 3 2 6 2" xfId="29927"/>
    <cellStyle name="Comma 10 2 3 2 6 3" xfId="29928"/>
    <cellStyle name="Comma 10 2 3 2 7" xfId="29929"/>
    <cellStyle name="Comma 10 2 3 2 7 2" xfId="29930"/>
    <cellStyle name="Comma 10 2 3 2 7 3" xfId="29931"/>
    <cellStyle name="Comma 10 2 3 2 8" xfId="29932"/>
    <cellStyle name="Comma 10 2 3 2 8 2" xfId="29933"/>
    <cellStyle name="Comma 10 2 3 2 9" xfId="29934"/>
    <cellStyle name="Comma 10 2 3 3" xfId="3194"/>
    <cellStyle name="Comma 10 2 3 3 2" xfId="3195"/>
    <cellStyle name="Comma 10 2 3 3 2 2" xfId="29935"/>
    <cellStyle name="Comma 10 2 3 3 2 2 2" xfId="29936"/>
    <cellStyle name="Comma 10 2 3 3 2 2 3" xfId="29937"/>
    <cellStyle name="Comma 10 2 3 3 2 3" xfId="29938"/>
    <cellStyle name="Comma 10 2 3 3 2 3 2" xfId="29939"/>
    <cellStyle name="Comma 10 2 3 3 2 3 3" xfId="29940"/>
    <cellStyle name="Comma 10 2 3 3 2 4" xfId="29941"/>
    <cellStyle name="Comma 10 2 3 3 2 4 2" xfId="29942"/>
    <cellStyle name="Comma 10 2 3 3 2 5" xfId="29943"/>
    <cellStyle name="Comma 10 2 3 3 2 6" xfId="29944"/>
    <cellStyle name="Comma 10 2 3 3 3" xfId="29945"/>
    <cellStyle name="Comma 10 2 3 3 3 2" xfId="29946"/>
    <cellStyle name="Comma 10 2 3 3 3 2 2" xfId="29947"/>
    <cellStyle name="Comma 10 2 3 3 3 2 3" xfId="29948"/>
    <cellStyle name="Comma 10 2 3 3 3 3" xfId="29949"/>
    <cellStyle name="Comma 10 2 3 3 3 3 2" xfId="29950"/>
    <cellStyle name="Comma 10 2 3 3 3 3 3" xfId="29951"/>
    <cellStyle name="Comma 10 2 3 3 3 4" xfId="29952"/>
    <cellStyle name="Comma 10 2 3 3 3 4 2" xfId="29953"/>
    <cellStyle name="Comma 10 2 3 3 3 5" xfId="29954"/>
    <cellStyle name="Comma 10 2 3 3 3 6" xfId="29955"/>
    <cellStyle name="Comma 10 2 3 3 4" xfId="29956"/>
    <cellStyle name="Comma 10 2 3 3 4 2" xfId="29957"/>
    <cellStyle name="Comma 10 2 3 3 4 2 2" xfId="29958"/>
    <cellStyle name="Comma 10 2 3 3 4 2 3" xfId="29959"/>
    <cellStyle name="Comma 10 2 3 3 4 3" xfId="29960"/>
    <cellStyle name="Comma 10 2 3 3 4 3 2" xfId="29961"/>
    <cellStyle name="Comma 10 2 3 3 4 4" xfId="29962"/>
    <cellStyle name="Comma 10 2 3 3 4 5" xfId="29963"/>
    <cellStyle name="Comma 10 2 3 3 5" xfId="29964"/>
    <cellStyle name="Comma 10 2 3 3 5 2" xfId="29965"/>
    <cellStyle name="Comma 10 2 3 3 5 3" xfId="29966"/>
    <cellStyle name="Comma 10 2 3 3 6" xfId="29967"/>
    <cellStyle name="Comma 10 2 3 3 6 2" xfId="29968"/>
    <cellStyle name="Comma 10 2 3 3 6 3" xfId="29969"/>
    <cellStyle name="Comma 10 2 3 3 7" xfId="29970"/>
    <cellStyle name="Comma 10 2 3 3 7 2" xfId="29971"/>
    <cellStyle name="Comma 10 2 3 3 8" xfId="29972"/>
    <cellStyle name="Comma 10 2 3 3 9" xfId="29973"/>
    <cellStyle name="Comma 10 2 3 4" xfId="3196"/>
    <cellStyle name="Comma 10 2 3 4 2" xfId="29974"/>
    <cellStyle name="Comma 10 2 3 4 2 2" xfId="29975"/>
    <cellStyle name="Comma 10 2 3 4 2 2 2" xfId="29976"/>
    <cellStyle name="Comma 10 2 3 4 2 2 3" xfId="29977"/>
    <cellStyle name="Comma 10 2 3 4 2 3" xfId="29978"/>
    <cellStyle name="Comma 10 2 3 4 2 3 2" xfId="29979"/>
    <cellStyle name="Comma 10 2 3 4 2 3 3" xfId="29980"/>
    <cellStyle name="Comma 10 2 3 4 2 4" xfId="29981"/>
    <cellStyle name="Comma 10 2 3 4 2 4 2" xfId="29982"/>
    <cellStyle name="Comma 10 2 3 4 2 5" xfId="29983"/>
    <cellStyle name="Comma 10 2 3 4 2 6" xfId="29984"/>
    <cellStyle name="Comma 10 2 3 4 3" xfId="29985"/>
    <cellStyle name="Comma 10 2 3 4 3 2" xfId="29986"/>
    <cellStyle name="Comma 10 2 3 4 3 2 2" xfId="29987"/>
    <cellStyle name="Comma 10 2 3 4 3 2 3" xfId="29988"/>
    <cellStyle name="Comma 10 2 3 4 3 3" xfId="29989"/>
    <cellStyle name="Comma 10 2 3 4 3 3 2" xfId="29990"/>
    <cellStyle name="Comma 10 2 3 4 3 3 3" xfId="29991"/>
    <cellStyle name="Comma 10 2 3 4 3 4" xfId="29992"/>
    <cellStyle name="Comma 10 2 3 4 3 4 2" xfId="29993"/>
    <cellStyle name="Comma 10 2 3 4 3 5" xfId="29994"/>
    <cellStyle name="Comma 10 2 3 4 3 6" xfId="29995"/>
    <cellStyle name="Comma 10 2 3 4 4" xfId="29996"/>
    <cellStyle name="Comma 10 2 3 4 4 2" xfId="29997"/>
    <cellStyle name="Comma 10 2 3 4 4 2 2" xfId="29998"/>
    <cellStyle name="Comma 10 2 3 4 4 2 3" xfId="29999"/>
    <cellStyle name="Comma 10 2 3 4 4 3" xfId="30000"/>
    <cellStyle name="Comma 10 2 3 4 4 3 2" xfId="30001"/>
    <cellStyle name="Comma 10 2 3 4 4 4" xfId="30002"/>
    <cellStyle name="Comma 10 2 3 4 4 5" xfId="30003"/>
    <cellStyle name="Comma 10 2 3 4 5" xfId="30004"/>
    <cellStyle name="Comma 10 2 3 4 5 2" xfId="30005"/>
    <cellStyle name="Comma 10 2 3 4 5 3" xfId="30006"/>
    <cellStyle name="Comma 10 2 3 4 6" xfId="30007"/>
    <cellStyle name="Comma 10 2 3 4 6 2" xfId="30008"/>
    <cellStyle name="Comma 10 2 3 4 6 3" xfId="30009"/>
    <cellStyle name="Comma 10 2 3 4 7" xfId="30010"/>
    <cellStyle name="Comma 10 2 3 4 7 2" xfId="30011"/>
    <cellStyle name="Comma 10 2 3 4 8" xfId="30012"/>
    <cellStyle name="Comma 10 2 3 4 9" xfId="30013"/>
    <cellStyle name="Comma 10 2 3 5" xfId="30014"/>
    <cellStyle name="Comma 10 2 3 5 2" xfId="30015"/>
    <cellStyle name="Comma 10 2 3 5 2 2" xfId="30016"/>
    <cellStyle name="Comma 10 2 3 5 2 3" xfId="30017"/>
    <cellStyle name="Comma 10 2 3 5 3" xfId="30018"/>
    <cellStyle name="Comma 10 2 3 5 3 2" xfId="30019"/>
    <cellStyle name="Comma 10 2 3 5 3 3" xfId="30020"/>
    <cellStyle name="Comma 10 2 3 5 4" xfId="30021"/>
    <cellStyle name="Comma 10 2 3 5 4 2" xfId="30022"/>
    <cellStyle name="Comma 10 2 3 5 5" xfId="30023"/>
    <cellStyle name="Comma 10 2 3 5 6" xfId="30024"/>
    <cellStyle name="Comma 10 2 3 6" xfId="30025"/>
    <cellStyle name="Comma 10 2 3 6 2" xfId="30026"/>
    <cellStyle name="Comma 10 2 3 6 2 2" xfId="30027"/>
    <cellStyle name="Comma 10 2 3 6 2 3" xfId="30028"/>
    <cellStyle name="Comma 10 2 3 6 3" xfId="30029"/>
    <cellStyle name="Comma 10 2 3 6 3 2" xfId="30030"/>
    <cellStyle name="Comma 10 2 3 6 3 3" xfId="30031"/>
    <cellStyle name="Comma 10 2 3 6 4" xfId="30032"/>
    <cellStyle name="Comma 10 2 3 6 4 2" xfId="30033"/>
    <cellStyle name="Comma 10 2 3 6 5" xfId="30034"/>
    <cellStyle name="Comma 10 2 3 6 6" xfId="30035"/>
    <cellStyle name="Comma 10 2 3 7" xfId="30036"/>
    <cellStyle name="Comma 10 2 3 7 2" xfId="30037"/>
    <cellStyle name="Comma 10 2 3 7 2 2" xfId="30038"/>
    <cellStyle name="Comma 10 2 3 7 2 3" xfId="30039"/>
    <cellStyle name="Comma 10 2 3 7 3" xfId="30040"/>
    <cellStyle name="Comma 10 2 3 7 3 2" xfId="30041"/>
    <cellStyle name="Comma 10 2 3 7 4" xfId="30042"/>
    <cellStyle name="Comma 10 2 3 7 5" xfId="30043"/>
    <cellStyle name="Comma 10 2 3 8" xfId="30044"/>
    <cellStyle name="Comma 10 2 3 8 2" xfId="30045"/>
    <cellStyle name="Comma 10 2 3 8 3" xfId="30046"/>
    <cellStyle name="Comma 10 2 3 9" xfId="30047"/>
    <cellStyle name="Comma 10 2 3 9 2" xfId="30048"/>
    <cellStyle name="Comma 10 2 3 9 3" xfId="30049"/>
    <cellStyle name="Comma 10 2 4" xfId="3197"/>
    <cellStyle name="Comma 10 2 4 10" xfId="30050"/>
    <cellStyle name="Comma 10 2 4 2" xfId="3198"/>
    <cellStyle name="Comma 10 2 4 2 2" xfId="3199"/>
    <cellStyle name="Comma 10 2 4 2 2 2" xfId="30051"/>
    <cellStyle name="Comma 10 2 4 2 2 2 2" xfId="30052"/>
    <cellStyle name="Comma 10 2 4 2 2 2 3" xfId="30053"/>
    <cellStyle name="Comma 10 2 4 2 2 3" xfId="30054"/>
    <cellStyle name="Comma 10 2 4 2 2 3 2" xfId="30055"/>
    <cellStyle name="Comma 10 2 4 2 2 3 3" xfId="30056"/>
    <cellStyle name="Comma 10 2 4 2 2 4" xfId="30057"/>
    <cellStyle name="Comma 10 2 4 2 2 4 2" xfId="30058"/>
    <cellStyle name="Comma 10 2 4 2 2 5" xfId="30059"/>
    <cellStyle name="Comma 10 2 4 2 2 6" xfId="30060"/>
    <cellStyle name="Comma 10 2 4 2 3" xfId="30061"/>
    <cellStyle name="Comma 10 2 4 2 3 2" xfId="30062"/>
    <cellStyle name="Comma 10 2 4 2 3 2 2" xfId="30063"/>
    <cellStyle name="Comma 10 2 4 2 3 2 3" xfId="30064"/>
    <cellStyle name="Comma 10 2 4 2 3 3" xfId="30065"/>
    <cellStyle name="Comma 10 2 4 2 3 3 2" xfId="30066"/>
    <cellStyle name="Comma 10 2 4 2 3 3 3" xfId="30067"/>
    <cellStyle name="Comma 10 2 4 2 3 4" xfId="30068"/>
    <cellStyle name="Comma 10 2 4 2 3 4 2" xfId="30069"/>
    <cellStyle name="Comma 10 2 4 2 3 5" xfId="30070"/>
    <cellStyle name="Comma 10 2 4 2 3 6" xfId="30071"/>
    <cellStyle name="Comma 10 2 4 2 4" xfId="30072"/>
    <cellStyle name="Comma 10 2 4 2 4 2" xfId="30073"/>
    <cellStyle name="Comma 10 2 4 2 4 2 2" xfId="30074"/>
    <cellStyle name="Comma 10 2 4 2 4 2 3" xfId="30075"/>
    <cellStyle name="Comma 10 2 4 2 4 3" xfId="30076"/>
    <cellStyle name="Comma 10 2 4 2 4 3 2" xfId="30077"/>
    <cellStyle name="Comma 10 2 4 2 4 4" xfId="30078"/>
    <cellStyle name="Comma 10 2 4 2 4 5" xfId="30079"/>
    <cellStyle name="Comma 10 2 4 2 5" xfId="30080"/>
    <cellStyle name="Comma 10 2 4 2 5 2" xfId="30081"/>
    <cellStyle name="Comma 10 2 4 2 5 3" xfId="30082"/>
    <cellStyle name="Comma 10 2 4 2 6" xfId="30083"/>
    <cellStyle name="Comma 10 2 4 2 6 2" xfId="30084"/>
    <cellStyle name="Comma 10 2 4 2 6 3" xfId="30085"/>
    <cellStyle name="Comma 10 2 4 2 7" xfId="30086"/>
    <cellStyle name="Comma 10 2 4 2 7 2" xfId="30087"/>
    <cellStyle name="Comma 10 2 4 2 8" xfId="30088"/>
    <cellStyle name="Comma 10 2 4 2 9" xfId="30089"/>
    <cellStyle name="Comma 10 2 4 3" xfId="3200"/>
    <cellStyle name="Comma 10 2 4 3 2" xfId="30090"/>
    <cellStyle name="Comma 10 2 4 3 2 2" xfId="30091"/>
    <cellStyle name="Comma 10 2 4 3 2 3" xfId="30092"/>
    <cellStyle name="Comma 10 2 4 3 3" xfId="30093"/>
    <cellStyle name="Comma 10 2 4 3 3 2" xfId="30094"/>
    <cellStyle name="Comma 10 2 4 3 3 3" xfId="30095"/>
    <cellStyle name="Comma 10 2 4 3 4" xfId="30096"/>
    <cellStyle name="Comma 10 2 4 3 4 2" xfId="30097"/>
    <cellStyle name="Comma 10 2 4 3 5" xfId="30098"/>
    <cellStyle name="Comma 10 2 4 3 6" xfId="30099"/>
    <cellStyle name="Comma 10 2 4 4" xfId="30100"/>
    <cellStyle name="Comma 10 2 4 4 2" xfId="30101"/>
    <cellStyle name="Comma 10 2 4 4 2 2" xfId="30102"/>
    <cellStyle name="Comma 10 2 4 4 2 3" xfId="30103"/>
    <cellStyle name="Comma 10 2 4 4 3" xfId="30104"/>
    <cellStyle name="Comma 10 2 4 4 3 2" xfId="30105"/>
    <cellStyle name="Comma 10 2 4 4 3 3" xfId="30106"/>
    <cellStyle name="Comma 10 2 4 4 4" xfId="30107"/>
    <cellStyle name="Comma 10 2 4 4 4 2" xfId="30108"/>
    <cellStyle name="Comma 10 2 4 4 5" xfId="30109"/>
    <cellStyle name="Comma 10 2 4 4 6" xfId="30110"/>
    <cellStyle name="Comma 10 2 4 5" xfId="30111"/>
    <cellStyle name="Comma 10 2 4 5 2" xfId="30112"/>
    <cellStyle name="Comma 10 2 4 5 2 2" xfId="30113"/>
    <cellStyle name="Comma 10 2 4 5 2 3" xfId="30114"/>
    <cellStyle name="Comma 10 2 4 5 3" xfId="30115"/>
    <cellStyle name="Comma 10 2 4 5 3 2" xfId="30116"/>
    <cellStyle name="Comma 10 2 4 5 4" xfId="30117"/>
    <cellStyle name="Comma 10 2 4 5 5" xfId="30118"/>
    <cellStyle name="Comma 10 2 4 6" xfId="30119"/>
    <cellStyle name="Comma 10 2 4 6 2" xfId="30120"/>
    <cellStyle name="Comma 10 2 4 6 3" xfId="30121"/>
    <cellStyle name="Comma 10 2 4 7" xfId="30122"/>
    <cellStyle name="Comma 10 2 4 7 2" xfId="30123"/>
    <cellStyle name="Comma 10 2 4 7 3" xfId="30124"/>
    <cellStyle name="Comma 10 2 4 8" xfId="30125"/>
    <cellStyle name="Comma 10 2 4 8 2" xfId="30126"/>
    <cellStyle name="Comma 10 2 4 9" xfId="30127"/>
    <cellStyle name="Comma 10 2 5" xfId="3201"/>
    <cellStyle name="Comma 10 2 5 2" xfId="3202"/>
    <cellStyle name="Comma 10 2 5 2 2" xfId="30128"/>
    <cellStyle name="Comma 10 2 5 2 2 2" xfId="30129"/>
    <cellStyle name="Comma 10 2 5 2 2 3" xfId="30130"/>
    <cellStyle name="Comma 10 2 5 2 3" xfId="30131"/>
    <cellStyle name="Comma 10 2 5 2 3 2" xfId="30132"/>
    <cellStyle name="Comma 10 2 5 2 3 3" xfId="30133"/>
    <cellStyle name="Comma 10 2 5 2 4" xfId="30134"/>
    <cellStyle name="Comma 10 2 5 2 4 2" xfId="30135"/>
    <cellStyle name="Comma 10 2 5 2 5" xfId="30136"/>
    <cellStyle name="Comma 10 2 5 2 6" xfId="30137"/>
    <cellStyle name="Comma 10 2 5 3" xfId="30138"/>
    <cellStyle name="Comma 10 2 5 3 2" xfId="30139"/>
    <cellStyle name="Comma 10 2 5 3 2 2" xfId="30140"/>
    <cellStyle name="Comma 10 2 5 3 2 3" xfId="30141"/>
    <cellStyle name="Comma 10 2 5 3 3" xfId="30142"/>
    <cellStyle name="Comma 10 2 5 3 3 2" xfId="30143"/>
    <cellStyle name="Comma 10 2 5 3 3 3" xfId="30144"/>
    <cellStyle name="Comma 10 2 5 3 4" xfId="30145"/>
    <cellStyle name="Comma 10 2 5 3 4 2" xfId="30146"/>
    <cellStyle name="Comma 10 2 5 3 5" xfId="30147"/>
    <cellStyle name="Comma 10 2 5 3 6" xfId="30148"/>
    <cellStyle name="Comma 10 2 5 4" xfId="30149"/>
    <cellStyle name="Comma 10 2 5 4 2" xfId="30150"/>
    <cellStyle name="Comma 10 2 5 4 2 2" xfId="30151"/>
    <cellStyle name="Comma 10 2 5 4 2 3" xfId="30152"/>
    <cellStyle name="Comma 10 2 5 4 3" xfId="30153"/>
    <cellStyle name="Comma 10 2 5 4 3 2" xfId="30154"/>
    <cellStyle name="Comma 10 2 5 4 4" xfId="30155"/>
    <cellStyle name="Comma 10 2 5 4 5" xfId="30156"/>
    <cellStyle name="Comma 10 2 5 5" xfId="30157"/>
    <cellStyle name="Comma 10 2 5 5 2" xfId="30158"/>
    <cellStyle name="Comma 10 2 5 5 3" xfId="30159"/>
    <cellStyle name="Comma 10 2 5 6" xfId="30160"/>
    <cellStyle name="Comma 10 2 5 6 2" xfId="30161"/>
    <cellStyle name="Comma 10 2 5 6 3" xfId="30162"/>
    <cellStyle name="Comma 10 2 5 7" xfId="30163"/>
    <cellStyle name="Comma 10 2 5 7 2" xfId="30164"/>
    <cellStyle name="Comma 10 2 5 8" xfId="30165"/>
    <cellStyle name="Comma 10 2 5 9" xfId="30166"/>
    <cellStyle name="Comma 10 2 6" xfId="3203"/>
    <cellStyle name="Comma 10 2 6 2" xfId="30167"/>
    <cellStyle name="Comma 10 2 6 2 2" xfId="30168"/>
    <cellStyle name="Comma 10 2 6 2 2 2" xfId="30169"/>
    <cellStyle name="Comma 10 2 6 2 2 3" xfId="30170"/>
    <cellStyle name="Comma 10 2 6 2 3" xfId="30171"/>
    <cellStyle name="Comma 10 2 6 2 3 2" xfId="30172"/>
    <cellStyle name="Comma 10 2 6 2 3 3" xfId="30173"/>
    <cellStyle name="Comma 10 2 6 2 4" xfId="30174"/>
    <cellStyle name="Comma 10 2 6 2 4 2" xfId="30175"/>
    <cellStyle name="Comma 10 2 6 2 5" xfId="30176"/>
    <cellStyle name="Comma 10 2 6 2 6" xfId="30177"/>
    <cellStyle name="Comma 10 2 6 3" xfId="30178"/>
    <cellStyle name="Comma 10 2 6 3 2" xfId="30179"/>
    <cellStyle name="Comma 10 2 6 3 2 2" xfId="30180"/>
    <cellStyle name="Comma 10 2 6 3 2 3" xfId="30181"/>
    <cellStyle name="Comma 10 2 6 3 3" xfId="30182"/>
    <cellStyle name="Comma 10 2 6 3 3 2" xfId="30183"/>
    <cellStyle name="Comma 10 2 6 3 3 3" xfId="30184"/>
    <cellStyle name="Comma 10 2 6 3 4" xfId="30185"/>
    <cellStyle name="Comma 10 2 6 3 4 2" xfId="30186"/>
    <cellStyle name="Comma 10 2 6 3 5" xfId="30187"/>
    <cellStyle name="Comma 10 2 6 3 6" xfId="30188"/>
    <cellStyle name="Comma 10 2 6 4" xfId="30189"/>
    <cellStyle name="Comma 10 2 6 4 2" xfId="30190"/>
    <cellStyle name="Comma 10 2 6 4 2 2" xfId="30191"/>
    <cellStyle name="Comma 10 2 6 4 2 3" xfId="30192"/>
    <cellStyle name="Comma 10 2 6 4 3" xfId="30193"/>
    <cellStyle name="Comma 10 2 6 4 3 2" xfId="30194"/>
    <cellStyle name="Comma 10 2 6 4 4" xfId="30195"/>
    <cellStyle name="Comma 10 2 6 4 5" xfId="30196"/>
    <cellStyle name="Comma 10 2 6 5" xfId="30197"/>
    <cellStyle name="Comma 10 2 6 5 2" xfId="30198"/>
    <cellStyle name="Comma 10 2 6 5 3" xfId="30199"/>
    <cellStyle name="Comma 10 2 6 6" xfId="30200"/>
    <cellStyle name="Comma 10 2 6 6 2" xfId="30201"/>
    <cellStyle name="Comma 10 2 6 6 3" xfId="30202"/>
    <cellStyle name="Comma 10 2 6 7" xfId="30203"/>
    <cellStyle name="Comma 10 2 6 7 2" xfId="30204"/>
    <cellStyle name="Comma 10 2 6 8" xfId="30205"/>
    <cellStyle name="Comma 10 2 6 9" xfId="30206"/>
    <cellStyle name="Comma 10 2 7" xfId="30207"/>
    <cellStyle name="Comma 10 2 7 2" xfId="30208"/>
    <cellStyle name="Comma 10 2 7 2 2" xfId="30209"/>
    <cellStyle name="Comma 10 2 7 2 3" xfId="30210"/>
    <cellStyle name="Comma 10 2 7 3" xfId="30211"/>
    <cellStyle name="Comma 10 2 7 3 2" xfId="30212"/>
    <cellStyle name="Comma 10 2 7 3 3" xfId="30213"/>
    <cellStyle name="Comma 10 2 7 4" xfId="30214"/>
    <cellStyle name="Comma 10 2 7 4 2" xfId="30215"/>
    <cellStyle name="Comma 10 2 7 5" xfId="30216"/>
    <cellStyle name="Comma 10 2 7 6" xfId="30217"/>
    <cellStyle name="Comma 10 2 8" xfId="30218"/>
    <cellStyle name="Comma 10 2 8 2" xfId="30219"/>
    <cellStyle name="Comma 10 2 8 2 2" xfId="30220"/>
    <cellStyle name="Comma 10 2 8 2 3" xfId="30221"/>
    <cellStyle name="Comma 10 2 8 3" xfId="30222"/>
    <cellStyle name="Comma 10 2 8 3 2" xfId="30223"/>
    <cellStyle name="Comma 10 2 8 3 3" xfId="30224"/>
    <cellStyle name="Comma 10 2 8 4" xfId="30225"/>
    <cellStyle name="Comma 10 2 8 4 2" xfId="30226"/>
    <cellStyle name="Comma 10 2 8 5" xfId="30227"/>
    <cellStyle name="Comma 10 2 8 6" xfId="30228"/>
    <cellStyle name="Comma 10 2 9" xfId="30229"/>
    <cellStyle name="Comma 10 2 9 2" xfId="30230"/>
    <cellStyle name="Comma 10 2 9 2 2" xfId="30231"/>
    <cellStyle name="Comma 10 2 9 2 3" xfId="30232"/>
    <cellStyle name="Comma 10 2 9 3" xfId="30233"/>
    <cellStyle name="Comma 10 2 9 3 2" xfId="30234"/>
    <cellStyle name="Comma 10 2 9 4" xfId="30235"/>
    <cellStyle name="Comma 10 2 9 5" xfId="30236"/>
    <cellStyle name="Comma 10 3" xfId="3204"/>
    <cellStyle name="Comma 10 3 10" xfId="30237"/>
    <cellStyle name="Comma 10 3 10 2" xfId="30238"/>
    <cellStyle name="Comma 10 3 10 3" xfId="30239"/>
    <cellStyle name="Comma 10 3 11" xfId="30240"/>
    <cellStyle name="Comma 10 3 11 2" xfId="30241"/>
    <cellStyle name="Comma 10 3 12" xfId="30242"/>
    <cellStyle name="Comma 10 3 13" xfId="30243"/>
    <cellStyle name="Comma 10 3 14" xfId="30244"/>
    <cellStyle name="Comma 10 3 2" xfId="3205"/>
    <cellStyle name="Comma 10 3 2 10" xfId="30245"/>
    <cellStyle name="Comma 10 3 2 10 2" xfId="30246"/>
    <cellStyle name="Comma 10 3 2 11" xfId="30247"/>
    <cellStyle name="Comma 10 3 2 12" xfId="30248"/>
    <cellStyle name="Comma 10 3 2 2" xfId="3206"/>
    <cellStyle name="Comma 10 3 2 2 10" xfId="30249"/>
    <cellStyle name="Comma 10 3 2 2 2" xfId="3207"/>
    <cellStyle name="Comma 10 3 2 2 2 2" xfId="3208"/>
    <cellStyle name="Comma 10 3 2 2 2 2 2" xfId="30250"/>
    <cellStyle name="Comma 10 3 2 2 2 2 2 2" xfId="30251"/>
    <cellStyle name="Comma 10 3 2 2 2 2 2 3" xfId="30252"/>
    <cellStyle name="Comma 10 3 2 2 2 2 3" xfId="30253"/>
    <cellStyle name="Comma 10 3 2 2 2 2 3 2" xfId="30254"/>
    <cellStyle name="Comma 10 3 2 2 2 2 3 3" xfId="30255"/>
    <cellStyle name="Comma 10 3 2 2 2 2 4" xfId="30256"/>
    <cellStyle name="Comma 10 3 2 2 2 2 4 2" xfId="30257"/>
    <cellStyle name="Comma 10 3 2 2 2 2 5" xfId="30258"/>
    <cellStyle name="Comma 10 3 2 2 2 2 6" xfId="30259"/>
    <cellStyle name="Comma 10 3 2 2 2 3" xfId="30260"/>
    <cellStyle name="Comma 10 3 2 2 2 3 2" xfId="30261"/>
    <cellStyle name="Comma 10 3 2 2 2 3 2 2" xfId="30262"/>
    <cellStyle name="Comma 10 3 2 2 2 3 2 3" xfId="30263"/>
    <cellStyle name="Comma 10 3 2 2 2 3 3" xfId="30264"/>
    <cellStyle name="Comma 10 3 2 2 2 3 3 2" xfId="30265"/>
    <cellStyle name="Comma 10 3 2 2 2 3 3 3" xfId="30266"/>
    <cellStyle name="Comma 10 3 2 2 2 3 4" xfId="30267"/>
    <cellStyle name="Comma 10 3 2 2 2 3 4 2" xfId="30268"/>
    <cellStyle name="Comma 10 3 2 2 2 3 5" xfId="30269"/>
    <cellStyle name="Comma 10 3 2 2 2 3 6" xfId="30270"/>
    <cellStyle name="Comma 10 3 2 2 2 4" xfId="30271"/>
    <cellStyle name="Comma 10 3 2 2 2 4 2" xfId="30272"/>
    <cellStyle name="Comma 10 3 2 2 2 4 2 2" xfId="30273"/>
    <cellStyle name="Comma 10 3 2 2 2 4 2 3" xfId="30274"/>
    <cellStyle name="Comma 10 3 2 2 2 4 3" xfId="30275"/>
    <cellStyle name="Comma 10 3 2 2 2 4 3 2" xfId="30276"/>
    <cellStyle name="Comma 10 3 2 2 2 4 4" xfId="30277"/>
    <cellStyle name="Comma 10 3 2 2 2 4 5" xfId="30278"/>
    <cellStyle name="Comma 10 3 2 2 2 5" xfId="30279"/>
    <cellStyle name="Comma 10 3 2 2 2 5 2" xfId="30280"/>
    <cellStyle name="Comma 10 3 2 2 2 5 3" xfId="30281"/>
    <cellStyle name="Comma 10 3 2 2 2 6" xfId="30282"/>
    <cellStyle name="Comma 10 3 2 2 2 6 2" xfId="30283"/>
    <cellStyle name="Comma 10 3 2 2 2 6 3" xfId="30284"/>
    <cellStyle name="Comma 10 3 2 2 2 7" xfId="30285"/>
    <cellStyle name="Comma 10 3 2 2 2 7 2" xfId="30286"/>
    <cellStyle name="Comma 10 3 2 2 2 8" xfId="30287"/>
    <cellStyle name="Comma 10 3 2 2 2 9" xfId="30288"/>
    <cellStyle name="Comma 10 3 2 2 3" xfId="3209"/>
    <cellStyle name="Comma 10 3 2 2 3 2" xfId="30289"/>
    <cellStyle name="Comma 10 3 2 2 3 2 2" xfId="30290"/>
    <cellStyle name="Comma 10 3 2 2 3 2 3" xfId="30291"/>
    <cellStyle name="Comma 10 3 2 2 3 3" xfId="30292"/>
    <cellStyle name="Comma 10 3 2 2 3 3 2" xfId="30293"/>
    <cellStyle name="Comma 10 3 2 2 3 3 3" xfId="30294"/>
    <cellStyle name="Comma 10 3 2 2 3 4" xfId="30295"/>
    <cellStyle name="Comma 10 3 2 2 3 4 2" xfId="30296"/>
    <cellStyle name="Comma 10 3 2 2 3 5" xfId="30297"/>
    <cellStyle name="Comma 10 3 2 2 3 6" xfId="30298"/>
    <cellStyle name="Comma 10 3 2 2 4" xfId="30299"/>
    <cellStyle name="Comma 10 3 2 2 4 2" xfId="30300"/>
    <cellStyle name="Comma 10 3 2 2 4 2 2" xfId="30301"/>
    <cellStyle name="Comma 10 3 2 2 4 2 3" xfId="30302"/>
    <cellStyle name="Comma 10 3 2 2 4 3" xfId="30303"/>
    <cellStyle name="Comma 10 3 2 2 4 3 2" xfId="30304"/>
    <cellStyle name="Comma 10 3 2 2 4 3 3" xfId="30305"/>
    <cellStyle name="Comma 10 3 2 2 4 4" xfId="30306"/>
    <cellStyle name="Comma 10 3 2 2 4 4 2" xfId="30307"/>
    <cellStyle name="Comma 10 3 2 2 4 5" xfId="30308"/>
    <cellStyle name="Comma 10 3 2 2 4 6" xfId="30309"/>
    <cellStyle name="Comma 10 3 2 2 5" xfId="30310"/>
    <cellStyle name="Comma 10 3 2 2 5 2" xfId="30311"/>
    <cellStyle name="Comma 10 3 2 2 5 2 2" xfId="30312"/>
    <cellStyle name="Comma 10 3 2 2 5 2 3" xfId="30313"/>
    <cellStyle name="Comma 10 3 2 2 5 3" xfId="30314"/>
    <cellStyle name="Comma 10 3 2 2 5 3 2" xfId="30315"/>
    <cellStyle name="Comma 10 3 2 2 5 4" xfId="30316"/>
    <cellStyle name="Comma 10 3 2 2 5 5" xfId="30317"/>
    <cellStyle name="Comma 10 3 2 2 6" xfId="30318"/>
    <cellStyle name="Comma 10 3 2 2 6 2" xfId="30319"/>
    <cellStyle name="Comma 10 3 2 2 6 3" xfId="30320"/>
    <cellStyle name="Comma 10 3 2 2 7" xfId="30321"/>
    <cellStyle name="Comma 10 3 2 2 7 2" xfId="30322"/>
    <cellStyle name="Comma 10 3 2 2 7 3" xfId="30323"/>
    <cellStyle name="Comma 10 3 2 2 8" xfId="30324"/>
    <cellStyle name="Comma 10 3 2 2 8 2" xfId="30325"/>
    <cellStyle name="Comma 10 3 2 2 9" xfId="30326"/>
    <cellStyle name="Comma 10 3 2 3" xfId="3210"/>
    <cellStyle name="Comma 10 3 2 3 2" xfId="3211"/>
    <cellStyle name="Comma 10 3 2 3 2 2" xfId="30327"/>
    <cellStyle name="Comma 10 3 2 3 2 2 2" xfId="30328"/>
    <cellStyle name="Comma 10 3 2 3 2 2 3" xfId="30329"/>
    <cellStyle name="Comma 10 3 2 3 2 3" xfId="30330"/>
    <cellStyle name="Comma 10 3 2 3 2 3 2" xfId="30331"/>
    <cellStyle name="Comma 10 3 2 3 2 3 3" xfId="30332"/>
    <cellStyle name="Comma 10 3 2 3 2 4" xfId="30333"/>
    <cellStyle name="Comma 10 3 2 3 2 4 2" xfId="30334"/>
    <cellStyle name="Comma 10 3 2 3 2 5" xfId="30335"/>
    <cellStyle name="Comma 10 3 2 3 2 6" xfId="30336"/>
    <cellStyle name="Comma 10 3 2 3 3" xfId="30337"/>
    <cellStyle name="Comma 10 3 2 3 3 2" xfId="30338"/>
    <cellStyle name="Comma 10 3 2 3 3 2 2" xfId="30339"/>
    <cellStyle name="Comma 10 3 2 3 3 2 3" xfId="30340"/>
    <cellStyle name="Comma 10 3 2 3 3 3" xfId="30341"/>
    <cellStyle name="Comma 10 3 2 3 3 3 2" xfId="30342"/>
    <cellStyle name="Comma 10 3 2 3 3 3 3" xfId="30343"/>
    <cellStyle name="Comma 10 3 2 3 3 4" xfId="30344"/>
    <cellStyle name="Comma 10 3 2 3 3 4 2" xfId="30345"/>
    <cellStyle name="Comma 10 3 2 3 3 5" xfId="30346"/>
    <cellStyle name="Comma 10 3 2 3 3 6" xfId="30347"/>
    <cellStyle name="Comma 10 3 2 3 4" xfId="30348"/>
    <cellStyle name="Comma 10 3 2 3 4 2" xfId="30349"/>
    <cellStyle name="Comma 10 3 2 3 4 2 2" xfId="30350"/>
    <cellStyle name="Comma 10 3 2 3 4 2 3" xfId="30351"/>
    <cellStyle name="Comma 10 3 2 3 4 3" xfId="30352"/>
    <cellStyle name="Comma 10 3 2 3 4 3 2" xfId="30353"/>
    <cellStyle name="Comma 10 3 2 3 4 4" xfId="30354"/>
    <cellStyle name="Comma 10 3 2 3 4 5" xfId="30355"/>
    <cellStyle name="Comma 10 3 2 3 5" xfId="30356"/>
    <cellStyle name="Comma 10 3 2 3 5 2" xfId="30357"/>
    <cellStyle name="Comma 10 3 2 3 5 3" xfId="30358"/>
    <cellStyle name="Comma 10 3 2 3 6" xfId="30359"/>
    <cellStyle name="Comma 10 3 2 3 6 2" xfId="30360"/>
    <cellStyle name="Comma 10 3 2 3 6 3" xfId="30361"/>
    <cellStyle name="Comma 10 3 2 3 7" xfId="30362"/>
    <cellStyle name="Comma 10 3 2 3 7 2" xfId="30363"/>
    <cellStyle name="Comma 10 3 2 3 8" xfId="30364"/>
    <cellStyle name="Comma 10 3 2 3 9" xfId="30365"/>
    <cellStyle name="Comma 10 3 2 4" xfId="3212"/>
    <cellStyle name="Comma 10 3 2 4 2" xfId="30366"/>
    <cellStyle name="Comma 10 3 2 4 2 2" xfId="30367"/>
    <cellStyle name="Comma 10 3 2 4 2 2 2" xfId="30368"/>
    <cellStyle name="Comma 10 3 2 4 2 2 3" xfId="30369"/>
    <cellStyle name="Comma 10 3 2 4 2 3" xfId="30370"/>
    <cellStyle name="Comma 10 3 2 4 2 3 2" xfId="30371"/>
    <cellStyle name="Comma 10 3 2 4 2 3 3" xfId="30372"/>
    <cellStyle name="Comma 10 3 2 4 2 4" xfId="30373"/>
    <cellStyle name="Comma 10 3 2 4 2 4 2" xfId="30374"/>
    <cellStyle name="Comma 10 3 2 4 2 5" xfId="30375"/>
    <cellStyle name="Comma 10 3 2 4 2 6" xfId="30376"/>
    <cellStyle name="Comma 10 3 2 4 3" xfId="30377"/>
    <cellStyle name="Comma 10 3 2 4 3 2" xfId="30378"/>
    <cellStyle name="Comma 10 3 2 4 3 2 2" xfId="30379"/>
    <cellStyle name="Comma 10 3 2 4 3 2 3" xfId="30380"/>
    <cellStyle name="Comma 10 3 2 4 3 3" xfId="30381"/>
    <cellStyle name="Comma 10 3 2 4 3 3 2" xfId="30382"/>
    <cellStyle name="Comma 10 3 2 4 3 3 3" xfId="30383"/>
    <cellStyle name="Comma 10 3 2 4 3 4" xfId="30384"/>
    <cellStyle name="Comma 10 3 2 4 3 4 2" xfId="30385"/>
    <cellStyle name="Comma 10 3 2 4 3 5" xfId="30386"/>
    <cellStyle name="Comma 10 3 2 4 3 6" xfId="30387"/>
    <cellStyle name="Comma 10 3 2 4 4" xfId="30388"/>
    <cellStyle name="Comma 10 3 2 4 4 2" xfId="30389"/>
    <cellStyle name="Comma 10 3 2 4 4 2 2" xfId="30390"/>
    <cellStyle name="Comma 10 3 2 4 4 2 3" xfId="30391"/>
    <cellStyle name="Comma 10 3 2 4 4 3" xfId="30392"/>
    <cellStyle name="Comma 10 3 2 4 4 3 2" xfId="30393"/>
    <cellStyle name="Comma 10 3 2 4 4 4" xfId="30394"/>
    <cellStyle name="Comma 10 3 2 4 4 5" xfId="30395"/>
    <cellStyle name="Comma 10 3 2 4 5" xfId="30396"/>
    <cellStyle name="Comma 10 3 2 4 5 2" xfId="30397"/>
    <cellStyle name="Comma 10 3 2 4 5 3" xfId="30398"/>
    <cellStyle name="Comma 10 3 2 4 6" xfId="30399"/>
    <cellStyle name="Comma 10 3 2 4 6 2" xfId="30400"/>
    <cellStyle name="Comma 10 3 2 4 6 3" xfId="30401"/>
    <cellStyle name="Comma 10 3 2 4 7" xfId="30402"/>
    <cellStyle name="Comma 10 3 2 4 7 2" xfId="30403"/>
    <cellStyle name="Comma 10 3 2 4 8" xfId="30404"/>
    <cellStyle name="Comma 10 3 2 4 9" xfId="30405"/>
    <cellStyle name="Comma 10 3 2 5" xfId="30406"/>
    <cellStyle name="Comma 10 3 2 5 2" xfId="30407"/>
    <cellStyle name="Comma 10 3 2 5 2 2" xfId="30408"/>
    <cellStyle name="Comma 10 3 2 5 2 3" xfId="30409"/>
    <cellStyle name="Comma 10 3 2 5 3" xfId="30410"/>
    <cellStyle name="Comma 10 3 2 5 3 2" xfId="30411"/>
    <cellStyle name="Comma 10 3 2 5 3 3" xfId="30412"/>
    <cellStyle name="Comma 10 3 2 5 4" xfId="30413"/>
    <cellStyle name="Comma 10 3 2 5 4 2" xfId="30414"/>
    <cellStyle name="Comma 10 3 2 5 5" xfId="30415"/>
    <cellStyle name="Comma 10 3 2 5 6" xfId="30416"/>
    <cellStyle name="Comma 10 3 2 6" xfId="30417"/>
    <cellStyle name="Comma 10 3 2 6 2" xfId="30418"/>
    <cellStyle name="Comma 10 3 2 6 2 2" xfId="30419"/>
    <cellStyle name="Comma 10 3 2 6 2 3" xfId="30420"/>
    <cellStyle name="Comma 10 3 2 6 3" xfId="30421"/>
    <cellStyle name="Comma 10 3 2 6 3 2" xfId="30422"/>
    <cellStyle name="Comma 10 3 2 6 3 3" xfId="30423"/>
    <cellStyle name="Comma 10 3 2 6 4" xfId="30424"/>
    <cellStyle name="Comma 10 3 2 6 4 2" xfId="30425"/>
    <cellStyle name="Comma 10 3 2 6 5" xfId="30426"/>
    <cellStyle name="Comma 10 3 2 6 6" xfId="30427"/>
    <cellStyle name="Comma 10 3 2 7" xfId="30428"/>
    <cellStyle name="Comma 10 3 2 7 2" xfId="30429"/>
    <cellStyle name="Comma 10 3 2 7 2 2" xfId="30430"/>
    <cellStyle name="Comma 10 3 2 7 2 3" xfId="30431"/>
    <cellStyle name="Comma 10 3 2 7 3" xfId="30432"/>
    <cellStyle name="Comma 10 3 2 7 3 2" xfId="30433"/>
    <cellStyle name="Comma 10 3 2 7 4" xfId="30434"/>
    <cellStyle name="Comma 10 3 2 7 5" xfId="30435"/>
    <cellStyle name="Comma 10 3 2 8" xfId="30436"/>
    <cellStyle name="Comma 10 3 2 8 2" xfId="30437"/>
    <cellStyle name="Comma 10 3 2 8 3" xfId="30438"/>
    <cellStyle name="Comma 10 3 2 9" xfId="30439"/>
    <cellStyle name="Comma 10 3 2 9 2" xfId="30440"/>
    <cellStyle name="Comma 10 3 2 9 3" xfId="30441"/>
    <cellStyle name="Comma 10 3 3" xfId="3213"/>
    <cellStyle name="Comma 10 3 3 10" xfId="30442"/>
    <cellStyle name="Comma 10 3 3 2" xfId="3214"/>
    <cellStyle name="Comma 10 3 3 2 2" xfId="3215"/>
    <cellStyle name="Comma 10 3 3 2 2 2" xfId="30443"/>
    <cellStyle name="Comma 10 3 3 2 2 2 2" xfId="30444"/>
    <cellStyle name="Comma 10 3 3 2 2 2 3" xfId="30445"/>
    <cellStyle name="Comma 10 3 3 2 2 3" xfId="30446"/>
    <cellStyle name="Comma 10 3 3 2 2 3 2" xfId="30447"/>
    <cellStyle name="Comma 10 3 3 2 2 3 3" xfId="30448"/>
    <cellStyle name="Comma 10 3 3 2 2 4" xfId="30449"/>
    <cellStyle name="Comma 10 3 3 2 2 4 2" xfId="30450"/>
    <cellStyle name="Comma 10 3 3 2 2 5" xfId="30451"/>
    <cellStyle name="Comma 10 3 3 2 2 6" xfId="30452"/>
    <cellStyle name="Comma 10 3 3 2 3" xfId="30453"/>
    <cellStyle name="Comma 10 3 3 2 3 2" xfId="30454"/>
    <cellStyle name="Comma 10 3 3 2 3 2 2" xfId="30455"/>
    <cellStyle name="Comma 10 3 3 2 3 2 3" xfId="30456"/>
    <cellStyle name="Comma 10 3 3 2 3 3" xfId="30457"/>
    <cellStyle name="Comma 10 3 3 2 3 3 2" xfId="30458"/>
    <cellStyle name="Comma 10 3 3 2 3 3 3" xfId="30459"/>
    <cellStyle name="Comma 10 3 3 2 3 4" xfId="30460"/>
    <cellStyle name="Comma 10 3 3 2 3 4 2" xfId="30461"/>
    <cellStyle name="Comma 10 3 3 2 3 5" xfId="30462"/>
    <cellStyle name="Comma 10 3 3 2 3 6" xfId="30463"/>
    <cellStyle name="Comma 10 3 3 2 4" xfId="30464"/>
    <cellStyle name="Comma 10 3 3 2 4 2" xfId="30465"/>
    <cellStyle name="Comma 10 3 3 2 4 2 2" xfId="30466"/>
    <cellStyle name="Comma 10 3 3 2 4 2 3" xfId="30467"/>
    <cellStyle name="Comma 10 3 3 2 4 3" xfId="30468"/>
    <cellStyle name="Comma 10 3 3 2 4 3 2" xfId="30469"/>
    <cellStyle name="Comma 10 3 3 2 4 4" xfId="30470"/>
    <cellStyle name="Comma 10 3 3 2 4 5" xfId="30471"/>
    <cellStyle name="Comma 10 3 3 2 5" xfId="30472"/>
    <cellStyle name="Comma 10 3 3 2 5 2" xfId="30473"/>
    <cellStyle name="Comma 10 3 3 2 5 3" xfId="30474"/>
    <cellStyle name="Comma 10 3 3 2 6" xfId="30475"/>
    <cellStyle name="Comma 10 3 3 2 6 2" xfId="30476"/>
    <cellStyle name="Comma 10 3 3 2 6 3" xfId="30477"/>
    <cellStyle name="Comma 10 3 3 2 7" xfId="30478"/>
    <cellStyle name="Comma 10 3 3 2 7 2" xfId="30479"/>
    <cellStyle name="Comma 10 3 3 2 8" xfId="30480"/>
    <cellStyle name="Comma 10 3 3 2 9" xfId="30481"/>
    <cellStyle name="Comma 10 3 3 3" xfId="3216"/>
    <cellStyle name="Comma 10 3 3 3 2" xfId="30482"/>
    <cellStyle name="Comma 10 3 3 3 2 2" xfId="30483"/>
    <cellStyle name="Comma 10 3 3 3 2 3" xfId="30484"/>
    <cellStyle name="Comma 10 3 3 3 3" xfId="30485"/>
    <cellStyle name="Comma 10 3 3 3 3 2" xfId="30486"/>
    <cellStyle name="Comma 10 3 3 3 3 3" xfId="30487"/>
    <cellStyle name="Comma 10 3 3 3 4" xfId="30488"/>
    <cellStyle name="Comma 10 3 3 3 4 2" xfId="30489"/>
    <cellStyle name="Comma 10 3 3 3 5" xfId="30490"/>
    <cellStyle name="Comma 10 3 3 3 6" xfId="30491"/>
    <cellStyle name="Comma 10 3 3 4" xfId="30492"/>
    <cellStyle name="Comma 10 3 3 4 2" xfId="30493"/>
    <cellStyle name="Comma 10 3 3 4 2 2" xfId="30494"/>
    <cellStyle name="Comma 10 3 3 4 2 3" xfId="30495"/>
    <cellStyle name="Comma 10 3 3 4 3" xfId="30496"/>
    <cellStyle name="Comma 10 3 3 4 3 2" xfId="30497"/>
    <cellStyle name="Comma 10 3 3 4 3 3" xfId="30498"/>
    <cellStyle name="Comma 10 3 3 4 4" xfId="30499"/>
    <cellStyle name="Comma 10 3 3 4 4 2" xfId="30500"/>
    <cellStyle name="Comma 10 3 3 4 5" xfId="30501"/>
    <cellStyle name="Comma 10 3 3 4 6" xfId="30502"/>
    <cellStyle name="Comma 10 3 3 5" xfId="30503"/>
    <cellStyle name="Comma 10 3 3 5 2" xfId="30504"/>
    <cellStyle name="Comma 10 3 3 5 2 2" xfId="30505"/>
    <cellStyle name="Comma 10 3 3 5 2 3" xfId="30506"/>
    <cellStyle name="Comma 10 3 3 5 3" xfId="30507"/>
    <cellStyle name="Comma 10 3 3 5 3 2" xfId="30508"/>
    <cellStyle name="Comma 10 3 3 5 4" xfId="30509"/>
    <cellStyle name="Comma 10 3 3 5 5" xfId="30510"/>
    <cellStyle name="Comma 10 3 3 6" xfId="30511"/>
    <cellStyle name="Comma 10 3 3 6 2" xfId="30512"/>
    <cellStyle name="Comma 10 3 3 6 3" xfId="30513"/>
    <cellStyle name="Comma 10 3 3 7" xfId="30514"/>
    <cellStyle name="Comma 10 3 3 7 2" xfId="30515"/>
    <cellStyle name="Comma 10 3 3 7 3" xfId="30516"/>
    <cellStyle name="Comma 10 3 3 8" xfId="30517"/>
    <cellStyle name="Comma 10 3 3 8 2" xfId="30518"/>
    <cellStyle name="Comma 10 3 3 9" xfId="30519"/>
    <cellStyle name="Comma 10 3 4" xfId="3217"/>
    <cellStyle name="Comma 10 3 4 2" xfId="3218"/>
    <cellStyle name="Comma 10 3 4 2 2" xfId="30520"/>
    <cellStyle name="Comma 10 3 4 2 2 2" xfId="30521"/>
    <cellStyle name="Comma 10 3 4 2 2 3" xfId="30522"/>
    <cellStyle name="Comma 10 3 4 2 3" xfId="30523"/>
    <cellStyle name="Comma 10 3 4 2 3 2" xfId="30524"/>
    <cellStyle name="Comma 10 3 4 2 3 3" xfId="30525"/>
    <cellStyle name="Comma 10 3 4 2 4" xfId="30526"/>
    <cellStyle name="Comma 10 3 4 2 4 2" xfId="30527"/>
    <cellStyle name="Comma 10 3 4 2 5" xfId="30528"/>
    <cellStyle name="Comma 10 3 4 2 6" xfId="30529"/>
    <cellStyle name="Comma 10 3 4 3" xfId="30530"/>
    <cellStyle name="Comma 10 3 4 3 2" xfId="30531"/>
    <cellStyle name="Comma 10 3 4 3 2 2" xfId="30532"/>
    <cellStyle name="Comma 10 3 4 3 2 3" xfId="30533"/>
    <cellStyle name="Comma 10 3 4 3 3" xfId="30534"/>
    <cellStyle name="Comma 10 3 4 3 3 2" xfId="30535"/>
    <cellStyle name="Comma 10 3 4 3 3 3" xfId="30536"/>
    <cellStyle name="Comma 10 3 4 3 4" xfId="30537"/>
    <cellStyle name="Comma 10 3 4 3 4 2" xfId="30538"/>
    <cellStyle name="Comma 10 3 4 3 5" xfId="30539"/>
    <cellStyle name="Comma 10 3 4 3 6" xfId="30540"/>
    <cellStyle name="Comma 10 3 4 4" xfId="30541"/>
    <cellStyle name="Comma 10 3 4 4 2" xfId="30542"/>
    <cellStyle name="Comma 10 3 4 4 2 2" xfId="30543"/>
    <cellStyle name="Comma 10 3 4 4 2 3" xfId="30544"/>
    <cellStyle name="Comma 10 3 4 4 3" xfId="30545"/>
    <cellStyle name="Comma 10 3 4 4 3 2" xfId="30546"/>
    <cellStyle name="Comma 10 3 4 4 4" xfId="30547"/>
    <cellStyle name="Comma 10 3 4 4 5" xfId="30548"/>
    <cellStyle name="Comma 10 3 4 5" xfId="30549"/>
    <cellStyle name="Comma 10 3 4 5 2" xfId="30550"/>
    <cellStyle name="Comma 10 3 4 5 3" xfId="30551"/>
    <cellStyle name="Comma 10 3 4 6" xfId="30552"/>
    <cellStyle name="Comma 10 3 4 6 2" xfId="30553"/>
    <cellStyle name="Comma 10 3 4 6 3" xfId="30554"/>
    <cellStyle name="Comma 10 3 4 7" xfId="30555"/>
    <cellStyle name="Comma 10 3 4 7 2" xfId="30556"/>
    <cellStyle name="Comma 10 3 4 8" xfId="30557"/>
    <cellStyle name="Comma 10 3 4 9" xfId="30558"/>
    <cellStyle name="Comma 10 3 5" xfId="3219"/>
    <cellStyle name="Comma 10 3 5 2" xfId="30559"/>
    <cellStyle name="Comma 10 3 5 2 2" xfId="30560"/>
    <cellStyle name="Comma 10 3 5 2 2 2" xfId="30561"/>
    <cellStyle name="Comma 10 3 5 2 2 3" xfId="30562"/>
    <cellStyle name="Comma 10 3 5 2 3" xfId="30563"/>
    <cellStyle name="Comma 10 3 5 2 3 2" xfId="30564"/>
    <cellStyle name="Comma 10 3 5 2 3 3" xfId="30565"/>
    <cellStyle name="Comma 10 3 5 2 4" xfId="30566"/>
    <cellStyle name="Comma 10 3 5 2 4 2" xfId="30567"/>
    <cellStyle name="Comma 10 3 5 2 5" xfId="30568"/>
    <cellStyle name="Comma 10 3 5 2 6" xfId="30569"/>
    <cellStyle name="Comma 10 3 5 3" xfId="30570"/>
    <cellStyle name="Comma 10 3 5 3 2" xfId="30571"/>
    <cellStyle name="Comma 10 3 5 3 2 2" xfId="30572"/>
    <cellStyle name="Comma 10 3 5 3 2 3" xfId="30573"/>
    <cellStyle name="Comma 10 3 5 3 3" xfId="30574"/>
    <cellStyle name="Comma 10 3 5 3 3 2" xfId="30575"/>
    <cellStyle name="Comma 10 3 5 3 3 3" xfId="30576"/>
    <cellStyle name="Comma 10 3 5 3 4" xfId="30577"/>
    <cellStyle name="Comma 10 3 5 3 4 2" xfId="30578"/>
    <cellStyle name="Comma 10 3 5 3 5" xfId="30579"/>
    <cellStyle name="Comma 10 3 5 3 6" xfId="30580"/>
    <cellStyle name="Comma 10 3 5 4" xfId="30581"/>
    <cellStyle name="Comma 10 3 5 4 2" xfId="30582"/>
    <cellStyle name="Comma 10 3 5 4 2 2" xfId="30583"/>
    <cellStyle name="Comma 10 3 5 4 2 3" xfId="30584"/>
    <cellStyle name="Comma 10 3 5 4 3" xfId="30585"/>
    <cellStyle name="Comma 10 3 5 4 3 2" xfId="30586"/>
    <cellStyle name="Comma 10 3 5 4 4" xfId="30587"/>
    <cellStyle name="Comma 10 3 5 4 5" xfId="30588"/>
    <cellStyle name="Comma 10 3 5 5" xfId="30589"/>
    <cellStyle name="Comma 10 3 5 5 2" xfId="30590"/>
    <cellStyle name="Comma 10 3 5 5 3" xfId="30591"/>
    <cellStyle name="Comma 10 3 5 6" xfId="30592"/>
    <cellStyle name="Comma 10 3 5 6 2" xfId="30593"/>
    <cellStyle name="Comma 10 3 5 6 3" xfId="30594"/>
    <cellStyle name="Comma 10 3 5 7" xfId="30595"/>
    <cellStyle name="Comma 10 3 5 7 2" xfId="30596"/>
    <cellStyle name="Comma 10 3 5 8" xfId="30597"/>
    <cellStyle name="Comma 10 3 5 9" xfId="30598"/>
    <cellStyle name="Comma 10 3 6" xfId="30599"/>
    <cellStyle name="Comma 10 3 6 2" xfId="30600"/>
    <cellStyle name="Comma 10 3 6 2 2" xfId="30601"/>
    <cellStyle name="Comma 10 3 6 2 3" xfId="30602"/>
    <cellStyle name="Comma 10 3 6 3" xfId="30603"/>
    <cellStyle name="Comma 10 3 6 3 2" xfId="30604"/>
    <cellStyle name="Comma 10 3 6 3 3" xfId="30605"/>
    <cellStyle name="Comma 10 3 6 4" xfId="30606"/>
    <cellStyle name="Comma 10 3 6 4 2" xfId="30607"/>
    <cellStyle name="Comma 10 3 6 5" xfId="30608"/>
    <cellStyle name="Comma 10 3 6 6" xfId="30609"/>
    <cellStyle name="Comma 10 3 7" xfId="30610"/>
    <cellStyle name="Comma 10 3 7 2" xfId="30611"/>
    <cellStyle name="Comma 10 3 7 2 2" xfId="30612"/>
    <cellStyle name="Comma 10 3 7 2 3" xfId="30613"/>
    <cellStyle name="Comma 10 3 7 3" xfId="30614"/>
    <cellStyle name="Comma 10 3 7 3 2" xfId="30615"/>
    <cellStyle name="Comma 10 3 7 3 3" xfId="30616"/>
    <cellStyle name="Comma 10 3 7 4" xfId="30617"/>
    <cellStyle name="Comma 10 3 7 4 2" xfId="30618"/>
    <cellStyle name="Comma 10 3 7 5" xfId="30619"/>
    <cellStyle name="Comma 10 3 7 6" xfId="30620"/>
    <cellStyle name="Comma 10 3 8" xfId="30621"/>
    <cellStyle name="Comma 10 3 8 2" xfId="30622"/>
    <cellStyle name="Comma 10 3 8 2 2" xfId="30623"/>
    <cellStyle name="Comma 10 3 8 2 3" xfId="30624"/>
    <cellStyle name="Comma 10 3 8 3" xfId="30625"/>
    <cellStyle name="Comma 10 3 8 3 2" xfId="30626"/>
    <cellStyle name="Comma 10 3 8 4" xfId="30627"/>
    <cellStyle name="Comma 10 3 8 5" xfId="30628"/>
    <cellStyle name="Comma 10 3 9" xfId="30629"/>
    <cellStyle name="Comma 10 3 9 2" xfId="30630"/>
    <cellStyle name="Comma 10 3 9 3" xfId="30631"/>
    <cellStyle name="Comma 10 4" xfId="3220"/>
    <cellStyle name="Comma 10 4 10" xfId="30632"/>
    <cellStyle name="Comma 10 4 10 2" xfId="30633"/>
    <cellStyle name="Comma 10 4 11" xfId="30634"/>
    <cellStyle name="Comma 10 4 12" xfId="30635"/>
    <cellStyle name="Comma 10 4 2" xfId="3221"/>
    <cellStyle name="Comma 10 4 2 10" xfId="30636"/>
    <cellStyle name="Comma 10 4 2 2" xfId="3222"/>
    <cellStyle name="Comma 10 4 2 2 2" xfId="3223"/>
    <cellStyle name="Comma 10 4 2 2 2 2" xfId="30637"/>
    <cellStyle name="Comma 10 4 2 2 2 2 2" xfId="30638"/>
    <cellStyle name="Comma 10 4 2 2 2 2 3" xfId="30639"/>
    <cellStyle name="Comma 10 4 2 2 2 3" xfId="30640"/>
    <cellStyle name="Comma 10 4 2 2 2 3 2" xfId="30641"/>
    <cellStyle name="Comma 10 4 2 2 2 3 3" xfId="30642"/>
    <cellStyle name="Comma 10 4 2 2 2 4" xfId="30643"/>
    <cellStyle name="Comma 10 4 2 2 2 4 2" xfId="30644"/>
    <cellStyle name="Comma 10 4 2 2 2 5" xfId="30645"/>
    <cellStyle name="Comma 10 4 2 2 2 6" xfId="30646"/>
    <cellStyle name="Comma 10 4 2 2 3" xfId="30647"/>
    <cellStyle name="Comma 10 4 2 2 3 2" xfId="30648"/>
    <cellStyle name="Comma 10 4 2 2 3 2 2" xfId="30649"/>
    <cellStyle name="Comma 10 4 2 2 3 2 3" xfId="30650"/>
    <cellStyle name="Comma 10 4 2 2 3 3" xfId="30651"/>
    <cellStyle name="Comma 10 4 2 2 3 3 2" xfId="30652"/>
    <cellStyle name="Comma 10 4 2 2 3 3 3" xfId="30653"/>
    <cellStyle name="Comma 10 4 2 2 3 4" xfId="30654"/>
    <cellStyle name="Comma 10 4 2 2 3 4 2" xfId="30655"/>
    <cellStyle name="Comma 10 4 2 2 3 5" xfId="30656"/>
    <cellStyle name="Comma 10 4 2 2 3 6" xfId="30657"/>
    <cellStyle name="Comma 10 4 2 2 4" xfId="30658"/>
    <cellStyle name="Comma 10 4 2 2 4 2" xfId="30659"/>
    <cellStyle name="Comma 10 4 2 2 4 2 2" xfId="30660"/>
    <cellStyle name="Comma 10 4 2 2 4 2 3" xfId="30661"/>
    <cellStyle name="Comma 10 4 2 2 4 3" xfId="30662"/>
    <cellStyle name="Comma 10 4 2 2 4 3 2" xfId="30663"/>
    <cellStyle name="Comma 10 4 2 2 4 4" xfId="30664"/>
    <cellStyle name="Comma 10 4 2 2 4 5" xfId="30665"/>
    <cellStyle name="Comma 10 4 2 2 5" xfId="30666"/>
    <cellStyle name="Comma 10 4 2 2 5 2" xfId="30667"/>
    <cellStyle name="Comma 10 4 2 2 5 3" xfId="30668"/>
    <cellStyle name="Comma 10 4 2 2 6" xfId="30669"/>
    <cellStyle name="Comma 10 4 2 2 6 2" xfId="30670"/>
    <cellStyle name="Comma 10 4 2 2 6 3" xfId="30671"/>
    <cellStyle name="Comma 10 4 2 2 7" xfId="30672"/>
    <cellStyle name="Comma 10 4 2 2 7 2" xfId="30673"/>
    <cellStyle name="Comma 10 4 2 2 8" xfId="30674"/>
    <cellStyle name="Comma 10 4 2 2 9" xfId="30675"/>
    <cellStyle name="Comma 10 4 2 3" xfId="3224"/>
    <cellStyle name="Comma 10 4 2 3 2" xfId="30676"/>
    <cellStyle name="Comma 10 4 2 3 2 2" xfId="30677"/>
    <cellStyle name="Comma 10 4 2 3 2 3" xfId="30678"/>
    <cellStyle name="Comma 10 4 2 3 3" xfId="30679"/>
    <cellStyle name="Comma 10 4 2 3 3 2" xfId="30680"/>
    <cellStyle name="Comma 10 4 2 3 3 3" xfId="30681"/>
    <cellStyle name="Comma 10 4 2 3 4" xfId="30682"/>
    <cellStyle name="Comma 10 4 2 3 4 2" xfId="30683"/>
    <cellStyle name="Comma 10 4 2 3 5" xfId="30684"/>
    <cellStyle name="Comma 10 4 2 3 6" xfId="30685"/>
    <cellStyle name="Comma 10 4 2 4" xfId="30686"/>
    <cellStyle name="Comma 10 4 2 4 2" xfId="30687"/>
    <cellStyle name="Comma 10 4 2 4 2 2" xfId="30688"/>
    <cellStyle name="Comma 10 4 2 4 2 3" xfId="30689"/>
    <cellStyle name="Comma 10 4 2 4 3" xfId="30690"/>
    <cellStyle name="Comma 10 4 2 4 3 2" xfId="30691"/>
    <cellStyle name="Comma 10 4 2 4 3 3" xfId="30692"/>
    <cellStyle name="Comma 10 4 2 4 4" xfId="30693"/>
    <cellStyle name="Comma 10 4 2 4 4 2" xfId="30694"/>
    <cellStyle name="Comma 10 4 2 4 5" xfId="30695"/>
    <cellStyle name="Comma 10 4 2 4 6" xfId="30696"/>
    <cellStyle name="Comma 10 4 2 5" xfId="30697"/>
    <cellStyle name="Comma 10 4 2 5 2" xfId="30698"/>
    <cellStyle name="Comma 10 4 2 5 2 2" xfId="30699"/>
    <cellStyle name="Comma 10 4 2 5 2 3" xfId="30700"/>
    <cellStyle name="Comma 10 4 2 5 3" xfId="30701"/>
    <cellStyle name="Comma 10 4 2 5 3 2" xfId="30702"/>
    <cellStyle name="Comma 10 4 2 5 4" xfId="30703"/>
    <cellStyle name="Comma 10 4 2 5 5" xfId="30704"/>
    <cellStyle name="Comma 10 4 2 6" xfId="30705"/>
    <cellStyle name="Comma 10 4 2 6 2" xfId="30706"/>
    <cellStyle name="Comma 10 4 2 6 3" xfId="30707"/>
    <cellStyle name="Comma 10 4 2 7" xfId="30708"/>
    <cellStyle name="Comma 10 4 2 7 2" xfId="30709"/>
    <cellStyle name="Comma 10 4 2 7 3" xfId="30710"/>
    <cellStyle name="Comma 10 4 2 8" xfId="30711"/>
    <cellStyle name="Comma 10 4 2 8 2" xfId="30712"/>
    <cellStyle name="Comma 10 4 2 9" xfId="30713"/>
    <cellStyle name="Comma 10 4 3" xfId="3225"/>
    <cellStyle name="Comma 10 4 3 2" xfId="3226"/>
    <cellStyle name="Comma 10 4 3 2 2" xfId="30714"/>
    <cellStyle name="Comma 10 4 3 2 2 2" xfId="30715"/>
    <cellStyle name="Comma 10 4 3 2 2 3" xfId="30716"/>
    <cellStyle name="Comma 10 4 3 2 3" xfId="30717"/>
    <cellStyle name="Comma 10 4 3 2 3 2" xfId="30718"/>
    <cellStyle name="Comma 10 4 3 2 3 3" xfId="30719"/>
    <cellStyle name="Comma 10 4 3 2 4" xfId="30720"/>
    <cellStyle name="Comma 10 4 3 2 4 2" xfId="30721"/>
    <cellStyle name="Comma 10 4 3 2 5" xfId="30722"/>
    <cellStyle name="Comma 10 4 3 2 6" xfId="30723"/>
    <cellStyle name="Comma 10 4 3 3" xfId="30724"/>
    <cellStyle name="Comma 10 4 3 3 2" xfId="30725"/>
    <cellStyle name="Comma 10 4 3 3 2 2" xfId="30726"/>
    <cellStyle name="Comma 10 4 3 3 2 3" xfId="30727"/>
    <cellStyle name="Comma 10 4 3 3 3" xfId="30728"/>
    <cellStyle name="Comma 10 4 3 3 3 2" xfId="30729"/>
    <cellStyle name="Comma 10 4 3 3 3 3" xfId="30730"/>
    <cellStyle name="Comma 10 4 3 3 4" xfId="30731"/>
    <cellStyle name="Comma 10 4 3 3 4 2" xfId="30732"/>
    <cellStyle name="Comma 10 4 3 3 5" xfId="30733"/>
    <cellStyle name="Comma 10 4 3 3 6" xfId="30734"/>
    <cellStyle name="Comma 10 4 3 4" xfId="30735"/>
    <cellStyle name="Comma 10 4 3 4 2" xfId="30736"/>
    <cellStyle name="Comma 10 4 3 4 2 2" xfId="30737"/>
    <cellStyle name="Comma 10 4 3 4 2 3" xfId="30738"/>
    <cellStyle name="Comma 10 4 3 4 3" xfId="30739"/>
    <cellStyle name="Comma 10 4 3 4 3 2" xfId="30740"/>
    <cellStyle name="Comma 10 4 3 4 4" xfId="30741"/>
    <cellStyle name="Comma 10 4 3 4 5" xfId="30742"/>
    <cellStyle name="Comma 10 4 3 5" xfId="30743"/>
    <cellStyle name="Comma 10 4 3 5 2" xfId="30744"/>
    <cellStyle name="Comma 10 4 3 5 3" xfId="30745"/>
    <cellStyle name="Comma 10 4 3 6" xfId="30746"/>
    <cellStyle name="Comma 10 4 3 6 2" xfId="30747"/>
    <cellStyle name="Comma 10 4 3 6 3" xfId="30748"/>
    <cellStyle name="Comma 10 4 3 7" xfId="30749"/>
    <cellStyle name="Comma 10 4 3 7 2" xfId="30750"/>
    <cellStyle name="Comma 10 4 3 8" xfId="30751"/>
    <cellStyle name="Comma 10 4 3 9" xfId="30752"/>
    <cellStyle name="Comma 10 4 4" xfId="3227"/>
    <cellStyle name="Comma 10 4 4 2" xfId="30753"/>
    <cellStyle name="Comma 10 4 4 2 2" xfId="30754"/>
    <cellStyle name="Comma 10 4 4 2 2 2" xfId="30755"/>
    <cellStyle name="Comma 10 4 4 2 2 3" xfId="30756"/>
    <cellStyle name="Comma 10 4 4 2 3" xfId="30757"/>
    <cellStyle name="Comma 10 4 4 2 3 2" xfId="30758"/>
    <cellStyle name="Comma 10 4 4 2 3 3" xfId="30759"/>
    <cellStyle name="Comma 10 4 4 2 4" xfId="30760"/>
    <cellStyle name="Comma 10 4 4 2 4 2" xfId="30761"/>
    <cellStyle name="Comma 10 4 4 2 5" xfId="30762"/>
    <cellStyle name="Comma 10 4 4 2 6" xfId="30763"/>
    <cellStyle name="Comma 10 4 4 3" xfId="30764"/>
    <cellStyle name="Comma 10 4 4 3 2" xfId="30765"/>
    <cellStyle name="Comma 10 4 4 3 2 2" xfId="30766"/>
    <cellStyle name="Comma 10 4 4 3 2 3" xfId="30767"/>
    <cellStyle name="Comma 10 4 4 3 3" xfId="30768"/>
    <cellStyle name="Comma 10 4 4 3 3 2" xfId="30769"/>
    <cellStyle name="Comma 10 4 4 3 3 3" xfId="30770"/>
    <cellStyle name="Comma 10 4 4 3 4" xfId="30771"/>
    <cellStyle name="Comma 10 4 4 3 4 2" xfId="30772"/>
    <cellStyle name="Comma 10 4 4 3 5" xfId="30773"/>
    <cellStyle name="Comma 10 4 4 3 6" xfId="30774"/>
    <cellStyle name="Comma 10 4 4 4" xfId="30775"/>
    <cellStyle name="Comma 10 4 4 4 2" xfId="30776"/>
    <cellStyle name="Comma 10 4 4 4 2 2" xfId="30777"/>
    <cellStyle name="Comma 10 4 4 4 2 3" xfId="30778"/>
    <cellStyle name="Comma 10 4 4 4 3" xfId="30779"/>
    <cellStyle name="Comma 10 4 4 4 3 2" xfId="30780"/>
    <cellStyle name="Comma 10 4 4 4 4" xfId="30781"/>
    <cellStyle name="Comma 10 4 4 4 5" xfId="30782"/>
    <cellStyle name="Comma 10 4 4 5" xfId="30783"/>
    <cellStyle name="Comma 10 4 4 5 2" xfId="30784"/>
    <cellStyle name="Comma 10 4 4 5 3" xfId="30785"/>
    <cellStyle name="Comma 10 4 4 6" xfId="30786"/>
    <cellStyle name="Comma 10 4 4 6 2" xfId="30787"/>
    <cellStyle name="Comma 10 4 4 6 3" xfId="30788"/>
    <cellStyle name="Comma 10 4 4 7" xfId="30789"/>
    <cellStyle name="Comma 10 4 4 7 2" xfId="30790"/>
    <cellStyle name="Comma 10 4 4 8" xfId="30791"/>
    <cellStyle name="Comma 10 4 4 9" xfId="30792"/>
    <cellStyle name="Comma 10 4 5" xfId="30793"/>
    <cellStyle name="Comma 10 4 5 2" xfId="30794"/>
    <cellStyle name="Comma 10 4 5 2 2" xfId="30795"/>
    <cellStyle name="Comma 10 4 5 2 3" xfId="30796"/>
    <cellStyle name="Comma 10 4 5 3" xfId="30797"/>
    <cellStyle name="Comma 10 4 5 3 2" xfId="30798"/>
    <cellStyle name="Comma 10 4 5 3 3" xfId="30799"/>
    <cellStyle name="Comma 10 4 5 4" xfId="30800"/>
    <cellStyle name="Comma 10 4 5 4 2" xfId="30801"/>
    <cellStyle name="Comma 10 4 5 5" xfId="30802"/>
    <cellStyle name="Comma 10 4 5 6" xfId="30803"/>
    <cellStyle name="Comma 10 4 6" xfId="30804"/>
    <cellStyle name="Comma 10 4 6 2" xfId="30805"/>
    <cellStyle name="Comma 10 4 6 2 2" xfId="30806"/>
    <cellStyle name="Comma 10 4 6 2 3" xfId="30807"/>
    <cellStyle name="Comma 10 4 6 3" xfId="30808"/>
    <cellStyle name="Comma 10 4 6 3 2" xfId="30809"/>
    <cellStyle name="Comma 10 4 6 3 3" xfId="30810"/>
    <cellStyle name="Comma 10 4 6 4" xfId="30811"/>
    <cellStyle name="Comma 10 4 6 4 2" xfId="30812"/>
    <cellStyle name="Comma 10 4 6 5" xfId="30813"/>
    <cellStyle name="Comma 10 4 6 6" xfId="30814"/>
    <cellStyle name="Comma 10 4 7" xfId="30815"/>
    <cellStyle name="Comma 10 4 7 2" xfId="30816"/>
    <cellStyle name="Comma 10 4 7 2 2" xfId="30817"/>
    <cellStyle name="Comma 10 4 7 2 3" xfId="30818"/>
    <cellStyle name="Comma 10 4 7 3" xfId="30819"/>
    <cellStyle name="Comma 10 4 7 3 2" xfId="30820"/>
    <cellStyle name="Comma 10 4 7 4" xfId="30821"/>
    <cellStyle name="Comma 10 4 7 5" xfId="30822"/>
    <cellStyle name="Comma 10 4 8" xfId="30823"/>
    <cellStyle name="Comma 10 4 8 2" xfId="30824"/>
    <cellStyle name="Comma 10 4 8 3" xfId="30825"/>
    <cellStyle name="Comma 10 4 9" xfId="30826"/>
    <cellStyle name="Comma 10 4 9 2" xfId="30827"/>
    <cellStyle name="Comma 10 4 9 3" xfId="30828"/>
    <cellStyle name="Comma 10 5" xfId="3228"/>
    <cellStyle name="Comma 10 5 10" xfId="30829"/>
    <cellStyle name="Comma 10 5 2" xfId="3229"/>
    <cellStyle name="Comma 10 5 2 2" xfId="3230"/>
    <cellStyle name="Comma 10 5 2 2 2" xfId="30830"/>
    <cellStyle name="Comma 10 5 2 2 2 2" xfId="30831"/>
    <cellStyle name="Comma 10 5 2 2 2 3" xfId="30832"/>
    <cellStyle name="Comma 10 5 2 2 3" xfId="30833"/>
    <cellStyle name="Comma 10 5 2 2 3 2" xfId="30834"/>
    <cellStyle name="Comma 10 5 2 2 3 3" xfId="30835"/>
    <cellStyle name="Comma 10 5 2 2 4" xfId="30836"/>
    <cellStyle name="Comma 10 5 2 2 4 2" xfId="30837"/>
    <cellStyle name="Comma 10 5 2 2 5" xfId="30838"/>
    <cellStyle name="Comma 10 5 2 2 6" xfId="30839"/>
    <cellStyle name="Comma 10 5 2 3" xfId="30840"/>
    <cellStyle name="Comma 10 5 2 3 2" xfId="30841"/>
    <cellStyle name="Comma 10 5 2 3 2 2" xfId="30842"/>
    <cellStyle name="Comma 10 5 2 3 2 3" xfId="30843"/>
    <cellStyle name="Comma 10 5 2 3 3" xfId="30844"/>
    <cellStyle name="Comma 10 5 2 3 3 2" xfId="30845"/>
    <cellStyle name="Comma 10 5 2 3 3 3" xfId="30846"/>
    <cellStyle name="Comma 10 5 2 3 4" xfId="30847"/>
    <cellStyle name="Comma 10 5 2 3 4 2" xfId="30848"/>
    <cellStyle name="Comma 10 5 2 3 5" xfId="30849"/>
    <cellStyle name="Comma 10 5 2 3 6" xfId="30850"/>
    <cellStyle name="Comma 10 5 2 4" xfId="30851"/>
    <cellStyle name="Comma 10 5 2 4 2" xfId="30852"/>
    <cellStyle name="Comma 10 5 2 4 2 2" xfId="30853"/>
    <cellStyle name="Comma 10 5 2 4 2 3" xfId="30854"/>
    <cellStyle name="Comma 10 5 2 4 3" xfId="30855"/>
    <cellStyle name="Comma 10 5 2 4 3 2" xfId="30856"/>
    <cellStyle name="Comma 10 5 2 4 4" xfId="30857"/>
    <cellStyle name="Comma 10 5 2 4 5" xfId="30858"/>
    <cellStyle name="Comma 10 5 2 5" xfId="30859"/>
    <cellStyle name="Comma 10 5 2 5 2" xfId="30860"/>
    <cellStyle name="Comma 10 5 2 5 3" xfId="30861"/>
    <cellStyle name="Comma 10 5 2 6" xfId="30862"/>
    <cellStyle name="Comma 10 5 2 6 2" xfId="30863"/>
    <cellStyle name="Comma 10 5 2 6 3" xfId="30864"/>
    <cellStyle name="Comma 10 5 2 7" xfId="30865"/>
    <cellStyle name="Comma 10 5 2 7 2" xfId="30866"/>
    <cellStyle name="Comma 10 5 2 8" xfId="30867"/>
    <cellStyle name="Comma 10 5 2 9" xfId="30868"/>
    <cellStyle name="Comma 10 5 3" xfId="3231"/>
    <cellStyle name="Comma 10 5 3 2" xfId="30869"/>
    <cellStyle name="Comma 10 5 3 2 2" xfId="30870"/>
    <cellStyle name="Comma 10 5 3 2 3" xfId="30871"/>
    <cellStyle name="Comma 10 5 3 3" xfId="30872"/>
    <cellStyle name="Comma 10 5 3 3 2" xfId="30873"/>
    <cellStyle name="Comma 10 5 3 3 3" xfId="30874"/>
    <cellStyle name="Comma 10 5 3 4" xfId="30875"/>
    <cellStyle name="Comma 10 5 3 4 2" xfId="30876"/>
    <cellStyle name="Comma 10 5 3 5" xfId="30877"/>
    <cellStyle name="Comma 10 5 3 6" xfId="30878"/>
    <cellStyle name="Comma 10 5 4" xfId="30879"/>
    <cellStyle name="Comma 10 5 4 2" xfId="30880"/>
    <cellStyle name="Comma 10 5 4 2 2" xfId="30881"/>
    <cellStyle name="Comma 10 5 4 2 3" xfId="30882"/>
    <cellStyle name="Comma 10 5 4 3" xfId="30883"/>
    <cellStyle name="Comma 10 5 4 3 2" xfId="30884"/>
    <cellStyle name="Comma 10 5 4 3 3" xfId="30885"/>
    <cellStyle name="Comma 10 5 4 4" xfId="30886"/>
    <cellStyle name="Comma 10 5 4 4 2" xfId="30887"/>
    <cellStyle name="Comma 10 5 4 5" xfId="30888"/>
    <cellStyle name="Comma 10 5 4 6" xfId="30889"/>
    <cellStyle name="Comma 10 5 5" xfId="30890"/>
    <cellStyle name="Comma 10 5 5 2" xfId="30891"/>
    <cellStyle name="Comma 10 5 5 2 2" xfId="30892"/>
    <cellStyle name="Comma 10 5 5 2 3" xfId="30893"/>
    <cellStyle name="Comma 10 5 5 3" xfId="30894"/>
    <cellStyle name="Comma 10 5 5 3 2" xfId="30895"/>
    <cellStyle name="Comma 10 5 5 4" xfId="30896"/>
    <cellStyle name="Comma 10 5 5 5" xfId="30897"/>
    <cellStyle name="Comma 10 5 6" xfId="30898"/>
    <cellStyle name="Comma 10 5 6 2" xfId="30899"/>
    <cellStyle name="Comma 10 5 6 3" xfId="30900"/>
    <cellStyle name="Comma 10 5 7" xfId="30901"/>
    <cellStyle name="Comma 10 5 7 2" xfId="30902"/>
    <cellStyle name="Comma 10 5 7 3" xfId="30903"/>
    <cellStyle name="Comma 10 5 8" xfId="30904"/>
    <cellStyle name="Comma 10 5 8 2" xfId="30905"/>
    <cellStyle name="Comma 10 5 9" xfId="30906"/>
    <cellStyle name="Comma 10 6" xfId="3232"/>
    <cellStyle name="Comma 10 6 2" xfId="3233"/>
    <cellStyle name="Comma 10 6 2 2" xfId="30907"/>
    <cellStyle name="Comma 10 6 2 2 2" xfId="30908"/>
    <cellStyle name="Comma 10 6 2 2 3" xfId="30909"/>
    <cellStyle name="Comma 10 6 2 3" xfId="30910"/>
    <cellStyle name="Comma 10 6 2 3 2" xfId="30911"/>
    <cellStyle name="Comma 10 6 2 3 3" xfId="30912"/>
    <cellStyle name="Comma 10 6 2 4" xfId="30913"/>
    <cellStyle name="Comma 10 6 2 4 2" xfId="30914"/>
    <cellStyle name="Comma 10 6 2 5" xfId="30915"/>
    <cellStyle name="Comma 10 6 2 6" xfId="30916"/>
    <cellStyle name="Comma 10 6 3" xfId="30917"/>
    <cellStyle name="Comma 10 6 3 2" xfId="30918"/>
    <cellStyle name="Comma 10 6 3 2 2" xfId="30919"/>
    <cellStyle name="Comma 10 6 3 2 3" xfId="30920"/>
    <cellStyle name="Comma 10 6 3 3" xfId="30921"/>
    <cellStyle name="Comma 10 6 3 3 2" xfId="30922"/>
    <cellStyle name="Comma 10 6 3 3 3" xfId="30923"/>
    <cellStyle name="Comma 10 6 3 4" xfId="30924"/>
    <cellStyle name="Comma 10 6 3 4 2" xfId="30925"/>
    <cellStyle name="Comma 10 6 3 5" xfId="30926"/>
    <cellStyle name="Comma 10 6 3 6" xfId="30927"/>
    <cellStyle name="Comma 10 6 4" xfId="30928"/>
    <cellStyle name="Comma 10 6 4 2" xfId="30929"/>
    <cellStyle name="Comma 10 6 4 2 2" xfId="30930"/>
    <cellStyle name="Comma 10 6 4 2 3" xfId="30931"/>
    <cellStyle name="Comma 10 6 4 3" xfId="30932"/>
    <cellStyle name="Comma 10 6 4 3 2" xfId="30933"/>
    <cellStyle name="Comma 10 6 4 4" xfId="30934"/>
    <cellStyle name="Comma 10 6 4 5" xfId="30935"/>
    <cellStyle name="Comma 10 6 5" xfId="30936"/>
    <cellStyle name="Comma 10 6 5 2" xfId="30937"/>
    <cellStyle name="Comma 10 6 5 3" xfId="30938"/>
    <cellStyle name="Comma 10 6 6" xfId="30939"/>
    <cellStyle name="Comma 10 6 6 2" xfId="30940"/>
    <cellStyle name="Comma 10 6 6 3" xfId="30941"/>
    <cellStyle name="Comma 10 6 7" xfId="30942"/>
    <cellStyle name="Comma 10 6 7 2" xfId="30943"/>
    <cellStyle name="Comma 10 6 8" xfId="30944"/>
    <cellStyle name="Comma 10 6 9" xfId="30945"/>
    <cellStyle name="Comma 10 7" xfId="3234"/>
    <cellStyle name="Comma 10 7 2" xfId="30946"/>
    <cellStyle name="Comma 10 7 2 2" xfId="30947"/>
    <cellStyle name="Comma 10 7 2 2 2" xfId="30948"/>
    <cellStyle name="Comma 10 7 2 2 3" xfId="30949"/>
    <cellStyle name="Comma 10 7 2 3" xfId="30950"/>
    <cellStyle name="Comma 10 7 2 3 2" xfId="30951"/>
    <cellStyle name="Comma 10 7 2 3 3" xfId="30952"/>
    <cellStyle name="Comma 10 7 2 4" xfId="30953"/>
    <cellStyle name="Comma 10 7 2 4 2" xfId="30954"/>
    <cellStyle name="Comma 10 7 2 5" xfId="30955"/>
    <cellStyle name="Comma 10 7 2 6" xfId="30956"/>
    <cellStyle name="Comma 10 7 3" xfId="30957"/>
    <cellStyle name="Comma 10 7 3 2" xfId="30958"/>
    <cellStyle name="Comma 10 7 3 2 2" xfId="30959"/>
    <cellStyle name="Comma 10 7 3 2 3" xfId="30960"/>
    <cellStyle name="Comma 10 7 3 3" xfId="30961"/>
    <cellStyle name="Comma 10 7 3 3 2" xfId="30962"/>
    <cellStyle name="Comma 10 7 3 3 3" xfId="30963"/>
    <cellStyle name="Comma 10 7 3 4" xfId="30964"/>
    <cellStyle name="Comma 10 7 3 4 2" xfId="30965"/>
    <cellStyle name="Comma 10 7 3 5" xfId="30966"/>
    <cellStyle name="Comma 10 7 3 6" xfId="30967"/>
    <cellStyle name="Comma 10 7 4" xfId="30968"/>
    <cellStyle name="Comma 10 7 4 2" xfId="30969"/>
    <cellStyle name="Comma 10 7 4 2 2" xfId="30970"/>
    <cellStyle name="Comma 10 7 4 2 3" xfId="30971"/>
    <cellStyle name="Comma 10 7 4 3" xfId="30972"/>
    <cellStyle name="Comma 10 7 4 3 2" xfId="30973"/>
    <cellStyle name="Comma 10 7 4 4" xfId="30974"/>
    <cellStyle name="Comma 10 7 4 5" xfId="30975"/>
    <cellStyle name="Comma 10 7 5" xfId="30976"/>
    <cellStyle name="Comma 10 7 5 2" xfId="30977"/>
    <cellStyle name="Comma 10 7 5 3" xfId="30978"/>
    <cellStyle name="Comma 10 7 6" xfId="30979"/>
    <cellStyle name="Comma 10 7 6 2" xfId="30980"/>
    <cellStyle name="Comma 10 7 6 3" xfId="30981"/>
    <cellStyle name="Comma 10 7 7" xfId="30982"/>
    <cellStyle name="Comma 10 7 7 2" xfId="30983"/>
    <cellStyle name="Comma 10 7 8" xfId="30984"/>
    <cellStyle name="Comma 10 7 9" xfId="30985"/>
    <cellStyle name="Comma 10 8" xfId="3235"/>
    <cellStyle name="Comma 10 8 2" xfId="30986"/>
    <cellStyle name="Comma 10 8 2 2" xfId="30987"/>
    <cellStyle name="Comma 10 8 2 3" xfId="30988"/>
    <cellStyle name="Comma 10 8 3" xfId="30989"/>
    <cellStyle name="Comma 10 8 3 2" xfId="30990"/>
    <cellStyle name="Comma 10 8 3 3" xfId="30991"/>
    <cellStyle name="Comma 10 8 4" xfId="30992"/>
    <cellStyle name="Comma 10 8 4 2" xfId="30993"/>
    <cellStyle name="Comma 10 8 5" xfId="30994"/>
    <cellStyle name="Comma 10 8 6" xfId="30995"/>
    <cellStyle name="Comma 10 9" xfId="3236"/>
    <cellStyle name="Comma 10 9 2" xfId="30996"/>
    <cellStyle name="Comma 10 9 2 2" xfId="30997"/>
    <cellStyle name="Comma 10 9 2 3" xfId="30998"/>
    <cellStyle name="Comma 10 9 3" xfId="30999"/>
    <cellStyle name="Comma 10 9 3 2" xfId="31000"/>
    <cellStyle name="Comma 10 9 3 3" xfId="31001"/>
    <cellStyle name="Comma 10 9 4" xfId="31002"/>
    <cellStyle name="Comma 10 9 4 2" xfId="31003"/>
    <cellStyle name="Comma 10 9 5" xfId="31004"/>
    <cellStyle name="Comma 10 9 6" xfId="31005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3"/>
    <cellStyle name="Comma 11" xfId="3237"/>
    <cellStyle name="Comma 11 10" xfId="31006"/>
    <cellStyle name="Comma 11 10 2" xfId="31007"/>
    <cellStyle name="Comma 11 10 2 2" xfId="31008"/>
    <cellStyle name="Comma 11 10 2 3" xfId="31009"/>
    <cellStyle name="Comma 11 10 3" xfId="31010"/>
    <cellStyle name="Comma 11 10 3 2" xfId="31011"/>
    <cellStyle name="Comma 11 10 4" xfId="31012"/>
    <cellStyle name="Comma 11 10 5" xfId="31013"/>
    <cellStyle name="Comma 11 11" xfId="31014"/>
    <cellStyle name="Comma 11 11 2" xfId="31015"/>
    <cellStyle name="Comma 11 11 3" xfId="31016"/>
    <cellStyle name="Comma 11 12" xfId="31017"/>
    <cellStyle name="Comma 11 12 2" xfId="31018"/>
    <cellStyle name="Comma 11 12 3" xfId="31019"/>
    <cellStyle name="Comma 11 13" xfId="31020"/>
    <cellStyle name="Comma 11 13 2" xfId="31021"/>
    <cellStyle name="Comma 11 14" xfId="31022"/>
    <cellStyle name="Comma 11 15" xfId="31023"/>
    <cellStyle name="Comma 11 16" xfId="31024"/>
    <cellStyle name="Comma 11 2" xfId="8210"/>
    <cellStyle name="Comma 11 2 10" xfId="31025"/>
    <cellStyle name="Comma 11 2 10 2" xfId="31026"/>
    <cellStyle name="Comma 11 2 10 3" xfId="31027"/>
    <cellStyle name="Comma 11 2 11" xfId="31028"/>
    <cellStyle name="Comma 11 2 11 2" xfId="31029"/>
    <cellStyle name="Comma 11 2 11 3" xfId="31030"/>
    <cellStyle name="Comma 11 2 12" xfId="31031"/>
    <cellStyle name="Comma 11 2 12 2" xfId="31032"/>
    <cellStyle name="Comma 11 2 13" xfId="31033"/>
    <cellStyle name="Comma 11 2 14" xfId="31034"/>
    <cellStyle name="Comma 11 2 15" xfId="31035"/>
    <cellStyle name="Comma 11 2 2" xfId="8211"/>
    <cellStyle name="Comma 11 2 2 10" xfId="31036"/>
    <cellStyle name="Comma 11 2 2 10 2" xfId="31037"/>
    <cellStyle name="Comma 11 2 2 10 3" xfId="31038"/>
    <cellStyle name="Comma 11 2 2 11" xfId="31039"/>
    <cellStyle name="Comma 11 2 2 11 2" xfId="31040"/>
    <cellStyle name="Comma 11 2 2 12" xfId="31041"/>
    <cellStyle name="Comma 11 2 2 13" xfId="31042"/>
    <cellStyle name="Comma 11 2 2 14" xfId="31043"/>
    <cellStyle name="Comma 11 2 2 2" xfId="8212"/>
    <cellStyle name="Comma 11 2 2 2 10" xfId="31044"/>
    <cellStyle name="Comma 11 2 2 2 10 2" xfId="31045"/>
    <cellStyle name="Comma 11 2 2 2 11" xfId="31046"/>
    <cellStyle name="Comma 11 2 2 2 12" xfId="31047"/>
    <cellStyle name="Comma 11 2 2 2 13" xfId="31048"/>
    <cellStyle name="Comma 11 2 2 2 2" xfId="8213"/>
    <cellStyle name="Comma 11 2 2 2 2 10" xfId="31049"/>
    <cellStyle name="Comma 11 2 2 2 2 2" xfId="31050"/>
    <cellStyle name="Comma 11 2 2 2 2 2 2" xfId="31051"/>
    <cellStyle name="Comma 11 2 2 2 2 2 2 2" xfId="31052"/>
    <cellStyle name="Comma 11 2 2 2 2 2 2 2 2" xfId="31053"/>
    <cellStyle name="Comma 11 2 2 2 2 2 2 2 3" xfId="31054"/>
    <cellStyle name="Comma 11 2 2 2 2 2 2 3" xfId="31055"/>
    <cellStyle name="Comma 11 2 2 2 2 2 2 3 2" xfId="31056"/>
    <cellStyle name="Comma 11 2 2 2 2 2 2 3 3" xfId="31057"/>
    <cellStyle name="Comma 11 2 2 2 2 2 2 4" xfId="31058"/>
    <cellStyle name="Comma 11 2 2 2 2 2 2 4 2" xfId="31059"/>
    <cellStyle name="Comma 11 2 2 2 2 2 2 5" xfId="31060"/>
    <cellStyle name="Comma 11 2 2 2 2 2 2 6" xfId="31061"/>
    <cellStyle name="Comma 11 2 2 2 2 2 3" xfId="31062"/>
    <cellStyle name="Comma 11 2 2 2 2 2 3 2" xfId="31063"/>
    <cellStyle name="Comma 11 2 2 2 2 2 3 2 2" xfId="31064"/>
    <cellStyle name="Comma 11 2 2 2 2 2 3 2 3" xfId="31065"/>
    <cellStyle name="Comma 11 2 2 2 2 2 3 3" xfId="31066"/>
    <cellStyle name="Comma 11 2 2 2 2 2 3 3 2" xfId="31067"/>
    <cellStyle name="Comma 11 2 2 2 2 2 3 3 3" xfId="31068"/>
    <cellStyle name="Comma 11 2 2 2 2 2 3 4" xfId="31069"/>
    <cellStyle name="Comma 11 2 2 2 2 2 3 4 2" xfId="31070"/>
    <cellStyle name="Comma 11 2 2 2 2 2 3 5" xfId="31071"/>
    <cellStyle name="Comma 11 2 2 2 2 2 3 6" xfId="31072"/>
    <cellStyle name="Comma 11 2 2 2 2 2 4" xfId="31073"/>
    <cellStyle name="Comma 11 2 2 2 2 2 4 2" xfId="31074"/>
    <cellStyle name="Comma 11 2 2 2 2 2 4 2 2" xfId="31075"/>
    <cellStyle name="Comma 11 2 2 2 2 2 4 2 3" xfId="31076"/>
    <cellStyle name="Comma 11 2 2 2 2 2 4 3" xfId="31077"/>
    <cellStyle name="Comma 11 2 2 2 2 2 4 3 2" xfId="31078"/>
    <cellStyle name="Comma 11 2 2 2 2 2 4 4" xfId="31079"/>
    <cellStyle name="Comma 11 2 2 2 2 2 4 5" xfId="31080"/>
    <cellStyle name="Comma 11 2 2 2 2 2 5" xfId="31081"/>
    <cellStyle name="Comma 11 2 2 2 2 2 5 2" xfId="31082"/>
    <cellStyle name="Comma 11 2 2 2 2 2 5 3" xfId="31083"/>
    <cellStyle name="Comma 11 2 2 2 2 2 6" xfId="31084"/>
    <cellStyle name="Comma 11 2 2 2 2 2 6 2" xfId="31085"/>
    <cellStyle name="Comma 11 2 2 2 2 2 6 3" xfId="31086"/>
    <cellStyle name="Comma 11 2 2 2 2 2 7" xfId="31087"/>
    <cellStyle name="Comma 11 2 2 2 2 2 7 2" xfId="31088"/>
    <cellStyle name="Comma 11 2 2 2 2 2 8" xfId="31089"/>
    <cellStyle name="Comma 11 2 2 2 2 2 9" xfId="31090"/>
    <cellStyle name="Comma 11 2 2 2 2 3" xfId="31091"/>
    <cellStyle name="Comma 11 2 2 2 2 3 2" xfId="31092"/>
    <cellStyle name="Comma 11 2 2 2 2 3 2 2" xfId="31093"/>
    <cellStyle name="Comma 11 2 2 2 2 3 2 3" xfId="31094"/>
    <cellStyle name="Comma 11 2 2 2 2 3 3" xfId="31095"/>
    <cellStyle name="Comma 11 2 2 2 2 3 3 2" xfId="31096"/>
    <cellStyle name="Comma 11 2 2 2 2 3 3 3" xfId="31097"/>
    <cellStyle name="Comma 11 2 2 2 2 3 4" xfId="31098"/>
    <cellStyle name="Comma 11 2 2 2 2 3 4 2" xfId="31099"/>
    <cellStyle name="Comma 11 2 2 2 2 3 5" xfId="31100"/>
    <cellStyle name="Comma 11 2 2 2 2 3 6" xfId="31101"/>
    <cellStyle name="Comma 11 2 2 2 2 4" xfId="31102"/>
    <cellStyle name="Comma 11 2 2 2 2 4 2" xfId="31103"/>
    <cellStyle name="Comma 11 2 2 2 2 4 2 2" xfId="31104"/>
    <cellStyle name="Comma 11 2 2 2 2 4 2 3" xfId="31105"/>
    <cellStyle name="Comma 11 2 2 2 2 4 3" xfId="31106"/>
    <cellStyle name="Comma 11 2 2 2 2 4 3 2" xfId="31107"/>
    <cellStyle name="Comma 11 2 2 2 2 4 3 3" xfId="31108"/>
    <cellStyle name="Comma 11 2 2 2 2 4 4" xfId="31109"/>
    <cellStyle name="Comma 11 2 2 2 2 4 4 2" xfId="31110"/>
    <cellStyle name="Comma 11 2 2 2 2 4 5" xfId="31111"/>
    <cellStyle name="Comma 11 2 2 2 2 4 6" xfId="31112"/>
    <cellStyle name="Comma 11 2 2 2 2 5" xfId="31113"/>
    <cellStyle name="Comma 11 2 2 2 2 5 2" xfId="31114"/>
    <cellStyle name="Comma 11 2 2 2 2 5 2 2" xfId="31115"/>
    <cellStyle name="Comma 11 2 2 2 2 5 2 3" xfId="31116"/>
    <cellStyle name="Comma 11 2 2 2 2 5 3" xfId="31117"/>
    <cellStyle name="Comma 11 2 2 2 2 5 3 2" xfId="31118"/>
    <cellStyle name="Comma 11 2 2 2 2 5 4" xfId="31119"/>
    <cellStyle name="Comma 11 2 2 2 2 5 5" xfId="31120"/>
    <cellStyle name="Comma 11 2 2 2 2 6" xfId="31121"/>
    <cellStyle name="Comma 11 2 2 2 2 6 2" xfId="31122"/>
    <cellStyle name="Comma 11 2 2 2 2 6 3" xfId="31123"/>
    <cellStyle name="Comma 11 2 2 2 2 7" xfId="31124"/>
    <cellStyle name="Comma 11 2 2 2 2 7 2" xfId="31125"/>
    <cellStyle name="Comma 11 2 2 2 2 7 3" xfId="31126"/>
    <cellStyle name="Comma 11 2 2 2 2 8" xfId="31127"/>
    <cellStyle name="Comma 11 2 2 2 2 8 2" xfId="31128"/>
    <cellStyle name="Comma 11 2 2 2 2 9" xfId="31129"/>
    <cellStyle name="Comma 11 2 2 2 3" xfId="31130"/>
    <cellStyle name="Comma 11 2 2 2 3 2" xfId="31131"/>
    <cellStyle name="Comma 11 2 2 2 3 2 2" xfId="31132"/>
    <cellStyle name="Comma 11 2 2 2 3 2 2 2" xfId="31133"/>
    <cellStyle name="Comma 11 2 2 2 3 2 2 3" xfId="31134"/>
    <cellStyle name="Comma 11 2 2 2 3 2 3" xfId="31135"/>
    <cellStyle name="Comma 11 2 2 2 3 2 3 2" xfId="31136"/>
    <cellStyle name="Comma 11 2 2 2 3 2 3 3" xfId="31137"/>
    <cellStyle name="Comma 11 2 2 2 3 2 4" xfId="31138"/>
    <cellStyle name="Comma 11 2 2 2 3 2 4 2" xfId="31139"/>
    <cellStyle name="Comma 11 2 2 2 3 2 5" xfId="31140"/>
    <cellStyle name="Comma 11 2 2 2 3 2 6" xfId="31141"/>
    <cellStyle name="Comma 11 2 2 2 3 3" xfId="31142"/>
    <cellStyle name="Comma 11 2 2 2 3 3 2" xfId="31143"/>
    <cellStyle name="Comma 11 2 2 2 3 3 2 2" xfId="31144"/>
    <cellStyle name="Comma 11 2 2 2 3 3 2 3" xfId="31145"/>
    <cellStyle name="Comma 11 2 2 2 3 3 3" xfId="31146"/>
    <cellStyle name="Comma 11 2 2 2 3 3 3 2" xfId="31147"/>
    <cellStyle name="Comma 11 2 2 2 3 3 3 3" xfId="31148"/>
    <cellStyle name="Comma 11 2 2 2 3 3 4" xfId="31149"/>
    <cellStyle name="Comma 11 2 2 2 3 3 4 2" xfId="31150"/>
    <cellStyle name="Comma 11 2 2 2 3 3 5" xfId="31151"/>
    <cellStyle name="Comma 11 2 2 2 3 3 6" xfId="31152"/>
    <cellStyle name="Comma 11 2 2 2 3 4" xfId="31153"/>
    <cellStyle name="Comma 11 2 2 2 3 4 2" xfId="31154"/>
    <cellStyle name="Comma 11 2 2 2 3 4 2 2" xfId="31155"/>
    <cellStyle name="Comma 11 2 2 2 3 4 2 3" xfId="31156"/>
    <cellStyle name="Comma 11 2 2 2 3 4 3" xfId="31157"/>
    <cellStyle name="Comma 11 2 2 2 3 4 3 2" xfId="31158"/>
    <cellStyle name="Comma 11 2 2 2 3 4 4" xfId="31159"/>
    <cellStyle name="Comma 11 2 2 2 3 4 5" xfId="31160"/>
    <cellStyle name="Comma 11 2 2 2 3 5" xfId="31161"/>
    <cellStyle name="Comma 11 2 2 2 3 5 2" xfId="31162"/>
    <cellStyle name="Comma 11 2 2 2 3 5 3" xfId="31163"/>
    <cellStyle name="Comma 11 2 2 2 3 6" xfId="31164"/>
    <cellStyle name="Comma 11 2 2 2 3 6 2" xfId="31165"/>
    <cellStyle name="Comma 11 2 2 2 3 6 3" xfId="31166"/>
    <cellStyle name="Comma 11 2 2 2 3 7" xfId="31167"/>
    <cellStyle name="Comma 11 2 2 2 3 7 2" xfId="31168"/>
    <cellStyle name="Comma 11 2 2 2 3 8" xfId="31169"/>
    <cellStyle name="Comma 11 2 2 2 3 9" xfId="31170"/>
    <cellStyle name="Comma 11 2 2 2 4" xfId="31171"/>
    <cellStyle name="Comma 11 2 2 2 4 2" xfId="31172"/>
    <cellStyle name="Comma 11 2 2 2 4 2 2" xfId="31173"/>
    <cellStyle name="Comma 11 2 2 2 4 2 2 2" xfId="31174"/>
    <cellStyle name="Comma 11 2 2 2 4 2 2 3" xfId="31175"/>
    <cellStyle name="Comma 11 2 2 2 4 2 3" xfId="31176"/>
    <cellStyle name="Comma 11 2 2 2 4 2 3 2" xfId="31177"/>
    <cellStyle name="Comma 11 2 2 2 4 2 3 3" xfId="31178"/>
    <cellStyle name="Comma 11 2 2 2 4 2 4" xfId="31179"/>
    <cellStyle name="Comma 11 2 2 2 4 2 4 2" xfId="31180"/>
    <cellStyle name="Comma 11 2 2 2 4 2 5" xfId="31181"/>
    <cellStyle name="Comma 11 2 2 2 4 2 6" xfId="31182"/>
    <cellStyle name="Comma 11 2 2 2 4 3" xfId="31183"/>
    <cellStyle name="Comma 11 2 2 2 4 3 2" xfId="31184"/>
    <cellStyle name="Comma 11 2 2 2 4 3 2 2" xfId="31185"/>
    <cellStyle name="Comma 11 2 2 2 4 3 2 3" xfId="31186"/>
    <cellStyle name="Comma 11 2 2 2 4 3 3" xfId="31187"/>
    <cellStyle name="Comma 11 2 2 2 4 3 3 2" xfId="31188"/>
    <cellStyle name="Comma 11 2 2 2 4 3 3 3" xfId="31189"/>
    <cellStyle name="Comma 11 2 2 2 4 3 4" xfId="31190"/>
    <cellStyle name="Comma 11 2 2 2 4 3 4 2" xfId="31191"/>
    <cellStyle name="Comma 11 2 2 2 4 3 5" xfId="31192"/>
    <cellStyle name="Comma 11 2 2 2 4 3 6" xfId="31193"/>
    <cellStyle name="Comma 11 2 2 2 4 4" xfId="31194"/>
    <cellStyle name="Comma 11 2 2 2 4 4 2" xfId="31195"/>
    <cellStyle name="Comma 11 2 2 2 4 4 2 2" xfId="31196"/>
    <cellStyle name="Comma 11 2 2 2 4 4 2 3" xfId="31197"/>
    <cellStyle name="Comma 11 2 2 2 4 4 3" xfId="31198"/>
    <cellStyle name="Comma 11 2 2 2 4 4 3 2" xfId="31199"/>
    <cellStyle name="Comma 11 2 2 2 4 4 4" xfId="31200"/>
    <cellStyle name="Comma 11 2 2 2 4 4 5" xfId="31201"/>
    <cellStyle name="Comma 11 2 2 2 4 5" xfId="31202"/>
    <cellStyle name="Comma 11 2 2 2 4 5 2" xfId="31203"/>
    <cellStyle name="Comma 11 2 2 2 4 5 3" xfId="31204"/>
    <cellStyle name="Comma 11 2 2 2 4 6" xfId="31205"/>
    <cellStyle name="Comma 11 2 2 2 4 6 2" xfId="31206"/>
    <cellStyle name="Comma 11 2 2 2 4 6 3" xfId="31207"/>
    <cellStyle name="Comma 11 2 2 2 4 7" xfId="31208"/>
    <cellStyle name="Comma 11 2 2 2 4 7 2" xfId="31209"/>
    <cellStyle name="Comma 11 2 2 2 4 8" xfId="31210"/>
    <cellStyle name="Comma 11 2 2 2 4 9" xfId="31211"/>
    <cellStyle name="Comma 11 2 2 2 5" xfId="31212"/>
    <cellStyle name="Comma 11 2 2 2 5 2" xfId="31213"/>
    <cellStyle name="Comma 11 2 2 2 5 2 2" xfId="31214"/>
    <cellStyle name="Comma 11 2 2 2 5 2 3" xfId="31215"/>
    <cellStyle name="Comma 11 2 2 2 5 3" xfId="31216"/>
    <cellStyle name="Comma 11 2 2 2 5 3 2" xfId="31217"/>
    <cellStyle name="Comma 11 2 2 2 5 3 3" xfId="31218"/>
    <cellStyle name="Comma 11 2 2 2 5 4" xfId="31219"/>
    <cellStyle name="Comma 11 2 2 2 5 4 2" xfId="31220"/>
    <cellStyle name="Comma 11 2 2 2 5 5" xfId="31221"/>
    <cellStyle name="Comma 11 2 2 2 5 6" xfId="31222"/>
    <cellStyle name="Comma 11 2 2 2 6" xfId="31223"/>
    <cellStyle name="Comma 11 2 2 2 6 2" xfId="31224"/>
    <cellStyle name="Comma 11 2 2 2 6 2 2" xfId="31225"/>
    <cellStyle name="Comma 11 2 2 2 6 2 3" xfId="31226"/>
    <cellStyle name="Comma 11 2 2 2 6 3" xfId="31227"/>
    <cellStyle name="Comma 11 2 2 2 6 3 2" xfId="31228"/>
    <cellStyle name="Comma 11 2 2 2 6 3 3" xfId="31229"/>
    <cellStyle name="Comma 11 2 2 2 6 4" xfId="31230"/>
    <cellStyle name="Comma 11 2 2 2 6 4 2" xfId="31231"/>
    <cellStyle name="Comma 11 2 2 2 6 5" xfId="31232"/>
    <cellStyle name="Comma 11 2 2 2 6 6" xfId="31233"/>
    <cellStyle name="Comma 11 2 2 2 7" xfId="31234"/>
    <cellStyle name="Comma 11 2 2 2 7 2" xfId="31235"/>
    <cellStyle name="Comma 11 2 2 2 7 2 2" xfId="31236"/>
    <cellStyle name="Comma 11 2 2 2 7 2 3" xfId="31237"/>
    <cellStyle name="Comma 11 2 2 2 7 3" xfId="31238"/>
    <cellStyle name="Comma 11 2 2 2 7 3 2" xfId="31239"/>
    <cellStyle name="Comma 11 2 2 2 7 4" xfId="31240"/>
    <cellStyle name="Comma 11 2 2 2 7 5" xfId="31241"/>
    <cellStyle name="Comma 11 2 2 2 8" xfId="31242"/>
    <cellStyle name="Comma 11 2 2 2 8 2" xfId="31243"/>
    <cellStyle name="Comma 11 2 2 2 8 3" xfId="31244"/>
    <cellStyle name="Comma 11 2 2 2 9" xfId="31245"/>
    <cellStyle name="Comma 11 2 2 2 9 2" xfId="31246"/>
    <cellStyle name="Comma 11 2 2 2 9 3" xfId="31247"/>
    <cellStyle name="Comma 11 2 2 3" xfId="8214"/>
    <cellStyle name="Comma 11 2 2 3 10" xfId="31248"/>
    <cellStyle name="Comma 11 2 2 3 11" xfId="31249"/>
    <cellStyle name="Comma 11 2 2 3 2" xfId="31250"/>
    <cellStyle name="Comma 11 2 2 3 2 2" xfId="31251"/>
    <cellStyle name="Comma 11 2 2 3 2 2 2" xfId="31252"/>
    <cellStyle name="Comma 11 2 2 3 2 2 2 2" xfId="31253"/>
    <cellStyle name="Comma 11 2 2 3 2 2 2 3" xfId="31254"/>
    <cellStyle name="Comma 11 2 2 3 2 2 3" xfId="31255"/>
    <cellStyle name="Comma 11 2 2 3 2 2 3 2" xfId="31256"/>
    <cellStyle name="Comma 11 2 2 3 2 2 3 3" xfId="31257"/>
    <cellStyle name="Comma 11 2 2 3 2 2 4" xfId="31258"/>
    <cellStyle name="Comma 11 2 2 3 2 2 4 2" xfId="31259"/>
    <cellStyle name="Comma 11 2 2 3 2 2 5" xfId="31260"/>
    <cellStyle name="Comma 11 2 2 3 2 2 6" xfId="31261"/>
    <cellStyle name="Comma 11 2 2 3 2 3" xfId="31262"/>
    <cellStyle name="Comma 11 2 2 3 2 3 2" xfId="31263"/>
    <cellStyle name="Comma 11 2 2 3 2 3 2 2" xfId="31264"/>
    <cellStyle name="Comma 11 2 2 3 2 3 2 3" xfId="31265"/>
    <cellStyle name="Comma 11 2 2 3 2 3 3" xfId="31266"/>
    <cellStyle name="Comma 11 2 2 3 2 3 3 2" xfId="31267"/>
    <cellStyle name="Comma 11 2 2 3 2 3 3 3" xfId="31268"/>
    <cellStyle name="Comma 11 2 2 3 2 3 4" xfId="31269"/>
    <cellStyle name="Comma 11 2 2 3 2 3 4 2" xfId="31270"/>
    <cellStyle name="Comma 11 2 2 3 2 3 5" xfId="31271"/>
    <cellStyle name="Comma 11 2 2 3 2 3 6" xfId="31272"/>
    <cellStyle name="Comma 11 2 2 3 2 4" xfId="31273"/>
    <cellStyle name="Comma 11 2 2 3 2 4 2" xfId="31274"/>
    <cellStyle name="Comma 11 2 2 3 2 4 2 2" xfId="31275"/>
    <cellStyle name="Comma 11 2 2 3 2 4 2 3" xfId="31276"/>
    <cellStyle name="Comma 11 2 2 3 2 4 3" xfId="31277"/>
    <cellStyle name="Comma 11 2 2 3 2 4 3 2" xfId="31278"/>
    <cellStyle name="Comma 11 2 2 3 2 4 4" xfId="31279"/>
    <cellStyle name="Comma 11 2 2 3 2 4 5" xfId="31280"/>
    <cellStyle name="Comma 11 2 2 3 2 5" xfId="31281"/>
    <cellStyle name="Comma 11 2 2 3 2 5 2" xfId="31282"/>
    <cellStyle name="Comma 11 2 2 3 2 5 3" xfId="31283"/>
    <cellStyle name="Comma 11 2 2 3 2 6" xfId="31284"/>
    <cellStyle name="Comma 11 2 2 3 2 6 2" xfId="31285"/>
    <cellStyle name="Comma 11 2 2 3 2 6 3" xfId="31286"/>
    <cellStyle name="Comma 11 2 2 3 2 7" xfId="31287"/>
    <cellStyle name="Comma 11 2 2 3 2 7 2" xfId="31288"/>
    <cellStyle name="Comma 11 2 2 3 2 8" xfId="31289"/>
    <cellStyle name="Comma 11 2 2 3 2 9" xfId="31290"/>
    <cellStyle name="Comma 11 2 2 3 3" xfId="31291"/>
    <cellStyle name="Comma 11 2 2 3 3 2" xfId="31292"/>
    <cellStyle name="Comma 11 2 2 3 3 2 2" xfId="31293"/>
    <cellStyle name="Comma 11 2 2 3 3 2 3" xfId="31294"/>
    <cellStyle name="Comma 11 2 2 3 3 3" xfId="31295"/>
    <cellStyle name="Comma 11 2 2 3 3 3 2" xfId="31296"/>
    <cellStyle name="Comma 11 2 2 3 3 3 3" xfId="31297"/>
    <cellStyle name="Comma 11 2 2 3 3 4" xfId="31298"/>
    <cellStyle name="Comma 11 2 2 3 3 4 2" xfId="31299"/>
    <cellStyle name="Comma 11 2 2 3 3 5" xfId="31300"/>
    <cellStyle name="Comma 11 2 2 3 3 6" xfId="31301"/>
    <cellStyle name="Comma 11 2 2 3 4" xfId="31302"/>
    <cellStyle name="Comma 11 2 2 3 4 2" xfId="31303"/>
    <cellStyle name="Comma 11 2 2 3 4 2 2" xfId="31304"/>
    <cellStyle name="Comma 11 2 2 3 4 2 3" xfId="31305"/>
    <cellStyle name="Comma 11 2 2 3 4 3" xfId="31306"/>
    <cellStyle name="Comma 11 2 2 3 4 3 2" xfId="31307"/>
    <cellStyle name="Comma 11 2 2 3 4 3 3" xfId="31308"/>
    <cellStyle name="Comma 11 2 2 3 4 4" xfId="31309"/>
    <cellStyle name="Comma 11 2 2 3 4 4 2" xfId="31310"/>
    <cellStyle name="Comma 11 2 2 3 4 5" xfId="31311"/>
    <cellStyle name="Comma 11 2 2 3 4 6" xfId="31312"/>
    <cellStyle name="Comma 11 2 2 3 5" xfId="31313"/>
    <cellStyle name="Comma 11 2 2 3 5 2" xfId="31314"/>
    <cellStyle name="Comma 11 2 2 3 5 2 2" xfId="31315"/>
    <cellStyle name="Comma 11 2 2 3 5 2 3" xfId="31316"/>
    <cellStyle name="Comma 11 2 2 3 5 3" xfId="31317"/>
    <cellStyle name="Comma 11 2 2 3 5 3 2" xfId="31318"/>
    <cellStyle name="Comma 11 2 2 3 5 4" xfId="31319"/>
    <cellStyle name="Comma 11 2 2 3 5 5" xfId="31320"/>
    <cellStyle name="Comma 11 2 2 3 6" xfId="31321"/>
    <cellStyle name="Comma 11 2 2 3 6 2" xfId="31322"/>
    <cellStyle name="Comma 11 2 2 3 6 3" xfId="31323"/>
    <cellStyle name="Comma 11 2 2 3 7" xfId="31324"/>
    <cellStyle name="Comma 11 2 2 3 7 2" xfId="31325"/>
    <cellStyle name="Comma 11 2 2 3 7 3" xfId="31326"/>
    <cellStyle name="Comma 11 2 2 3 8" xfId="31327"/>
    <cellStyle name="Comma 11 2 2 3 8 2" xfId="31328"/>
    <cellStyle name="Comma 11 2 2 3 9" xfId="31329"/>
    <cellStyle name="Comma 11 2 2 4" xfId="31330"/>
    <cellStyle name="Comma 11 2 2 4 2" xfId="31331"/>
    <cellStyle name="Comma 11 2 2 4 2 2" xfId="31332"/>
    <cellStyle name="Comma 11 2 2 4 2 2 2" xfId="31333"/>
    <cellStyle name="Comma 11 2 2 4 2 2 3" xfId="31334"/>
    <cellStyle name="Comma 11 2 2 4 2 3" xfId="31335"/>
    <cellStyle name="Comma 11 2 2 4 2 3 2" xfId="31336"/>
    <cellStyle name="Comma 11 2 2 4 2 3 3" xfId="31337"/>
    <cellStyle name="Comma 11 2 2 4 2 4" xfId="31338"/>
    <cellStyle name="Comma 11 2 2 4 2 4 2" xfId="31339"/>
    <cellStyle name="Comma 11 2 2 4 2 5" xfId="31340"/>
    <cellStyle name="Comma 11 2 2 4 2 6" xfId="31341"/>
    <cellStyle name="Comma 11 2 2 4 3" xfId="31342"/>
    <cellStyle name="Comma 11 2 2 4 3 2" xfId="31343"/>
    <cellStyle name="Comma 11 2 2 4 3 2 2" xfId="31344"/>
    <cellStyle name="Comma 11 2 2 4 3 2 3" xfId="31345"/>
    <cellStyle name="Comma 11 2 2 4 3 3" xfId="31346"/>
    <cellStyle name="Comma 11 2 2 4 3 3 2" xfId="31347"/>
    <cellStyle name="Comma 11 2 2 4 3 3 3" xfId="31348"/>
    <cellStyle name="Comma 11 2 2 4 3 4" xfId="31349"/>
    <cellStyle name="Comma 11 2 2 4 3 4 2" xfId="31350"/>
    <cellStyle name="Comma 11 2 2 4 3 5" xfId="31351"/>
    <cellStyle name="Comma 11 2 2 4 3 6" xfId="31352"/>
    <cellStyle name="Comma 11 2 2 4 4" xfId="31353"/>
    <cellStyle name="Comma 11 2 2 4 4 2" xfId="31354"/>
    <cellStyle name="Comma 11 2 2 4 4 2 2" xfId="31355"/>
    <cellStyle name="Comma 11 2 2 4 4 2 3" xfId="31356"/>
    <cellStyle name="Comma 11 2 2 4 4 3" xfId="31357"/>
    <cellStyle name="Comma 11 2 2 4 4 3 2" xfId="31358"/>
    <cellStyle name="Comma 11 2 2 4 4 4" xfId="31359"/>
    <cellStyle name="Comma 11 2 2 4 4 5" xfId="31360"/>
    <cellStyle name="Comma 11 2 2 4 5" xfId="31361"/>
    <cellStyle name="Comma 11 2 2 4 5 2" xfId="31362"/>
    <cellStyle name="Comma 11 2 2 4 5 3" xfId="31363"/>
    <cellStyle name="Comma 11 2 2 4 6" xfId="31364"/>
    <cellStyle name="Comma 11 2 2 4 6 2" xfId="31365"/>
    <cellStyle name="Comma 11 2 2 4 6 3" xfId="31366"/>
    <cellStyle name="Comma 11 2 2 4 7" xfId="31367"/>
    <cellStyle name="Comma 11 2 2 4 7 2" xfId="31368"/>
    <cellStyle name="Comma 11 2 2 4 8" xfId="31369"/>
    <cellStyle name="Comma 11 2 2 4 9" xfId="31370"/>
    <cellStyle name="Comma 11 2 2 5" xfId="31371"/>
    <cellStyle name="Comma 11 2 2 5 2" xfId="31372"/>
    <cellStyle name="Comma 11 2 2 5 2 2" xfId="31373"/>
    <cellStyle name="Comma 11 2 2 5 2 2 2" xfId="31374"/>
    <cellStyle name="Comma 11 2 2 5 2 2 3" xfId="31375"/>
    <cellStyle name="Comma 11 2 2 5 2 3" xfId="31376"/>
    <cellStyle name="Comma 11 2 2 5 2 3 2" xfId="31377"/>
    <cellStyle name="Comma 11 2 2 5 2 3 3" xfId="31378"/>
    <cellStyle name="Comma 11 2 2 5 2 4" xfId="31379"/>
    <cellStyle name="Comma 11 2 2 5 2 4 2" xfId="31380"/>
    <cellStyle name="Comma 11 2 2 5 2 5" xfId="31381"/>
    <cellStyle name="Comma 11 2 2 5 2 6" xfId="31382"/>
    <cellStyle name="Comma 11 2 2 5 3" xfId="31383"/>
    <cellStyle name="Comma 11 2 2 5 3 2" xfId="31384"/>
    <cellStyle name="Comma 11 2 2 5 3 2 2" xfId="31385"/>
    <cellStyle name="Comma 11 2 2 5 3 2 3" xfId="31386"/>
    <cellStyle name="Comma 11 2 2 5 3 3" xfId="31387"/>
    <cellStyle name="Comma 11 2 2 5 3 3 2" xfId="31388"/>
    <cellStyle name="Comma 11 2 2 5 3 3 3" xfId="31389"/>
    <cellStyle name="Comma 11 2 2 5 3 4" xfId="31390"/>
    <cellStyle name="Comma 11 2 2 5 3 4 2" xfId="31391"/>
    <cellStyle name="Comma 11 2 2 5 3 5" xfId="31392"/>
    <cellStyle name="Comma 11 2 2 5 3 6" xfId="31393"/>
    <cellStyle name="Comma 11 2 2 5 4" xfId="31394"/>
    <cellStyle name="Comma 11 2 2 5 4 2" xfId="31395"/>
    <cellStyle name="Comma 11 2 2 5 4 2 2" xfId="31396"/>
    <cellStyle name="Comma 11 2 2 5 4 2 3" xfId="31397"/>
    <cellStyle name="Comma 11 2 2 5 4 3" xfId="31398"/>
    <cellStyle name="Comma 11 2 2 5 4 3 2" xfId="31399"/>
    <cellStyle name="Comma 11 2 2 5 4 4" xfId="31400"/>
    <cellStyle name="Comma 11 2 2 5 4 5" xfId="31401"/>
    <cellStyle name="Comma 11 2 2 5 5" xfId="31402"/>
    <cellStyle name="Comma 11 2 2 5 5 2" xfId="31403"/>
    <cellStyle name="Comma 11 2 2 5 5 3" xfId="31404"/>
    <cellStyle name="Comma 11 2 2 5 6" xfId="31405"/>
    <cellStyle name="Comma 11 2 2 5 6 2" xfId="31406"/>
    <cellStyle name="Comma 11 2 2 5 6 3" xfId="31407"/>
    <cellStyle name="Comma 11 2 2 5 7" xfId="31408"/>
    <cellStyle name="Comma 11 2 2 5 7 2" xfId="31409"/>
    <cellStyle name="Comma 11 2 2 5 8" xfId="31410"/>
    <cellStyle name="Comma 11 2 2 5 9" xfId="31411"/>
    <cellStyle name="Comma 11 2 2 6" xfId="31412"/>
    <cellStyle name="Comma 11 2 2 6 2" xfId="31413"/>
    <cellStyle name="Comma 11 2 2 6 2 2" xfId="31414"/>
    <cellStyle name="Comma 11 2 2 6 2 3" xfId="31415"/>
    <cellStyle name="Comma 11 2 2 6 3" xfId="31416"/>
    <cellStyle name="Comma 11 2 2 6 3 2" xfId="31417"/>
    <cellStyle name="Comma 11 2 2 6 3 3" xfId="31418"/>
    <cellStyle name="Comma 11 2 2 6 4" xfId="31419"/>
    <cellStyle name="Comma 11 2 2 6 4 2" xfId="31420"/>
    <cellStyle name="Comma 11 2 2 6 5" xfId="31421"/>
    <cellStyle name="Comma 11 2 2 6 6" xfId="31422"/>
    <cellStyle name="Comma 11 2 2 7" xfId="31423"/>
    <cellStyle name="Comma 11 2 2 7 2" xfId="31424"/>
    <cellStyle name="Comma 11 2 2 7 2 2" xfId="31425"/>
    <cellStyle name="Comma 11 2 2 7 2 3" xfId="31426"/>
    <cellStyle name="Comma 11 2 2 7 3" xfId="31427"/>
    <cellStyle name="Comma 11 2 2 7 3 2" xfId="31428"/>
    <cellStyle name="Comma 11 2 2 7 3 3" xfId="31429"/>
    <cellStyle name="Comma 11 2 2 7 4" xfId="31430"/>
    <cellStyle name="Comma 11 2 2 7 4 2" xfId="31431"/>
    <cellStyle name="Comma 11 2 2 7 5" xfId="31432"/>
    <cellStyle name="Comma 11 2 2 7 6" xfId="31433"/>
    <cellStyle name="Comma 11 2 2 8" xfId="31434"/>
    <cellStyle name="Comma 11 2 2 8 2" xfId="31435"/>
    <cellStyle name="Comma 11 2 2 8 2 2" xfId="31436"/>
    <cellStyle name="Comma 11 2 2 8 2 3" xfId="31437"/>
    <cellStyle name="Comma 11 2 2 8 3" xfId="31438"/>
    <cellStyle name="Comma 11 2 2 8 3 2" xfId="31439"/>
    <cellStyle name="Comma 11 2 2 8 4" xfId="31440"/>
    <cellStyle name="Comma 11 2 2 8 5" xfId="31441"/>
    <cellStyle name="Comma 11 2 2 9" xfId="31442"/>
    <cellStyle name="Comma 11 2 2 9 2" xfId="31443"/>
    <cellStyle name="Comma 11 2 2 9 3" xfId="31444"/>
    <cellStyle name="Comma 11 2 3" xfId="8215"/>
    <cellStyle name="Comma 11 2 3 10" xfId="31445"/>
    <cellStyle name="Comma 11 2 3 10 2" xfId="31446"/>
    <cellStyle name="Comma 11 2 3 11" xfId="31447"/>
    <cellStyle name="Comma 11 2 3 12" xfId="31448"/>
    <cellStyle name="Comma 11 2 3 13" xfId="31449"/>
    <cellStyle name="Comma 11 2 3 2" xfId="8216"/>
    <cellStyle name="Comma 11 2 3 2 10" xfId="31450"/>
    <cellStyle name="Comma 11 2 3 2 2" xfId="31451"/>
    <cellStyle name="Comma 11 2 3 2 2 2" xfId="31452"/>
    <cellStyle name="Comma 11 2 3 2 2 2 2" xfId="31453"/>
    <cellStyle name="Comma 11 2 3 2 2 2 2 2" xfId="31454"/>
    <cellStyle name="Comma 11 2 3 2 2 2 2 3" xfId="31455"/>
    <cellStyle name="Comma 11 2 3 2 2 2 3" xfId="31456"/>
    <cellStyle name="Comma 11 2 3 2 2 2 3 2" xfId="31457"/>
    <cellStyle name="Comma 11 2 3 2 2 2 3 3" xfId="31458"/>
    <cellStyle name="Comma 11 2 3 2 2 2 4" xfId="31459"/>
    <cellStyle name="Comma 11 2 3 2 2 2 4 2" xfId="31460"/>
    <cellStyle name="Comma 11 2 3 2 2 2 5" xfId="31461"/>
    <cellStyle name="Comma 11 2 3 2 2 2 6" xfId="31462"/>
    <cellStyle name="Comma 11 2 3 2 2 3" xfId="31463"/>
    <cellStyle name="Comma 11 2 3 2 2 3 2" xfId="31464"/>
    <cellStyle name="Comma 11 2 3 2 2 3 2 2" xfId="31465"/>
    <cellStyle name="Comma 11 2 3 2 2 3 2 3" xfId="31466"/>
    <cellStyle name="Comma 11 2 3 2 2 3 3" xfId="31467"/>
    <cellStyle name="Comma 11 2 3 2 2 3 3 2" xfId="31468"/>
    <cellStyle name="Comma 11 2 3 2 2 3 3 3" xfId="31469"/>
    <cellStyle name="Comma 11 2 3 2 2 3 4" xfId="31470"/>
    <cellStyle name="Comma 11 2 3 2 2 3 4 2" xfId="31471"/>
    <cellStyle name="Comma 11 2 3 2 2 3 5" xfId="31472"/>
    <cellStyle name="Comma 11 2 3 2 2 3 6" xfId="31473"/>
    <cellStyle name="Comma 11 2 3 2 2 4" xfId="31474"/>
    <cellStyle name="Comma 11 2 3 2 2 4 2" xfId="31475"/>
    <cellStyle name="Comma 11 2 3 2 2 4 2 2" xfId="31476"/>
    <cellStyle name="Comma 11 2 3 2 2 4 2 3" xfId="31477"/>
    <cellStyle name="Comma 11 2 3 2 2 4 3" xfId="31478"/>
    <cellStyle name="Comma 11 2 3 2 2 4 3 2" xfId="31479"/>
    <cellStyle name="Comma 11 2 3 2 2 4 4" xfId="31480"/>
    <cellStyle name="Comma 11 2 3 2 2 4 5" xfId="31481"/>
    <cellStyle name="Comma 11 2 3 2 2 5" xfId="31482"/>
    <cellStyle name="Comma 11 2 3 2 2 5 2" xfId="31483"/>
    <cellStyle name="Comma 11 2 3 2 2 5 3" xfId="31484"/>
    <cellStyle name="Comma 11 2 3 2 2 6" xfId="31485"/>
    <cellStyle name="Comma 11 2 3 2 2 6 2" xfId="31486"/>
    <cellStyle name="Comma 11 2 3 2 2 6 3" xfId="31487"/>
    <cellStyle name="Comma 11 2 3 2 2 7" xfId="31488"/>
    <cellStyle name="Comma 11 2 3 2 2 7 2" xfId="31489"/>
    <cellStyle name="Comma 11 2 3 2 2 8" xfId="31490"/>
    <cellStyle name="Comma 11 2 3 2 2 9" xfId="31491"/>
    <cellStyle name="Comma 11 2 3 2 3" xfId="31492"/>
    <cellStyle name="Comma 11 2 3 2 3 2" xfId="31493"/>
    <cellStyle name="Comma 11 2 3 2 3 2 2" xfId="31494"/>
    <cellStyle name="Comma 11 2 3 2 3 2 3" xfId="31495"/>
    <cellStyle name="Comma 11 2 3 2 3 3" xfId="31496"/>
    <cellStyle name="Comma 11 2 3 2 3 3 2" xfId="31497"/>
    <cellStyle name="Comma 11 2 3 2 3 3 3" xfId="31498"/>
    <cellStyle name="Comma 11 2 3 2 3 4" xfId="31499"/>
    <cellStyle name="Comma 11 2 3 2 3 4 2" xfId="31500"/>
    <cellStyle name="Comma 11 2 3 2 3 5" xfId="31501"/>
    <cellStyle name="Comma 11 2 3 2 3 6" xfId="31502"/>
    <cellStyle name="Comma 11 2 3 2 4" xfId="31503"/>
    <cellStyle name="Comma 11 2 3 2 4 2" xfId="31504"/>
    <cellStyle name="Comma 11 2 3 2 4 2 2" xfId="31505"/>
    <cellStyle name="Comma 11 2 3 2 4 2 3" xfId="31506"/>
    <cellStyle name="Comma 11 2 3 2 4 3" xfId="31507"/>
    <cellStyle name="Comma 11 2 3 2 4 3 2" xfId="31508"/>
    <cellStyle name="Comma 11 2 3 2 4 3 3" xfId="31509"/>
    <cellStyle name="Comma 11 2 3 2 4 4" xfId="31510"/>
    <cellStyle name="Comma 11 2 3 2 4 4 2" xfId="31511"/>
    <cellStyle name="Comma 11 2 3 2 4 5" xfId="31512"/>
    <cellStyle name="Comma 11 2 3 2 4 6" xfId="31513"/>
    <cellStyle name="Comma 11 2 3 2 5" xfId="31514"/>
    <cellStyle name="Comma 11 2 3 2 5 2" xfId="31515"/>
    <cellStyle name="Comma 11 2 3 2 5 2 2" xfId="31516"/>
    <cellStyle name="Comma 11 2 3 2 5 2 3" xfId="31517"/>
    <cellStyle name="Comma 11 2 3 2 5 3" xfId="31518"/>
    <cellStyle name="Comma 11 2 3 2 5 3 2" xfId="31519"/>
    <cellStyle name="Comma 11 2 3 2 5 4" xfId="31520"/>
    <cellStyle name="Comma 11 2 3 2 5 5" xfId="31521"/>
    <cellStyle name="Comma 11 2 3 2 6" xfId="31522"/>
    <cellStyle name="Comma 11 2 3 2 6 2" xfId="31523"/>
    <cellStyle name="Comma 11 2 3 2 6 3" xfId="31524"/>
    <cellStyle name="Comma 11 2 3 2 7" xfId="31525"/>
    <cellStyle name="Comma 11 2 3 2 7 2" xfId="31526"/>
    <cellStyle name="Comma 11 2 3 2 7 3" xfId="31527"/>
    <cellStyle name="Comma 11 2 3 2 8" xfId="31528"/>
    <cellStyle name="Comma 11 2 3 2 8 2" xfId="31529"/>
    <cellStyle name="Comma 11 2 3 2 9" xfId="31530"/>
    <cellStyle name="Comma 11 2 3 3" xfId="31531"/>
    <cellStyle name="Comma 11 2 3 3 2" xfId="31532"/>
    <cellStyle name="Comma 11 2 3 3 2 2" xfId="31533"/>
    <cellStyle name="Comma 11 2 3 3 2 2 2" xfId="31534"/>
    <cellStyle name="Comma 11 2 3 3 2 2 3" xfId="31535"/>
    <cellStyle name="Comma 11 2 3 3 2 3" xfId="31536"/>
    <cellStyle name="Comma 11 2 3 3 2 3 2" xfId="31537"/>
    <cellStyle name="Comma 11 2 3 3 2 3 3" xfId="31538"/>
    <cellStyle name="Comma 11 2 3 3 2 4" xfId="31539"/>
    <cellStyle name="Comma 11 2 3 3 2 4 2" xfId="31540"/>
    <cellStyle name="Comma 11 2 3 3 2 5" xfId="31541"/>
    <cellStyle name="Comma 11 2 3 3 2 6" xfId="31542"/>
    <cellStyle name="Comma 11 2 3 3 3" xfId="31543"/>
    <cellStyle name="Comma 11 2 3 3 3 2" xfId="31544"/>
    <cellStyle name="Comma 11 2 3 3 3 2 2" xfId="31545"/>
    <cellStyle name="Comma 11 2 3 3 3 2 3" xfId="31546"/>
    <cellStyle name="Comma 11 2 3 3 3 3" xfId="31547"/>
    <cellStyle name="Comma 11 2 3 3 3 3 2" xfId="31548"/>
    <cellStyle name="Comma 11 2 3 3 3 3 3" xfId="31549"/>
    <cellStyle name="Comma 11 2 3 3 3 4" xfId="31550"/>
    <cellStyle name="Comma 11 2 3 3 3 4 2" xfId="31551"/>
    <cellStyle name="Comma 11 2 3 3 3 5" xfId="31552"/>
    <cellStyle name="Comma 11 2 3 3 3 6" xfId="31553"/>
    <cellStyle name="Comma 11 2 3 3 4" xfId="31554"/>
    <cellStyle name="Comma 11 2 3 3 4 2" xfId="31555"/>
    <cellStyle name="Comma 11 2 3 3 4 2 2" xfId="31556"/>
    <cellStyle name="Comma 11 2 3 3 4 2 3" xfId="31557"/>
    <cellStyle name="Comma 11 2 3 3 4 3" xfId="31558"/>
    <cellStyle name="Comma 11 2 3 3 4 3 2" xfId="31559"/>
    <cellStyle name="Comma 11 2 3 3 4 4" xfId="31560"/>
    <cellStyle name="Comma 11 2 3 3 4 5" xfId="31561"/>
    <cellStyle name="Comma 11 2 3 3 5" xfId="31562"/>
    <cellStyle name="Comma 11 2 3 3 5 2" xfId="31563"/>
    <cellStyle name="Comma 11 2 3 3 5 3" xfId="31564"/>
    <cellStyle name="Comma 11 2 3 3 6" xfId="31565"/>
    <cellStyle name="Comma 11 2 3 3 6 2" xfId="31566"/>
    <cellStyle name="Comma 11 2 3 3 6 3" xfId="31567"/>
    <cellStyle name="Comma 11 2 3 3 7" xfId="31568"/>
    <cellStyle name="Comma 11 2 3 3 7 2" xfId="31569"/>
    <cellStyle name="Comma 11 2 3 3 8" xfId="31570"/>
    <cellStyle name="Comma 11 2 3 3 9" xfId="31571"/>
    <cellStyle name="Comma 11 2 3 4" xfId="31572"/>
    <cellStyle name="Comma 11 2 3 4 2" xfId="31573"/>
    <cellStyle name="Comma 11 2 3 4 2 2" xfId="31574"/>
    <cellStyle name="Comma 11 2 3 4 2 2 2" xfId="31575"/>
    <cellStyle name="Comma 11 2 3 4 2 2 3" xfId="31576"/>
    <cellStyle name="Comma 11 2 3 4 2 3" xfId="31577"/>
    <cellStyle name="Comma 11 2 3 4 2 3 2" xfId="31578"/>
    <cellStyle name="Comma 11 2 3 4 2 3 3" xfId="31579"/>
    <cellStyle name="Comma 11 2 3 4 2 4" xfId="31580"/>
    <cellStyle name="Comma 11 2 3 4 2 4 2" xfId="31581"/>
    <cellStyle name="Comma 11 2 3 4 2 5" xfId="31582"/>
    <cellStyle name="Comma 11 2 3 4 2 6" xfId="31583"/>
    <cellStyle name="Comma 11 2 3 4 3" xfId="31584"/>
    <cellStyle name="Comma 11 2 3 4 3 2" xfId="31585"/>
    <cellStyle name="Comma 11 2 3 4 3 2 2" xfId="31586"/>
    <cellStyle name="Comma 11 2 3 4 3 2 3" xfId="31587"/>
    <cellStyle name="Comma 11 2 3 4 3 3" xfId="31588"/>
    <cellStyle name="Comma 11 2 3 4 3 3 2" xfId="31589"/>
    <cellStyle name="Comma 11 2 3 4 3 3 3" xfId="31590"/>
    <cellStyle name="Comma 11 2 3 4 3 4" xfId="31591"/>
    <cellStyle name="Comma 11 2 3 4 3 4 2" xfId="31592"/>
    <cellStyle name="Comma 11 2 3 4 3 5" xfId="31593"/>
    <cellStyle name="Comma 11 2 3 4 3 6" xfId="31594"/>
    <cellStyle name="Comma 11 2 3 4 4" xfId="31595"/>
    <cellStyle name="Comma 11 2 3 4 4 2" xfId="31596"/>
    <cellStyle name="Comma 11 2 3 4 4 2 2" xfId="31597"/>
    <cellStyle name="Comma 11 2 3 4 4 2 3" xfId="31598"/>
    <cellStyle name="Comma 11 2 3 4 4 3" xfId="31599"/>
    <cellStyle name="Comma 11 2 3 4 4 3 2" xfId="31600"/>
    <cellStyle name="Comma 11 2 3 4 4 4" xfId="31601"/>
    <cellStyle name="Comma 11 2 3 4 4 5" xfId="31602"/>
    <cellStyle name="Comma 11 2 3 4 5" xfId="31603"/>
    <cellStyle name="Comma 11 2 3 4 5 2" xfId="31604"/>
    <cellStyle name="Comma 11 2 3 4 5 3" xfId="31605"/>
    <cellStyle name="Comma 11 2 3 4 6" xfId="31606"/>
    <cellStyle name="Comma 11 2 3 4 6 2" xfId="31607"/>
    <cellStyle name="Comma 11 2 3 4 6 3" xfId="31608"/>
    <cellStyle name="Comma 11 2 3 4 7" xfId="31609"/>
    <cellStyle name="Comma 11 2 3 4 7 2" xfId="31610"/>
    <cellStyle name="Comma 11 2 3 4 8" xfId="31611"/>
    <cellStyle name="Comma 11 2 3 4 9" xfId="31612"/>
    <cellStyle name="Comma 11 2 3 5" xfId="31613"/>
    <cellStyle name="Comma 11 2 3 5 2" xfId="31614"/>
    <cellStyle name="Comma 11 2 3 5 2 2" xfId="31615"/>
    <cellStyle name="Comma 11 2 3 5 2 3" xfId="31616"/>
    <cellStyle name="Comma 11 2 3 5 3" xfId="31617"/>
    <cellStyle name="Comma 11 2 3 5 3 2" xfId="31618"/>
    <cellStyle name="Comma 11 2 3 5 3 3" xfId="31619"/>
    <cellStyle name="Comma 11 2 3 5 4" xfId="31620"/>
    <cellStyle name="Comma 11 2 3 5 4 2" xfId="31621"/>
    <cellStyle name="Comma 11 2 3 5 5" xfId="31622"/>
    <cellStyle name="Comma 11 2 3 5 6" xfId="31623"/>
    <cellStyle name="Comma 11 2 3 6" xfId="31624"/>
    <cellStyle name="Comma 11 2 3 6 2" xfId="31625"/>
    <cellStyle name="Comma 11 2 3 6 2 2" xfId="31626"/>
    <cellStyle name="Comma 11 2 3 6 2 3" xfId="31627"/>
    <cellStyle name="Comma 11 2 3 6 3" xfId="31628"/>
    <cellStyle name="Comma 11 2 3 6 3 2" xfId="31629"/>
    <cellStyle name="Comma 11 2 3 6 3 3" xfId="31630"/>
    <cellStyle name="Comma 11 2 3 6 4" xfId="31631"/>
    <cellStyle name="Comma 11 2 3 6 4 2" xfId="31632"/>
    <cellStyle name="Comma 11 2 3 6 5" xfId="31633"/>
    <cellStyle name="Comma 11 2 3 6 6" xfId="31634"/>
    <cellStyle name="Comma 11 2 3 7" xfId="31635"/>
    <cellStyle name="Comma 11 2 3 7 2" xfId="31636"/>
    <cellStyle name="Comma 11 2 3 7 2 2" xfId="31637"/>
    <cellStyle name="Comma 11 2 3 7 2 3" xfId="31638"/>
    <cellStyle name="Comma 11 2 3 7 3" xfId="31639"/>
    <cellStyle name="Comma 11 2 3 7 3 2" xfId="31640"/>
    <cellStyle name="Comma 11 2 3 7 4" xfId="31641"/>
    <cellStyle name="Comma 11 2 3 7 5" xfId="31642"/>
    <cellStyle name="Comma 11 2 3 8" xfId="31643"/>
    <cellStyle name="Comma 11 2 3 8 2" xfId="31644"/>
    <cellStyle name="Comma 11 2 3 8 3" xfId="31645"/>
    <cellStyle name="Comma 11 2 3 9" xfId="31646"/>
    <cellStyle name="Comma 11 2 3 9 2" xfId="31647"/>
    <cellStyle name="Comma 11 2 3 9 3" xfId="31648"/>
    <cellStyle name="Comma 11 2 4" xfId="8217"/>
    <cellStyle name="Comma 11 2 4 10" xfId="31649"/>
    <cellStyle name="Comma 11 2 4 11" xfId="31650"/>
    <cellStyle name="Comma 11 2 4 2" xfId="31651"/>
    <cellStyle name="Comma 11 2 4 2 2" xfId="31652"/>
    <cellStyle name="Comma 11 2 4 2 2 2" xfId="31653"/>
    <cellStyle name="Comma 11 2 4 2 2 2 2" xfId="31654"/>
    <cellStyle name="Comma 11 2 4 2 2 2 3" xfId="31655"/>
    <cellStyle name="Comma 11 2 4 2 2 3" xfId="31656"/>
    <cellStyle name="Comma 11 2 4 2 2 3 2" xfId="31657"/>
    <cellStyle name="Comma 11 2 4 2 2 3 3" xfId="31658"/>
    <cellStyle name="Comma 11 2 4 2 2 4" xfId="31659"/>
    <cellStyle name="Comma 11 2 4 2 2 4 2" xfId="31660"/>
    <cellStyle name="Comma 11 2 4 2 2 5" xfId="31661"/>
    <cellStyle name="Comma 11 2 4 2 2 6" xfId="31662"/>
    <cellStyle name="Comma 11 2 4 2 3" xfId="31663"/>
    <cellStyle name="Comma 11 2 4 2 3 2" xfId="31664"/>
    <cellStyle name="Comma 11 2 4 2 3 2 2" xfId="31665"/>
    <cellStyle name="Comma 11 2 4 2 3 2 3" xfId="31666"/>
    <cellStyle name="Comma 11 2 4 2 3 3" xfId="31667"/>
    <cellStyle name="Comma 11 2 4 2 3 3 2" xfId="31668"/>
    <cellStyle name="Comma 11 2 4 2 3 3 3" xfId="31669"/>
    <cellStyle name="Comma 11 2 4 2 3 4" xfId="31670"/>
    <cellStyle name="Comma 11 2 4 2 3 4 2" xfId="31671"/>
    <cellStyle name="Comma 11 2 4 2 3 5" xfId="31672"/>
    <cellStyle name="Comma 11 2 4 2 3 6" xfId="31673"/>
    <cellStyle name="Comma 11 2 4 2 4" xfId="31674"/>
    <cellStyle name="Comma 11 2 4 2 4 2" xfId="31675"/>
    <cellStyle name="Comma 11 2 4 2 4 2 2" xfId="31676"/>
    <cellStyle name="Comma 11 2 4 2 4 2 3" xfId="31677"/>
    <cellStyle name="Comma 11 2 4 2 4 3" xfId="31678"/>
    <cellStyle name="Comma 11 2 4 2 4 3 2" xfId="31679"/>
    <cellStyle name="Comma 11 2 4 2 4 4" xfId="31680"/>
    <cellStyle name="Comma 11 2 4 2 4 5" xfId="31681"/>
    <cellStyle name="Comma 11 2 4 2 5" xfId="31682"/>
    <cellStyle name="Comma 11 2 4 2 5 2" xfId="31683"/>
    <cellStyle name="Comma 11 2 4 2 5 3" xfId="31684"/>
    <cellStyle name="Comma 11 2 4 2 6" xfId="31685"/>
    <cellStyle name="Comma 11 2 4 2 6 2" xfId="31686"/>
    <cellStyle name="Comma 11 2 4 2 6 3" xfId="31687"/>
    <cellStyle name="Comma 11 2 4 2 7" xfId="31688"/>
    <cellStyle name="Comma 11 2 4 2 7 2" xfId="31689"/>
    <cellStyle name="Comma 11 2 4 2 8" xfId="31690"/>
    <cellStyle name="Comma 11 2 4 2 9" xfId="31691"/>
    <cellStyle name="Comma 11 2 4 3" xfId="31692"/>
    <cellStyle name="Comma 11 2 4 3 2" xfId="31693"/>
    <cellStyle name="Comma 11 2 4 3 2 2" xfId="31694"/>
    <cellStyle name="Comma 11 2 4 3 2 3" xfId="31695"/>
    <cellStyle name="Comma 11 2 4 3 3" xfId="31696"/>
    <cellStyle name="Comma 11 2 4 3 3 2" xfId="31697"/>
    <cellStyle name="Comma 11 2 4 3 3 3" xfId="31698"/>
    <cellStyle name="Comma 11 2 4 3 4" xfId="31699"/>
    <cellStyle name="Comma 11 2 4 3 4 2" xfId="31700"/>
    <cellStyle name="Comma 11 2 4 3 5" xfId="31701"/>
    <cellStyle name="Comma 11 2 4 3 6" xfId="31702"/>
    <cellStyle name="Comma 11 2 4 4" xfId="31703"/>
    <cellStyle name="Comma 11 2 4 4 2" xfId="31704"/>
    <cellStyle name="Comma 11 2 4 4 2 2" xfId="31705"/>
    <cellStyle name="Comma 11 2 4 4 2 3" xfId="31706"/>
    <cellStyle name="Comma 11 2 4 4 3" xfId="31707"/>
    <cellStyle name="Comma 11 2 4 4 3 2" xfId="31708"/>
    <cellStyle name="Comma 11 2 4 4 3 3" xfId="31709"/>
    <cellStyle name="Comma 11 2 4 4 4" xfId="31710"/>
    <cellStyle name="Comma 11 2 4 4 4 2" xfId="31711"/>
    <cellStyle name="Comma 11 2 4 4 5" xfId="31712"/>
    <cellStyle name="Comma 11 2 4 4 6" xfId="31713"/>
    <cellStyle name="Comma 11 2 4 5" xfId="31714"/>
    <cellStyle name="Comma 11 2 4 5 2" xfId="31715"/>
    <cellStyle name="Comma 11 2 4 5 2 2" xfId="31716"/>
    <cellStyle name="Comma 11 2 4 5 2 3" xfId="31717"/>
    <cellStyle name="Comma 11 2 4 5 3" xfId="31718"/>
    <cellStyle name="Comma 11 2 4 5 3 2" xfId="31719"/>
    <cellStyle name="Comma 11 2 4 5 4" xfId="31720"/>
    <cellStyle name="Comma 11 2 4 5 5" xfId="31721"/>
    <cellStyle name="Comma 11 2 4 6" xfId="31722"/>
    <cellStyle name="Comma 11 2 4 6 2" xfId="31723"/>
    <cellStyle name="Comma 11 2 4 6 3" xfId="31724"/>
    <cellStyle name="Comma 11 2 4 7" xfId="31725"/>
    <cellStyle name="Comma 11 2 4 7 2" xfId="31726"/>
    <cellStyle name="Comma 11 2 4 7 3" xfId="31727"/>
    <cellStyle name="Comma 11 2 4 8" xfId="31728"/>
    <cellStyle name="Comma 11 2 4 8 2" xfId="31729"/>
    <cellStyle name="Comma 11 2 4 9" xfId="31730"/>
    <cellStyle name="Comma 11 2 5" xfId="9407"/>
    <cellStyle name="Comma 11 2 5 2" xfId="31731"/>
    <cellStyle name="Comma 11 2 5 2 2" xfId="31732"/>
    <cellStyle name="Comma 11 2 5 2 2 2" xfId="31733"/>
    <cellStyle name="Comma 11 2 5 2 2 3" xfId="31734"/>
    <cellStyle name="Comma 11 2 5 2 3" xfId="31735"/>
    <cellStyle name="Comma 11 2 5 2 3 2" xfId="31736"/>
    <cellStyle name="Comma 11 2 5 2 3 3" xfId="31737"/>
    <cellStyle name="Comma 11 2 5 2 4" xfId="31738"/>
    <cellStyle name="Comma 11 2 5 2 4 2" xfId="31739"/>
    <cellStyle name="Comma 11 2 5 2 5" xfId="31740"/>
    <cellStyle name="Comma 11 2 5 2 6" xfId="31741"/>
    <cellStyle name="Comma 11 2 5 3" xfId="31742"/>
    <cellStyle name="Comma 11 2 5 3 2" xfId="31743"/>
    <cellStyle name="Comma 11 2 5 3 2 2" xfId="31744"/>
    <cellStyle name="Comma 11 2 5 3 2 3" xfId="31745"/>
    <cellStyle name="Comma 11 2 5 3 3" xfId="31746"/>
    <cellStyle name="Comma 11 2 5 3 3 2" xfId="31747"/>
    <cellStyle name="Comma 11 2 5 3 3 3" xfId="31748"/>
    <cellStyle name="Comma 11 2 5 3 4" xfId="31749"/>
    <cellStyle name="Comma 11 2 5 3 4 2" xfId="31750"/>
    <cellStyle name="Comma 11 2 5 3 5" xfId="31751"/>
    <cellStyle name="Comma 11 2 5 3 6" xfId="31752"/>
    <cellStyle name="Comma 11 2 5 4" xfId="31753"/>
    <cellStyle name="Comma 11 2 5 4 2" xfId="31754"/>
    <cellStyle name="Comma 11 2 5 4 2 2" xfId="31755"/>
    <cellStyle name="Comma 11 2 5 4 2 3" xfId="31756"/>
    <cellStyle name="Comma 11 2 5 4 3" xfId="31757"/>
    <cellStyle name="Comma 11 2 5 4 3 2" xfId="31758"/>
    <cellStyle name="Comma 11 2 5 4 4" xfId="31759"/>
    <cellStyle name="Comma 11 2 5 4 5" xfId="31760"/>
    <cellStyle name="Comma 11 2 5 5" xfId="31761"/>
    <cellStyle name="Comma 11 2 5 5 2" xfId="31762"/>
    <cellStyle name="Comma 11 2 5 5 3" xfId="31763"/>
    <cellStyle name="Comma 11 2 5 6" xfId="31764"/>
    <cellStyle name="Comma 11 2 5 6 2" xfId="31765"/>
    <cellStyle name="Comma 11 2 5 6 3" xfId="31766"/>
    <cellStyle name="Comma 11 2 5 7" xfId="31767"/>
    <cellStyle name="Comma 11 2 5 7 2" xfId="31768"/>
    <cellStyle name="Comma 11 2 5 8" xfId="31769"/>
    <cellStyle name="Comma 11 2 5 9" xfId="31770"/>
    <cellStyle name="Comma 11 2 6" xfId="31771"/>
    <cellStyle name="Comma 11 2 6 2" xfId="31772"/>
    <cellStyle name="Comma 11 2 6 2 2" xfId="31773"/>
    <cellStyle name="Comma 11 2 6 2 2 2" xfId="31774"/>
    <cellStyle name="Comma 11 2 6 2 2 3" xfId="31775"/>
    <cellStyle name="Comma 11 2 6 2 3" xfId="31776"/>
    <cellStyle name="Comma 11 2 6 2 3 2" xfId="31777"/>
    <cellStyle name="Comma 11 2 6 2 3 3" xfId="31778"/>
    <cellStyle name="Comma 11 2 6 2 4" xfId="31779"/>
    <cellStyle name="Comma 11 2 6 2 4 2" xfId="31780"/>
    <cellStyle name="Comma 11 2 6 2 5" xfId="31781"/>
    <cellStyle name="Comma 11 2 6 2 6" xfId="31782"/>
    <cellStyle name="Comma 11 2 6 3" xfId="31783"/>
    <cellStyle name="Comma 11 2 6 3 2" xfId="31784"/>
    <cellStyle name="Comma 11 2 6 3 2 2" xfId="31785"/>
    <cellStyle name="Comma 11 2 6 3 2 3" xfId="31786"/>
    <cellStyle name="Comma 11 2 6 3 3" xfId="31787"/>
    <cellStyle name="Comma 11 2 6 3 3 2" xfId="31788"/>
    <cellStyle name="Comma 11 2 6 3 3 3" xfId="31789"/>
    <cellStyle name="Comma 11 2 6 3 4" xfId="31790"/>
    <cellStyle name="Comma 11 2 6 3 4 2" xfId="31791"/>
    <cellStyle name="Comma 11 2 6 3 5" xfId="31792"/>
    <cellStyle name="Comma 11 2 6 3 6" xfId="31793"/>
    <cellStyle name="Comma 11 2 6 4" xfId="31794"/>
    <cellStyle name="Comma 11 2 6 4 2" xfId="31795"/>
    <cellStyle name="Comma 11 2 6 4 2 2" xfId="31796"/>
    <cellStyle name="Comma 11 2 6 4 2 3" xfId="31797"/>
    <cellStyle name="Comma 11 2 6 4 3" xfId="31798"/>
    <cellStyle name="Comma 11 2 6 4 3 2" xfId="31799"/>
    <cellStyle name="Comma 11 2 6 4 4" xfId="31800"/>
    <cellStyle name="Comma 11 2 6 4 5" xfId="31801"/>
    <cellStyle name="Comma 11 2 6 5" xfId="31802"/>
    <cellStyle name="Comma 11 2 6 5 2" xfId="31803"/>
    <cellStyle name="Comma 11 2 6 5 3" xfId="31804"/>
    <cellStyle name="Comma 11 2 6 6" xfId="31805"/>
    <cellStyle name="Comma 11 2 6 6 2" xfId="31806"/>
    <cellStyle name="Comma 11 2 6 6 3" xfId="31807"/>
    <cellStyle name="Comma 11 2 6 7" xfId="31808"/>
    <cellStyle name="Comma 11 2 6 7 2" xfId="31809"/>
    <cellStyle name="Comma 11 2 6 8" xfId="31810"/>
    <cellStyle name="Comma 11 2 6 9" xfId="31811"/>
    <cellStyle name="Comma 11 2 7" xfId="31812"/>
    <cellStyle name="Comma 11 2 7 2" xfId="31813"/>
    <cellStyle name="Comma 11 2 7 2 2" xfId="31814"/>
    <cellStyle name="Comma 11 2 7 2 3" xfId="31815"/>
    <cellStyle name="Comma 11 2 7 3" xfId="31816"/>
    <cellStyle name="Comma 11 2 7 3 2" xfId="31817"/>
    <cellStyle name="Comma 11 2 7 3 3" xfId="31818"/>
    <cellStyle name="Comma 11 2 7 4" xfId="31819"/>
    <cellStyle name="Comma 11 2 7 4 2" xfId="31820"/>
    <cellStyle name="Comma 11 2 7 5" xfId="31821"/>
    <cellStyle name="Comma 11 2 7 6" xfId="31822"/>
    <cellStyle name="Comma 11 2 8" xfId="31823"/>
    <cellStyle name="Comma 11 2 8 2" xfId="31824"/>
    <cellStyle name="Comma 11 2 8 2 2" xfId="31825"/>
    <cellStyle name="Comma 11 2 8 2 3" xfId="31826"/>
    <cellStyle name="Comma 11 2 8 3" xfId="31827"/>
    <cellStyle name="Comma 11 2 8 3 2" xfId="31828"/>
    <cellStyle name="Comma 11 2 8 3 3" xfId="31829"/>
    <cellStyle name="Comma 11 2 8 4" xfId="31830"/>
    <cellStyle name="Comma 11 2 8 4 2" xfId="31831"/>
    <cellStyle name="Comma 11 2 8 5" xfId="31832"/>
    <cellStyle name="Comma 11 2 8 6" xfId="31833"/>
    <cellStyle name="Comma 11 2 9" xfId="31834"/>
    <cellStyle name="Comma 11 2 9 2" xfId="31835"/>
    <cellStyle name="Comma 11 2 9 2 2" xfId="31836"/>
    <cellStyle name="Comma 11 2 9 2 3" xfId="31837"/>
    <cellStyle name="Comma 11 2 9 3" xfId="31838"/>
    <cellStyle name="Comma 11 2 9 3 2" xfId="31839"/>
    <cellStyle name="Comma 11 2 9 4" xfId="31840"/>
    <cellStyle name="Comma 11 2 9 5" xfId="31841"/>
    <cellStyle name="Comma 11 3" xfId="8218"/>
    <cellStyle name="Comma 11 3 10" xfId="31842"/>
    <cellStyle name="Comma 11 3 10 2" xfId="31843"/>
    <cellStyle name="Comma 11 3 10 3" xfId="31844"/>
    <cellStyle name="Comma 11 3 11" xfId="31845"/>
    <cellStyle name="Comma 11 3 11 2" xfId="31846"/>
    <cellStyle name="Comma 11 3 12" xfId="31847"/>
    <cellStyle name="Comma 11 3 13" xfId="31848"/>
    <cellStyle name="Comma 11 3 14" xfId="31849"/>
    <cellStyle name="Comma 11 3 2" xfId="8219"/>
    <cellStyle name="Comma 11 3 2 10" xfId="31850"/>
    <cellStyle name="Comma 11 3 2 10 2" xfId="31851"/>
    <cellStyle name="Comma 11 3 2 11" xfId="31852"/>
    <cellStyle name="Comma 11 3 2 12" xfId="31853"/>
    <cellStyle name="Comma 11 3 2 13" xfId="31854"/>
    <cellStyle name="Comma 11 3 2 2" xfId="8220"/>
    <cellStyle name="Comma 11 3 2 2 10" xfId="31855"/>
    <cellStyle name="Comma 11 3 2 2 11" xfId="31856"/>
    <cellStyle name="Comma 11 3 2 2 2" xfId="31857"/>
    <cellStyle name="Comma 11 3 2 2 2 2" xfId="31858"/>
    <cellStyle name="Comma 11 3 2 2 2 2 2" xfId="31859"/>
    <cellStyle name="Comma 11 3 2 2 2 2 2 2" xfId="31860"/>
    <cellStyle name="Comma 11 3 2 2 2 2 2 3" xfId="31861"/>
    <cellStyle name="Comma 11 3 2 2 2 2 3" xfId="31862"/>
    <cellStyle name="Comma 11 3 2 2 2 2 3 2" xfId="31863"/>
    <cellStyle name="Comma 11 3 2 2 2 2 3 3" xfId="31864"/>
    <cellStyle name="Comma 11 3 2 2 2 2 4" xfId="31865"/>
    <cellStyle name="Comma 11 3 2 2 2 2 4 2" xfId="31866"/>
    <cellStyle name="Comma 11 3 2 2 2 2 5" xfId="31867"/>
    <cellStyle name="Comma 11 3 2 2 2 2 6" xfId="31868"/>
    <cellStyle name="Comma 11 3 2 2 2 3" xfId="31869"/>
    <cellStyle name="Comma 11 3 2 2 2 3 2" xfId="31870"/>
    <cellStyle name="Comma 11 3 2 2 2 3 2 2" xfId="31871"/>
    <cellStyle name="Comma 11 3 2 2 2 3 2 3" xfId="31872"/>
    <cellStyle name="Comma 11 3 2 2 2 3 3" xfId="31873"/>
    <cellStyle name="Comma 11 3 2 2 2 3 3 2" xfId="31874"/>
    <cellStyle name="Comma 11 3 2 2 2 3 3 3" xfId="31875"/>
    <cellStyle name="Comma 11 3 2 2 2 3 4" xfId="31876"/>
    <cellStyle name="Comma 11 3 2 2 2 3 4 2" xfId="31877"/>
    <cellStyle name="Comma 11 3 2 2 2 3 5" xfId="31878"/>
    <cellStyle name="Comma 11 3 2 2 2 3 6" xfId="31879"/>
    <cellStyle name="Comma 11 3 2 2 2 4" xfId="31880"/>
    <cellStyle name="Comma 11 3 2 2 2 4 2" xfId="31881"/>
    <cellStyle name="Comma 11 3 2 2 2 4 2 2" xfId="31882"/>
    <cellStyle name="Comma 11 3 2 2 2 4 2 3" xfId="31883"/>
    <cellStyle name="Comma 11 3 2 2 2 4 3" xfId="31884"/>
    <cellStyle name="Comma 11 3 2 2 2 4 3 2" xfId="31885"/>
    <cellStyle name="Comma 11 3 2 2 2 4 4" xfId="31886"/>
    <cellStyle name="Comma 11 3 2 2 2 4 5" xfId="31887"/>
    <cellStyle name="Comma 11 3 2 2 2 5" xfId="31888"/>
    <cellStyle name="Comma 11 3 2 2 2 5 2" xfId="31889"/>
    <cellStyle name="Comma 11 3 2 2 2 5 3" xfId="31890"/>
    <cellStyle name="Comma 11 3 2 2 2 6" xfId="31891"/>
    <cellStyle name="Comma 11 3 2 2 2 6 2" xfId="31892"/>
    <cellStyle name="Comma 11 3 2 2 2 6 3" xfId="31893"/>
    <cellStyle name="Comma 11 3 2 2 2 7" xfId="31894"/>
    <cellStyle name="Comma 11 3 2 2 2 7 2" xfId="31895"/>
    <cellStyle name="Comma 11 3 2 2 2 8" xfId="31896"/>
    <cellStyle name="Comma 11 3 2 2 2 9" xfId="31897"/>
    <cellStyle name="Comma 11 3 2 2 3" xfId="31898"/>
    <cellStyle name="Comma 11 3 2 2 3 2" xfId="31899"/>
    <cellStyle name="Comma 11 3 2 2 3 2 2" xfId="31900"/>
    <cellStyle name="Comma 11 3 2 2 3 2 3" xfId="31901"/>
    <cellStyle name="Comma 11 3 2 2 3 3" xfId="31902"/>
    <cellStyle name="Comma 11 3 2 2 3 3 2" xfId="31903"/>
    <cellStyle name="Comma 11 3 2 2 3 3 3" xfId="31904"/>
    <cellStyle name="Comma 11 3 2 2 3 4" xfId="31905"/>
    <cellStyle name="Comma 11 3 2 2 3 4 2" xfId="31906"/>
    <cellStyle name="Comma 11 3 2 2 3 5" xfId="31907"/>
    <cellStyle name="Comma 11 3 2 2 3 6" xfId="31908"/>
    <cellStyle name="Comma 11 3 2 2 4" xfId="31909"/>
    <cellStyle name="Comma 11 3 2 2 4 2" xfId="31910"/>
    <cellStyle name="Comma 11 3 2 2 4 2 2" xfId="31911"/>
    <cellStyle name="Comma 11 3 2 2 4 2 3" xfId="31912"/>
    <cellStyle name="Comma 11 3 2 2 4 3" xfId="31913"/>
    <cellStyle name="Comma 11 3 2 2 4 3 2" xfId="31914"/>
    <cellStyle name="Comma 11 3 2 2 4 3 3" xfId="31915"/>
    <cellStyle name="Comma 11 3 2 2 4 4" xfId="31916"/>
    <cellStyle name="Comma 11 3 2 2 4 4 2" xfId="31917"/>
    <cellStyle name="Comma 11 3 2 2 4 5" xfId="31918"/>
    <cellStyle name="Comma 11 3 2 2 4 6" xfId="31919"/>
    <cellStyle name="Comma 11 3 2 2 5" xfId="31920"/>
    <cellStyle name="Comma 11 3 2 2 5 2" xfId="31921"/>
    <cellStyle name="Comma 11 3 2 2 5 2 2" xfId="31922"/>
    <cellStyle name="Comma 11 3 2 2 5 2 3" xfId="31923"/>
    <cellStyle name="Comma 11 3 2 2 5 3" xfId="31924"/>
    <cellStyle name="Comma 11 3 2 2 5 3 2" xfId="31925"/>
    <cellStyle name="Comma 11 3 2 2 5 4" xfId="31926"/>
    <cellStyle name="Comma 11 3 2 2 5 5" xfId="31927"/>
    <cellStyle name="Comma 11 3 2 2 6" xfId="31928"/>
    <cellStyle name="Comma 11 3 2 2 6 2" xfId="31929"/>
    <cellStyle name="Comma 11 3 2 2 6 3" xfId="31930"/>
    <cellStyle name="Comma 11 3 2 2 7" xfId="31931"/>
    <cellStyle name="Comma 11 3 2 2 7 2" xfId="31932"/>
    <cellStyle name="Comma 11 3 2 2 7 3" xfId="31933"/>
    <cellStyle name="Comma 11 3 2 2 8" xfId="31934"/>
    <cellStyle name="Comma 11 3 2 2 8 2" xfId="31935"/>
    <cellStyle name="Comma 11 3 2 2 9" xfId="31936"/>
    <cellStyle name="Comma 11 3 2 3" xfId="31937"/>
    <cellStyle name="Comma 11 3 2 3 2" xfId="31938"/>
    <cellStyle name="Comma 11 3 2 3 2 2" xfId="31939"/>
    <cellStyle name="Comma 11 3 2 3 2 2 2" xfId="31940"/>
    <cellStyle name="Comma 11 3 2 3 2 2 3" xfId="31941"/>
    <cellStyle name="Comma 11 3 2 3 2 3" xfId="31942"/>
    <cellStyle name="Comma 11 3 2 3 2 3 2" xfId="31943"/>
    <cellStyle name="Comma 11 3 2 3 2 3 3" xfId="31944"/>
    <cellStyle name="Comma 11 3 2 3 2 4" xfId="31945"/>
    <cellStyle name="Comma 11 3 2 3 2 4 2" xfId="31946"/>
    <cellStyle name="Comma 11 3 2 3 2 5" xfId="31947"/>
    <cellStyle name="Comma 11 3 2 3 2 6" xfId="31948"/>
    <cellStyle name="Comma 11 3 2 3 3" xfId="31949"/>
    <cellStyle name="Comma 11 3 2 3 3 2" xfId="31950"/>
    <cellStyle name="Comma 11 3 2 3 3 2 2" xfId="31951"/>
    <cellStyle name="Comma 11 3 2 3 3 2 3" xfId="31952"/>
    <cellStyle name="Comma 11 3 2 3 3 3" xfId="31953"/>
    <cellStyle name="Comma 11 3 2 3 3 3 2" xfId="31954"/>
    <cellStyle name="Comma 11 3 2 3 3 3 3" xfId="31955"/>
    <cellStyle name="Comma 11 3 2 3 3 4" xfId="31956"/>
    <cellStyle name="Comma 11 3 2 3 3 4 2" xfId="31957"/>
    <cellStyle name="Comma 11 3 2 3 3 5" xfId="31958"/>
    <cellStyle name="Comma 11 3 2 3 3 6" xfId="31959"/>
    <cellStyle name="Comma 11 3 2 3 4" xfId="31960"/>
    <cellStyle name="Comma 11 3 2 3 4 2" xfId="31961"/>
    <cellStyle name="Comma 11 3 2 3 4 2 2" xfId="31962"/>
    <cellStyle name="Comma 11 3 2 3 4 2 3" xfId="31963"/>
    <cellStyle name="Comma 11 3 2 3 4 3" xfId="31964"/>
    <cellStyle name="Comma 11 3 2 3 4 3 2" xfId="31965"/>
    <cellStyle name="Comma 11 3 2 3 4 4" xfId="31966"/>
    <cellStyle name="Comma 11 3 2 3 4 5" xfId="31967"/>
    <cellStyle name="Comma 11 3 2 3 5" xfId="31968"/>
    <cellStyle name="Comma 11 3 2 3 5 2" xfId="31969"/>
    <cellStyle name="Comma 11 3 2 3 5 3" xfId="31970"/>
    <cellStyle name="Comma 11 3 2 3 6" xfId="31971"/>
    <cellStyle name="Comma 11 3 2 3 6 2" xfId="31972"/>
    <cellStyle name="Comma 11 3 2 3 6 3" xfId="31973"/>
    <cellStyle name="Comma 11 3 2 3 7" xfId="31974"/>
    <cellStyle name="Comma 11 3 2 3 7 2" xfId="31975"/>
    <cellStyle name="Comma 11 3 2 3 8" xfId="31976"/>
    <cellStyle name="Comma 11 3 2 3 9" xfId="31977"/>
    <cellStyle name="Comma 11 3 2 4" xfId="31978"/>
    <cellStyle name="Comma 11 3 2 4 2" xfId="31979"/>
    <cellStyle name="Comma 11 3 2 4 2 2" xfId="31980"/>
    <cellStyle name="Comma 11 3 2 4 2 2 2" xfId="31981"/>
    <cellStyle name="Comma 11 3 2 4 2 2 3" xfId="31982"/>
    <cellStyle name="Comma 11 3 2 4 2 3" xfId="31983"/>
    <cellStyle name="Comma 11 3 2 4 2 3 2" xfId="31984"/>
    <cellStyle name="Comma 11 3 2 4 2 3 3" xfId="31985"/>
    <cellStyle name="Comma 11 3 2 4 2 4" xfId="31986"/>
    <cellStyle name="Comma 11 3 2 4 2 4 2" xfId="31987"/>
    <cellStyle name="Comma 11 3 2 4 2 5" xfId="31988"/>
    <cellStyle name="Comma 11 3 2 4 2 6" xfId="31989"/>
    <cellStyle name="Comma 11 3 2 4 3" xfId="31990"/>
    <cellStyle name="Comma 11 3 2 4 3 2" xfId="31991"/>
    <cellStyle name="Comma 11 3 2 4 3 2 2" xfId="31992"/>
    <cellStyle name="Comma 11 3 2 4 3 2 3" xfId="31993"/>
    <cellStyle name="Comma 11 3 2 4 3 3" xfId="31994"/>
    <cellStyle name="Comma 11 3 2 4 3 3 2" xfId="31995"/>
    <cellStyle name="Comma 11 3 2 4 3 3 3" xfId="31996"/>
    <cellStyle name="Comma 11 3 2 4 3 4" xfId="31997"/>
    <cellStyle name="Comma 11 3 2 4 3 4 2" xfId="31998"/>
    <cellStyle name="Comma 11 3 2 4 3 5" xfId="31999"/>
    <cellStyle name="Comma 11 3 2 4 3 6" xfId="32000"/>
    <cellStyle name="Comma 11 3 2 4 4" xfId="32001"/>
    <cellStyle name="Comma 11 3 2 4 4 2" xfId="32002"/>
    <cellStyle name="Comma 11 3 2 4 4 2 2" xfId="32003"/>
    <cellStyle name="Comma 11 3 2 4 4 2 3" xfId="32004"/>
    <cellStyle name="Comma 11 3 2 4 4 3" xfId="32005"/>
    <cellStyle name="Comma 11 3 2 4 4 3 2" xfId="32006"/>
    <cellStyle name="Comma 11 3 2 4 4 4" xfId="32007"/>
    <cellStyle name="Comma 11 3 2 4 4 5" xfId="32008"/>
    <cellStyle name="Comma 11 3 2 4 5" xfId="32009"/>
    <cellStyle name="Comma 11 3 2 4 5 2" xfId="32010"/>
    <cellStyle name="Comma 11 3 2 4 5 3" xfId="32011"/>
    <cellStyle name="Comma 11 3 2 4 6" xfId="32012"/>
    <cellStyle name="Comma 11 3 2 4 6 2" xfId="32013"/>
    <cellStyle name="Comma 11 3 2 4 6 3" xfId="32014"/>
    <cellStyle name="Comma 11 3 2 4 7" xfId="32015"/>
    <cellStyle name="Comma 11 3 2 4 7 2" xfId="32016"/>
    <cellStyle name="Comma 11 3 2 4 8" xfId="32017"/>
    <cellStyle name="Comma 11 3 2 4 9" xfId="32018"/>
    <cellStyle name="Comma 11 3 2 5" xfId="32019"/>
    <cellStyle name="Comma 11 3 2 5 2" xfId="32020"/>
    <cellStyle name="Comma 11 3 2 5 2 2" xfId="32021"/>
    <cellStyle name="Comma 11 3 2 5 2 3" xfId="32022"/>
    <cellStyle name="Comma 11 3 2 5 3" xfId="32023"/>
    <cellStyle name="Comma 11 3 2 5 3 2" xfId="32024"/>
    <cellStyle name="Comma 11 3 2 5 3 3" xfId="32025"/>
    <cellStyle name="Comma 11 3 2 5 4" xfId="32026"/>
    <cellStyle name="Comma 11 3 2 5 4 2" xfId="32027"/>
    <cellStyle name="Comma 11 3 2 5 5" xfId="32028"/>
    <cellStyle name="Comma 11 3 2 5 6" xfId="32029"/>
    <cellStyle name="Comma 11 3 2 6" xfId="32030"/>
    <cellStyle name="Comma 11 3 2 6 2" xfId="32031"/>
    <cellStyle name="Comma 11 3 2 6 2 2" xfId="32032"/>
    <cellStyle name="Comma 11 3 2 6 2 3" xfId="32033"/>
    <cellStyle name="Comma 11 3 2 6 3" xfId="32034"/>
    <cellStyle name="Comma 11 3 2 6 3 2" xfId="32035"/>
    <cellStyle name="Comma 11 3 2 6 3 3" xfId="32036"/>
    <cellStyle name="Comma 11 3 2 6 4" xfId="32037"/>
    <cellStyle name="Comma 11 3 2 6 4 2" xfId="32038"/>
    <cellStyle name="Comma 11 3 2 6 5" xfId="32039"/>
    <cellStyle name="Comma 11 3 2 6 6" xfId="32040"/>
    <cellStyle name="Comma 11 3 2 7" xfId="32041"/>
    <cellStyle name="Comma 11 3 2 7 2" xfId="32042"/>
    <cellStyle name="Comma 11 3 2 7 2 2" xfId="32043"/>
    <cellStyle name="Comma 11 3 2 7 2 3" xfId="32044"/>
    <cellStyle name="Comma 11 3 2 7 3" xfId="32045"/>
    <cellStyle name="Comma 11 3 2 7 3 2" xfId="32046"/>
    <cellStyle name="Comma 11 3 2 7 4" xfId="32047"/>
    <cellStyle name="Comma 11 3 2 7 5" xfId="32048"/>
    <cellStyle name="Comma 11 3 2 8" xfId="32049"/>
    <cellStyle name="Comma 11 3 2 8 2" xfId="32050"/>
    <cellStyle name="Comma 11 3 2 8 3" xfId="32051"/>
    <cellStyle name="Comma 11 3 2 9" xfId="32052"/>
    <cellStyle name="Comma 11 3 2 9 2" xfId="32053"/>
    <cellStyle name="Comma 11 3 2 9 3" xfId="32054"/>
    <cellStyle name="Comma 11 3 3" xfId="8221"/>
    <cellStyle name="Comma 11 3 3 10" xfId="32055"/>
    <cellStyle name="Comma 11 3 3 11" xfId="32056"/>
    <cellStyle name="Comma 11 3 3 2" xfId="32057"/>
    <cellStyle name="Comma 11 3 3 2 2" xfId="32058"/>
    <cellStyle name="Comma 11 3 3 2 2 2" xfId="32059"/>
    <cellStyle name="Comma 11 3 3 2 2 2 2" xfId="32060"/>
    <cellStyle name="Comma 11 3 3 2 2 2 3" xfId="32061"/>
    <cellStyle name="Comma 11 3 3 2 2 3" xfId="32062"/>
    <cellStyle name="Comma 11 3 3 2 2 3 2" xfId="32063"/>
    <cellStyle name="Comma 11 3 3 2 2 3 3" xfId="32064"/>
    <cellStyle name="Comma 11 3 3 2 2 4" xfId="32065"/>
    <cellStyle name="Comma 11 3 3 2 2 4 2" xfId="32066"/>
    <cellStyle name="Comma 11 3 3 2 2 5" xfId="32067"/>
    <cellStyle name="Comma 11 3 3 2 2 6" xfId="32068"/>
    <cellStyle name="Comma 11 3 3 2 3" xfId="32069"/>
    <cellStyle name="Comma 11 3 3 2 3 2" xfId="32070"/>
    <cellStyle name="Comma 11 3 3 2 3 2 2" xfId="32071"/>
    <cellStyle name="Comma 11 3 3 2 3 2 3" xfId="32072"/>
    <cellStyle name="Comma 11 3 3 2 3 3" xfId="32073"/>
    <cellStyle name="Comma 11 3 3 2 3 3 2" xfId="32074"/>
    <cellStyle name="Comma 11 3 3 2 3 3 3" xfId="32075"/>
    <cellStyle name="Comma 11 3 3 2 3 4" xfId="32076"/>
    <cellStyle name="Comma 11 3 3 2 3 4 2" xfId="32077"/>
    <cellStyle name="Comma 11 3 3 2 3 5" xfId="32078"/>
    <cellStyle name="Comma 11 3 3 2 3 6" xfId="32079"/>
    <cellStyle name="Comma 11 3 3 2 4" xfId="32080"/>
    <cellStyle name="Comma 11 3 3 2 4 2" xfId="32081"/>
    <cellStyle name="Comma 11 3 3 2 4 2 2" xfId="32082"/>
    <cellStyle name="Comma 11 3 3 2 4 2 3" xfId="32083"/>
    <cellStyle name="Comma 11 3 3 2 4 3" xfId="32084"/>
    <cellStyle name="Comma 11 3 3 2 4 3 2" xfId="32085"/>
    <cellStyle name="Comma 11 3 3 2 4 4" xfId="32086"/>
    <cellStyle name="Comma 11 3 3 2 4 5" xfId="32087"/>
    <cellStyle name="Comma 11 3 3 2 5" xfId="32088"/>
    <cellStyle name="Comma 11 3 3 2 5 2" xfId="32089"/>
    <cellStyle name="Comma 11 3 3 2 5 3" xfId="32090"/>
    <cellStyle name="Comma 11 3 3 2 6" xfId="32091"/>
    <cellStyle name="Comma 11 3 3 2 6 2" xfId="32092"/>
    <cellStyle name="Comma 11 3 3 2 6 3" xfId="32093"/>
    <cellStyle name="Comma 11 3 3 2 7" xfId="32094"/>
    <cellStyle name="Comma 11 3 3 2 7 2" xfId="32095"/>
    <cellStyle name="Comma 11 3 3 2 8" xfId="32096"/>
    <cellStyle name="Comma 11 3 3 2 9" xfId="32097"/>
    <cellStyle name="Comma 11 3 3 3" xfId="32098"/>
    <cellStyle name="Comma 11 3 3 3 2" xfId="32099"/>
    <cellStyle name="Comma 11 3 3 3 2 2" xfId="32100"/>
    <cellStyle name="Comma 11 3 3 3 2 3" xfId="32101"/>
    <cellStyle name="Comma 11 3 3 3 3" xfId="32102"/>
    <cellStyle name="Comma 11 3 3 3 3 2" xfId="32103"/>
    <cellStyle name="Comma 11 3 3 3 3 3" xfId="32104"/>
    <cellStyle name="Comma 11 3 3 3 4" xfId="32105"/>
    <cellStyle name="Comma 11 3 3 3 4 2" xfId="32106"/>
    <cellStyle name="Comma 11 3 3 3 5" xfId="32107"/>
    <cellStyle name="Comma 11 3 3 3 6" xfId="32108"/>
    <cellStyle name="Comma 11 3 3 4" xfId="32109"/>
    <cellStyle name="Comma 11 3 3 4 2" xfId="32110"/>
    <cellStyle name="Comma 11 3 3 4 2 2" xfId="32111"/>
    <cellStyle name="Comma 11 3 3 4 2 3" xfId="32112"/>
    <cellStyle name="Comma 11 3 3 4 3" xfId="32113"/>
    <cellStyle name="Comma 11 3 3 4 3 2" xfId="32114"/>
    <cellStyle name="Comma 11 3 3 4 3 3" xfId="32115"/>
    <cellStyle name="Comma 11 3 3 4 4" xfId="32116"/>
    <cellStyle name="Comma 11 3 3 4 4 2" xfId="32117"/>
    <cellStyle name="Comma 11 3 3 4 5" xfId="32118"/>
    <cellStyle name="Comma 11 3 3 4 6" xfId="32119"/>
    <cellStyle name="Comma 11 3 3 5" xfId="32120"/>
    <cellStyle name="Comma 11 3 3 5 2" xfId="32121"/>
    <cellStyle name="Comma 11 3 3 5 2 2" xfId="32122"/>
    <cellStyle name="Comma 11 3 3 5 2 3" xfId="32123"/>
    <cellStyle name="Comma 11 3 3 5 3" xfId="32124"/>
    <cellStyle name="Comma 11 3 3 5 3 2" xfId="32125"/>
    <cellStyle name="Comma 11 3 3 5 4" xfId="32126"/>
    <cellStyle name="Comma 11 3 3 5 5" xfId="32127"/>
    <cellStyle name="Comma 11 3 3 6" xfId="32128"/>
    <cellStyle name="Comma 11 3 3 6 2" xfId="32129"/>
    <cellStyle name="Comma 11 3 3 6 3" xfId="32130"/>
    <cellStyle name="Comma 11 3 3 7" xfId="32131"/>
    <cellStyle name="Comma 11 3 3 7 2" xfId="32132"/>
    <cellStyle name="Comma 11 3 3 7 3" xfId="32133"/>
    <cellStyle name="Comma 11 3 3 8" xfId="32134"/>
    <cellStyle name="Comma 11 3 3 8 2" xfId="32135"/>
    <cellStyle name="Comma 11 3 3 9" xfId="32136"/>
    <cellStyle name="Comma 11 3 4" xfId="9408"/>
    <cellStyle name="Comma 11 3 4 2" xfId="32137"/>
    <cellStyle name="Comma 11 3 4 2 2" xfId="32138"/>
    <cellStyle name="Comma 11 3 4 2 2 2" xfId="32139"/>
    <cellStyle name="Comma 11 3 4 2 2 3" xfId="32140"/>
    <cellStyle name="Comma 11 3 4 2 3" xfId="32141"/>
    <cellStyle name="Comma 11 3 4 2 3 2" xfId="32142"/>
    <cellStyle name="Comma 11 3 4 2 3 3" xfId="32143"/>
    <cellStyle name="Comma 11 3 4 2 4" xfId="32144"/>
    <cellStyle name="Comma 11 3 4 2 4 2" xfId="32145"/>
    <cellStyle name="Comma 11 3 4 2 5" xfId="32146"/>
    <cellStyle name="Comma 11 3 4 2 6" xfId="32147"/>
    <cellStyle name="Comma 11 3 4 3" xfId="32148"/>
    <cellStyle name="Comma 11 3 4 3 2" xfId="32149"/>
    <cellStyle name="Comma 11 3 4 3 2 2" xfId="32150"/>
    <cellStyle name="Comma 11 3 4 3 2 3" xfId="32151"/>
    <cellStyle name="Comma 11 3 4 3 3" xfId="32152"/>
    <cellStyle name="Comma 11 3 4 3 3 2" xfId="32153"/>
    <cellStyle name="Comma 11 3 4 3 3 3" xfId="32154"/>
    <cellStyle name="Comma 11 3 4 3 4" xfId="32155"/>
    <cellStyle name="Comma 11 3 4 3 4 2" xfId="32156"/>
    <cellStyle name="Comma 11 3 4 3 5" xfId="32157"/>
    <cellStyle name="Comma 11 3 4 3 6" xfId="32158"/>
    <cellStyle name="Comma 11 3 4 4" xfId="32159"/>
    <cellStyle name="Comma 11 3 4 4 2" xfId="32160"/>
    <cellStyle name="Comma 11 3 4 4 2 2" xfId="32161"/>
    <cellStyle name="Comma 11 3 4 4 2 3" xfId="32162"/>
    <cellStyle name="Comma 11 3 4 4 3" xfId="32163"/>
    <cellStyle name="Comma 11 3 4 4 3 2" xfId="32164"/>
    <cellStyle name="Comma 11 3 4 4 4" xfId="32165"/>
    <cellStyle name="Comma 11 3 4 4 5" xfId="32166"/>
    <cellStyle name="Comma 11 3 4 5" xfId="32167"/>
    <cellStyle name="Comma 11 3 4 5 2" xfId="32168"/>
    <cellStyle name="Comma 11 3 4 5 3" xfId="32169"/>
    <cellStyle name="Comma 11 3 4 6" xfId="32170"/>
    <cellStyle name="Comma 11 3 4 6 2" xfId="32171"/>
    <cellStyle name="Comma 11 3 4 6 3" xfId="32172"/>
    <cellStyle name="Comma 11 3 4 7" xfId="32173"/>
    <cellStyle name="Comma 11 3 4 7 2" xfId="32174"/>
    <cellStyle name="Comma 11 3 4 8" xfId="32175"/>
    <cellStyle name="Comma 11 3 4 9" xfId="32176"/>
    <cellStyle name="Comma 11 3 5" xfId="32177"/>
    <cellStyle name="Comma 11 3 5 2" xfId="32178"/>
    <cellStyle name="Comma 11 3 5 2 2" xfId="32179"/>
    <cellStyle name="Comma 11 3 5 2 2 2" xfId="32180"/>
    <cellStyle name="Comma 11 3 5 2 2 3" xfId="32181"/>
    <cellStyle name="Comma 11 3 5 2 3" xfId="32182"/>
    <cellStyle name="Comma 11 3 5 2 3 2" xfId="32183"/>
    <cellStyle name="Comma 11 3 5 2 3 3" xfId="32184"/>
    <cellStyle name="Comma 11 3 5 2 4" xfId="32185"/>
    <cellStyle name="Comma 11 3 5 2 4 2" xfId="32186"/>
    <cellStyle name="Comma 11 3 5 2 5" xfId="32187"/>
    <cellStyle name="Comma 11 3 5 2 6" xfId="32188"/>
    <cellStyle name="Comma 11 3 5 3" xfId="32189"/>
    <cellStyle name="Comma 11 3 5 3 2" xfId="32190"/>
    <cellStyle name="Comma 11 3 5 3 2 2" xfId="32191"/>
    <cellStyle name="Comma 11 3 5 3 2 3" xfId="32192"/>
    <cellStyle name="Comma 11 3 5 3 3" xfId="32193"/>
    <cellStyle name="Comma 11 3 5 3 3 2" xfId="32194"/>
    <cellStyle name="Comma 11 3 5 3 3 3" xfId="32195"/>
    <cellStyle name="Comma 11 3 5 3 4" xfId="32196"/>
    <cellStyle name="Comma 11 3 5 3 4 2" xfId="32197"/>
    <cellStyle name="Comma 11 3 5 3 5" xfId="32198"/>
    <cellStyle name="Comma 11 3 5 3 6" xfId="32199"/>
    <cellStyle name="Comma 11 3 5 4" xfId="32200"/>
    <cellStyle name="Comma 11 3 5 4 2" xfId="32201"/>
    <cellStyle name="Comma 11 3 5 4 2 2" xfId="32202"/>
    <cellStyle name="Comma 11 3 5 4 2 3" xfId="32203"/>
    <cellStyle name="Comma 11 3 5 4 3" xfId="32204"/>
    <cellStyle name="Comma 11 3 5 4 3 2" xfId="32205"/>
    <cellStyle name="Comma 11 3 5 4 4" xfId="32206"/>
    <cellStyle name="Comma 11 3 5 4 5" xfId="32207"/>
    <cellStyle name="Comma 11 3 5 5" xfId="32208"/>
    <cellStyle name="Comma 11 3 5 5 2" xfId="32209"/>
    <cellStyle name="Comma 11 3 5 5 3" xfId="32210"/>
    <cellStyle name="Comma 11 3 5 6" xfId="32211"/>
    <cellStyle name="Comma 11 3 5 6 2" xfId="32212"/>
    <cellStyle name="Comma 11 3 5 6 3" xfId="32213"/>
    <cellStyle name="Comma 11 3 5 7" xfId="32214"/>
    <cellStyle name="Comma 11 3 5 7 2" xfId="32215"/>
    <cellStyle name="Comma 11 3 5 8" xfId="32216"/>
    <cellStyle name="Comma 11 3 5 9" xfId="32217"/>
    <cellStyle name="Comma 11 3 6" xfId="32218"/>
    <cellStyle name="Comma 11 3 6 2" xfId="32219"/>
    <cellStyle name="Comma 11 3 6 2 2" xfId="32220"/>
    <cellStyle name="Comma 11 3 6 2 3" xfId="32221"/>
    <cellStyle name="Comma 11 3 6 3" xfId="32222"/>
    <cellStyle name="Comma 11 3 6 3 2" xfId="32223"/>
    <cellStyle name="Comma 11 3 6 3 3" xfId="32224"/>
    <cellStyle name="Comma 11 3 6 4" xfId="32225"/>
    <cellStyle name="Comma 11 3 6 4 2" xfId="32226"/>
    <cellStyle name="Comma 11 3 6 5" xfId="32227"/>
    <cellStyle name="Comma 11 3 6 6" xfId="32228"/>
    <cellStyle name="Comma 11 3 7" xfId="32229"/>
    <cellStyle name="Comma 11 3 7 2" xfId="32230"/>
    <cellStyle name="Comma 11 3 7 2 2" xfId="32231"/>
    <cellStyle name="Comma 11 3 7 2 3" xfId="32232"/>
    <cellStyle name="Comma 11 3 7 3" xfId="32233"/>
    <cellStyle name="Comma 11 3 7 3 2" xfId="32234"/>
    <cellStyle name="Comma 11 3 7 3 3" xfId="32235"/>
    <cellStyle name="Comma 11 3 7 4" xfId="32236"/>
    <cellStyle name="Comma 11 3 7 4 2" xfId="32237"/>
    <cellStyle name="Comma 11 3 7 5" xfId="32238"/>
    <cellStyle name="Comma 11 3 7 6" xfId="32239"/>
    <cellStyle name="Comma 11 3 8" xfId="32240"/>
    <cellStyle name="Comma 11 3 8 2" xfId="32241"/>
    <cellStyle name="Comma 11 3 8 2 2" xfId="32242"/>
    <cellStyle name="Comma 11 3 8 2 3" xfId="32243"/>
    <cellStyle name="Comma 11 3 8 3" xfId="32244"/>
    <cellStyle name="Comma 11 3 8 3 2" xfId="32245"/>
    <cellStyle name="Comma 11 3 8 4" xfId="32246"/>
    <cellStyle name="Comma 11 3 8 5" xfId="32247"/>
    <cellStyle name="Comma 11 3 9" xfId="32248"/>
    <cellStyle name="Comma 11 3 9 2" xfId="32249"/>
    <cellStyle name="Comma 11 3 9 3" xfId="32250"/>
    <cellStyle name="Comma 11 4" xfId="8222"/>
    <cellStyle name="Comma 11 4 10" xfId="32251"/>
    <cellStyle name="Comma 11 4 10 2" xfId="32252"/>
    <cellStyle name="Comma 11 4 11" xfId="32253"/>
    <cellStyle name="Comma 11 4 12" xfId="32254"/>
    <cellStyle name="Comma 11 4 13" xfId="32255"/>
    <cellStyle name="Comma 11 4 2" xfId="8223"/>
    <cellStyle name="Comma 11 4 2 10" xfId="32256"/>
    <cellStyle name="Comma 11 4 2 11" xfId="32257"/>
    <cellStyle name="Comma 11 4 2 2" xfId="32258"/>
    <cellStyle name="Comma 11 4 2 2 2" xfId="32259"/>
    <cellStyle name="Comma 11 4 2 2 2 2" xfId="32260"/>
    <cellStyle name="Comma 11 4 2 2 2 2 2" xfId="32261"/>
    <cellStyle name="Comma 11 4 2 2 2 2 3" xfId="32262"/>
    <cellStyle name="Comma 11 4 2 2 2 3" xfId="32263"/>
    <cellStyle name="Comma 11 4 2 2 2 3 2" xfId="32264"/>
    <cellStyle name="Comma 11 4 2 2 2 3 3" xfId="32265"/>
    <cellStyle name="Comma 11 4 2 2 2 4" xfId="32266"/>
    <cellStyle name="Comma 11 4 2 2 2 4 2" xfId="32267"/>
    <cellStyle name="Comma 11 4 2 2 2 5" xfId="32268"/>
    <cellStyle name="Comma 11 4 2 2 2 6" xfId="32269"/>
    <cellStyle name="Comma 11 4 2 2 3" xfId="32270"/>
    <cellStyle name="Comma 11 4 2 2 3 2" xfId="32271"/>
    <cellStyle name="Comma 11 4 2 2 3 2 2" xfId="32272"/>
    <cellStyle name="Comma 11 4 2 2 3 2 3" xfId="32273"/>
    <cellStyle name="Comma 11 4 2 2 3 3" xfId="32274"/>
    <cellStyle name="Comma 11 4 2 2 3 3 2" xfId="32275"/>
    <cellStyle name="Comma 11 4 2 2 3 3 3" xfId="32276"/>
    <cellStyle name="Comma 11 4 2 2 3 4" xfId="32277"/>
    <cellStyle name="Comma 11 4 2 2 3 4 2" xfId="32278"/>
    <cellStyle name="Comma 11 4 2 2 3 5" xfId="32279"/>
    <cellStyle name="Comma 11 4 2 2 3 6" xfId="32280"/>
    <cellStyle name="Comma 11 4 2 2 4" xfId="32281"/>
    <cellStyle name="Comma 11 4 2 2 4 2" xfId="32282"/>
    <cellStyle name="Comma 11 4 2 2 4 2 2" xfId="32283"/>
    <cellStyle name="Comma 11 4 2 2 4 2 3" xfId="32284"/>
    <cellStyle name="Comma 11 4 2 2 4 3" xfId="32285"/>
    <cellStyle name="Comma 11 4 2 2 4 3 2" xfId="32286"/>
    <cellStyle name="Comma 11 4 2 2 4 4" xfId="32287"/>
    <cellStyle name="Comma 11 4 2 2 4 5" xfId="32288"/>
    <cellStyle name="Comma 11 4 2 2 5" xfId="32289"/>
    <cellStyle name="Comma 11 4 2 2 5 2" xfId="32290"/>
    <cellStyle name="Comma 11 4 2 2 5 3" xfId="32291"/>
    <cellStyle name="Comma 11 4 2 2 6" xfId="32292"/>
    <cellStyle name="Comma 11 4 2 2 6 2" xfId="32293"/>
    <cellStyle name="Comma 11 4 2 2 6 3" xfId="32294"/>
    <cellStyle name="Comma 11 4 2 2 7" xfId="32295"/>
    <cellStyle name="Comma 11 4 2 2 7 2" xfId="32296"/>
    <cellStyle name="Comma 11 4 2 2 8" xfId="32297"/>
    <cellStyle name="Comma 11 4 2 2 9" xfId="32298"/>
    <cellStyle name="Comma 11 4 2 3" xfId="32299"/>
    <cellStyle name="Comma 11 4 2 3 2" xfId="32300"/>
    <cellStyle name="Comma 11 4 2 3 2 2" xfId="32301"/>
    <cellStyle name="Comma 11 4 2 3 2 3" xfId="32302"/>
    <cellStyle name="Comma 11 4 2 3 3" xfId="32303"/>
    <cellStyle name="Comma 11 4 2 3 3 2" xfId="32304"/>
    <cellStyle name="Comma 11 4 2 3 3 3" xfId="32305"/>
    <cellStyle name="Comma 11 4 2 3 4" xfId="32306"/>
    <cellStyle name="Comma 11 4 2 3 4 2" xfId="32307"/>
    <cellStyle name="Comma 11 4 2 3 5" xfId="32308"/>
    <cellStyle name="Comma 11 4 2 3 6" xfId="32309"/>
    <cellStyle name="Comma 11 4 2 4" xfId="32310"/>
    <cellStyle name="Comma 11 4 2 4 2" xfId="32311"/>
    <cellStyle name="Comma 11 4 2 4 2 2" xfId="32312"/>
    <cellStyle name="Comma 11 4 2 4 2 3" xfId="32313"/>
    <cellStyle name="Comma 11 4 2 4 3" xfId="32314"/>
    <cellStyle name="Comma 11 4 2 4 3 2" xfId="32315"/>
    <cellStyle name="Comma 11 4 2 4 3 3" xfId="32316"/>
    <cellStyle name="Comma 11 4 2 4 4" xfId="32317"/>
    <cellStyle name="Comma 11 4 2 4 4 2" xfId="32318"/>
    <cellStyle name="Comma 11 4 2 4 5" xfId="32319"/>
    <cellStyle name="Comma 11 4 2 4 6" xfId="32320"/>
    <cellStyle name="Comma 11 4 2 5" xfId="32321"/>
    <cellStyle name="Comma 11 4 2 5 2" xfId="32322"/>
    <cellStyle name="Comma 11 4 2 5 2 2" xfId="32323"/>
    <cellStyle name="Comma 11 4 2 5 2 3" xfId="32324"/>
    <cellStyle name="Comma 11 4 2 5 3" xfId="32325"/>
    <cellStyle name="Comma 11 4 2 5 3 2" xfId="32326"/>
    <cellStyle name="Comma 11 4 2 5 4" xfId="32327"/>
    <cellStyle name="Comma 11 4 2 5 5" xfId="32328"/>
    <cellStyle name="Comma 11 4 2 6" xfId="32329"/>
    <cellStyle name="Comma 11 4 2 6 2" xfId="32330"/>
    <cellStyle name="Comma 11 4 2 6 3" xfId="32331"/>
    <cellStyle name="Comma 11 4 2 7" xfId="32332"/>
    <cellStyle name="Comma 11 4 2 7 2" xfId="32333"/>
    <cellStyle name="Comma 11 4 2 7 3" xfId="32334"/>
    <cellStyle name="Comma 11 4 2 8" xfId="32335"/>
    <cellStyle name="Comma 11 4 2 8 2" xfId="32336"/>
    <cellStyle name="Comma 11 4 2 9" xfId="32337"/>
    <cellStyle name="Comma 11 4 3" xfId="32338"/>
    <cellStyle name="Comma 11 4 3 2" xfId="32339"/>
    <cellStyle name="Comma 11 4 3 2 2" xfId="32340"/>
    <cellStyle name="Comma 11 4 3 2 2 2" xfId="32341"/>
    <cellStyle name="Comma 11 4 3 2 2 3" xfId="32342"/>
    <cellStyle name="Comma 11 4 3 2 3" xfId="32343"/>
    <cellStyle name="Comma 11 4 3 2 3 2" xfId="32344"/>
    <cellStyle name="Comma 11 4 3 2 3 3" xfId="32345"/>
    <cellStyle name="Comma 11 4 3 2 4" xfId="32346"/>
    <cellStyle name="Comma 11 4 3 2 4 2" xfId="32347"/>
    <cellStyle name="Comma 11 4 3 2 5" xfId="32348"/>
    <cellStyle name="Comma 11 4 3 2 6" xfId="32349"/>
    <cellStyle name="Comma 11 4 3 3" xfId="32350"/>
    <cellStyle name="Comma 11 4 3 3 2" xfId="32351"/>
    <cellStyle name="Comma 11 4 3 3 2 2" xfId="32352"/>
    <cellStyle name="Comma 11 4 3 3 2 3" xfId="32353"/>
    <cellStyle name="Comma 11 4 3 3 3" xfId="32354"/>
    <cellStyle name="Comma 11 4 3 3 3 2" xfId="32355"/>
    <cellStyle name="Comma 11 4 3 3 3 3" xfId="32356"/>
    <cellStyle name="Comma 11 4 3 3 4" xfId="32357"/>
    <cellStyle name="Comma 11 4 3 3 4 2" xfId="32358"/>
    <cellStyle name="Comma 11 4 3 3 5" xfId="32359"/>
    <cellStyle name="Comma 11 4 3 3 6" xfId="32360"/>
    <cellStyle name="Comma 11 4 3 4" xfId="32361"/>
    <cellStyle name="Comma 11 4 3 4 2" xfId="32362"/>
    <cellStyle name="Comma 11 4 3 4 2 2" xfId="32363"/>
    <cellStyle name="Comma 11 4 3 4 2 3" xfId="32364"/>
    <cellStyle name="Comma 11 4 3 4 3" xfId="32365"/>
    <cellStyle name="Comma 11 4 3 4 3 2" xfId="32366"/>
    <cellStyle name="Comma 11 4 3 4 4" xfId="32367"/>
    <cellStyle name="Comma 11 4 3 4 5" xfId="32368"/>
    <cellStyle name="Comma 11 4 3 5" xfId="32369"/>
    <cellStyle name="Comma 11 4 3 5 2" xfId="32370"/>
    <cellStyle name="Comma 11 4 3 5 3" xfId="32371"/>
    <cellStyle name="Comma 11 4 3 6" xfId="32372"/>
    <cellStyle name="Comma 11 4 3 6 2" xfId="32373"/>
    <cellStyle name="Comma 11 4 3 6 3" xfId="32374"/>
    <cellStyle name="Comma 11 4 3 7" xfId="32375"/>
    <cellStyle name="Comma 11 4 3 7 2" xfId="32376"/>
    <cellStyle name="Comma 11 4 3 8" xfId="32377"/>
    <cellStyle name="Comma 11 4 3 9" xfId="32378"/>
    <cellStyle name="Comma 11 4 4" xfId="32379"/>
    <cellStyle name="Comma 11 4 4 2" xfId="32380"/>
    <cellStyle name="Comma 11 4 4 2 2" xfId="32381"/>
    <cellStyle name="Comma 11 4 4 2 2 2" xfId="32382"/>
    <cellStyle name="Comma 11 4 4 2 2 3" xfId="32383"/>
    <cellStyle name="Comma 11 4 4 2 3" xfId="32384"/>
    <cellStyle name="Comma 11 4 4 2 3 2" xfId="32385"/>
    <cellStyle name="Comma 11 4 4 2 3 3" xfId="32386"/>
    <cellStyle name="Comma 11 4 4 2 4" xfId="32387"/>
    <cellStyle name="Comma 11 4 4 2 4 2" xfId="32388"/>
    <cellStyle name="Comma 11 4 4 2 5" xfId="32389"/>
    <cellStyle name="Comma 11 4 4 2 6" xfId="32390"/>
    <cellStyle name="Comma 11 4 4 3" xfId="32391"/>
    <cellStyle name="Comma 11 4 4 3 2" xfId="32392"/>
    <cellStyle name="Comma 11 4 4 3 2 2" xfId="32393"/>
    <cellStyle name="Comma 11 4 4 3 2 3" xfId="32394"/>
    <cellStyle name="Comma 11 4 4 3 3" xfId="32395"/>
    <cellStyle name="Comma 11 4 4 3 3 2" xfId="32396"/>
    <cellStyle name="Comma 11 4 4 3 3 3" xfId="32397"/>
    <cellStyle name="Comma 11 4 4 3 4" xfId="32398"/>
    <cellStyle name="Comma 11 4 4 3 4 2" xfId="32399"/>
    <cellStyle name="Comma 11 4 4 3 5" xfId="32400"/>
    <cellStyle name="Comma 11 4 4 3 6" xfId="32401"/>
    <cellStyle name="Comma 11 4 4 4" xfId="32402"/>
    <cellStyle name="Comma 11 4 4 4 2" xfId="32403"/>
    <cellStyle name="Comma 11 4 4 4 2 2" xfId="32404"/>
    <cellStyle name="Comma 11 4 4 4 2 3" xfId="32405"/>
    <cellStyle name="Comma 11 4 4 4 3" xfId="32406"/>
    <cellStyle name="Comma 11 4 4 4 3 2" xfId="32407"/>
    <cellStyle name="Comma 11 4 4 4 4" xfId="32408"/>
    <cellStyle name="Comma 11 4 4 4 5" xfId="32409"/>
    <cellStyle name="Comma 11 4 4 5" xfId="32410"/>
    <cellStyle name="Comma 11 4 4 5 2" xfId="32411"/>
    <cellStyle name="Comma 11 4 4 5 3" xfId="32412"/>
    <cellStyle name="Comma 11 4 4 6" xfId="32413"/>
    <cellStyle name="Comma 11 4 4 6 2" xfId="32414"/>
    <cellStyle name="Comma 11 4 4 6 3" xfId="32415"/>
    <cellStyle name="Comma 11 4 4 7" xfId="32416"/>
    <cellStyle name="Comma 11 4 4 7 2" xfId="32417"/>
    <cellStyle name="Comma 11 4 4 8" xfId="32418"/>
    <cellStyle name="Comma 11 4 4 9" xfId="32419"/>
    <cellStyle name="Comma 11 4 5" xfId="32420"/>
    <cellStyle name="Comma 11 4 5 2" xfId="32421"/>
    <cellStyle name="Comma 11 4 5 2 2" xfId="32422"/>
    <cellStyle name="Comma 11 4 5 2 3" xfId="32423"/>
    <cellStyle name="Comma 11 4 5 3" xfId="32424"/>
    <cellStyle name="Comma 11 4 5 3 2" xfId="32425"/>
    <cellStyle name="Comma 11 4 5 3 3" xfId="32426"/>
    <cellStyle name="Comma 11 4 5 4" xfId="32427"/>
    <cellStyle name="Comma 11 4 5 4 2" xfId="32428"/>
    <cellStyle name="Comma 11 4 5 5" xfId="32429"/>
    <cellStyle name="Comma 11 4 5 6" xfId="32430"/>
    <cellStyle name="Comma 11 4 6" xfId="32431"/>
    <cellStyle name="Comma 11 4 6 2" xfId="32432"/>
    <cellStyle name="Comma 11 4 6 2 2" xfId="32433"/>
    <cellStyle name="Comma 11 4 6 2 3" xfId="32434"/>
    <cellStyle name="Comma 11 4 6 3" xfId="32435"/>
    <cellStyle name="Comma 11 4 6 3 2" xfId="32436"/>
    <cellStyle name="Comma 11 4 6 3 3" xfId="32437"/>
    <cellStyle name="Comma 11 4 6 4" xfId="32438"/>
    <cellStyle name="Comma 11 4 6 4 2" xfId="32439"/>
    <cellStyle name="Comma 11 4 6 5" xfId="32440"/>
    <cellStyle name="Comma 11 4 6 6" xfId="32441"/>
    <cellStyle name="Comma 11 4 7" xfId="32442"/>
    <cellStyle name="Comma 11 4 7 2" xfId="32443"/>
    <cellStyle name="Comma 11 4 7 2 2" xfId="32444"/>
    <cellStyle name="Comma 11 4 7 2 3" xfId="32445"/>
    <cellStyle name="Comma 11 4 7 3" xfId="32446"/>
    <cellStyle name="Comma 11 4 7 3 2" xfId="32447"/>
    <cellStyle name="Comma 11 4 7 4" xfId="32448"/>
    <cellStyle name="Comma 11 4 7 5" xfId="32449"/>
    <cellStyle name="Comma 11 4 8" xfId="32450"/>
    <cellStyle name="Comma 11 4 8 2" xfId="32451"/>
    <cellStyle name="Comma 11 4 8 3" xfId="32452"/>
    <cellStyle name="Comma 11 4 9" xfId="32453"/>
    <cellStyle name="Comma 11 4 9 2" xfId="32454"/>
    <cellStyle name="Comma 11 4 9 3" xfId="32455"/>
    <cellStyle name="Comma 11 5" xfId="8224"/>
    <cellStyle name="Comma 11 5 10" xfId="32456"/>
    <cellStyle name="Comma 11 5 11" xfId="32457"/>
    <cellStyle name="Comma 11 5 2" xfId="8225"/>
    <cellStyle name="Comma 11 5 2 10" xfId="32458"/>
    <cellStyle name="Comma 11 5 2 2" xfId="32459"/>
    <cellStyle name="Comma 11 5 2 2 2" xfId="32460"/>
    <cellStyle name="Comma 11 5 2 2 2 2" xfId="32461"/>
    <cellStyle name="Comma 11 5 2 2 2 3" xfId="32462"/>
    <cellStyle name="Comma 11 5 2 2 3" xfId="32463"/>
    <cellStyle name="Comma 11 5 2 2 3 2" xfId="32464"/>
    <cellStyle name="Comma 11 5 2 2 3 3" xfId="32465"/>
    <cellStyle name="Comma 11 5 2 2 4" xfId="32466"/>
    <cellStyle name="Comma 11 5 2 2 4 2" xfId="32467"/>
    <cellStyle name="Comma 11 5 2 2 5" xfId="32468"/>
    <cellStyle name="Comma 11 5 2 2 6" xfId="32469"/>
    <cellStyle name="Comma 11 5 2 3" xfId="32470"/>
    <cellStyle name="Comma 11 5 2 3 2" xfId="32471"/>
    <cellStyle name="Comma 11 5 2 3 2 2" xfId="32472"/>
    <cellStyle name="Comma 11 5 2 3 2 3" xfId="32473"/>
    <cellStyle name="Comma 11 5 2 3 3" xfId="32474"/>
    <cellStyle name="Comma 11 5 2 3 3 2" xfId="32475"/>
    <cellStyle name="Comma 11 5 2 3 3 3" xfId="32476"/>
    <cellStyle name="Comma 11 5 2 3 4" xfId="32477"/>
    <cellStyle name="Comma 11 5 2 3 4 2" xfId="32478"/>
    <cellStyle name="Comma 11 5 2 3 5" xfId="32479"/>
    <cellStyle name="Comma 11 5 2 3 6" xfId="32480"/>
    <cellStyle name="Comma 11 5 2 4" xfId="32481"/>
    <cellStyle name="Comma 11 5 2 4 2" xfId="32482"/>
    <cellStyle name="Comma 11 5 2 4 2 2" xfId="32483"/>
    <cellStyle name="Comma 11 5 2 4 2 3" xfId="32484"/>
    <cellStyle name="Comma 11 5 2 4 3" xfId="32485"/>
    <cellStyle name="Comma 11 5 2 4 3 2" xfId="32486"/>
    <cellStyle name="Comma 11 5 2 4 4" xfId="32487"/>
    <cellStyle name="Comma 11 5 2 4 5" xfId="32488"/>
    <cellStyle name="Comma 11 5 2 5" xfId="32489"/>
    <cellStyle name="Comma 11 5 2 5 2" xfId="32490"/>
    <cellStyle name="Comma 11 5 2 5 3" xfId="32491"/>
    <cellStyle name="Comma 11 5 2 6" xfId="32492"/>
    <cellStyle name="Comma 11 5 2 6 2" xfId="32493"/>
    <cellStyle name="Comma 11 5 2 6 3" xfId="32494"/>
    <cellStyle name="Comma 11 5 2 7" xfId="32495"/>
    <cellStyle name="Comma 11 5 2 7 2" xfId="32496"/>
    <cellStyle name="Comma 11 5 2 8" xfId="32497"/>
    <cellStyle name="Comma 11 5 2 9" xfId="32498"/>
    <cellStyle name="Comma 11 5 3" xfId="32499"/>
    <cellStyle name="Comma 11 5 3 2" xfId="32500"/>
    <cellStyle name="Comma 11 5 3 2 2" xfId="32501"/>
    <cellStyle name="Comma 11 5 3 2 3" xfId="32502"/>
    <cellStyle name="Comma 11 5 3 3" xfId="32503"/>
    <cellStyle name="Comma 11 5 3 3 2" xfId="32504"/>
    <cellStyle name="Comma 11 5 3 3 3" xfId="32505"/>
    <cellStyle name="Comma 11 5 3 4" xfId="32506"/>
    <cellStyle name="Comma 11 5 3 4 2" xfId="32507"/>
    <cellStyle name="Comma 11 5 3 5" xfId="32508"/>
    <cellStyle name="Comma 11 5 3 6" xfId="32509"/>
    <cellStyle name="Comma 11 5 4" xfId="32510"/>
    <cellStyle name="Comma 11 5 4 2" xfId="32511"/>
    <cellStyle name="Comma 11 5 4 2 2" xfId="32512"/>
    <cellStyle name="Comma 11 5 4 2 3" xfId="32513"/>
    <cellStyle name="Comma 11 5 4 3" xfId="32514"/>
    <cellStyle name="Comma 11 5 4 3 2" xfId="32515"/>
    <cellStyle name="Comma 11 5 4 3 3" xfId="32516"/>
    <cellStyle name="Comma 11 5 4 4" xfId="32517"/>
    <cellStyle name="Comma 11 5 4 4 2" xfId="32518"/>
    <cellStyle name="Comma 11 5 4 5" xfId="32519"/>
    <cellStyle name="Comma 11 5 4 6" xfId="32520"/>
    <cellStyle name="Comma 11 5 5" xfId="32521"/>
    <cellStyle name="Comma 11 5 5 2" xfId="32522"/>
    <cellStyle name="Comma 11 5 5 2 2" xfId="32523"/>
    <cellStyle name="Comma 11 5 5 2 3" xfId="32524"/>
    <cellStyle name="Comma 11 5 5 3" xfId="32525"/>
    <cellStyle name="Comma 11 5 5 3 2" xfId="32526"/>
    <cellStyle name="Comma 11 5 5 4" xfId="32527"/>
    <cellStyle name="Comma 11 5 5 5" xfId="32528"/>
    <cellStyle name="Comma 11 5 6" xfId="32529"/>
    <cellStyle name="Comma 11 5 6 2" xfId="32530"/>
    <cellStyle name="Comma 11 5 6 3" xfId="32531"/>
    <cellStyle name="Comma 11 5 7" xfId="32532"/>
    <cellStyle name="Comma 11 5 7 2" xfId="32533"/>
    <cellStyle name="Comma 11 5 7 3" xfId="32534"/>
    <cellStyle name="Comma 11 5 8" xfId="32535"/>
    <cellStyle name="Comma 11 5 8 2" xfId="32536"/>
    <cellStyle name="Comma 11 5 9" xfId="32537"/>
    <cellStyle name="Comma 11 6" xfId="8226"/>
    <cellStyle name="Comma 11 6 10" xfId="32538"/>
    <cellStyle name="Comma 11 6 2" xfId="32539"/>
    <cellStyle name="Comma 11 6 2 2" xfId="32540"/>
    <cellStyle name="Comma 11 6 2 2 2" xfId="32541"/>
    <cellStyle name="Comma 11 6 2 2 3" xfId="32542"/>
    <cellStyle name="Comma 11 6 2 3" xfId="32543"/>
    <cellStyle name="Comma 11 6 2 3 2" xfId="32544"/>
    <cellStyle name="Comma 11 6 2 3 3" xfId="32545"/>
    <cellStyle name="Comma 11 6 2 4" xfId="32546"/>
    <cellStyle name="Comma 11 6 2 4 2" xfId="32547"/>
    <cellStyle name="Comma 11 6 2 5" xfId="32548"/>
    <cellStyle name="Comma 11 6 2 6" xfId="32549"/>
    <cellStyle name="Comma 11 6 3" xfId="32550"/>
    <cellStyle name="Comma 11 6 3 2" xfId="32551"/>
    <cellStyle name="Comma 11 6 3 2 2" xfId="32552"/>
    <cellStyle name="Comma 11 6 3 2 3" xfId="32553"/>
    <cellStyle name="Comma 11 6 3 3" xfId="32554"/>
    <cellStyle name="Comma 11 6 3 3 2" xfId="32555"/>
    <cellStyle name="Comma 11 6 3 3 3" xfId="32556"/>
    <cellStyle name="Comma 11 6 3 4" xfId="32557"/>
    <cellStyle name="Comma 11 6 3 4 2" xfId="32558"/>
    <cellStyle name="Comma 11 6 3 5" xfId="32559"/>
    <cellStyle name="Comma 11 6 3 6" xfId="32560"/>
    <cellStyle name="Comma 11 6 4" xfId="32561"/>
    <cellStyle name="Comma 11 6 4 2" xfId="32562"/>
    <cellStyle name="Comma 11 6 4 2 2" xfId="32563"/>
    <cellStyle name="Comma 11 6 4 2 3" xfId="32564"/>
    <cellStyle name="Comma 11 6 4 3" xfId="32565"/>
    <cellStyle name="Comma 11 6 4 3 2" xfId="32566"/>
    <cellStyle name="Comma 11 6 4 4" xfId="32567"/>
    <cellStyle name="Comma 11 6 4 5" xfId="32568"/>
    <cellStyle name="Comma 11 6 5" xfId="32569"/>
    <cellStyle name="Comma 11 6 5 2" xfId="32570"/>
    <cellStyle name="Comma 11 6 5 3" xfId="32571"/>
    <cellStyle name="Comma 11 6 6" xfId="32572"/>
    <cellStyle name="Comma 11 6 6 2" xfId="32573"/>
    <cellStyle name="Comma 11 6 6 3" xfId="32574"/>
    <cellStyle name="Comma 11 6 7" xfId="32575"/>
    <cellStyle name="Comma 11 6 7 2" xfId="32576"/>
    <cellStyle name="Comma 11 6 8" xfId="32577"/>
    <cellStyle name="Comma 11 6 9" xfId="32578"/>
    <cellStyle name="Comma 11 7" xfId="9409"/>
    <cellStyle name="Comma 11 7 2" xfId="32579"/>
    <cellStyle name="Comma 11 7 2 2" xfId="32580"/>
    <cellStyle name="Comma 11 7 2 2 2" xfId="32581"/>
    <cellStyle name="Comma 11 7 2 2 3" xfId="32582"/>
    <cellStyle name="Comma 11 7 2 3" xfId="32583"/>
    <cellStyle name="Comma 11 7 2 3 2" xfId="32584"/>
    <cellStyle name="Comma 11 7 2 3 3" xfId="32585"/>
    <cellStyle name="Comma 11 7 2 4" xfId="32586"/>
    <cellStyle name="Comma 11 7 2 4 2" xfId="32587"/>
    <cellStyle name="Comma 11 7 2 5" xfId="32588"/>
    <cellStyle name="Comma 11 7 2 6" xfId="32589"/>
    <cellStyle name="Comma 11 7 3" xfId="32590"/>
    <cellStyle name="Comma 11 7 3 2" xfId="32591"/>
    <cellStyle name="Comma 11 7 3 2 2" xfId="32592"/>
    <cellStyle name="Comma 11 7 3 2 3" xfId="32593"/>
    <cellStyle name="Comma 11 7 3 3" xfId="32594"/>
    <cellStyle name="Comma 11 7 3 3 2" xfId="32595"/>
    <cellStyle name="Comma 11 7 3 3 3" xfId="32596"/>
    <cellStyle name="Comma 11 7 3 4" xfId="32597"/>
    <cellStyle name="Comma 11 7 3 4 2" xfId="32598"/>
    <cellStyle name="Comma 11 7 3 5" xfId="32599"/>
    <cellStyle name="Comma 11 7 3 6" xfId="32600"/>
    <cellStyle name="Comma 11 7 4" xfId="32601"/>
    <cellStyle name="Comma 11 7 4 2" xfId="32602"/>
    <cellStyle name="Comma 11 7 4 2 2" xfId="32603"/>
    <cellStyle name="Comma 11 7 4 2 3" xfId="32604"/>
    <cellStyle name="Comma 11 7 4 3" xfId="32605"/>
    <cellStyle name="Comma 11 7 4 3 2" xfId="32606"/>
    <cellStyle name="Comma 11 7 4 4" xfId="32607"/>
    <cellStyle name="Comma 11 7 4 5" xfId="32608"/>
    <cellStyle name="Comma 11 7 5" xfId="32609"/>
    <cellStyle name="Comma 11 7 5 2" xfId="32610"/>
    <cellStyle name="Comma 11 7 5 3" xfId="32611"/>
    <cellStyle name="Comma 11 7 6" xfId="32612"/>
    <cellStyle name="Comma 11 7 6 2" xfId="32613"/>
    <cellStyle name="Comma 11 7 6 3" xfId="32614"/>
    <cellStyle name="Comma 11 7 7" xfId="32615"/>
    <cellStyle name="Comma 11 7 7 2" xfId="32616"/>
    <cellStyle name="Comma 11 7 8" xfId="32617"/>
    <cellStyle name="Comma 11 7 9" xfId="32618"/>
    <cellStyle name="Comma 11 8" xfId="9410"/>
    <cellStyle name="Comma 11 8 2" xfId="32619"/>
    <cellStyle name="Comma 11 8 2 2" xfId="32620"/>
    <cellStyle name="Comma 11 8 2 3" xfId="32621"/>
    <cellStyle name="Comma 11 8 3" xfId="32622"/>
    <cellStyle name="Comma 11 8 3 2" xfId="32623"/>
    <cellStyle name="Comma 11 8 3 3" xfId="32624"/>
    <cellStyle name="Comma 11 8 4" xfId="32625"/>
    <cellStyle name="Comma 11 8 4 2" xfId="32626"/>
    <cellStyle name="Comma 11 8 5" xfId="32627"/>
    <cellStyle name="Comma 11 8 6" xfId="32628"/>
    <cellStyle name="Comma 11 9" xfId="32629"/>
    <cellStyle name="Comma 11 9 2" xfId="32630"/>
    <cellStyle name="Comma 11 9 2 2" xfId="32631"/>
    <cellStyle name="Comma 11 9 2 3" xfId="32632"/>
    <cellStyle name="Comma 11 9 3" xfId="32633"/>
    <cellStyle name="Comma 11 9 3 2" xfId="32634"/>
    <cellStyle name="Comma 11 9 3 3" xfId="32635"/>
    <cellStyle name="Comma 11 9 4" xfId="32636"/>
    <cellStyle name="Comma 11 9 4 2" xfId="32637"/>
    <cellStyle name="Comma 11 9 5" xfId="32638"/>
    <cellStyle name="Comma 11 9 6" xfId="32639"/>
    <cellStyle name="Comma 110" xfId="57828"/>
    <cellStyle name="Comma 111" xfId="57829"/>
    <cellStyle name="Comma 112" xfId="57830"/>
    <cellStyle name="Comma 113" xfId="57831"/>
    <cellStyle name="Comma 114" xfId="57832"/>
    <cellStyle name="Comma 115" xfId="57833"/>
    <cellStyle name="Comma 116" xfId="57834"/>
    <cellStyle name="Comma 117" xfId="57835"/>
    <cellStyle name="Comma 118" xfId="57836"/>
    <cellStyle name="Comma 119" xfId="57837"/>
    <cellStyle name="Comma 12" xfId="3238"/>
    <cellStyle name="Comma 12 10" xfId="32640"/>
    <cellStyle name="Comma 12 10 2" xfId="32641"/>
    <cellStyle name="Comma 12 10 2 2" xfId="32642"/>
    <cellStyle name="Comma 12 10 2 3" xfId="32643"/>
    <cellStyle name="Comma 12 10 3" xfId="32644"/>
    <cellStyle name="Comma 12 10 3 2" xfId="32645"/>
    <cellStyle name="Comma 12 10 4" xfId="32646"/>
    <cellStyle name="Comma 12 10 5" xfId="32647"/>
    <cellStyle name="Comma 12 11" xfId="32648"/>
    <cellStyle name="Comma 12 11 2" xfId="32649"/>
    <cellStyle name="Comma 12 11 3" xfId="32650"/>
    <cellStyle name="Comma 12 12" xfId="32651"/>
    <cellStyle name="Comma 12 12 2" xfId="32652"/>
    <cellStyle name="Comma 12 12 3" xfId="32653"/>
    <cellStyle name="Comma 12 13" xfId="32654"/>
    <cellStyle name="Comma 12 13 2" xfId="32655"/>
    <cellStyle name="Comma 12 14" xfId="32656"/>
    <cellStyle name="Comma 12 15" xfId="32657"/>
    <cellStyle name="Comma 12 16" xfId="32658"/>
    <cellStyle name="Comma 12 2" xfId="3239"/>
    <cellStyle name="Comma 12 2 10" xfId="32659"/>
    <cellStyle name="Comma 12 2 10 2" xfId="32660"/>
    <cellStyle name="Comma 12 2 10 3" xfId="32661"/>
    <cellStyle name="Comma 12 2 11" xfId="32662"/>
    <cellStyle name="Comma 12 2 11 2" xfId="32663"/>
    <cellStyle name="Comma 12 2 11 3" xfId="32664"/>
    <cellStyle name="Comma 12 2 12" xfId="32665"/>
    <cellStyle name="Comma 12 2 12 2" xfId="32666"/>
    <cellStyle name="Comma 12 2 13" xfId="32667"/>
    <cellStyle name="Comma 12 2 14" xfId="32668"/>
    <cellStyle name="Comma 12 2 15" xfId="32669"/>
    <cellStyle name="Comma 12 2 2" xfId="9095"/>
    <cellStyle name="Comma 12 2 2 10" xfId="32670"/>
    <cellStyle name="Comma 12 2 2 10 2" xfId="32671"/>
    <cellStyle name="Comma 12 2 2 10 3" xfId="32672"/>
    <cellStyle name="Comma 12 2 2 11" xfId="32673"/>
    <cellStyle name="Comma 12 2 2 11 2" xfId="32674"/>
    <cellStyle name="Comma 12 2 2 12" xfId="32675"/>
    <cellStyle name="Comma 12 2 2 13" xfId="32676"/>
    <cellStyle name="Comma 12 2 2 2" xfId="32677"/>
    <cellStyle name="Comma 12 2 2 2 10" xfId="32678"/>
    <cellStyle name="Comma 12 2 2 2 10 2" xfId="32679"/>
    <cellStyle name="Comma 12 2 2 2 11" xfId="32680"/>
    <cellStyle name="Comma 12 2 2 2 12" xfId="32681"/>
    <cellStyle name="Comma 12 2 2 2 2" xfId="32682"/>
    <cellStyle name="Comma 12 2 2 2 2 10" xfId="32683"/>
    <cellStyle name="Comma 12 2 2 2 2 2" xfId="32684"/>
    <cellStyle name="Comma 12 2 2 2 2 2 2" xfId="32685"/>
    <cellStyle name="Comma 12 2 2 2 2 2 2 2" xfId="32686"/>
    <cellStyle name="Comma 12 2 2 2 2 2 2 2 2" xfId="32687"/>
    <cellStyle name="Comma 12 2 2 2 2 2 2 2 3" xfId="32688"/>
    <cellStyle name="Comma 12 2 2 2 2 2 2 3" xfId="32689"/>
    <cellStyle name="Comma 12 2 2 2 2 2 2 3 2" xfId="32690"/>
    <cellStyle name="Comma 12 2 2 2 2 2 2 3 3" xfId="32691"/>
    <cellStyle name="Comma 12 2 2 2 2 2 2 4" xfId="32692"/>
    <cellStyle name="Comma 12 2 2 2 2 2 2 4 2" xfId="32693"/>
    <cellStyle name="Comma 12 2 2 2 2 2 2 5" xfId="32694"/>
    <cellStyle name="Comma 12 2 2 2 2 2 2 6" xfId="32695"/>
    <cellStyle name="Comma 12 2 2 2 2 2 3" xfId="32696"/>
    <cellStyle name="Comma 12 2 2 2 2 2 3 2" xfId="32697"/>
    <cellStyle name="Comma 12 2 2 2 2 2 3 2 2" xfId="32698"/>
    <cellStyle name="Comma 12 2 2 2 2 2 3 2 3" xfId="32699"/>
    <cellStyle name="Comma 12 2 2 2 2 2 3 3" xfId="32700"/>
    <cellStyle name="Comma 12 2 2 2 2 2 3 3 2" xfId="32701"/>
    <cellStyle name="Comma 12 2 2 2 2 2 3 3 3" xfId="32702"/>
    <cellStyle name="Comma 12 2 2 2 2 2 3 4" xfId="32703"/>
    <cellStyle name="Comma 12 2 2 2 2 2 3 4 2" xfId="32704"/>
    <cellStyle name="Comma 12 2 2 2 2 2 3 5" xfId="32705"/>
    <cellStyle name="Comma 12 2 2 2 2 2 3 6" xfId="32706"/>
    <cellStyle name="Comma 12 2 2 2 2 2 4" xfId="32707"/>
    <cellStyle name="Comma 12 2 2 2 2 2 4 2" xfId="32708"/>
    <cellStyle name="Comma 12 2 2 2 2 2 4 2 2" xfId="32709"/>
    <cellStyle name="Comma 12 2 2 2 2 2 4 2 3" xfId="32710"/>
    <cellStyle name="Comma 12 2 2 2 2 2 4 3" xfId="32711"/>
    <cellStyle name="Comma 12 2 2 2 2 2 4 3 2" xfId="32712"/>
    <cellStyle name="Comma 12 2 2 2 2 2 4 4" xfId="32713"/>
    <cellStyle name="Comma 12 2 2 2 2 2 4 5" xfId="32714"/>
    <cellStyle name="Comma 12 2 2 2 2 2 5" xfId="32715"/>
    <cellStyle name="Comma 12 2 2 2 2 2 5 2" xfId="32716"/>
    <cellStyle name="Comma 12 2 2 2 2 2 5 3" xfId="32717"/>
    <cellStyle name="Comma 12 2 2 2 2 2 6" xfId="32718"/>
    <cellStyle name="Comma 12 2 2 2 2 2 6 2" xfId="32719"/>
    <cellStyle name="Comma 12 2 2 2 2 2 6 3" xfId="32720"/>
    <cellStyle name="Comma 12 2 2 2 2 2 7" xfId="32721"/>
    <cellStyle name="Comma 12 2 2 2 2 2 7 2" xfId="32722"/>
    <cellStyle name="Comma 12 2 2 2 2 2 8" xfId="32723"/>
    <cellStyle name="Comma 12 2 2 2 2 2 9" xfId="32724"/>
    <cellStyle name="Comma 12 2 2 2 2 3" xfId="32725"/>
    <cellStyle name="Comma 12 2 2 2 2 3 2" xfId="32726"/>
    <cellStyle name="Comma 12 2 2 2 2 3 2 2" xfId="32727"/>
    <cellStyle name="Comma 12 2 2 2 2 3 2 3" xfId="32728"/>
    <cellStyle name="Comma 12 2 2 2 2 3 3" xfId="32729"/>
    <cellStyle name="Comma 12 2 2 2 2 3 3 2" xfId="32730"/>
    <cellStyle name="Comma 12 2 2 2 2 3 3 3" xfId="32731"/>
    <cellStyle name="Comma 12 2 2 2 2 3 4" xfId="32732"/>
    <cellStyle name="Comma 12 2 2 2 2 3 4 2" xfId="32733"/>
    <cellStyle name="Comma 12 2 2 2 2 3 5" xfId="32734"/>
    <cellStyle name="Comma 12 2 2 2 2 3 6" xfId="32735"/>
    <cellStyle name="Comma 12 2 2 2 2 4" xfId="32736"/>
    <cellStyle name="Comma 12 2 2 2 2 4 2" xfId="32737"/>
    <cellStyle name="Comma 12 2 2 2 2 4 2 2" xfId="32738"/>
    <cellStyle name="Comma 12 2 2 2 2 4 2 3" xfId="32739"/>
    <cellStyle name="Comma 12 2 2 2 2 4 3" xfId="32740"/>
    <cellStyle name="Comma 12 2 2 2 2 4 3 2" xfId="32741"/>
    <cellStyle name="Comma 12 2 2 2 2 4 3 3" xfId="32742"/>
    <cellStyle name="Comma 12 2 2 2 2 4 4" xfId="32743"/>
    <cellStyle name="Comma 12 2 2 2 2 4 4 2" xfId="32744"/>
    <cellStyle name="Comma 12 2 2 2 2 4 5" xfId="32745"/>
    <cellStyle name="Comma 12 2 2 2 2 4 6" xfId="32746"/>
    <cellStyle name="Comma 12 2 2 2 2 5" xfId="32747"/>
    <cellStyle name="Comma 12 2 2 2 2 5 2" xfId="32748"/>
    <cellStyle name="Comma 12 2 2 2 2 5 2 2" xfId="32749"/>
    <cellStyle name="Comma 12 2 2 2 2 5 2 3" xfId="32750"/>
    <cellStyle name="Comma 12 2 2 2 2 5 3" xfId="32751"/>
    <cellStyle name="Comma 12 2 2 2 2 5 3 2" xfId="32752"/>
    <cellStyle name="Comma 12 2 2 2 2 5 4" xfId="32753"/>
    <cellStyle name="Comma 12 2 2 2 2 5 5" xfId="32754"/>
    <cellStyle name="Comma 12 2 2 2 2 6" xfId="32755"/>
    <cellStyle name="Comma 12 2 2 2 2 6 2" xfId="32756"/>
    <cellStyle name="Comma 12 2 2 2 2 6 3" xfId="32757"/>
    <cellStyle name="Comma 12 2 2 2 2 7" xfId="32758"/>
    <cellStyle name="Comma 12 2 2 2 2 7 2" xfId="32759"/>
    <cellStyle name="Comma 12 2 2 2 2 7 3" xfId="32760"/>
    <cellStyle name="Comma 12 2 2 2 2 8" xfId="32761"/>
    <cellStyle name="Comma 12 2 2 2 2 8 2" xfId="32762"/>
    <cellStyle name="Comma 12 2 2 2 2 9" xfId="32763"/>
    <cellStyle name="Comma 12 2 2 2 3" xfId="32764"/>
    <cellStyle name="Comma 12 2 2 2 3 2" xfId="32765"/>
    <cellStyle name="Comma 12 2 2 2 3 2 2" xfId="32766"/>
    <cellStyle name="Comma 12 2 2 2 3 2 2 2" xfId="32767"/>
    <cellStyle name="Comma 12 2 2 2 3 2 2 3" xfId="32768"/>
    <cellStyle name="Comma 12 2 2 2 3 2 3" xfId="32769"/>
    <cellStyle name="Comma 12 2 2 2 3 2 3 2" xfId="32770"/>
    <cellStyle name="Comma 12 2 2 2 3 2 3 3" xfId="32771"/>
    <cellStyle name="Comma 12 2 2 2 3 2 4" xfId="32772"/>
    <cellStyle name="Comma 12 2 2 2 3 2 4 2" xfId="32773"/>
    <cellStyle name="Comma 12 2 2 2 3 2 5" xfId="32774"/>
    <cellStyle name="Comma 12 2 2 2 3 2 6" xfId="32775"/>
    <cellStyle name="Comma 12 2 2 2 3 3" xfId="32776"/>
    <cellStyle name="Comma 12 2 2 2 3 3 2" xfId="32777"/>
    <cellStyle name="Comma 12 2 2 2 3 3 2 2" xfId="32778"/>
    <cellStyle name="Comma 12 2 2 2 3 3 2 3" xfId="32779"/>
    <cellStyle name="Comma 12 2 2 2 3 3 3" xfId="32780"/>
    <cellStyle name="Comma 12 2 2 2 3 3 3 2" xfId="32781"/>
    <cellStyle name="Comma 12 2 2 2 3 3 3 3" xfId="32782"/>
    <cellStyle name="Comma 12 2 2 2 3 3 4" xfId="32783"/>
    <cellStyle name="Comma 12 2 2 2 3 3 4 2" xfId="32784"/>
    <cellStyle name="Comma 12 2 2 2 3 3 5" xfId="32785"/>
    <cellStyle name="Comma 12 2 2 2 3 3 6" xfId="32786"/>
    <cellStyle name="Comma 12 2 2 2 3 4" xfId="32787"/>
    <cellStyle name="Comma 12 2 2 2 3 4 2" xfId="32788"/>
    <cellStyle name="Comma 12 2 2 2 3 4 2 2" xfId="32789"/>
    <cellStyle name="Comma 12 2 2 2 3 4 2 3" xfId="32790"/>
    <cellStyle name="Comma 12 2 2 2 3 4 3" xfId="32791"/>
    <cellStyle name="Comma 12 2 2 2 3 4 3 2" xfId="32792"/>
    <cellStyle name="Comma 12 2 2 2 3 4 4" xfId="32793"/>
    <cellStyle name="Comma 12 2 2 2 3 4 5" xfId="32794"/>
    <cellStyle name="Comma 12 2 2 2 3 5" xfId="32795"/>
    <cellStyle name="Comma 12 2 2 2 3 5 2" xfId="32796"/>
    <cellStyle name="Comma 12 2 2 2 3 5 3" xfId="32797"/>
    <cellStyle name="Comma 12 2 2 2 3 6" xfId="32798"/>
    <cellStyle name="Comma 12 2 2 2 3 6 2" xfId="32799"/>
    <cellStyle name="Comma 12 2 2 2 3 6 3" xfId="32800"/>
    <cellStyle name="Comma 12 2 2 2 3 7" xfId="32801"/>
    <cellStyle name="Comma 12 2 2 2 3 7 2" xfId="32802"/>
    <cellStyle name="Comma 12 2 2 2 3 8" xfId="32803"/>
    <cellStyle name="Comma 12 2 2 2 3 9" xfId="32804"/>
    <cellStyle name="Comma 12 2 2 2 4" xfId="32805"/>
    <cellStyle name="Comma 12 2 2 2 4 2" xfId="32806"/>
    <cellStyle name="Comma 12 2 2 2 4 2 2" xfId="32807"/>
    <cellStyle name="Comma 12 2 2 2 4 2 2 2" xfId="32808"/>
    <cellStyle name="Comma 12 2 2 2 4 2 2 3" xfId="32809"/>
    <cellStyle name="Comma 12 2 2 2 4 2 3" xfId="32810"/>
    <cellStyle name="Comma 12 2 2 2 4 2 3 2" xfId="32811"/>
    <cellStyle name="Comma 12 2 2 2 4 2 3 3" xfId="32812"/>
    <cellStyle name="Comma 12 2 2 2 4 2 4" xfId="32813"/>
    <cellStyle name="Comma 12 2 2 2 4 2 4 2" xfId="32814"/>
    <cellStyle name="Comma 12 2 2 2 4 2 5" xfId="32815"/>
    <cellStyle name="Comma 12 2 2 2 4 2 6" xfId="32816"/>
    <cellStyle name="Comma 12 2 2 2 4 3" xfId="32817"/>
    <cellStyle name="Comma 12 2 2 2 4 3 2" xfId="32818"/>
    <cellStyle name="Comma 12 2 2 2 4 3 2 2" xfId="32819"/>
    <cellStyle name="Comma 12 2 2 2 4 3 2 3" xfId="32820"/>
    <cellStyle name="Comma 12 2 2 2 4 3 3" xfId="32821"/>
    <cellStyle name="Comma 12 2 2 2 4 3 3 2" xfId="32822"/>
    <cellStyle name="Comma 12 2 2 2 4 3 3 3" xfId="32823"/>
    <cellStyle name="Comma 12 2 2 2 4 3 4" xfId="32824"/>
    <cellStyle name="Comma 12 2 2 2 4 3 4 2" xfId="32825"/>
    <cellStyle name="Comma 12 2 2 2 4 3 5" xfId="32826"/>
    <cellStyle name="Comma 12 2 2 2 4 3 6" xfId="32827"/>
    <cellStyle name="Comma 12 2 2 2 4 4" xfId="32828"/>
    <cellStyle name="Comma 12 2 2 2 4 4 2" xfId="32829"/>
    <cellStyle name="Comma 12 2 2 2 4 4 2 2" xfId="32830"/>
    <cellStyle name="Comma 12 2 2 2 4 4 2 3" xfId="32831"/>
    <cellStyle name="Comma 12 2 2 2 4 4 3" xfId="32832"/>
    <cellStyle name="Comma 12 2 2 2 4 4 3 2" xfId="32833"/>
    <cellStyle name="Comma 12 2 2 2 4 4 4" xfId="32834"/>
    <cellStyle name="Comma 12 2 2 2 4 4 5" xfId="32835"/>
    <cellStyle name="Comma 12 2 2 2 4 5" xfId="32836"/>
    <cellStyle name="Comma 12 2 2 2 4 5 2" xfId="32837"/>
    <cellStyle name="Comma 12 2 2 2 4 5 3" xfId="32838"/>
    <cellStyle name="Comma 12 2 2 2 4 6" xfId="32839"/>
    <cellStyle name="Comma 12 2 2 2 4 6 2" xfId="32840"/>
    <cellStyle name="Comma 12 2 2 2 4 6 3" xfId="32841"/>
    <cellStyle name="Comma 12 2 2 2 4 7" xfId="32842"/>
    <cellStyle name="Comma 12 2 2 2 4 7 2" xfId="32843"/>
    <cellStyle name="Comma 12 2 2 2 4 8" xfId="32844"/>
    <cellStyle name="Comma 12 2 2 2 4 9" xfId="32845"/>
    <cellStyle name="Comma 12 2 2 2 5" xfId="32846"/>
    <cellStyle name="Comma 12 2 2 2 5 2" xfId="32847"/>
    <cellStyle name="Comma 12 2 2 2 5 2 2" xfId="32848"/>
    <cellStyle name="Comma 12 2 2 2 5 2 3" xfId="32849"/>
    <cellStyle name="Comma 12 2 2 2 5 3" xfId="32850"/>
    <cellStyle name="Comma 12 2 2 2 5 3 2" xfId="32851"/>
    <cellStyle name="Comma 12 2 2 2 5 3 3" xfId="32852"/>
    <cellStyle name="Comma 12 2 2 2 5 4" xfId="32853"/>
    <cellStyle name="Comma 12 2 2 2 5 4 2" xfId="32854"/>
    <cellStyle name="Comma 12 2 2 2 5 5" xfId="32855"/>
    <cellStyle name="Comma 12 2 2 2 5 6" xfId="32856"/>
    <cellStyle name="Comma 12 2 2 2 6" xfId="32857"/>
    <cellStyle name="Comma 12 2 2 2 6 2" xfId="32858"/>
    <cellStyle name="Comma 12 2 2 2 6 2 2" xfId="32859"/>
    <cellStyle name="Comma 12 2 2 2 6 2 3" xfId="32860"/>
    <cellStyle name="Comma 12 2 2 2 6 3" xfId="32861"/>
    <cellStyle name="Comma 12 2 2 2 6 3 2" xfId="32862"/>
    <cellStyle name="Comma 12 2 2 2 6 3 3" xfId="32863"/>
    <cellStyle name="Comma 12 2 2 2 6 4" xfId="32864"/>
    <cellStyle name="Comma 12 2 2 2 6 4 2" xfId="32865"/>
    <cellStyle name="Comma 12 2 2 2 6 5" xfId="32866"/>
    <cellStyle name="Comma 12 2 2 2 6 6" xfId="32867"/>
    <cellStyle name="Comma 12 2 2 2 7" xfId="32868"/>
    <cellStyle name="Comma 12 2 2 2 7 2" xfId="32869"/>
    <cellStyle name="Comma 12 2 2 2 7 2 2" xfId="32870"/>
    <cellStyle name="Comma 12 2 2 2 7 2 3" xfId="32871"/>
    <cellStyle name="Comma 12 2 2 2 7 3" xfId="32872"/>
    <cellStyle name="Comma 12 2 2 2 7 3 2" xfId="32873"/>
    <cellStyle name="Comma 12 2 2 2 7 4" xfId="32874"/>
    <cellStyle name="Comma 12 2 2 2 7 5" xfId="32875"/>
    <cellStyle name="Comma 12 2 2 2 8" xfId="32876"/>
    <cellStyle name="Comma 12 2 2 2 8 2" xfId="32877"/>
    <cellStyle name="Comma 12 2 2 2 8 3" xfId="32878"/>
    <cellStyle name="Comma 12 2 2 2 9" xfId="32879"/>
    <cellStyle name="Comma 12 2 2 2 9 2" xfId="32880"/>
    <cellStyle name="Comma 12 2 2 2 9 3" xfId="32881"/>
    <cellStyle name="Comma 12 2 2 3" xfId="32882"/>
    <cellStyle name="Comma 12 2 2 3 10" xfId="32883"/>
    <cellStyle name="Comma 12 2 2 3 2" xfId="32884"/>
    <cellStyle name="Comma 12 2 2 3 2 2" xfId="32885"/>
    <cellStyle name="Comma 12 2 2 3 2 2 2" xfId="32886"/>
    <cellStyle name="Comma 12 2 2 3 2 2 2 2" xfId="32887"/>
    <cellStyle name="Comma 12 2 2 3 2 2 2 3" xfId="32888"/>
    <cellStyle name="Comma 12 2 2 3 2 2 3" xfId="32889"/>
    <cellStyle name="Comma 12 2 2 3 2 2 3 2" xfId="32890"/>
    <cellStyle name="Comma 12 2 2 3 2 2 3 3" xfId="32891"/>
    <cellStyle name="Comma 12 2 2 3 2 2 4" xfId="32892"/>
    <cellStyle name="Comma 12 2 2 3 2 2 4 2" xfId="32893"/>
    <cellStyle name="Comma 12 2 2 3 2 2 5" xfId="32894"/>
    <cellStyle name="Comma 12 2 2 3 2 2 6" xfId="32895"/>
    <cellStyle name="Comma 12 2 2 3 2 3" xfId="32896"/>
    <cellStyle name="Comma 12 2 2 3 2 3 2" xfId="32897"/>
    <cellStyle name="Comma 12 2 2 3 2 3 2 2" xfId="32898"/>
    <cellStyle name="Comma 12 2 2 3 2 3 2 3" xfId="32899"/>
    <cellStyle name="Comma 12 2 2 3 2 3 3" xfId="32900"/>
    <cellStyle name="Comma 12 2 2 3 2 3 3 2" xfId="32901"/>
    <cellStyle name="Comma 12 2 2 3 2 3 3 3" xfId="32902"/>
    <cellStyle name="Comma 12 2 2 3 2 3 4" xfId="32903"/>
    <cellStyle name="Comma 12 2 2 3 2 3 4 2" xfId="32904"/>
    <cellStyle name="Comma 12 2 2 3 2 3 5" xfId="32905"/>
    <cellStyle name="Comma 12 2 2 3 2 3 6" xfId="32906"/>
    <cellStyle name="Comma 12 2 2 3 2 4" xfId="32907"/>
    <cellStyle name="Comma 12 2 2 3 2 4 2" xfId="32908"/>
    <cellStyle name="Comma 12 2 2 3 2 4 2 2" xfId="32909"/>
    <cellStyle name="Comma 12 2 2 3 2 4 2 3" xfId="32910"/>
    <cellStyle name="Comma 12 2 2 3 2 4 3" xfId="32911"/>
    <cellStyle name="Comma 12 2 2 3 2 4 3 2" xfId="32912"/>
    <cellStyle name="Comma 12 2 2 3 2 4 4" xfId="32913"/>
    <cellStyle name="Comma 12 2 2 3 2 4 5" xfId="32914"/>
    <cellStyle name="Comma 12 2 2 3 2 5" xfId="32915"/>
    <cellStyle name="Comma 12 2 2 3 2 5 2" xfId="32916"/>
    <cellStyle name="Comma 12 2 2 3 2 5 3" xfId="32917"/>
    <cellStyle name="Comma 12 2 2 3 2 6" xfId="32918"/>
    <cellStyle name="Comma 12 2 2 3 2 6 2" xfId="32919"/>
    <cellStyle name="Comma 12 2 2 3 2 6 3" xfId="32920"/>
    <cellStyle name="Comma 12 2 2 3 2 7" xfId="32921"/>
    <cellStyle name="Comma 12 2 2 3 2 7 2" xfId="32922"/>
    <cellStyle name="Comma 12 2 2 3 2 8" xfId="32923"/>
    <cellStyle name="Comma 12 2 2 3 2 9" xfId="32924"/>
    <cellStyle name="Comma 12 2 2 3 3" xfId="32925"/>
    <cellStyle name="Comma 12 2 2 3 3 2" xfId="32926"/>
    <cellStyle name="Comma 12 2 2 3 3 2 2" xfId="32927"/>
    <cellStyle name="Comma 12 2 2 3 3 2 3" xfId="32928"/>
    <cellStyle name="Comma 12 2 2 3 3 3" xfId="32929"/>
    <cellStyle name="Comma 12 2 2 3 3 3 2" xfId="32930"/>
    <cellStyle name="Comma 12 2 2 3 3 3 3" xfId="32931"/>
    <cellStyle name="Comma 12 2 2 3 3 4" xfId="32932"/>
    <cellStyle name="Comma 12 2 2 3 3 4 2" xfId="32933"/>
    <cellStyle name="Comma 12 2 2 3 3 5" xfId="32934"/>
    <cellStyle name="Comma 12 2 2 3 3 6" xfId="32935"/>
    <cellStyle name="Comma 12 2 2 3 4" xfId="32936"/>
    <cellStyle name="Comma 12 2 2 3 4 2" xfId="32937"/>
    <cellStyle name="Comma 12 2 2 3 4 2 2" xfId="32938"/>
    <cellStyle name="Comma 12 2 2 3 4 2 3" xfId="32939"/>
    <cellStyle name="Comma 12 2 2 3 4 3" xfId="32940"/>
    <cellStyle name="Comma 12 2 2 3 4 3 2" xfId="32941"/>
    <cellStyle name="Comma 12 2 2 3 4 3 3" xfId="32942"/>
    <cellStyle name="Comma 12 2 2 3 4 4" xfId="32943"/>
    <cellStyle name="Comma 12 2 2 3 4 4 2" xfId="32944"/>
    <cellStyle name="Comma 12 2 2 3 4 5" xfId="32945"/>
    <cellStyle name="Comma 12 2 2 3 4 6" xfId="32946"/>
    <cellStyle name="Comma 12 2 2 3 5" xfId="32947"/>
    <cellStyle name="Comma 12 2 2 3 5 2" xfId="32948"/>
    <cellStyle name="Comma 12 2 2 3 5 2 2" xfId="32949"/>
    <cellStyle name="Comma 12 2 2 3 5 2 3" xfId="32950"/>
    <cellStyle name="Comma 12 2 2 3 5 3" xfId="32951"/>
    <cellStyle name="Comma 12 2 2 3 5 3 2" xfId="32952"/>
    <cellStyle name="Comma 12 2 2 3 5 4" xfId="32953"/>
    <cellStyle name="Comma 12 2 2 3 5 5" xfId="32954"/>
    <cellStyle name="Comma 12 2 2 3 6" xfId="32955"/>
    <cellStyle name="Comma 12 2 2 3 6 2" xfId="32956"/>
    <cellStyle name="Comma 12 2 2 3 6 3" xfId="32957"/>
    <cellStyle name="Comma 12 2 2 3 7" xfId="32958"/>
    <cellStyle name="Comma 12 2 2 3 7 2" xfId="32959"/>
    <cellStyle name="Comma 12 2 2 3 7 3" xfId="32960"/>
    <cellStyle name="Comma 12 2 2 3 8" xfId="32961"/>
    <cellStyle name="Comma 12 2 2 3 8 2" xfId="32962"/>
    <cellStyle name="Comma 12 2 2 3 9" xfId="32963"/>
    <cellStyle name="Comma 12 2 2 4" xfId="32964"/>
    <cellStyle name="Comma 12 2 2 4 2" xfId="32965"/>
    <cellStyle name="Comma 12 2 2 4 2 2" xfId="32966"/>
    <cellStyle name="Comma 12 2 2 4 2 2 2" xfId="32967"/>
    <cellStyle name="Comma 12 2 2 4 2 2 3" xfId="32968"/>
    <cellStyle name="Comma 12 2 2 4 2 3" xfId="32969"/>
    <cellStyle name="Comma 12 2 2 4 2 3 2" xfId="32970"/>
    <cellStyle name="Comma 12 2 2 4 2 3 3" xfId="32971"/>
    <cellStyle name="Comma 12 2 2 4 2 4" xfId="32972"/>
    <cellStyle name="Comma 12 2 2 4 2 4 2" xfId="32973"/>
    <cellStyle name="Comma 12 2 2 4 2 5" xfId="32974"/>
    <cellStyle name="Comma 12 2 2 4 2 6" xfId="32975"/>
    <cellStyle name="Comma 12 2 2 4 3" xfId="32976"/>
    <cellStyle name="Comma 12 2 2 4 3 2" xfId="32977"/>
    <cellStyle name="Comma 12 2 2 4 3 2 2" xfId="32978"/>
    <cellStyle name="Comma 12 2 2 4 3 2 3" xfId="32979"/>
    <cellStyle name="Comma 12 2 2 4 3 3" xfId="32980"/>
    <cellStyle name="Comma 12 2 2 4 3 3 2" xfId="32981"/>
    <cellStyle name="Comma 12 2 2 4 3 3 3" xfId="32982"/>
    <cellStyle name="Comma 12 2 2 4 3 4" xfId="32983"/>
    <cellStyle name="Comma 12 2 2 4 3 4 2" xfId="32984"/>
    <cellStyle name="Comma 12 2 2 4 3 5" xfId="32985"/>
    <cellStyle name="Comma 12 2 2 4 3 6" xfId="32986"/>
    <cellStyle name="Comma 12 2 2 4 4" xfId="32987"/>
    <cellStyle name="Comma 12 2 2 4 4 2" xfId="32988"/>
    <cellStyle name="Comma 12 2 2 4 4 2 2" xfId="32989"/>
    <cellStyle name="Comma 12 2 2 4 4 2 3" xfId="32990"/>
    <cellStyle name="Comma 12 2 2 4 4 3" xfId="32991"/>
    <cellStyle name="Comma 12 2 2 4 4 3 2" xfId="32992"/>
    <cellStyle name="Comma 12 2 2 4 4 4" xfId="32993"/>
    <cellStyle name="Comma 12 2 2 4 4 5" xfId="32994"/>
    <cellStyle name="Comma 12 2 2 4 5" xfId="32995"/>
    <cellStyle name="Comma 12 2 2 4 5 2" xfId="32996"/>
    <cellStyle name="Comma 12 2 2 4 5 3" xfId="32997"/>
    <cellStyle name="Comma 12 2 2 4 6" xfId="32998"/>
    <cellStyle name="Comma 12 2 2 4 6 2" xfId="32999"/>
    <cellStyle name="Comma 12 2 2 4 6 3" xfId="33000"/>
    <cellStyle name="Comma 12 2 2 4 7" xfId="33001"/>
    <cellStyle name="Comma 12 2 2 4 7 2" xfId="33002"/>
    <cellStyle name="Comma 12 2 2 4 8" xfId="33003"/>
    <cellStyle name="Comma 12 2 2 4 9" xfId="33004"/>
    <cellStyle name="Comma 12 2 2 5" xfId="33005"/>
    <cellStyle name="Comma 12 2 2 5 2" xfId="33006"/>
    <cellStyle name="Comma 12 2 2 5 2 2" xfId="33007"/>
    <cellStyle name="Comma 12 2 2 5 2 2 2" xfId="33008"/>
    <cellStyle name="Comma 12 2 2 5 2 2 3" xfId="33009"/>
    <cellStyle name="Comma 12 2 2 5 2 3" xfId="33010"/>
    <cellStyle name="Comma 12 2 2 5 2 3 2" xfId="33011"/>
    <cellStyle name="Comma 12 2 2 5 2 3 3" xfId="33012"/>
    <cellStyle name="Comma 12 2 2 5 2 4" xfId="33013"/>
    <cellStyle name="Comma 12 2 2 5 2 4 2" xfId="33014"/>
    <cellStyle name="Comma 12 2 2 5 2 5" xfId="33015"/>
    <cellStyle name="Comma 12 2 2 5 2 6" xfId="33016"/>
    <cellStyle name="Comma 12 2 2 5 3" xfId="33017"/>
    <cellStyle name="Comma 12 2 2 5 3 2" xfId="33018"/>
    <cellStyle name="Comma 12 2 2 5 3 2 2" xfId="33019"/>
    <cellStyle name="Comma 12 2 2 5 3 2 3" xfId="33020"/>
    <cellStyle name="Comma 12 2 2 5 3 3" xfId="33021"/>
    <cellStyle name="Comma 12 2 2 5 3 3 2" xfId="33022"/>
    <cellStyle name="Comma 12 2 2 5 3 3 3" xfId="33023"/>
    <cellStyle name="Comma 12 2 2 5 3 4" xfId="33024"/>
    <cellStyle name="Comma 12 2 2 5 3 4 2" xfId="33025"/>
    <cellStyle name="Comma 12 2 2 5 3 5" xfId="33026"/>
    <cellStyle name="Comma 12 2 2 5 3 6" xfId="33027"/>
    <cellStyle name="Comma 12 2 2 5 4" xfId="33028"/>
    <cellStyle name="Comma 12 2 2 5 4 2" xfId="33029"/>
    <cellStyle name="Comma 12 2 2 5 4 2 2" xfId="33030"/>
    <cellStyle name="Comma 12 2 2 5 4 2 3" xfId="33031"/>
    <cellStyle name="Comma 12 2 2 5 4 3" xfId="33032"/>
    <cellStyle name="Comma 12 2 2 5 4 3 2" xfId="33033"/>
    <cellStyle name="Comma 12 2 2 5 4 4" xfId="33034"/>
    <cellStyle name="Comma 12 2 2 5 4 5" xfId="33035"/>
    <cellStyle name="Comma 12 2 2 5 5" xfId="33036"/>
    <cellStyle name="Comma 12 2 2 5 5 2" xfId="33037"/>
    <cellStyle name="Comma 12 2 2 5 5 3" xfId="33038"/>
    <cellStyle name="Comma 12 2 2 5 6" xfId="33039"/>
    <cellStyle name="Comma 12 2 2 5 6 2" xfId="33040"/>
    <cellStyle name="Comma 12 2 2 5 6 3" xfId="33041"/>
    <cellStyle name="Comma 12 2 2 5 7" xfId="33042"/>
    <cellStyle name="Comma 12 2 2 5 7 2" xfId="33043"/>
    <cellStyle name="Comma 12 2 2 5 8" xfId="33044"/>
    <cellStyle name="Comma 12 2 2 5 9" xfId="33045"/>
    <cellStyle name="Comma 12 2 2 6" xfId="33046"/>
    <cellStyle name="Comma 12 2 2 6 2" xfId="33047"/>
    <cellStyle name="Comma 12 2 2 6 2 2" xfId="33048"/>
    <cellStyle name="Comma 12 2 2 6 2 3" xfId="33049"/>
    <cellStyle name="Comma 12 2 2 6 3" xfId="33050"/>
    <cellStyle name="Comma 12 2 2 6 3 2" xfId="33051"/>
    <cellStyle name="Comma 12 2 2 6 3 3" xfId="33052"/>
    <cellStyle name="Comma 12 2 2 6 4" xfId="33053"/>
    <cellStyle name="Comma 12 2 2 6 4 2" xfId="33054"/>
    <cellStyle name="Comma 12 2 2 6 5" xfId="33055"/>
    <cellStyle name="Comma 12 2 2 6 6" xfId="33056"/>
    <cellStyle name="Comma 12 2 2 7" xfId="33057"/>
    <cellStyle name="Comma 12 2 2 7 2" xfId="33058"/>
    <cellStyle name="Comma 12 2 2 7 2 2" xfId="33059"/>
    <cellStyle name="Comma 12 2 2 7 2 3" xfId="33060"/>
    <cellStyle name="Comma 12 2 2 7 3" xfId="33061"/>
    <cellStyle name="Comma 12 2 2 7 3 2" xfId="33062"/>
    <cellStyle name="Comma 12 2 2 7 3 3" xfId="33063"/>
    <cellStyle name="Comma 12 2 2 7 4" xfId="33064"/>
    <cellStyle name="Comma 12 2 2 7 4 2" xfId="33065"/>
    <cellStyle name="Comma 12 2 2 7 5" xfId="33066"/>
    <cellStyle name="Comma 12 2 2 7 6" xfId="33067"/>
    <cellStyle name="Comma 12 2 2 8" xfId="33068"/>
    <cellStyle name="Comma 12 2 2 8 2" xfId="33069"/>
    <cellStyle name="Comma 12 2 2 8 2 2" xfId="33070"/>
    <cellStyle name="Comma 12 2 2 8 2 3" xfId="33071"/>
    <cellStyle name="Comma 12 2 2 8 3" xfId="33072"/>
    <cellStyle name="Comma 12 2 2 8 3 2" xfId="33073"/>
    <cellStyle name="Comma 12 2 2 8 4" xfId="33074"/>
    <cellStyle name="Comma 12 2 2 8 5" xfId="33075"/>
    <cellStyle name="Comma 12 2 2 9" xfId="33076"/>
    <cellStyle name="Comma 12 2 2 9 2" xfId="33077"/>
    <cellStyle name="Comma 12 2 2 9 3" xfId="33078"/>
    <cellStyle name="Comma 12 2 3" xfId="33079"/>
    <cellStyle name="Comma 12 2 3 10" xfId="33080"/>
    <cellStyle name="Comma 12 2 3 10 2" xfId="33081"/>
    <cellStyle name="Comma 12 2 3 11" xfId="33082"/>
    <cellStyle name="Comma 12 2 3 12" xfId="33083"/>
    <cellStyle name="Comma 12 2 3 2" xfId="33084"/>
    <cellStyle name="Comma 12 2 3 2 10" xfId="33085"/>
    <cellStyle name="Comma 12 2 3 2 2" xfId="33086"/>
    <cellStyle name="Comma 12 2 3 2 2 2" xfId="33087"/>
    <cellStyle name="Comma 12 2 3 2 2 2 2" xfId="33088"/>
    <cellStyle name="Comma 12 2 3 2 2 2 2 2" xfId="33089"/>
    <cellStyle name="Comma 12 2 3 2 2 2 2 3" xfId="33090"/>
    <cellStyle name="Comma 12 2 3 2 2 2 3" xfId="33091"/>
    <cellStyle name="Comma 12 2 3 2 2 2 3 2" xfId="33092"/>
    <cellStyle name="Comma 12 2 3 2 2 2 3 3" xfId="33093"/>
    <cellStyle name="Comma 12 2 3 2 2 2 4" xfId="33094"/>
    <cellStyle name="Comma 12 2 3 2 2 2 4 2" xfId="33095"/>
    <cellStyle name="Comma 12 2 3 2 2 2 5" xfId="33096"/>
    <cellStyle name="Comma 12 2 3 2 2 2 6" xfId="33097"/>
    <cellStyle name="Comma 12 2 3 2 2 3" xfId="33098"/>
    <cellStyle name="Comma 12 2 3 2 2 3 2" xfId="33099"/>
    <cellStyle name="Comma 12 2 3 2 2 3 2 2" xfId="33100"/>
    <cellStyle name="Comma 12 2 3 2 2 3 2 3" xfId="33101"/>
    <cellStyle name="Comma 12 2 3 2 2 3 3" xfId="33102"/>
    <cellStyle name="Comma 12 2 3 2 2 3 3 2" xfId="33103"/>
    <cellStyle name="Comma 12 2 3 2 2 3 3 3" xfId="33104"/>
    <cellStyle name="Comma 12 2 3 2 2 3 4" xfId="33105"/>
    <cellStyle name="Comma 12 2 3 2 2 3 4 2" xfId="33106"/>
    <cellStyle name="Comma 12 2 3 2 2 3 5" xfId="33107"/>
    <cellStyle name="Comma 12 2 3 2 2 3 6" xfId="33108"/>
    <cellStyle name="Comma 12 2 3 2 2 4" xfId="33109"/>
    <cellStyle name="Comma 12 2 3 2 2 4 2" xfId="33110"/>
    <cellStyle name="Comma 12 2 3 2 2 4 2 2" xfId="33111"/>
    <cellStyle name="Comma 12 2 3 2 2 4 2 3" xfId="33112"/>
    <cellStyle name="Comma 12 2 3 2 2 4 3" xfId="33113"/>
    <cellStyle name="Comma 12 2 3 2 2 4 3 2" xfId="33114"/>
    <cellStyle name="Comma 12 2 3 2 2 4 4" xfId="33115"/>
    <cellStyle name="Comma 12 2 3 2 2 4 5" xfId="33116"/>
    <cellStyle name="Comma 12 2 3 2 2 5" xfId="33117"/>
    <cellStyle name="Comma 12 2 3 2 2 5 2" xfId="33118"/>
    <cellStyle name="Comma 12 2 3 2 2 5 3" xfId="33119"/>
    <cellStyle name="Comma 12 2 3 2 2 6" xfId="33120"/>
    <cellStyle name="Comma 12 2 3 2 2 6 2" xfId="33121"/>
    <cellStyle name="Comma 12 2 3 2 2 6 3" xfId="33122"/>
    <cellStyle name="Comma 12 2 3 2 2 7" xfId="33123"/>
    <cellStyle name="Comma 12 2 3 2 2 7 2" xfId="33124"/>
    <cellStyle name="Comma 12 2 3 2 2 8" xfId="33125"/>
    <cellStyle name="Comma 12 2 3 2 2 9" xfId="33126"/>
    <cellStyle name="Comma 12 2 3 2 3" xfId="33127"/>
    <cellStyle name="Comma 12 2 3 2 3 2" xfId="33128"/>
    <cellStyle name="Comma 12 2 3 2 3 2 2" xfId="33129"/>
    <cellStyle name="Comma 12 2 3 2 3 2 3" xfId="33130"/>
    <cellStyle name="Comma 12 2 3 2 3 3" xfId="33131"/>
    <cellStyle name="Comma 12 2 3 2 3 3 2" xfId="33132"/>
    <cellStyle name="Comma 12 2 3 2 3 3 3" xfId="33133"/>
    <cellStyle name="Comma 12 2 3 2 3 4" xfId="33134"/>
    <cellStyle name="Comma 12 2 3 2 3 4 2" xfId="33135"/>
    <cellStyle name="Comma 12 2 3 2 3 5" xfId="33136"/>
    <cellStyle name="Comma 12 2 3 2 3 6" xfId="33137"/>
    <cellStyle name="Comma 12 2 3 2 4" xfId="33138"/>
    <cellStyle name="Comma 12 2 3 2 4 2" xfId="33139"/>
    <cellStyle name="Comma 12 2 3 2 4 2 2" xfId="33140"/>
    <cellStyle name="Comma 12 2 3 2 4 2 3" xfId="33141"/>
    <cellStyle name="Comma 12 2 3 2 4 3" xfId="33142"/>
    <cellStyle name="Comma 12 2 3 2 4 3 2" xfId="33143"/>
    <cellStyle name="Comma 12 2 3 2 4 3 3" xfId="33144"/>
    <cellStyle name="Comma 12 2 3 2 4 4" xfId="33145"/>
    <cellStyle name="Comma 12 2 3 2 4 4 2" xfId="33146"/>
    <cellStyle name="Comma 12 2 3 2 4 5" xfId="33147"/>
    <cellStyle name="Comma 12 2 3 2 4 6" xfId="33148"/>
    <cellStyle name="Comma 12 2 3 2 5" xfId="33149"/>
    <cellStyle name="Comma 12 2 3 2 5 2" xfId="33150"/>
    <cellStyle name="Comma 12 2 3 2 5 2 2" xfId="33151"/>
    <cellStyle name="Comma 12 2 3 2 5 2 3" xfId="33152"/>
    <cellStyle name="Comma 12 2 3 2 5 3" xfId="33153"/>
    <cellStyle name="Comma 12 2 3 2 5 3 2" xfId="33154"/>
    <cellStyle name="Comma 12 2 3 2 5 4" xfId="33155"/>
    <cellStyle name="Comma 12 2 3 2 5 5" xfId="33156"/>
    <cellStyle name="Comma 12 2 3 2 6" xfId="33157"/>
    <cellStyle name="Comma 12 2 3 2 6 2" xfId="33158"/>
    <cellStyle name="Comma 12 2 3 2 6 3" xfId="33159"/>
    <cellStyle name="Comma 12 2 3 2 7" xfId="33160"/>
    <cellStyle name="Comma 12 2 3 2 7 2" xfId="33161"/>
    <cellStyle name="Comma 12 2 3 2 7 3" xfId="33162"/>
    <cellStyle name="Comma 12 2 3 2 8" xfId="33163"/>
    <cellStyle name="Comma 12 2 3 2 8 2" xfId="33164"/>
    <cellStyle name="Comma 12 2 3 2 9" xfId="33165"/>
    <cellStyle name="Comma 12 2 3 3" xfId="33166"/>
    <cellStyle name="Comma 12 2 3 3 2" xfId="33167"/>
    <cellStyle name="Comma 12 2 3 3 2 2" xfId="33168"/>
    <cellStyle name="Comma 12 2 3 3 2 2 2" xfId="33169"/>
    <cellStyle name="Comma 12 2 3 3 2 2 3" xfId="33170"/>
    <cellStyle name="Comma 12 2 3 3 2 3" xfId="33171"/>
    <cellStyle name="Comma 12 2 3 3 2 3 2" xfId="33172"/>
    <cellStyle name="Comma 12 2 3 3 2 3 3" xfId="33173"/>
    <cellStyle name="Comma 12 2 3 3 2 4" xfId="33174"/>
    <cellStyle name="Comma 12 2 3 3 2 4 2" xfId="33175"/>
    <cellStyle name="Comma 12 2 3 3 2 5" xfId="33176"/>
    <cellStyle name="Comma 12 2 3 3 2 6" xfId="33177"/>
    <cellStyle name="Comma 12 2 3 3 3" xfId="33178"/>
    <cellStyle name="Comma 12 2 3 3 3 2" xfId="33179"/>
    <cellStyle name="Comma 12 2 3 3 3 2 2" xfId="33180"/>
    <cellStyle name="Comma 12 2 3 3 3 2 3" xfId="33181"/>
    <cellStyle name="Comma 12 2 3 3 3 3" xfId="33182"/>
    <cellStyle name="Comma 12 2 3 3 3 3 2" xfId="33183"/>
    <cellStyle name="Comma 12 2 3 3 3 3 3" xfId="33184"/>
    <cellStyle name="Comma 12 2 3 3 3 4" xfId="33185"/>
    <cellStyle name="Comma 12 2 3 3 3 4 2" xfId="33186"/>
    <cellStyle name="Comma 12 2 3 3 3 5" xfId="33187"/>
    <cellStyle name="Comma 12 2 3 3 3 6" xfId="33188"/>
    <cellStyle name="Comma 12 2 3 3 4" xfId="33189"/>
    <cellStyle name="Comma 12 2 3 3 4 2" xfId="33190"/>
    <cellStyle name="Comma 12 2 3 3 4 2 2" xfId="33191"/>
    <cellStyle name="Comma 12 2 3 3 4 2 3" xfId="33192"/>
    <cellStyle name="Comma 12 2 3 3 4 3" xfId="33193"/>
    <cellStyle name="Comma 12 2 3 3 4 3 2" xfId="33194"/>
    <cellStyle name="Comma 12 2 3 3 4 4" xfId="33195"/>
    <cellStyle name="Comma 12 2 3 3 4 5" xfId="33196"/>
    <cellStyle name="Comma 12 2 3 3 5" xfId="33197"/>
    <cellStyle name="Comma 12 2 3 3 5 2" xfId="33198"/>
    <cellStyle name="Comma 12 2 3 3 5 3" xfId="33199"/>
    <cellStyle name="Comma 12 2 3 3 6" xfId="33200"/>
    <cellStyle name="Comma 12 2 3 3 6 2" xfId="33201"/>
    <cellStyle name="Comma 12 2 3 3 6 3" xfId="33202"/>
    <cellStyle name="Comma 12 2 3 3 7" xfId="33203"/>
    <cellStyle name="Comma 12 2 3 3 7 2" xfId="33204"/>
    <cellStyle name="Comma 12 2 3 3 8" xfId="33205"/>
    <cellStyle name="Comma 12 2 3 3 9" xfId="33206"/>
    <cellStyle name="Comma 12 2 3 4" xfId="33207"/>
    <cellStyle name="Comma 12 2 3 4 2" xfId="33208"/>
    <cellStyle name="Comma 12 2 3 4 2 2" xfId="33209"/>
    <cellStyle name="Comma 12 2 3 4 2 2 2" xfId="33210"/>
    <cellStyle name="Comma 12 2 3 4 2 2 3" xfId="33211"/>
    <cellStyle name="Comma 12 2 3 4 2 3" xfId="33212"/>
    <cellStyle name="Comma 12 2 3 4 2 3 2" xfId="33213"/>
    <cellStyle name="Comma 12 2 3 4 2 3 3" xfId="33214"/>
    <cellStyle name="Comma 12 2 3 4 2 4" xfId="33215"/>
    <cellStyle name="Comma 12 2 3 4 2 4 2" xfId="33216"/>
    <cellStyle name="Comma 12 2 3 4 2 5" xfId="33217"/>
    <cellStyle name="Comma 12 2 3 4 2 6" xfId="33218"/>
    <cellStyle name="Comma 12 2 3 4 3" xfId="33219"/>
    <cellStyle name="Comma 12 2 3 4 3 2" xfId="33220"/>
    <cellStyle name="Comma 12 2 3 4 3 2 2" xfId="33221"/>
    <cellStyle name="Comma 12 2 3 4 3 2 3" xfId="33222"/>
    <cellStyle name="Comma 12 2 3 4 3 3" xfId="33223"/>
    <cellStyle name="Comma 12 2 3 4 3 3 2" xfId="33224"/>
    <cellStyle name="Comma 12 2 3 4 3 3 3" xfId="33225"/>
    <cellStyle name="Comma 12 2 3 4 3 4" xfId="33226"/>
    <cellStyle name="Comma 12 2 3 4 3 4 2" xfId="33227"/>
    <cellStyle name="Comma 12 2 3 4 3 5" xfId="33228"/>
    <cellStyle name="Comma 12 2 3 4 3 6" xfId="33229"/>
    <cellStyle name="Comma 12 2 3 4 4" xfId="33230"/>
    <cellStyle name="Comma 12 2 3 4 4 2" xfId="33231"/>
    <cellStyle name="Comma 12 2 3 4 4 2 2" xfId="33232"/>
    <cellStyle name="Comma 12 2 3 4 4 2 3" xfId="33233"/>
    <cellStyle name="Comma 12 2 3 4 4 3" xfId="33234"/>
    <cellStyle name="Comma 12 2 3 4 4 3 2" xfId="33235"/>
    <cellStyle name="Comma 12 2 3 4 4 4" xfId="33236"/>
    <cellStyle name="Comma 12 2 3 4 4 5" xfId="33237"/>
    <cellStyle name="Comma 12 2 3 4 5" xfId="33238"/>
    <cellStyle name="Comma 12 2 3 4 5 2" xfId="33239"/>
    <cellStyle name="Comma 12 2 3 4 5 3" xfId="33240"/>
    <cellStyle name="Comma 12 2 3 4 6" xfId="33241"/>
    <cellStyle name="Comma 12 2 3 4 6 2" xfId="33242"/>
    <cellStyle name="Comma 12 2 3 4 6 3" xfId="33243"/>
    <cellStyle name="Comma 12 2 3 4 7" xfId="33244"/>
    <cellStyle name="Comma 12 2 3 4 7 2" xfId="33245"/>
    <cellStyle name="Comma 12 2 3 4 8" xfId="33246"/>
    <cellStyle name="Comma 12 2 3 4 9" xfId="33247"/>
    <cellStyle name="Comma 12 2 3 5" xfId="33248"/>
    <cellStyle name="Comma 12 2 3 5 2" xfId="33249"/>
    <cellStyle name="Comma 12 2 3 5 2 2" xfId="33250"/>
    <cellStyle name="Comma 12 2 3 5 2 3" xfId="33251"/>
    <cellStyle name="Comma 12 2 3 5 3" xfId="33252"/>
    <cellStyle name="Comma 12 2 3 5 3 2" xfId="33253"/>
    <cellStyle name="Comma 12 2 3 5 3 3" xfId="33254"/>
    <cellStyle name="Comma 12 2 3 5 4" xfId="33255"/>
    <cellStyle name="Comma 12 2 3 5 4 2" xfId="33256"/>
    <cellStyle name="Comma 12 2 3 5 5" xfId="33257"/>
    <cellStyle name="Comma 12 2 3 5 6" xfId="33258"/>
    <cellStyle name="Comma 12 2 3 6" xfId="33259"/>
    <cellStyle name="Comma 12 2 3 6 2" xfId="33260"/>
    <cellStyle name="Comma 12 2 3 6 2 2" xfId="33261"/>
    <cellStyle name="Comma 12 2 3 6 2 3" xfId="33262"/>
    <cellStyle name="Comma 12 2 3 6 3" xfId="33263"/>
    <cellStyle name="Comma 12 2 3 6 3 2" xfId="33264"/>
    <cellStyle name="Comma 12 2 3 6 3 3" xfId="33265"/>
    <cellStyle name="Comma 12 2 3 6 4" xfId="33266"/>
    <cellStyle name="Comma 12 2 3 6 4 2" xfId="33267"/>
    <cellStyle name="Comma 12 2 3 6 5" xfId="33268"/>
    <cellStyle name="Comma 12 2 3 6 6" xfId="33269"/>
    <cellStyle name="Comma 12 2 3 7" xfId="33270"/>
    <cellStyle name="Comma 12 2 3 7 2" xfId="33271"/>
    <cellStyle name="Comma 12 2 3 7 2 2" xfId="33272"/>
    <cellStyle name="Comma 12 2 3 7 2 3" xfId="33273"/>
    <cellStyle name="Comma 12 2 3 7 3" xfId="33274"/>
    <cellStyle name="Comma 12 2 3 7 3 2" xfId="33275"/>
    <cellStyle name="Comma 12 2 3 7 4" xfId="33276"/>
    <cellStyle name="Comma 12 2 3 7 5" xfId="33277"/>
    <cellStyle name="Comma 12 2 3 8" xfId="33278"/>
    <cellStyle name="Comma 12 2 3 8 2" xfId="33279"/>
    <cellStyle name="Comma 12 2 3 8 3" xfId="33280"/>
    <cellStyle name="Comma 12 2 3 9" xfId="33281"/>
    <cellStyle name="Comma 12 2 3 9 2" xfId="33282"/>
    <cellStyle name="Comma 12 2 3 9 3" xfId="33283"/>
    <cellStyle name="Comma 12 2 4" xfId="33284"/>
    <cellStyle name="Comma 12 2 4 10" xfId="33285"/>
    <cellStyle name="Comma 12 2 4 2" xfId="33286"/>
    <cellStyle name="Comma 12 2 4 2 2" xfId="33287"/>
    <cellStyle name="Comma 12 2 4 2 2 2" xfId="33288"/>
    <cellStyle name="Comma 12 2 4 2 2 2 2" xfId="33289"/>
    <cellStyle name="Comma 12 2 4 2 2 2 3" xfId="33290"/>
    <cellStyle name="Comma 12 2 4 2 2 3" xfId="33291"/>
    <cellStyle name="Comma 12 2 4 2 2 3 2" xfId="33292"/>
    <cellStyle name="Comma 12 2 4 2 2 3 3" xfId="33293"/>
    <cellStyle name="Comma 12 2 4 2 2 4" xfId="33294"/>
    <cellStyle name="Comma 12 2 4 2 2 4 2" xfId="33295"/>
    <cellStyle name="Comma 12 2 4 2 2 5" xfId="33296"/>
    <cellStyle name="Comma 12 2 4 2 2 6" xfId="33297"/>
    <cellStyle name="Comma 12 2 4 2 3" xfId="33298"/>
    <cellStyle name="Comma 12 2 4 2 3 2" xfId="33299"/>
    <cellStyle name="Comma 12 2 4 2 3 2 2" xfId="33300"/>
    <cellStyle name="Comma 12 2 4 2 3 2 3" xfId="33301"/>
    <cellStyle name="Comma 12 2 4 2 3 3" xfId="33302"/>
    <cellStyle name="Comma 12 2 4 2 3 3 2" xfId="33303"/>
    <cellStyle name="Comma 12 2 4 2 3 3 3" xfId="33304"/>
    <cellStyle name="Comma 12 2 4 2 3 4" xfId="33305"/>
    <cellStyle name="Comma 12 2 4 2 3 4 2" xfId="33306"/>
    <cellStyle name="Comma 12 2 4 2 3 5" xfId="33307"/>
    <cellStyle name="Comma 12 2 4 2 3 6" xfId="33308"/>
    <cellStyle name="Comma 12 2 4 2 4" xfId="33309"/>
    <cellStyle name="Comma 12 2 4 2 4 2" xfId="33310"/>
    <cellStyle name="Comma 12 2 4 2 4 2 2" xfId="33311"/>
    <cellStyle name="Comma 12 2 4 2 4 2 3" xfId="33312"/>
    <cellStyle name="Comma 12 2 4 2 4 3" xfId="33313"/>
    <cellStyle name="Comma 12 2 4 2 4 3 2" xfId="33314"/>
    <cellStyle name="Comma 12 2 4 2 4 4" xfId="33315"/>
    <cellStyle name="Comma 12 2 4 2 4 5" xfId="33316"/>
    <cellStyle name="Comma 12 2 4 2 5" xfId="33317"/>
    <cellStyle name="Comma 12 2 4 2 5 2" xfId="33318"/>
    <cellStyle name="Comma 12 2 4 2 5 3" xfId="33319"/>
    <cellStyle name="Comma 12 2 4 2 6" xfId="33320"/>
    <cellStyle name="Comma 12 2 4 2 6 2" xfId="33321"/>
    <cellStyle name="Comma 12 2 4 2 6 3" xfId="33322"/>
    <cellStyle name="Comma 12 2 4 2 7" xfId="33323"/>
    <cellStyle name="Comma 12 2 4 2 7 2" xfId="33324"/>
    <cellStyle name="Comma 12 2 4 2 8" xfId="33325"/>
    <cellStyle name="Comma 12 2 4 2 9" xfId="33326"/>
    <cellStyle name="Comma 12 2 4 3" xfId="33327"/>
    <cellStyle name="Comma 12 2 4 3 2" xfId="33328"/>
    <cellStyle name="Comma 12 2 4 3 2 2" xfId="33329"/>
    <cellStyle name="Comma 12 2 4 3 2 3" xfId="33330"/>
    <cellStyle name="Comma 12 2 4 3 3" xfId="33331"/>
    <cellStyle name="Comma 12 2 4 3 3 2" xfId="33332"/>
    <cellStyle name="Comma 12 2 4 3 3 3" xfId="33333"/>
    <cellStyle name="Comma 12 2 4 3 4" xfId="33334"/>
    <cellStyle name="Comma 12 2 4 3 4 2" xfId="33335"/>
    <cellStyle name="Comma 12 2 4 3 5" xfId="33336"/>
    <cellStyle name="Comma 12 2 4 3 6" xfId="33337"/>
    <cellStyle name="Comma 12 2 4 4" xfId="33338"/>
    <cellStyle name="Comma 12 2 4 4 2" xfId="33339"/>
    <cellStyle name="Comma 12 2 4 4 2 2" xfId="33340"/>
    <cellStyle name="Comma 12 2 4 4 2 3" xfId="33341"/>
    <cellStyle name="Comma 12 2 4 4 3" xfId="33342"/>
    <cellStyle name="Comma 12 2 4 4 3 2" xfId="33343"/>
    <cellStyle name="Comma 12 2 4 4 3 3" xfId="33344"/>
    <cellStyle name="Comma 12 2 4 4 4" xfId="33345"/>
    <cellStyle name="Comma 12 2 4 4 4 2" xfId="33346"/>
    <cellStyle name="Comma 12 2 4 4 5" xfId="33347"/>
    <cellStyle name="Comma 12 2 4 4 6" xfId="33348"/>
    <cellStyle name="Comma 12 2 4 5" xfId="33349"/>
    <cellStyle name="Comma 12 2 4 5 2" xfId="33350"/>
    <cellStyle name="Comma 12 2 4 5 2 2" xfId="33351"/>
    <cellStyle name="Comma 12 2 4 5 2 3" xfId="33352"/>
    <cellStyle name="Comma 12 2 4 5 3" xfId="33353"/>
    <cellStyle name="Comma 12 2 4 5 3 2" xfId="33354"/>
    <cellStyle name="Comma 12 2 4 5 4" xfId="33355"/>
    <cellStyle name="Comma 12 2 4 5 5" xfId="33356"/>
    <cellStyle name="Comma 12 2 4 6" xfId="33357"/>
    <cellStyle name="Comma 12 2 4 6 2" xfId="33358"/>
    <cellStyle name="Comma 12 2 4 6 3" xfId="33359"/>
    <cellStyle name="Comma 12 2 4 7" xfId="33360"/>
    <cellStyle name="Comma 12 2 4 7 2" xfId="33361"/>
    <cellStyle name="Comma 12 2 4 7 3" xfId="33362"/>
    <cellStyle name="Comma 12 2 4 8" xfId="33363"/>
    <cellStyle name="Comma 12 2 4 8 2" xfId="33364"/>
    <cellStyle name="Comma 12 2 4 9" xfId="33365"/>
    <cellStyle name="Comma 12 2 5" xfId="33366"/>
    <cellStyle name="Comma 12 2 5 2" xfId="33367"/>
    <cellStyle name="Comma 12 2 5 2 2" xfId="33368"/>
    <cellStyle name="Comma 12 2 5 2 2 2" xfId="33369"/>
    <cellStyle name="Comma 12 2 5 2 2 3" xfId="33370"/>
    <cellStyle name="Comma 12 2 5 2 3" xfId="33371"/>
    <cellStyle name="Comma 12 2 5 2 3 2" xfId="33372"/>
    <cellStyle name="Comma 12 2 5 2 3 3" xfId="33373"/>
    <cellStyle name="Comma 12 2 5 2 4" xfId="33374"/>
    <cellStyle name="Comma 12 2 5 2 4 2" xfId="33375"/>
    <cellStyle name="Comma 12 2 5 2 5" xfId="33376"/>
    <cellStyle name="Comma 12 2 5 2 6" xfId="33377"/>
    <cellStyle name="Comma 12 2 5 3" xfId="33378"/>
    <cellStyle name="Comma 12 2 5 3 2" xfId="33379"/>
    <cellStyle name="Comma 12 2 5 3 2 2" xfId="33380"/>
    <cellStyle name="Comma 12 2 5 3 2 3" xfId="33381"/>
    <cellStyle name="Comma 12 2 5 3 3" xfId="33382"/>
    <cellStyle name="Comma 12 2 5 3 3 2" xfId="33383"/>
    <cellStyle name="Comma 12 2 5 3 3 3" xfId="33384"/>
    <cellStyle name="Comma 12 2 5 3 4" xfId="33385"/>
    <cellStyle name="Comma 12 2 5 3 4 2" xfId="33386"/>
    <cellStyle name="Comma 12 2 5 3 5" xfId="33387"/>
    <cellStyle name="Comma 12 2 5 3 6" xfId="33388"/>
    <cellStyle name="Comma 12 2 5 4" xfId="33389"/>
    <cellStyle name="Comma 12 2 5 4 2" xfId="33390"/>
    <cellStyle name="Comma 12 2 5 4 2 2" xfId="33391"/>
    <cellStyle name="Comma 12 2 5 4 2 3" xfId="33392"/>
    <cellStyle name="Comma 12 2 5 4 3" xfId="33393"/>
    <cellStyle name="Comma 12 2 5 4 3 2" xfId="33394"/>
    <cellStyle name="Comma 12 2 5 4 4" xfId="33395"/>
    <cellStyle name="Comma 12 2 5 4 5" xfId="33396"/>
    <cellStyle name="Comma 12 2 5 5" xfId="33397"/>
    <cellStyle name="Comma 12 2 5 5 2" xfId="33398"/>
    <cellStyle name="Comma 12 2 5 5 3" xfId="33399"/>
    <cellStyle name="Comma 12 2 5 6" xfId="33400"/>
    <cellStyle name="Comma 12 2 5 6 2" xfId="33401"/>
    <cellStyle name="Comma 12 2 5 6 3" xfId="33402"/>
    <cellStyle name="Comma 12 2 5 7" xfId="33403"/>
    <cellStyle name="Comma 12 2 5 7 2" xfId="33404"/>
    <cellStyle name="Comma 12 2 5 8" xfId="33405"/>
    <cellStyle name="Comma 12 2 5 9" xfId="33406"/>
    <cellStyle name="Comma 12 2 6" xfId="33407"/>
    <cellStyle name="Comma 12 2 6 2" xfId="33408"/>
    <cellStyle name="Comma 12 2 6 2 2" xfId="33409"/>
    <cellStyle name="Comma 12 2 6 2 2 2" xfId="33410"/>
    <cellStyle name="Comma 12 2 6 2 2 3" xfId="33411"/>
    <cellStyle name="Comma 12 2 6 2 3" xfId="33412"/>
    <cellStyle name="Comma 12 2 6 2 3 2" xfId="33413"/>
    <cellStyle name="Comma 12 2 6 2 3 3" xfId="33414"/>
    <cellStyle name="Comma 12 2 6 2 4" xfId="33415"/>
    <cellStyle name="Comma 12 2 6 2 4 2" xfId="33416"/>
    <cellStyle name="Comma 12 2 6 2 5" xfId="33417"/>
    <cellStyle name="Comma 12 2 6 2 6" xfId="33418"/>
    <cellStyle name="Comma 12 2 6 3" xfId="33419"/>
    <cellStyle name="Comma 12 2 6 3 2" xfId="33420"/>
    <cellStyle name="Comma 12 2 6 3 2 2" xfId="33421"/>
    <cellStyle name="Comma 12 2 6 3 2 3" xfId="33422"/>
    <cellStyle name="Comma 12 2 6 3 3" xfId="33423"/>
    <cellStyle name="Comma 12 2 6 3 3 2" xfId="33424"/>
    <cellStyle name="Comma 12 2 6 3 3 3" xfId="33425"/>
    <cellStyle name="Comma 12 2 6 3 4" xfId="33426"/>
    <cellStyle name="Comma 12 2 6 3 4 2" xfId="33427"/>
    <cellStyle name="Comma 12 2 6 3 5" xfId="33428"/>
    <cellStyle name="Comma 12 2 6 3 6" xfId="33429"/>
    <cellStyle name="Comma 12 2 6 4" xfId="33430"/>
    <cellStyle name="Comma 12 2 6 4 2" xfId="33431"/>
    <cellStyle name="Comma 12 2 6 4 2 2" xfId="33432"/>
    <cellStyle name="Comma 12 2 6 4 2 3" xfId="33433"/>
    <cellStyle name="Comma 12 2 6 4 3" xfId="33434"/>
    <cellStyle name="Comma 12 2 6 4 3 2" xfId="33435"/>
    <cellStyle name="Comma 12 2 6 4 4" xfId="33436"/>
    <cellStyle name="Comma 12 2 6 4 5" xfId="33437"/>
    <cellStyle name="Comma 12 2 6 5" xfId="33438"/>
    <cellStyle name="Comma 12 2 6 5 2" xfId="33439"/>
    <cellStyle name="Comma 12 2 6 5 3" xfId="33440"/>
    <cellStyle name="Comma 12 2 6 6" xfId="33441"/>
    <cellStyle name="Comma 12 2 6 6 2" xfId="33442"/>
    <cellStyle name="Comma 12 2 6 6 3" xfId="33443"/>
    <cellStyle name="Comma 12 2 6 7" xfId="33444"/>
    <cellStyle name="Comma 12 2 6 7 2" xfId="33445"/>
    <cellStyle name="Comma 12 2 6 8" xfId="33446"/>
    <cellStyle name="Comma 12 2 6 9" xfId="33447"/>
    <cellStyle name="Comma 12 2 7" xfId="33448"/>
    <cellStyle name="Comma 12 2 7 2" xfId="33449"/>
    <cellStyle name="Comma 12 2 7 2 2" xfId="33450"/>
    <cellStyle name="Comma 12 2 7 2 3" xfId="33451"/>
    <cellStyle name="Comma 12 2 7 3" xfId="33452"/>
    <cellStyle name="Comma 12 2 7 3 2" xfId="33453"/>
    <cellStyle name="Comma 12 2 7 3 3" xfId="33454"/>
    <cellStyle name="Comma 12 2 7 4" xfId="33455"/>
    <cellStyle name="Comma 12 2 7 4 2" xfId="33456"/>
    <cellStyle name="Comma 12 2 7 5" xfId="33457"/>
    <cellStyle name="Comma 12 2 7 6" xfId="33458"/>
    <cellStyle name="Comma 12 2 8" xfId="33459"/>
    <cellStyle name="Comma 12 2 8 2" xfId="33460"/>
    <cellStyle name="Comma 12 2 8 2 2" xfId="33461"/>
    <cellStyle name="Comma 12 2 8 2 3" xfId="33462"/>
    <cellStyle name="Comma 12 2 8 3" xfId="33463"/>
    <cellStyle name="Comma 12 2 8 3 2" xfId="33464"/>
    <cellStyle name="Comma 12 2 8 3 3" xfId="33465"/>
    <cellStyle name="Comma 12 2 8 4" xfId="33466"/>
    <cellStyle name="Comma 12 2 8 4 2" xfId="33467"/>
    <cellStyle name="Comma 12 2 8 5" xfId="33468"/>
    <cellStyle name="Comma 12 2 8 6" xfId="33469"/>
    <cellStyle name="Comma 12 2 9" xfId="33470"/>
    <cellStyle name="Comma 12 2 9 2" xfId="33471"/>
    <cellStyle name="Comma 12 2 9 2 2" xfId="33472"/>
    <cellStyle name="Comma 12 2 9 2 3" xfId="33473"/>
    <cellStyle name="Comma 12 2 9 3" xfId="33474"/>
    <cellStyle name="Comma 12 2 9 3 2" xfId="33475"/>
    <cellStyle name="Comma 12 2 9 4" xfId="33476"/>
    <cellStyle name="Comma 12 2 9 5" xfId="33477"/>
    <cellStyle name="Comma 12 3" xfId="9411"/>
    <cellStyle name="Comma 12 3 10" xfId="33478"/>
    <cellStyle name="Comma 12 3 10 2" xfId="33479"/>
    <cellStyle name="Comma 12 3 10 3" xfId="33480"/>
    <cellStyle name="Comma 12 3 11" xfId="33481"/>
    <cellStyle name="Comma 12 3 11 2" xfId="33482"/>
    <cellStyle name="Comma 12 3 12" xfId="33483"/>
    <cellStyle name="Comma 12 3 13" xfId="33484"/>
    <cellStyle name="Comma 12 3 2" xfId="33485"/>
    <cellStyle name="Comma 12 3 2 10" xfId="33486"/>
    <cellStyle name="Comma 12 3 2 10 2" xfId="33487"/>
    <cellStyle name="Comma 12 3 2 11" xfId="33488"/>
    <cellStyle name="Comma 12 3 2 12" xfId="33489"/>
    <cellStyle name="Comma 12 3 2 2" xfId="33490"/>
    <cellStyle name="Comma 12 3 2 2 10" xfId="33491"/>
    <cellStyle name="Comma 12 3 2 2 2" xfId="33492"/>
    <cellStyle name="Comma 12 3 2 2 2 2" xfId="33493"/>
    <cellStyle name="Comma 12 3 2 2 2 2 2" xfId="33494"/>
    <cellStyle name="Comma 12 3 2 2 2 2 2 2" xfId="33495"/>
    <cellStyle name="Comma 12 3 2 2 2 2 2 3" xfId="33496"/>
    <cellStyle name="Comma 12 3 2 2 2 2 3" xfId="33497"/>
    <cellStyle name="Comma 12 3 2 2 2 2 3 2" xfId="33498"/>
    <cellStyle name="Comma 12 3 2 2 2 2 3 3" xfId="33499"/>
    <cellStyle name="Comma 12 3 2 2 2 2 4" xfId="33500"/>
    <cellStyle name="Comma 12 3 2 2 2 2 4 2" xfId="33501"/>
    <cellStyle name="Comma 12 3 2 2 2 2 5" xfId="33502"/>
    <cellStyle name="Comma 12 3 2 2 2 2 6" xfId="33503"/>
    <cellStyle name="Comma 12 3 2 2 2 3" xfId="33504"/>
    <cellStyle name="Comma 12 3 2 2 2 3 2" xfId="33505"/>
    <cellStyle name="Comma 12 3 2 2 2 3 2 2" xfId="33506"/>
    <cellStyle name="Comma 12 3 2 2 2 3 2 3" xfId="33507"/>
    <cellStyle name="Comma 12 3 2 2 2 3 3" xfId="33508"/>
    <cellStyle name="Comma 12 3 2 2 2 3 3 2" xfId="33509"/>
    <cellStyle name="Comma 12 3 2 2 2 3 3 3" xfId="33510"/>
    <cellStyle name="Comma 12 3 2 2 2 3 4" xfId="33511"/>
    <cellStyle name="Comma 12 3 2 2 2 3 4 2" xfId="33512"/>
    <cellStyle name="Comma 12 3 2 2 2 3 5" xfId="33513"/>
    <cellStyle name="Comma 12 3 2 2 2 3 6" xfId="33514"/>
    <cellStyle name="Comma 12 3 2 2 2 4" xfId="33515"/>
    <cellStyle name="Comma 12 3 2 2 2 4 2" xfId="33516"/>
    <cellStyle name="Comma 12 3 2 2 2 4 2 2" xfId="33517"/>
    <cellStyle name="Comma 12 3 2 2 2 4 2 3" xfId="33518"/>
    <cellStyle name="Comma 12 3 2 2 2 4 3" xfId="33519"/>
    <cellStyle name="Comma 12 3 2 2 2 4 3 2" xfId="33520"/>
    <cellStyle name="Comma 12 3 2 2 2 4 4" xfId="33521"/>
    <cellStyle name="Comma 12 3 2 2 2 4 5" xfId="33522"/>
    <cellStyle name="Comma 12 3 2 2 2 5" xfId="33523"/>
    <cellStyle name="Comma 12 3 2 2 2 5 2" xfId="33524"/>
    <cellStyle name="Comma 12 3 2 2 2 5 3" xfId="33525"/>
    <cellStyle name="Comma 12 3 2 2 2 6" xfId="33526"/>
    <cellStyle name="Comma 12 3 2 2 2 6 2" xfId="33527"/>
    <cellStyle name="Comma 12 3 2 2 2 6 3" xfId="33528"/>
    <cellStyle name="Comma 12 3 2 2 2 7" xfId="33529"/>
    <cellStyle name="Comma 12 3 2 2 2 7 2" xfId="33530"/>
    <cellStyle name="Comma 12 3 2 2 2 8" xfId="33531"/>
    <cellStyle name="Comma 12 3 2 2 2 9" xfId="33532"/>
    <cellStyle name="Comma 12 3 2 2 3" xfId="33533"/>
    <cellStyle name="Comma 12 3 2 2 3 2" xfId="33534"/>
    <cellStyle name="Comma 12 3 2 2 3 2 2" xfId="33535"/>
    <cellStyle name="Comma 12 3 2 2 3 2 3" xfId="33536"/>
    <cellStyle name="Comma 12 3 2 2 3 3" xfId="33537"/>
    <cellStyle name="Comma 12 3 2 2 3 3 2" xfId="33538"/>
    <cellStyle name="Comma 12 3 2 2 3 3 3" xfId="33539"/>
    <cellStyle name="Comma 12 3 2 2 3 4" xfId="33540"/>
    <cellStyle name="Comma 12 3 2 2 3 4 2" xfId="33541"/>
    <cellStyle name="Comma 12 3 2 2 3 5" xfId="33542"/>
    <cellStyle name="Comma 12 3 2 2 3 6" xfId="33543"/>
    <cellStyle name="Comma 12 3 2 2 4" xfId="33544"/>
    <cellStyle name="Comma 12 3 2 2 4 2" xfId="33545"/>
    <cellStyle name="Comma 12 3 2 2 4 2 2" xfId="33546"/>
    <cellStyle name="Comma 12 3 2 2 4 2 3" xfId="33547"/>
    <cellStyle name="Comma 12 3 2 2 4 3" xfId="33548"/>
    <cellStyle name="Comma 12 3 2 2 4 3 2" xfId="33549"/>
    <cellStyle name="Comma 12 3 2 2 4 3 3" xfId="33550"/>
    <cellStyle name="Comma 12 3 2 2 4 4" xfId="33551"/>
    <cellStyle name="Comma 12 3 2 2 4 4 2" xfId="33552"/>
    <cellStyle name="Comma 12 3 2 2 4 5" xfId="33553"/>
    <cellStyle name="Comma 12 3 2 2 4 6" xfId="33554"/>
    <cellStyle name="Comma 12 3 2 2 5" xfId="33555"/>
    <cellStyle name="Comma 12 3 2 2 5 2" xfId="33556"/>
    <cellStyle name="Comma 12 3 2 2 5 2 2" xfId="33557"/>
    <cellStyle name="Comma 12 3 2 2 5 2 3" xfId="33558"/>
    <cellStyle name="Comma 12 3 2 2 5 3" xfId="33559"/>
    <cellStyle name="Comma 12 3 2 2 5 3 2" xfId="33560"/>
    <cellStyle name="Comma 12 3 2 2 5 4" xfId="33561"/>
    <cellStyle name="Comma 12 3 2 2 5 5" xfId="33562"/>
    <cellStyle name="Comma 12 3 2 2 6" xfId="33563"/>
    <cellStyle name="Comma 12 3 2 2 6 2" xfId="33564"/>
    <cellStyle name="Comma 12 3 2 2 6 3" xfId="33565"/>
    <cellStyle name="Comma 12 3 2 2 7" xfId="33566"/>
    <cellStyle name="Comma 12 3 2 2 7 2" xfId="33567"/>
    <cellStyle name="Comma 12 3 2 2 7 3" xfId="33568"/>
    <cellStyle name="Comma 12 3 2 2 8" xfId="33569"/>
    <cellStyle name="Comma 12 3 2 2 8 2" xfId="33570"/>
    <cellStyle name="Comma 12 3 2 2 9" xfId="33571"/>
    <cellStyle name="Comma 12 3 2 3" xfId="33572"/>
    <cellStyle name="Comma 12 3 2 3 2" xfId="33573"/>
    <cellStyle name="Comma 12 3 2 3 2 2" xfId="33574"/>
    <cellStyle name="Comma 12 3 2 3 2 2 2" xfId="33575"/>
    <cellStyle name="Comma 12 3 2 3 2 2 3" xfId="33576"/>
    <cellStyle name="Comma 12 3 2 3 2 3" xfId="33577"/>
    <cellStyle name="Comma 12 3 2 3 2 3 2" xfId="33578"/>
    <cellStyle name="Comma 12 3 2 3 2 3 3" xfId="33579"/>
    <cellStyle name="Comma 12 3 2 3 2 4" xfId="33580"/>
    <cellStyle name="Comma 12 3 2 3 2 4 2" xfId="33581"/>
    <cellStyle name="Comma 12 3 2 3 2 5" xfId="33582"/>
    <cellStyle name="Comma 12 3 2 3 2 6" xfId="33583"/>
    <cellStyle name="Comma 12 3 2 3 3" xfId="33584"/>
    <cellStyle name="Comma 12 3 2 3 3 2" xfId="33585"/>
    <cellStyle name="Comma 12 3 2 3 3 2 2" xfId="33586"/>
    <cellStyle name="Comma 12 3 2 3 3 2 3" xfId="33587"/>
    <cellStyle name="Comma 12 3 2 3 3 3" xfId="33588"/>
    <cellStyle name="Comma 12 3 2 3 3 3 2" xfId="33589"/>
    <cellStyle name="Comma 12 3 2 3 3 3 3" xfId="33590"/>
    <cellStyle name="Comma 12 3 2 3 3 4" xfId="33591"/>
    <cellStyle name="Comma 12 3 2 3 3 4 2" xfId="33592"/>
    <cellStyle name="Comma 12 3 2 3 3 5" xfId="33593"/>
    <cellStyle name="Comma 12 3 2 3 3 6" xfId="33594"/>
    <cellStyle name="Comma 12 3 2 3 4" xfId="33595"/>
    <cellStyle name="Comma 12 3 2 3 4 2" xfId="33596"/>
    <cellStyle name="Comma 12 3 2 3 4 2 2" xfId="33597"/>
    <cellStyle name="Comma 12 3 2 3 4 2 3" xfId="33598"/>
    <cellStyle name="Comma 12 3 2 3 4 3" xfId="33599"/>
    <cellStyle name="Comma 12 3 2 3 4 3 2" xfId="33600"/>
    <cellStyle name="Comma 12 3 2 3 4 4" xfId="33601"/>
    <cellStyle name="Comma 12 3 2 3 4 5" xfId="33602"/>
    <cellStyle name="Comma 12 3 2 3 5" xfId="33603"/>
    <cellStyle name="Comma 12 3 2 3 5 2" xfId="33604"/>
    <cellStyle name="Comma 12 3 2 3 5 3" xfId="33605"/>
    <cellStyle name="Comma 12 3 2 3 6" xfId="33606"/>
    <cellStyle name="Comma 12 3 2 3 6 2" xfId="33607"/>
    <cellStyle name="Comma 12 3 2 3 6 3" xfId="33608"/>
    <cellStyle name="Comma 12 3 2 3 7" xfId="33609"/>
    <cellStyle name="Comma 12 3 2 3 7 2" xfId="33610"/>
    <cellStyle name="Comma 12 3 2 3 8" xfId="33611"/>
    <cellStyle name="Comma 12 3 2 3 9" xfId="33612"/>
    <cellStyle name="Comma 12 3 2 4" xfId="33613"/>
    <cellStyle name="Comma 12 3 2 4 2" xfId="33614"/>
    <cellStyle name="Comma 12 3 2 4 2 2" xfId="33615"/>
    <cellStyle name="Comma 12 3 2 4 2 2 2" xfId="33616"/>
    <cellStyle name="Comma 12 3 2 4 2 2 3" xfId="33617"/>
    <cellStyle name="Comma 12 3 2 4 2 3" xfId="33618"/>
    <cellStyle name="Comma 12 3 2 4 2 3 2" xfId="33619"/>
    <cellStyle name="Comma 12 3 2 4 2 3 3" xfId="33620"/>
    <cellStyle name="Comma 12 3 2 4 2 4" xfId="33621"/>
    <cellStyle name="Comma 12 3 2 4 2 4 2" xfId="33622"/>
    <cellStyle name="Comma 12 3 2 4 2 5" xfId="33623"/>
    <cellStyle name="Comma 12 3 2 4 2 6" xfId="33624"/>
    <cellStyle name="Comma 12 3 2 4 3" xfId="33625"/>
    <cellStyle name="Comma 12 3 2 4 3 2" xfId="33626"/>
    <cellStyle name="Comma 12 3 2 4 3 2 2" xfId="33627"/>
    <cellStyle name="Comma 12 3 2 4 3 2 3" xfId="33628"/>
    <cellStyle name="Comma 12 3 2 4 3 3" xfId="33629"/>
    <cellStyle name="Comma 12 3 2 4 3 3 2" xfId="33630"/>
    <cellStyle name="Comma 12 3 2 4 3 3 3" xfId="33631"/>
    <cellStyle name="Comma 12 3 2 4 3 4" xfId="33632"/>
    <cellStyle name="Comma 12 3 2 4 3 4 2" xfId="33633"/>
    <cellStyle name="Comma 12 3 2 4 3 5" xfId="33634"/>
    <cellStyle name="Comma 12 3 2 4 3 6" xfId="33635"/>
    <cellStyle name="Comma 12 3 2 4 4" xfId="33636"/>
    <cellStyle name="Comma 12 3 2 4 4 2" xfId="33637"/>
    <cellStyle name="Comma 12 3 2 4 4 2 2" xfId="33638"/>
    <cellStyle name="Comma 12 3 2 4 4 2 3" xfId="33639"/>
    <cellStyle name="Comma 12 3 2 4 4 3" xfId="33640"/>
    <cellStyle name="Comma 12 3 2 4 4 3 2" xfId="33641"/>
    <cellStyle name="Comma 12 3 2 4 4 4" xfId="33642"/>
    <cellStyle name="Comma 12 3 2 4 4 5" xfId="33643"/>
    <cellStyle name="Comma 12 3 2 4 5" xfId="33644"/>
    <cellStyle name="Comma 12 3 2 4 5 2" xfId="33645"/>
    <cellStyle name="Comma 12 3 2 4 5 3" xfId="33646"/>
    <cellStyle name="Comma 12 3 2 4 6" xfId="33647"/>
    <cellStyle name="Comma 12 3 2 4 6 2" xfId="33648"/>
    <cellStyle name="Comma 12 3 2 4 6 3" xfId="33649"/>
    <cellStyle name="Comma 12 3 2 4 7" xfId="33650"/>
    <cellStyle name="Comma 12 3 2 4 7 2" xfId="33651"/>
    <cellStyle name="Comma 12 3 2 4 8" xfId="33652"/>
    <cellStyle name="Comma 12 3 2 4 9" xfId="33653"/>
    <cellStyle name="Comma 12 3 2 5" xfId="33654"/>
    <cellStyle name="Comma 12 3 2 5 2" xfId="33655"/>
    <cellStyle name="Comma 12 3 2 5 2 2" xfId="33656"/>
    <cellStyle name="Comma 12 3 2 5 2 3" xfId="33657"/>
    <cellStyle name="Comma 12 3 2 5 3" xfId="33658"/>
    <cellStyle name="Comma 12 3 2 5 3 2" xfId="33659"/>
    <cellStyle name="Comma 12 3 2 5 3 3" xfId="33660"/>
    <cellStyle name="Comma 12 3 2 5 4" xfId="33661"/>
    <cellStyle name="Comma 12 3 2 5 4 2" xfId="33662"/>
    <cellStyle name="Comma 12 3 2 5 5" xfId="33663"/>
    <cellStyle name="Comma 12 3 2 5 6" xfId="33664"/>
    <cellStyle name="Comma 12 3 2 6" xfId="33665"/>
    <cellStyle name="Comma 12 3 2 6 2" xfId="33666"/>
    <cellStyle name="Comma 12 3 2 6 2 2" xfId="33667"/>
    <cellStyle name="Comma 12 3 2 6 2 3" xfId="33668"/>
    <cellStyle name="Comma 12 3 2 6 3" xfId="33669"/>
    <cellStyle name="Comma 12 3 2 6 3 2" xfId="33670"/>
    <cellStyle name="Comma 12 3 2 6 3 3" xfId="33671"/>
    <cellStyle name="Comma 12 3 2 6 4" xfId="33672"/>
    <cellStyle name="Comma 12 3 2 6 4 2" xfId="33673"/>
    <cellStyle name="Comma 12 3 2 6 5" xfId="33674"/>
    <cellStyle name="Comma 12 3 2 6 6" xfId="33675"/>
    <cellStyle name="Comma 12 3 2 7" xfId="33676"/>
    <cellStyle name="Comma 12 3 2 7 2" xfId="33677"/>
    <cellStyle name="Comma 12 3 2 7 2 2" xfId="33678"/>
    <cellStyle name="Comma 12 3 2 7 2 3" xfId="33679"/>
    <cellStyle name="Comma 12 3 2 7 3" xfId="33680"/>
    <cellStyle name="Comma 12 3 2 7 3 2" xfId="33681"/>
    <cellStyle name="Comma 12 3 2 7 4" xfId="33682"/>
    <cellStyle name="Comma 12 3 2 7 5" xfId="33683"/>
    <cellStyle name="Comma 12 3 2 8" xfId="33684"/>
    <cellStyle name="Comma 12 3 2 8 2" xfId="33685"/>
    <cellStyle name="Comma 12 3 2 8 3" xfId="33686"/>
    <cellStyle name="Comma 12 3 2 9" xfId="33687"/>
    <cellStyle name="Comma 12 3 2 9 2" xfId="33688"/>
    <cellStyle name="Comma 12 3 2 9 3" xfId="33689"/>
    <cellStyle name="Comma 12 3 3" xfId="33690"/>
    <cellStyle name="Comma 12 3 3 10" xfId="33691"/>
    <cellStyle name="Comma 12 3 3 2" xfId="33692"/>
    <cellStyle name="Comma 12 3 3 2 2" xfId="33693"/>
    <cellStyle name="Comma 12 3 3 2 2 2" xfId="33694"/>
    <cellStyle name="Comma 12 3 3 2 2 2 2" xfId="33695"/>
    <cellStyle name="Comma 12 3 3 2 2 2 3" xfId="33696"/>
    <cellStyle name="Comma 12 3 3 2 2 3" xfId="33697"/>
    <cellStyle name="Comma 12 3 3 2 2 3 2" xfId="33698"/>
    <cellStyle name="Comma 12 3 3 2 2 3 3" xfId="33699"/>
    <cellStyle name="Comma 12 3 3 2 2 4" xfId="33700"/>
    <cellStyle name="Comma 12 3 3 2 2 4 2" xfId="33701"/>
    <cellStyle name="Comma 12 3 3 2 2 5" xfId="33702"/>
    <cellStyle name="Comma 12 3 3 2 2 6" xfId="33703"/>
    <cellStyle name="Comma 12 3 3 2 3" xfId="33704"/>
    <cellStyle name="Comma 12 3 3 2 3 2" xfId="33705"/>
    <cellStyle name="Comma 12 3 3 2 3 2 2" xfId="33706"/>
    <cellStyle name="Comma 12 3 3 2 3 2 3" xfId="33707"/>
    <cellStyle name="Comma 12 3 3 2 3 3" xfId="33708"/>
    <cellStyle name="Comma 12 3 3 2 3 3 2" xfId="33709"/>
    <cellStyle name="Comma 12 3 3 2 3 3 3" xfId="33710"/>
    <cellStyle name="Comma 12 3 3 2 3 4" xfId="33711"/>
    <cellStyle name="Comma 12 3 3 2 3 4 2" xfId="33712"/>
    <cellStyle name="Comma 12 3 3 2 3 5" xfId="33713"/>
    <cellStyle name="Comma 12 3 3 2 3 6" xfId="33714"/>
    <cellStyle name="Comma 12 3 3 2 4" xfId="33715"/>
    <cellStyle name="Comma 12 3 3 2 4 2" xfId="33716"/>
    <cellStyle name="Comma 12 3 3 2 4 2 2" xfId="33717"/>
    <cellStyle name="Comma 12 3 3 2 4 2 3" xfId="33718"/>
    <cellStyle name="Comma 12 3 3 2 4 3" xfId="33719"/>
    <cellStyle name="Comma 12 3 3 2 4 3 2" xfId="33720"/>
    <cellStyle name="Comma 12 3 3 2 4 4" xfId="33721"/>
    <cellStyle name="Comma 12 3 3 2 4 5" xfId="33722"/>
    <cellStyle name="Comma 12 3 3 2 5" xfId="33723"/>
    <cellStyle name="Comma 12 3 3 2 5 2" xfId="33724"/>
    <cellStyle name="Comma 12 3 3 2 5 3" xfId="33725"/>
    <cellStyle name="Comma 12 3 3 2 6" xfId="33726"/>
    <cellStyle name="Comma 12 3 3 2 6 2" xfId="33727"/>
    <cellStyle name="Comma 12 3 3 2 6 3" xfId="33728"/>
    <cellStyle name="Comma 12 3 3 2 7" xfId="33729"/>
    <cellStyle name="Comma 12 3 3 2 7 2" xfId="33730"/>
    <cellStyle name="Comma 12 3 3 2 8" xfId="33731"/>
    <cellStyle name="Comma 12 3 3 2 9" xfId="33732"/>
    <cellStyle name="Comma 12 3 3 3" xfId="33733"/>
    <cellStyle name="Comma 12 3 3 3 2" xfId="33734"/>
    <cellStyle name="Comma 12 3 3 3 2 2" xfId="33735"/>
    <cellStyle name="Comma 12 3 3 3 2 3" xfId="33736"/>
    <cellStyle name="Comma 12 3 3 3 3" xfId="33737"/>
    <cellStyle name="Comma 12 3 3 3 3 2" xfId="33738"/>
    <cellStyle name="Comma 12 3 3 3 3 3" xfId="33739"/>
    <cellStyle name="Comma 12 3 3 3 4" xfId="33740"/>
    <cellStyle name="Comma 12 3 3 3 4 2" xfId="33741"/>
    <cellStyle name="Comma 12 3 3 3 5" xfId="33742"/>
    <cellStyle name="Comma 12 3 3 3 6" xfId="33743"/>
    <cellStyle name="Comma 12 3 3 4" xfId="33744"/>
    <cellStyle name="Comma 12 3 3 4 2" xfId="33745"/>
    <cellStyle name="Comma 12 3 3 4 2 2" xfId="33746"/>
    <cellStyle name="Comma 12 3 3 4 2 3" xfId="33747"/>
    <cellStyle name="Comma 12 3 3 4 3" xfId="33748"/>
    <cellStyle name="Comma 12 3 3 4 3 2" xfId="33749"/>
    <cellStyle name="Comma 12 3 3 4 3 3" xfId="33750"/>
    <cellStyle name="Comma 12 3 3 4 4" xfId="33751"/>
    <cellStyle name="Comma 12 3 3 4 4 2" xfId="33752"/>
    <cellStyle name="Comma 12 3 3 4 5" xfId="33753"/>
    <cellStyle name="Comma 12 3 3 4 6" xfId="33754"/>
    <cellStyle name="Comma 12 3 3 5" xfId="33755"/>
    <cellStyle name="Comma 12 3 3 5 2" xfId="33756"/>
    <cellStyle name="Comma 12 3 3 5 2 2" xfId="33757"/>
    <cellStyle name="Comma 12 3 3 5 2 3" xfId="33758"/>
    <cellStyle name="Comma 12 3 3 5 3" xfId="33759"/>
    <cellStyle name="Comma 12 3 3 5 3 2" xfId="33760"/>
    <cellStyle name="Comma 12 3 3 5 4" xfId="33761"/>
    <cellStyle name="Comma 12 3 3 5 5" xfId="33762"/>
    <cellStyle name="Comma 12 3 3 6" xfId="33763"/>
    <cellStyle name="Comma 12 3 3 6 2" xfId="33764"/>
    <cellStyle name="Comma 12 3 3 6 3" xfId="33765"/>
    <cellStyle name="Comma 12 3 3 7" xfId="33766"/>
    <cellStyle name="Comma 12 3 3 7 2" xfId="33767"/>
    <cellStyle name="Comma 12 3 3 7 3" xfId="33768"/>
    <cellStyle name="Comma 12 3 3 8" xfId="33769"/>
    <cellStyle name="Comma 12 3 3 8 2" xfId="33770"/>
    <cellStyle name="Comma 12 3 3 9" xfId="33771"/>
    <cellStyle name="Comma 12 3 4" xfId="33772"/>
    <cellStyle name="Comma 12 3 4 2" xfId="33773"/>
    <cellStyle name="Comma 12 3 4 2 2" xfId="33774"/>
    <cellStyle name="Comma 12 3 4 2 2 2" xfId="33775"/>
    <cellStyle name="Comma 12 3 4 2 2 3" xfId="33776"/>
    <cellStyle name="Comma 12 3 4 2 3" xfId="33777"/>
    <cellStyle name="Comma 12 3 4 2 3 2" xfId="33778"/>
    <cellStyle name="Comma 12 3 4 2 3 3" xfId="33779"/>
    <cellStyle name="Comma 12 3 4 2 4" xfId="33780"/>
    <cellStyle name="Comma 12 3 4 2 4 2" xfId="33781"/>
    <cellStyle name="Comma 12 3 4 2 5" xfId="33782"/>
    <cellStyle name="Comma 12 3 4 2 6" xfId="33783"/>
    <cellStyle name="Comma 12 3 4 3" xfId="33784"/>
    <cellStyle name="Comma 12 3 4 3 2" xfId="33785"/>
    <cellStyle name="Comma 12 3 4 3 2 2" xfId="33786"/>
    <cellStyle name="Comma 12 3 4 3 2 3" xfId="33787"/>
    <cellStyle name="Comma 12 3 4 3 3" xfId="33788"/>
    <cellStyle name="Comma 12 3 4 3 3 2" xfId="33789"/>
    <cellStyle name="Comma 12 3 4 3 3 3" xfId="33790"/>
    <cellStyle name="Comma 12 3 4 3 4" xfId="33791"/>
    <cellStyle name="Comma 12 3 4 3 4 2" xfId="33792"/>
    <cellStyle name="Comma 12 3 4 3 5" xfId="33793"/>
    <cellStyle name="Comma 12 3 4 3 6" xfId="33794"/>
    <cellStyle name="Comma 12 3 4 4" xfId="33795"/>
    <cellStyle name="Comma 12 3 4 4 2" xfId="33796"/>
    <cellStyle name="Comma 12 3 4 4 2 2" xfId="33797"/>
    <cellStyle name="Comma 12 3 4 4 2 3" xfId="33798"/>
    <cellStyle name="Comma 12 3 4 4 3" xfId="33799"/>
    <cellStyle name="Comma 12 3 4 4 3 2" xfId="33800"/>
    <cellStyle name="Comma 12 3 4 4 4" xfId="33801"/>
    <cellStyle name="Comma 12 3 4 4 5" xfId="33802"/>
    <cellStyle name="Comma 12 3 4 5" xfId="33803"/>
    <cellStyle name="Comma 12 3 4 5 2" xfId="33804"/>
    <cellStyle name="Comma 12 3 4 5 3" xfId="33805"/>
    <cellStyle name="Comma 12 3 4 6" xfId="33806"/>
    <cellStyle name="Comma 12 3 4 6 2" xfId="33807"/>
    <cellStyle name="Comma 12 3 4 6 3" xfId="33808"/>
    <cellStyle name="Comma 12 3 4 7" xfId="33809"/>
    <cellStyle name="Comma 12 3 4 7 2" xfId="33810"/>
    <cellStyle name="Comma 12 3 4 8" xfId="33811"/>
    <cellStyle name="Comma 12 3 4 9" xfId="33812"/>
    <cellStyle name="Comma 12 3 5" xfId="33813"/>
    <cellStyle name="Comma 12 3 5 2" xfId="33814"/>
    <cellStyle name="Comma 12 3 5 2 2" xfId="33815"/>
    <cellStyle name="Comma 12 3 5 2 2 2" xfId="33816"/>
    <cellStyle name="Comma 12 3 5 2 2 3" xfId="33817"/>
    <cellStyle name="Comma 12 3 5 2 3" xfId="33818"/>
    <cellStyle name="Comma 12 3 5 2 3 2" xfId="33819"/>
    <cellStyle name="Comma 12 3 5 2 3 3" xfId="33820"/>
    <cellStyle name="Comma 12 3 5 2 4" xfId="33821"/>
    <cellStyle name="Comma 12 3 5 2 4 2" xfId="33822"/>
    <cellStyle name="Comma 12 3 5 2 5" xfId="33823"/>
    <cellStyle name="Comma 12 3 5 2 6" xfId="33824"/>
    <cellStyle name="Comma 12 3 5 3" xfId="33825"/>
    <cellStyle name="Comma 12 3 5 3 2" xfId="33826"/>
    <cellStyle name="Comma 12 3 5 3 2 2" xfId="33827"/>
    <cellStyle name="Comma 12 3 5 3 2 3" xfId="33828"/>
    <cellStyle name="Comma 12 3 5 3 3" xfId="33829"/>
    <cellStyle name="Comma 12 3 5 3 3 2" xfId="33830"/>
    <cellStyle name="Comma 12 3 5 3 3 3" xfId="33831"/>
    <cellStyle name="Comma 12 3 5 3 4" xfId="33832"/>
    <cellStyle name="Comma 12 3 5 3 4 2" xfId="33833"/>
    <cellStyle name="Comma 12 3 5 3 5" xfId="33834"/>
    <cellStyle name="Comma 12 3 5 3 6" xfId="33835"/>
    <cellStyle name="Comma 12 3 5 4" xfId="33836"/>
    <cellStyle name="Comma 12 3 5 4 2" xfId="33837"/>
    <cellStyle name="Comma 12 3 5 4 2 2" xfId="33838"/>
    <cellStyle name="Comma 12 3 5 4 2 3" xfId="33839"/>
    <cellStyle name="Comma 12 3 5 4 3" xfId="33840"/>
    <cellStyle name="Comma 12 3 5 4 3 2" xfId="33841"/>
    <cellStyle name="Comma 12 3 5 4 4" xfId="33842"/>
    <cellStyle name="Comma 12 3 5 4 5" xfId="33843"/>
    <cellStyle name="Comma 12 3 5 5" xfId="33844"/>
    <cellStyle name="Comma 12 3 5 5 2" xfId="33845"/>
    <cellStyle name="Comma 12 3 5 5 3" xfId="33846"/>
    <cellStyle name="Comma 12 3 5 6" xfId="33847"/>
    <cellStyle name="Comma 12 3 5 6 2" xfId="33848"/>
    <cellStyle name="Comma 12 3 5 6 3" xfId="33849"/>
    <cellStyle name="Comma 12 3 5 7" xfId="33850"/>
    <cellStyle name="Comma 12 3 5 7 2" xfId="33851"/>
    <cellStyle name="Comma 12 3 5 8" xfId="33852"/>
    <cellStyle name="Comma 12 3 5 9" xfId="33853"/>
    <cellStyle name="Comma 12 3 6" xfId="33854"/>
    <cellStyle name="Comma 12 3 6 2" xfId="33855"/>
    <cellStyle name="Comma 12 3 6 2 2" xfId="33856"/>
    <cellStyle name="Comma 12 3 6 2 3" xfId="33857"/>
    <cellStyle name="Comma 12 3 6 3" xfId="33858"/>
    <cellStyle name="Comma 12 3 6 3 2" xfId="33859"/>
    <cellStyle name="Comma 12 3 6 3 3" xfId="33860"/>
    <cellStyle name="Comma 12 3 6 4" xfId="33861"/>
    <cellStyle name="Comma 12 3 6 4 2" xfId="33862"/>
    <cellStyle name="Comma 12 3 6 5" xfId="33863"/>
    <cellStyle name="Comma 12 3 6 6" xfId="33864"/>
    <cellStyle name="Comma 12 3 7" xfId="33865"/>
    <cellStyle name="Comma 12 3 7 2" xfId="33866"/>
    <cellStyle name="Comma 12 3 7 2 2" xfId="33867"/>
    <cellStyle name="Comma 12 3 7 2 3" xfId="33868"/>
    <cellStyle name="Comma 12 3 7 3" xfId="33869"/>
    <cellStyle name="Comma 12 3 7 3 2" xfId="33870"/>
    <cellStyle name="Comma 12 3 7 3 3" xfId="33871"/>
    <cellStyle name="Comma 12 3 7 4" xfId="33872"/>
    <cellStyle name="Comma 12 3 7 4 2" xfId="33873"/>
    <cellStyle name="Comma 12 3 7 5" xfId="33874"/>
    <cellStyle name="Comma 12 3 7 6" xfId="33875"/>
    <cellStyle name="Comma 12 3 8" xfId="33876"/>
    <cellStyle name="Comma 12 3 8 2" xfId="33877"/>
    <cellStyle name="Comma 12 3 8 2 2" xfId="33878"/>
    <cellStyle name="Comma 12 3 8 2 3" xfId="33879"/>
    <cellStyle name="Comma 12 3 8 3" xfId="33880"/>
    <cellStyle name="Comma 12 3 8 3 2" xfId="33881"/>
    <cellStyle name="Comma 12 3 8 4" xfId="33882"/>
    <cellStyle name="Comma 12 3 8 5" xfId="33883"/>
    <cellStyle name="Comma 12 3 9" xfId="33884"/>
    <cellStyle name="Comma 12 3 9 2" xfId="33885"/>
    <cellStyle name="Comma 12 3 9 3" xfId="33886"/>
    <cellStyle name="Comma 12 4" xfId="33887"/>
    <cellStyle name="Comma 12 4 10" xfId="33888"/>
    <cellStyle name="Comma 12 4 10 2" xfId="33889"/>
    <cellStyle name="Comma 12 4 11" xfId="33890"/>
    <cellStyle name="Comma 12 4 12" xfId="33891"/>
    <cellStyle name="Comma 12 4 2" xfId="33892"/>
    <cellStyle name="Comma 12 4 2 10" xfId="33893"/>
    <cellStyle name="Comma 12 4 2 2" xfId="33894"/>
    <cellStyle name="Comma 12 4 2 2 2" xfId="33895"/>
    <cellStyle name="Comma 12 4 2 2 2 2" xfId="33896"/>
    <cellStyle name="Comma 12 4 2 2 2 2 2" xfId="33897"/>
    <cellStyle name="Comma 12 4 2 2 2 2 3" xfId="33898"/>
    <cellStyle name="Comma 12 4 2 2 2 3" xfId="33899"/>
    <cellStyle name="Comma 12 4 2 2 2 3 2" xfId="33900"/>
    <cellStyle name="Comma 12 4 2 2 2 3 3" xfId="33901"/>
    <cellStyle name="Comma 12 4 2 2 2 4" xfId="33902"/>
    <cellStyle name="Comma 12 4 2 2 2 4 2" xfId="33903"/>
    <cellStyle name="Comma 12 4 2 2 2 5" xfId="33904"/>
    <cellStyle name="Comma 12 4 2 2 2 6" xfId="33905"/>
    <cellStyle name="Comma 12 4 2 2 3" xfId="33906"/>
    <cellStyle name="Comma 12 4 2 2 3 2" xfId="33907"/>
    <cellStyle name="Comma 12 4 2 2 3 2 2" xfId="33908"/>
    <cellStyle name="Comma 12 4 2 2 3 2 3" xfId="33909"/>
    <cellStyle name="Comma 12 4 2 2 3 3" xfId="33910"/>
    <cellStyle name="Comma 12 4 2 2 3 3 2" xfId="33911"/>
    <cellStyle name="Comma 12 4 2 2 3 3 3" xfId="33912"/>
    <cellStyle name="Comma 12 4 2 2 3 4" xfId="33913"/>
    <cellStyle name="Comma 12 4 2 2 3 4 2" xfId="33914"/>
    <cellStyle name="Comma 12 4 2 2 3 5" xfId="33915"/>
    <cellStyle name="Comma 12 4 2 2 3 6" xfId="33916"/>
    <cellStyle name="Comma 12 4 2 2 4" xfId="33917"/>
    <cellStyle name="Comma 12 4 2 2 4 2" xfId="33918"/>
    <cellStyle name="Comma 12 4 2 2 4 2 2" xfId="33919"/>
    <cellStyle name="Comma 12 4 2 2 4 2 3" xfId="33920"/>
    <cellStyle name="Comma 12 4 2 2 4 3" xfId="33921"/>
    <cellStyle name="Comma 12 4 2 2 4 3 2" xfId="33922"/>
    <cellStyle name="Comma 12 4 2 2 4 4" xfId="33923"/>
    <cellStyle name="Comma 12 4 2 2 4 5" xfId="33924"/>
    <cellStyle name="Comma 12 4 2 2 5" xfId="33925"/>
    <cellStyle name="Comma 12 4 2 2 5 2" xfId="33926"/>
    <cellStyle name="Comma 12 4 2 2 5 3" xfId="33927"/>
    <cellStyle name="Comma 12 4 2 2 6" xfId="33928"/>
    <cellStyle name="Comma 12 4 2 2 6 2" xfId="33929"/>
    <cellStyle name="Comma 12 4 2 2 6 3" xfId="33930"/>
    <cellStyle name="Comma 12 4 2 2 7" xfId="33931"/>
    <cellStyle name="Comma 12 4 2 2 7 2" xfId="33932"/>
    <cellStyle name="Comma 12 4 2 2 8" xfId="33933"/>
    <cellStyle name="Comma 12 4 2 2 9" xfId="33934"/>
    <cellStyle name="Comma 12 4 2 3" xfId="33935"/>
    <cellStyle name="Comma 12 4 2 3 2" xfId="33936"/>
    <cellStyle name="Comma 12 4 2 3 2 2" xfId="33937"/>
    <cellStyle name="Comma 12 4 2 3 2 3" xfId="33938"/>
    <cellStyle name="Comma 12 4 2 3 3" xfId="33939"/>
    <cellStyle name="Comma 12 4 2 3 3 2" xfId="33940"/>
    <cellStyle name="Comma 12 4 2 3 3 3" xfId="33941"/>
    <cellStyle name="Comma 12 4 2 3 4" xfId="33942"/>
    <cellStyle name="Comma 12 4 2 3 4 2" xfId="33943"/>
    <cellStyle name="Comma 12 4 2 3 5" xfId="33944"/>
    <cellStyle name="Comma 12 4 2 3 6" xfId="33945"/>
    <cellStyle name="Comma 12 4 2 4" xfId="33946"/>
    <cellStyle name="Comma 12 4 2 4 2" xfId="33947"/>
    <cellStyle name="Comma 12 4 2 4 2 2" xfId="33948"/>
    <cellStyle name="Comma 12 4 2 4 2 3" xfId="33949"/>
    <cellStyle name="Comma 12 4 2 4 3" xfId="33950"/>
    <cellStyle name="Comma 12 4 2 4 3 2" xfId="33951"/>
    <cellStyle name="Comma 12 4 2 4 3 3" xfId="33952"/>
    <cellStyle name="Comma 12 4 2 4 4" xfId="33953"/>
    <cellStyle name="Comma 12 4 2 4 4 2" xfId="33954"/>
    <cellStyle name="Comma 12 4 2 4 5" xfId="33955"/>
    <cellStyle name="Comma 12 4 2 4 6" xfId="33956"/>
    <cellStyle name="Comma 12 4 2 5" xfId="33957"/>
    <cellStyle name="Comma 12 4 2 5 2" xfId="33958"/>
    <cellStyle name="Comma 12 4 2 5 2 2" xfId="33959"/>
    <cellStyle name="Comma 12 4 2 5 2 3" xfId="33960"/>
    <cellStyle name="Comma 12 4 2 5 3" xfId="33961"/>
    <cellStyle name="Comma 12 4 2 5 3 2" xfId="33962"/>
    <cellStyle name="Comma 12 4 2 5 4" xfId="33963"/>
    <cellStyle name="Comma 12 4 2 5 5" xfId="33964"/>
    <cellStyle name="Comma 12 4 2 6" xfId="33965"/>
    <cellStyle name="Comma 12 4 2 6 2" xfId="33966"/>
    <cellStyle name="Comma 12 4 2 6 3" xfId="33967"/>
    <cellStyle name="Comma 12 4 2 7" xfId="33968"/>
    <cellStyle name="Comma 12 4 2 7 2" xfId="33969"/>
    <cellStyle name="Comma 12 4 2 7 3" xfId="33970"/>
    <cellStyle name="Comma 12 4 2 8" xfId="33971"/>
    <cellStyle name="Comma 12 4 2 8 2" xfId="33972"/>
    <cellStyle name="Comma 12 4 2 9" xfId="33973"/>
    <cellStyle name="Comma 12 4 3" xfId="33974"/>
    <cellStyle name="Comma 12 4 3 2" xfId="33975"/>
    <cellStyle name="Comma 12 4 3 2 2" xfId="33976"/>
    <cellStyle name="Comma 12 4 3 2 2 2" xfId="33977"/>
    <cellStyle name="Comma 12 4 3 2 2 3" xfId="33978"/>
    <cellStyle name="Comma 12 4 3 2 3" xfId="33979"/>
    <cellStyle name="Comma 12 4 3 2 3 2" xfId="33980"/>
    <cellStyle name="Comma 12 4 3 2 3 3" xfId="33981"/>
    <cellStyle name="Comma 12 4 3 2 4" xfId="33982"/>
    <cellStyle name="Comma 12 4 3 2 4 2" xfId="33983"/>
    <cellStyle name="Comma 12 4 3 2 5" xfId="33984"/>
    <cellStyle name="Comma 12 4 3 2 6" xfId="33985"/>
    <cellStyle name="Comma 12 4 3 3" xfId="33986"/>
    <cellStyle name="Comma 12 4 3 3 2" xfId="33987"/>
    <cellStyle name="Comma 12 4 3 3 2 2" xfId="33988"/>
    <cellStyle name="Comma 12 4 3 3 2 3" xfId="33989"/>
    <cellStyle name="Comma 12 4 3 3 3" xfId="33990"/>
    <cellStyle name="Comma 12 4 3 3 3 2" xfId="33991"/>
    <cellStyle name="Comma 12 4 3 3 3 3" xfId="33992"/>
    <cellStyle name="Comma 12 4 3 3 4" xfId="33993"/>
    <cellStyle name="Comma 12 4 3 3 4 2" xfId="33994"/>
    <cellStyle name="Comma 12 4 3 3 5" xfId="33995"/>
    <cellStyle name="Comma 12 4 3 3 6" xfId="33996"/>
    <cellStyle name="Comma 12 4 3 4" xfId="33997"/>
    <cellStyle name="Comma 12 4 3 4 2" xfId="33998"/>
    <cellStyle name="Comma 12 4 3 4 2 2" xfId="33999"/>
    <cellStyle name="Comma 12 4 3 4 2 3" xfId="34000"/>
    <cellStyle name="Comma 12 4 3 4 3" xfId="34001"/>
    <cellStyle name="Comma 12 4 3 4 3 2" xfId="34002"/>
    <cellStyle name="Comma 12 4 3 4 4" xfId="34003"/>
    <cellStyle name="Comma 12 4 3 4 5" xfId="34004"/>
    <cellStyle name="Comma 12 4 3 5" xfId="34005"/>
    <cellStyle name="Comma 12 4 3 5 2" xfId="34006"/>
    <cellStyle name="Comma 12 4 3 5 3" xfId="34007"/>
    <cellStyle name="Comma 12 4 3 6" xfId="34008"/>
    <cellStyle name="Comma 12 4 3 6 2" xfId="34009"/>
    <cellStyle name="Comma 12 4 3 6 3" xfId="34010"/>
    <cellStyle name="Comma 12 4 3 7" xfId="34011"/>
    <cellStyle name="Comma 12 4 3 7 2" xfId="34012"/>
    <cellStyle name="Comma 12 4 3 8" xfId="34013"/>
    <cellStyle name="Comma 12 4 3 9" xfId="34014"/>
    <cellStyle name="Comma 12 4 4" xfId="34015"/>
    <cellStyle name="Comma 12 4 4 2" xfId="34016"/>
    <cellStyle name="Comma 12 4 4 2 2" xfId="34017"/>
    <cellStyle name="Comma 12 4 4 2 2 2" xfId="34018"/>
    <cellStyle name="Comma 12 4 4 2 2 3" xfId="34019"/>
    <cellStyle name="Comma 12 4 4 2 3" xfId="34020"/>
    <cellStyle name="Comma 12 4 4 2 3 2" xfId="34021"/>
    <cellStyle name="Comma 12 4 4 2 3 3" xfId="34022"/>
    <cellStyle name="Comma 12 4 4 2 4" xfId="34023"/>
    <cellStyle name="Comma 12 4 4 2 4 2" xfId="34024"/>
    <cellStyle name="Comma 12 4 4 2 5" xfId="34025"/>
    <cellStyle name="Comma 12 4 4 2 6" xfId="34026"/>
    <cellStyle name="Comma 12 4 4 3" xfId="34027"/>
    <cellStyle name="Comma 12 4 4 3 2" xfId="34028"/>
    <cellStyle name="Comma 12 4 4 3 2 2" xfId="34029"/>
    <cellStyle name="Comma 12 4 4 3 2 3" xfId="34030"/>
    <cellStyle name="Comma 12 4 4 3 3" xfId="34031"/>
    <cellStyle name="Comma 12 4 4 3 3 2" xfId="34032"/>
    <cellStyle name="Comma 12 4 4 3 3 3" xfId="34033"/>
    <cellStyle name="Comma 12 4 4 3 4" xfId="34034"/>
    <cellStyle name="Comma 12 4 4 3 4 2" xfId="34035"/>
    <cellStyle name="Comma 12 4 4 3 5" xfId="34036"/>
    <cellStyle name="Comma 12 4 4 3 6" xfId="34037"/>
    <cellStyle name="Comma 12 4 4 4" xfId="34038"/>
    <cellStyle name="Comma 12 4 4 4 2" xfId="34039"/>
    <cellStyle name="Comma 12 4 4 4 2 2" xfId="34040"/>
    <cellStyle name="Comma 12 4 4 4 2 3" xfId="34041"/>
    <cellStyle name="Comma 12 4 4 4 3" xfId="34042"/>
    <cellStyle name="Comma 12 4 4 4 3 2" xfId="34043"/>
    <cellStyle name="Comma 12 4 4 4 4" xfId="34044"/>
    <cellStyle name="Comma 12 4 4 4 5" xfId="34045"/>
    <cellStyle name="Comma 12 4 4 5" xfId="34046"/>
    <cellStyle name="Comma 12 4 4 5 2" xfId="34047"/>
    <cellStyle name="Comma 12 4 4 5 3" xfId="34048"/>
    <cellStyle name="Comma 12 4 4 6" xfId="34049"/>
    <cellStyle name="Comma 12 4 4 6 2" xfId="34050"/>
    <cellStyle name="Comma 12 4 4 6 3" xfId="34051"/>
    <cellStyle name="Comma 12 4 4 7" xfId="34052"/>
    <cellStyle name="Comma 12 4 4 7 2" xfId="34053"/>
    <cellStyle name="Comma 12 4 4 8" xfId="34054"/>
    <cellStyle name="Comma 12 4 4 9" xfId="34055"/>
    <cellStyle name="Comma 12 4 5" xfId="34056"/>
    <cellStyle name="Comma 12 4 5 2" xfId="34057"/>
    <cellStyle name="Comma 12 4 5 2 2" xfId="34058"/>
    <cellStyle name="Comma 12 4 5 2 3" xfId="34059"/>
    <cellStyle name="Comma 12 4 5 3" xfId="34060"/>
    <cellStyle name="Comma 12 4 5 3 2" xfId="34061"/>
    <cellStyle name="Comma 12 4 5 3 3" xfId="34062"/>
    <cellStyle name="Comma 12 4 5 4" xfId="34063"/>
    <cellStyle name="Comma 12 4 5 4 2" xfId="34064"/>
    <cellStyle name="Comma 12 4 5 5" xfId="34065"/>
    <cellStyle name="Comma 12 4 5 6" xfId="34066"/>
    <cellStyle name="Comma 12 4 6" xfId="34067"/>
    <cellStyle name="Comma 12 4 6 2" xfId="34068"/>
    <cellStyle name="Comma 12 4 6 2 2" xfId="34069"/>
    <cellStyle name="Comma 12 4 6 2 3" xfId="34070"/>
    <cellStyle name="Comma 12 4 6 3" xfId="34071"/>
    <cellStyle name="Comma 12 4 6 3 2" xfId="34072"/>
    <cellStyle name="Comma 12 4 6 3 3" xfId="34073"/>
    <cellStyle name="Comma 12 4 6 4" xfId="34074"/>
    <cellStyle name="Comma 12 4 6 4 2" xfId="34075"/>
    <cellStyle name="Comma 12 4 6 5" xfId="34076"/>
    <cellStyle name="Comma 12 4 6 6" xfId="34077"/>
    <cellStyle name="Comma 12 4 7" xfId="34078"/>
    <cellStyle name="Comma 12 4 7 2" xfId="34079"/>
    <cellStyle name="Comma 12 4 7 2 2" xfId="34080"/>
    <cellStyle name="Comma 12 4 7 2 3" xfId="34081"/>
    <cellStyle name="Comma 12 4 7 3" xfId="34082"/>
    <cellStyle name="Comma 12 4 7 3 2" xfId="34083"/>
    <cellStyle name="Comma 12 4 7 4" xfId="34084"/>
    <cellStyle name="Comma 12 4 7 5" xfId="34085"/>
    <cellStyle name="Comma 12 4 8" xfId="34086"/>
    <cellStyle name="Comma 12 4 8 2" xfId="34087"/>
    <cellStyle name="Comma 12 4 8 3" xfId="34088"/>
    <cellStyle name="Comma 12 4 9" xfId="34089"/>
    <cellStyle name="Comma 12 4 9 2" xfId="34090"/>
    <cellStyle name="Comma 12 4 9 3" xfId="34091"/>
    <cellStyle name="Comma 12 5" xfId="34092"/>
    <cellStyle name="Comma 12 5 10" xfId="34093"/>
    <cellStyle name="Comma 12 5 2" xfId="34094"/>
    <cellStyle name="Comma 12 5 2 2" xfId="34095"/>
    <cellStyle name="Comma 12 5 2 2 2" xfId="34096"/>
    <cellStyle name="Comma 12 5 2 2 2 2" xfId="34097"/>
    <cellStyle name="Comma 12 5 2 2 2 3" xfId="34098"/>
    <cellStyle name="Comma 12 5 2 2 3" xfId="34099"/>
    <cellStyle name="Comma 12 5 2 2 3 2" xfId="34100"/>
    <cellStyle name="Comma 12 5 2 2 3 3" xfId="34101"/>
    <cellStyle name="Comma 12 5 2 2 4" xfId="34102"/>
    <cellStyle name="Comma 12 5 2 2 4 2" xfId="34103"/>
    <cellStyle name="Comma 12 5 2 2 5" xfId="34104"/>
    <cellStyle name="Comma 12 5 2 2 6" xfId="34105"/>
    <cellStyle name="Comma 12 5 2 3" xfId="34106"/>
    <cellStyle name="Comma 12 5 2 3 2" xfId="34107"/>
    <cellStyle name="Comma 12 5 2 3 2 2" xfId="34108"/>
    <cellStyle name="Comma 12 5 2 3 2 3" xfId="34109"/>
    <cellStyle name="Comma 12 5 2 3 3" xfId="34110"/>
    <cellStyle name="Comma 12 5 2 3 3 2" xfId="34111"/>
    <cellStyle name="Comma 12 5 2 3 3 3" xfId="34112"/>
    <cellStyle name="Comma 12 5 2 3 4" xfId="34113"/>
    <cellStyle name="Comma 12 5 2 3 4 2" xfId="34114"/>
    <cellStyle name="Comma 12 5 2 3 5" xfId="34115"/>
    <cellStyle name="Comma 12 5 2 3 6" xfId="34116"/>
    <cellStyle name="Comma 12 5 2 4" xfId="34117"/>
    <cellStyle name="Comma 12 5 2 4 2" xfId="34118"/>
    <cellStyle name="Comma 12 5 2 4 2 2" xfId="34119"/>
    <cellStyle name="Comma 12 5 2 4 2 3" xfId="34120"/>
    <cellStyle name="Comma 12 5 2 4 3" xfId="34121"/>
    <cellStyle name="Comma 12 5 2 4 3 2" xfId="34122"/>
    <cellStyle name="Comma 12 5 2 4 4" xfId="34123"/>
    <cellStyle name="Comma 12 5 2 4 5" xfId="34124"/>
    <cellStyle name="Comma 12 5 2 5" xfId="34125"/>
    <cellStyle name="Comma 12 5 2 5 2" xfId="34126"/>
    <cellStyle name="Comma 12 5 2 5 3" xfId="34127"/>
    <cellStyle name="Comma 12 5 2 6" xfId="34128"/>
    <cellStyle name="Comma 12 5 2 6 2" xfId="34129"/>
    <cellStyle name="Comma 12 5 2 6 3" xfId="34130"/>
    <cellStyle name="Comma 12 5 2 7" xfId="34131"/>
    <cellStyle name="Comma 12 5 2 7 2" xfId="34132"/>
    <cellStyle name="Comma 12 5 2 8" xfId="34133"/>
    <cellStyle name="Comma 12 5 2 9" xfId="34134"/>
    <cellStyle name="Comma 12 5 3" xfId="34135"/>
    <cellStyle name="Comma 12 5 3 2" xfId="34136"/>
    <cellStyle name="Comma 12 5 3 2 2" xfId="34137"/>
    <cellStyle name="Comma 12 5 3 2 3" xfId="34138"/>
    <cellStyle name="Comma 12 5 3 3" xfId="34139"/>
    <cellStyle name="Comma 12 5 3 3 2" xfId="34140"/>
    <cellStyle name="Comma 12 5 3 3 3" xfId="34141"/>
    <cellStyle name="Comma 12 5 3 4" xfId="34142"/>
    <cellStyle name="Comma 12 5 3 4 2" xfId="34143"/>
    <cellStyle name="Comma 12 5 3 5" xfId="34144"/>
    <cellStyle name="Comma 12 5 3 6" xfId="34145"/>
    <cellStyle name="Comma 12 5 4" xfId="34146"/>
    <cellStyle name="Comma 12 5 4 2" xfId="34147"/>
    <cellStyle name="Comma 12 5 4 2 2" xfId="34148"/>
    <cellStyle name="Comma 12 5 4 2 3" xfId="34149"/>
    <cellStyle name="Comma 12 5 4 3" xfId="34150"/>
    <cellStyle name="Comma 12 5 4 3 2" xfId="34151"/>
    <cellStyle name="Comma 12 5 4 3 3" xfId="34152"/>
    <cellStyle name="Comma 12 5 4 4" xfId="34153"/>
    <cellStyle name="Comma 12 5 4 4 2" xfId="34154"/>
    <cellStyle name="Comma 12 5 4 5" xfId="34155"/>
    <cellStyle name="Comma 12 5 4 6" xfId="34156"/>
    <cellStyle name="Comma 12 5 5" xfId="34157"/>
    <cellStyle name="Comma 12 5 5 2" xfId="34158"/>
    <cellStyle name="Comma 12 5 5 2 2" xfId="34159"/>
    <cellStyle name="Comma 12 5 5 2 3" xfId="34160"/>
    <cellStyle name="Comma 12 5 5 3" xfId="34161"/>
    <cellStyle name="Comma 12 5 5 3 2" xfId="34162"/>
    <cellStyle name="Comma 12 5 5 4" xfId="34163"/>
    <cellStyle name="Comma 12 5 5 5" xfId="34164"/>
    <cellStyle name="Comma 12 5 6" xfId="34165"/>
    <cellStyle name="Comma 12 5 6 2" xfId="34166"/>
    <cellStyle name="Comma 12 5 6 3" xfId="34167"/>
    <cellStyle name="Comma 12 5 7" xfId="34168"/>
    <cellStyle name="Comma 12 5 7 2" xfId="34169"/>
    <cellStyle name="Comma 12 5 7 3" xfId="34170"/>
    <cellStyle name="Comma 12 5 8" xfId="34171"/>
    <cellStyle name="Comma 12 5 8 2" xfId="34172"/>
    <cellStyle name="Comma 12 5 9" xfId="34173"/>
    <cellStyle name="Comma 12 6" xfId="34174"/>
    <cellStyle name="Comma 12 6 2" xfId="34175"/>
    <cellStyle name="Comma 12 6 2 2" xfId="34176"/>
    <cellStyle name="Comma 12 6 2 2 2" xfId="34177"/>
    <cellStyle name="Comma 12 6 2 2 3" xfId="34178"/>
    <cellStyle name="Comma 12 6 2 3" xfId="34179"/>
    <cellStyle name="Comma 12 6 2 3 2" xfId="34180"/>
    <cellStyle name="Comma 12 6 2 3 3" xfId="34181"/>
    <cellStyle name="Comma 12 6 2 4" xfId="34182"/>
    <cellStyle name="Comma 12 6 2 4 2" xfId="34183"/>
    <cellStyle name="Comma 12 6 2 5" xfId="34184"/>
    <cellStyle name="Comma 12 6 2 6" xfId="34185"/>
    <cellStyle name="Comma 12 6 3" xfId="34186"/>
    <cellStyle name="Comma 12 6 3 2" xfId="34187"/>
    <cellStyle name="Comma 12 6 3 2 2" xfId="34188"/>
    <cellStyle name="Comma 12 6 3 2 3" xfId="34189"/>
    <cellStyle name="Comma 12 6 3 3" xfId="34190"/>
    <cellStyle name="Comma 12 6 3 3 2" xfId="34191"/>
    <cellStyle name="Comma 12 6 3 3 3" xfId="34192"/>
    <cellStyle name="Comma 12 6 3 4" xfId="34193"/>
    <cellStyle name="Comma 12 6 3 4 2" xfId="34194"/>
    <cellStyle name="Comma 12 6 3 5" xfId="34195"/>
    <cellStyle name="Comma 12 6 3 6" xfId="34196"/>
    <cellStyle name="Comma 12 6 4" xfId="34197"/>
    <cellStyle name="Comma 12 6 4 2" xfId="34198"/>
    <cellStyle name="Comma 12 6 4 2 2" xfId="34199"/>
    <cellStyle name="Comma 12 6 4 2 3" xfId="34200"/>
    <cellStyle name="Comma 12 6 4 3" xfId="34201"/>
    <cellStyle name="Comma 12 6 4 3 2" xfId="34202"/>
    <cellStyle name="Comma 12 6 4 4" xfId="34203"/>
    <cellStyle name="Comma 12 6 4 5" xfId="34204"/>
    <cellStyle name="Comma 12 6 5" xfId="34205"/>
    <cellStyle name="Comma 12 6 5 2" xfId="34206"/>
    <cellStyle name="Comma 12 6 5 3" xfId="34207"/>
    <cellStyle name="Comma 12 6 6" xfId="34208"/>
    <cellStyle name="Comma 12 6 6 2" xfId="34209"/>
    <cellStyle name="Comma 12 6 6 3" xfId="34210"/>
    <cellStyle name="Comma 12 6 7" xfId="34211"/>
    <cellStyle name="Comma 12 6 7 2" xfId="34212"/>
    <cellStyle name="Comma 12 6 8" xfId="34213"/>
    <cellStyle name="Comma 12 6 9" xfId="34214"/>
    <cellStyle name="Comma 12 7" xfId="34215"/>
    <cellStyle name="Comma 12 7 2" xfId="34216"/>
    <cellStyle name="Comma 12 7 2 2" xfId="34217"/>
    <cellStyle name="Comma 12 7 2 2 2" xfId="34218"/>
    <cellStyle name="Comma 12 7 2 2 3" xfId="34219"/>
    <cellStyle name="Comma 12 7 2 3" xfId="34220"/>
    <cellStyle name="Comma 12 7 2 3 2" xfId="34221"/>
    <cellStyle name="Comma 12 7 2 3 3" xfId="34222"/>
    <cellStyle name="Comma 12 7 2 4" xfId="34223"/>
    <cellStyle name="Comma 12 7 2 4 2" xfId="34224"/>
    <cellStyle name="Comma 12 7 2 5" xfId="34225"/>
    <cellStyle name="Comma 12 7 2 6" xfId="34226"/>
    <cellStyle name="Comma 12 7 3" xfId="34227"/>
    <cellStyle name="Comma 12 7 3 2" xfId="34228"/>
    <cellStyle name="Comma 12 7 3 2 2" xfId="34229"/>
    <cellStyle name="Comma 12 7 3 2 3" xfId="34230"/>
    <cellStyle name="Comma 12 7 3 3" xfId="34231"/>
    <cellStyle name="Comma 12 7 3 3 2" xfId="34232"/>
    <cellStyle name="Comma 12 7 3 3 3" xfId="34233"/>
    <cellStyle name="Comma 12 7 3 4" xfId="34234"/>
    <cellStyle name="Comma 12 7 3 4 2" xfId="34235"/>
    <cellStyle name="Comma 12 7 3 5" xfId="34236"/>
    <cellStyle name="Comma 12 7 3 6" xfId="34237"/>
    <cellStyle name="Comma 12 7 4" xfId="34238"/>
    <cellStyle name="Comma 12 7 4 2" xfId="34239"/>
    <cellStyle name="Comma 12 7 4 2 2" xfId="34240"/>
    <cellStyle name="Comma 12 7 4 2 3" xfId="34241"/>
    <cellStyle name="Comma 12 7 4 3" xfId="34242"/>
    <cellStyle name="Comma 12 7 4 3 2" xfId="34243"/>
    <cellStyle name="Comma 12 7 4 4" xfId="34244"/>
    <cellStyle name="Comma 12 7 4 5" xfId="34245"/>
    <cellStyle name="Comma 12 7 5" xfId="34246"/>
    <cellStyle name="Comma 12 7 5 2" xfId="34247"/>
    <cellStyle name="Comma 12 7 5 3" xfId="34248"/>
    <cellStyle name="Comma 12 7 6" xfId="34249"/>
    <cellStyle name="Comma 12 7 6 2" xfId="34250"/>
    <cellStyle name="Comma 12 7 6 3" xfId="34251"/>
    <cellStyle name="Comma 12 7 7" xfId="34252"/>
    <cellStyle name="Comma 12 7 7 2" xfId="34253"/>
    <cellStyle name="Comma 12 7 8" xfId="34254"/>
    <cellStyle name="Comma 12 7 9" xfId="34255"/>
    <cellStyle name="Comma 12 8" xfId="34256"/>
    <cellStyle name="Comma 12 8 2" xfId="34257"/>
    <cellStyle name="Comma 12 8 2 2" xfId="34258"/>
    <cellStyle name="Comma 12 8 2 3" xfId="34259"/>
    <cellStyle name="Comma 12 8 3" xfId="34260"/>
    <cellStyle name="Comma 12 8 3 2" xfId="34261"/>
    <cellStyle name="Comma 12 8 3 3" xfId="34262"/>
    <cellStyle name="Comma 12 8 4" xfId="34263"/>
    <cellStyle name="Comma 12 8 4 2" xfId="34264"/>
    <cellStyle name="Comma 12 8 5" xfId="34265"/>
    <cellStyle name="Comma 12 8 6" xfId="34266"/>
    <cellStyle name="Comma 12 9" xfId="34267"/>
    <cellStyle name="Comma 12 9 2" xfId="34268"/>
    <cellStyle name="Comma 12 9 2 2" xfId="34269"/>
    <cellStyle name="Comma 12 9 2 3" xfId="34270"/>
    <cellStyle name="Comma 12 9 3" xfId="34271"/>
    <cellStyle name="Comma 12 9 3 2" xfId="34272"/>
    <cellStyle name="Comma 12 9 3 3" xfId="34273"/>
    <cellStyle name="Comma 12 9 4" xfId="34274"/>
    <cellStyle name="Comma 12 9 4 2" xfId="34275"/>
    <cellStyle name="Comma 12 9 5" xfId="34276"/>
    <cellStyle name="Comma 12 9 6" xfId="34277"/>
    <cellStyle name="Comma 120" xfId="57838"/>
    <cellStyle name="Comma 121" xfId="57839"/>
    <cellStyle name="Comma 122" xfId="57840"/>
    <cellStyle name="Comma 123" xfId="57841"/>
    <cellStyle name="Comma 124" xfId="57842"/>
    <cellStyle name="Comma 125" xfId="57843"/>
    <cellStyle name="Comma 126" xfId="57844"/>
    <cellStyle name="Comma 127" xfId="57845"/>
    <cellStyle name="Comma 128" xfId="57846"/>
    <cellStyle name="Comma 129" xfId="57847"/>
    <cellStyle name="Comma 13" xfId="3240"/>
    <cellStyle name="Comma 13 10" xfId="34278"/>
    <cellStyle name="Comma 13 10 2" xfId="34279"/>
    <cellStyle name="Comma 13 10 2 2" xfId="34280"/>
    <cellStyle name="Comma 13 10 2 3" xfId="34281"/>
    <cellStyle name="Comma 13 10 3" xfId="34282"/>
    <cellStyle name="Comma 13 10 3 2" xfId="34283"/>
    <cellStyle name="Comma 13 10 4" xfId="34284"/>
    <cellStyle name="Comma 13 10 5" xfId="34285"/>
    <cellStyle name="Comma 13 11" xfId="34286"/>
    <cellStyle name="Comma 13 11 2" xfId="34287"/>
    <cellStyle name="Comma 13 11 3" xfId="34288"/>
    <cellStyle name="Comma 13 12" xfId="34289"/>
    <cellStyle name="Comma 13 12 2" xfId="34290"/>
    <cellStyle name="Comma 13 12 3" xfId="34291"/>
    <cellStyle name="Comma 13 13" xfId="34292"/>
    <cellStyle name="Comma 13 13 2" xfId="34293"/>
    <cellStyle name="Comma 13 14" xfId="34294"/>
    <cellStyle name="Comma 13 15" xfId="34295"/>
    <cellStyle name="Comma 13 16" xfId="34296"/>
    <cellStyle name="Comma 13 2" xfId="9096"/>
    <cellStyle name="Comma 13 2 10" xfId="34297"/>
    <cellStyle name="Comma 13 2 10 2" xfId="34298"/>
    <cellStyle name="Comma 13 2 10 3" xfId="34299"/>
    <cellStyle name="Comma 13 2 11" xfId="34300"/>
    <cellStyle name="Comma 13 2 11 2" xfId="34301"/>
    <cellStyle name="Comma 13 2 11 3" xfId="34302"/>
    <cellStyle name="Comma 13 2 12" xfId="34303"/>
    <cellStyle name="Comma 13 2 12 2" xfId="34304"/>
    <cellStyle name="Comma 13 2 13" xfId="34305"/>
    <cellStyle name="Comma 13 2 14" xfId="34306"/>
    <cellStyle name="Comma 13 2 15" xfId="34307"/>
    <cellStyle name="Comma 13 2 2" xfId="34308"/>
    <cellStyle name="Comma 13 2 2 10" xfId="34309"/>
    <cellStyle name="Comma 13 2 2 10 2" xfId="34310"/>
    <cellStyle name="Comma 13 2 2 10 3" xfId="34311"/>
    <cellStyle name="Comma 13 2 2 11" xfId="34312"/>
    <cellStyle name="Comma 13 2 2 11 2" xfId="34313"/>
    <cellStyle name="Comma 13 2 2 12" xfId="34314"/>
    <cellStyle name="Comma 13 2 2 13" xfId="34315"/>
    <cellStyle name="Comma 13 2 2 2" xfId="34316"/>
    <cellStyle name="Comma 13 2 2 2 10" xfId="34317"/>
    <cellStyle name="Comma 13 2 2 2 10 2" xfId="34318"/>
    <cellStyle name="Comma 13 2 2 2 11" xfId="34319"/>
    <cellStyle name="Comma 13 2 2 2 12" xfId="34320"/>
    <cellStyle name="Comma 13 2 2 2 2" xfId="34321"/>
    <cellStyle name="Comma 13 2 2 2 2 10" xfId="34322"/>
    <cellStyle name="Comma 13 2 2 2 2 2" xfId="34323"/>
    <cellStyle name="Comma 13 2 2 2 2 2 2" xfId="34324"/>
    <cellStyle name="Comma 13 2 2 2 2 2 2 2" xfId="34325"/>
    <cellStyle name="Comma 13 2 2 2 2 2 2 2 2" xfId="34326"/>
    <cellStyle name="Comma 13 2 2 2 2 2 2 2 3" xfId="34327"/>
    <cellStyle name="Comma 13 2 2 2 2 2 2 3" xfId="34328"/>
    <cellStyle name="Comma 13 2 2 2 2 2 2 3 2" xfId="34329"/>
    <cellStyle name="Comma 13 2 2 2 2 2 2 3 3" xfId="34330"/>
    <cellStyle name="Comma 13 2 2 2 2 2 2 4" xfId="34331"/>
    <cellStyle name="Comma 13 2 2 2 2 2 2 4 2" xfId="34332"/>
    <cellStyle name="Comma 13 2 2 2 2 2 2 5" xfId="34333"/>
    <cellStyle name="Comma 13 2 2 2 2 2 2 6" xfId="34334"/>
    <cellStyle name="Comma 13 2 2 2 2 2 3" xfId="34335"/>
    <cellStyle name="Comma 13 2 2 2 2 2 3 2" xfId="34336"/>
    <cellStyle name="Comma 13 2 2 2 2 2 3 2 2" xfId="34337"/>
    <cellStyle name="Comma 13 2 2 2 2 2 3 2 3" xfId="34338"/>
    <cellStyle name="Comma 13 2 2 2 2 2 3 3" xfId="34339"/>
    <cellStyle name="Comma 13 2 2 2 2 2 3 3 2" xfId="34340"/>
    <cellStyle name="Comma 13 2 2 2 2 2 3 3 3" xfId="34341"/>
    <cellStyle name="Comma 13 2 2 2 2 2 3 4" xfId="34342"/>
    <cellStyle name="Comma 13 2 2 2 2 2 3 4 2" xfId="34343"/>
    <cellStyle name="Comma 13 2 2 2 2 2 3 5" xfId="34344"/>
    <cellStyle name="Comma 13 2 2 2 2 2 3 6" xfId="34345"/>
    <cellStyle name="Comma 13 2 2 2 2 2 4" xfId="34346"/>
    <cellStyle name="Comma 13 2 2 2 2 2 4 2" xfId="34347"/>
    <cellStyle name="Comma 13 2 2 2 2 2 4 2 2" xfId="34348"/>
    <cellStyle name="Comma 13 2 2 2 2 2 4 2 3" xfId="34349"/>
    <cellStyle name="Comma 13 2 2 2 2 2 4 3" xfId="34350"/>
    <cellStyle name="Comma 13 2 2 2 2 2 4 3 2" xfId="34351"/>
    <cellStyle name="Comma 13 2 2 2 2 2 4 4" xfId="34352"/>
    <cellStyle name="Comma 13 2 2 2 2 2 4 5" xfId="34353"/>
    <cellStyle name="Comma 13 2 2 2 2 2 5" xfId="34354"/>
    <cellStyle name="Comma 13 2 2 2 2 2 5 2" xfId="34355"/>
    <cellStyle name="Comma 13 2 2 2 2 2 5 3" xfId="34356"/>
    <cellStyle name="Comma 13 2 2 2 2 2 6" xfId="34357"/>
    <cellStyle name="Comma 13 2 2 2 2 2 6 2" xfId="34358"/>
    <cellStyle name="Comma 13 2 2 2 2 2 6 3" xfId="34359"/>
    <cellStyle name="Comma 13 2 2 2 2 2 7" xfId="34360"/>
    <cellStyle name="Comma 13 2 2 2 2 2 7 2" xfId="34361"/>
    <cellStyle name="Comma 13 2 2 2 2 2 8" xfId="34362"/>
    <cellStyle name="Comma 13 2 2 2 2 2 9" xfId="34363"/>
    <cellStyle name="Comma 13 2 2 2 2 3" xfId="34364"/>
    <cellStyle name="Comma 13 2 2 2 2 3 2" xfId="34365"/>
    <cellStyle name="Comma 13 2 2 2 2 3 2 2" xfId="34366"/>
    <cellStyle name="Comma 13 2 2 2 2 3 2 3" xfId="34367"/>
    <cellStyle name="Comma 13 2 2 2 2 3 3" xfId="34368"/>
    <cellStyle name="Comma 13 2 2 2 2 3 3 2" xfId="34369"/>
    <cellStyle name="Comma 13 2 2 2 2 3 3 3" xfId="34370"/>
    <cellStyle name="Comma 13 2 2 2 2 3 4" xfId="34371"/>
    <cellStyle name="Comma 13 2 2 2 2 3 4 2" xfId="34372"/>
    <cellStyle name="Comma 13 2 2 2 2 3 5" xfId="34373"/>
    <cellStyle name="Comma 13 2 2 2 2 3 6" xfId="34374"/>
    <cellStyle name="Comma 13 2 2 2 2 4" xfId="34375"/>
    <cellStyle name="Comma 13 2 2 2 2 4 2" xfId="34376"/>
    <cellStyle name="Comma 13 2 2 2 2 4 2 2" xfId="34377"/>
    <cellStyle name="Comma 13 2 2 2 2 4 2 3" xfId="34378"/>
    <cellStyle name="Comma 13 2 2 2 2 4 3" xfId="34379"/>
    <cellStyle name="Comma 13 2 2 2 2 4 3 2" xfId="34380"/>
    <cellStyle name="Comma 13 2 2 2 2 4 3 3" xfId="34381"/>
    <cellStyle name="Comma 13 2 2 2 2 4 4" xfId="34382"/>
    <cellStyle name="Comma 13 2 2 2 2 4 4 2" xfId="34383"/>
    <cellStyle name="Comma 13 2 2 2 2 4 5" xfId="34384"/>
    <cellStyle name="Comma 13 2 2 2 2 4 6" xfId="34385"/>
    <cellStyle name="Comma 13 2 2 2 2 5" xfId="34386"/>
    <cellStyle name="Comma 13 2 2 2 2 5 2" xfId="34387"/>
    <cellStyle name="Comma 13 2 2 2 2 5 2 2" xfId="34388"/>
    <cellStyle name="Comma 13 2 2 2 2 5 2 3" xfId="34389"/>
    <cellStyle name="Comma 13 2 2 2 2 5 3" xfId="34390"/>
    <cellStyle name="Comma 13 2 2 2 2 5 3 2" xfId="34391"/>
    <cellStyle name="Comma 13 2 2 2 2 5 4" xfId="34392"/>
    <cellStyle name="Comma 13 2 2 2 2 5 5" xfId="34393"/>
    <cellStyle name="Comma 13 2 2 2 2 6" xfId="34394"/>
    <cellStyle name="Comma 13 2 2 2 2 6 2" xfId="34395"/>
    <cellStyle name="Comma 13 2 2 2 2 6 3" xfId="34396"/>
    <cellStyle name="Comma 13 2 2 2 2 7" xfId="34397"/>
    <cellStyle name="Comma 13 2 2 2 2 7 2" xfId="34398"/>
    <cellStyle name="Comma 13 2 2 2 2 7 3" xfId="34399"/>
    <cellStyle name="Comma 13 2 2 2 2 8" xfId="34400"/>
    <cellStyle name="Comma 13 2 2 2 2 8 2" xfId="34401"/>
    <cellStyle name="Comma 13 2 2 2 2 9" xfId="34402"/>
    <cellStyle name="Comma 13 2 2 2 3" xfId="34403"/>
    <cellStyle name="Comma 13 2 2 2 3 2" xfId="34404"/>
    <cellStyle name="Comma 13 2 2 2 3 2 2" xfId="34405"/>
    <cellStyle name="Comma 13 2 2 2 3 2 2 2" xfId="34406"/>
    <cellStyle name="Comma 13 2 2 2 3 2 2 3" xfId="34407"/>
    <cellStyle name="Comma 13 2 2 2 3 2 3" xfId="34408"/>
    <cellStyle name="Comma 13 2 2 2 3 2 3 2" xfId="34409"/>
    <cellStyle name="Comma 13 2 2 2 3 2 3 3" xfId="34410"/>
    <cellStyle name="Comma 13 2 2 2 3 2 4" xfId="34411"/>
    <cellStyle name="Comma 13 2 2 2 3 2 4 2" xfId="34412"/>
    <cellStyle name="Comma 13 2 2 2 3 2 5" xfId="34413"/>
    <cellStyle name="Comma 13 2 2 2 3 2 6" xfId="34414"/>
    <cellStyle name="Comma 13 2 2 2 3 3" xfId="34415"/>
    <cellStyle name="Comma 13 2 2 2 3 3 2" xfId="34416"/>
    <cellStyle name="Comma 13 2 2 2 3 3 2 2" xfId="34417"/>
    <cellStyle name="Comma 13 2 2 2 3 3 2 3" xfId="34418"/>
    <cellStyle name="Comma 13 2 2 2 3 3 3" xfId="34419"/>
    <cellStyle name="Comma 13 2 2 2 3 3 3 2" xfId="34420"/>
    <cellStyle name="Comma 13 2 2 2 3 3 3 3" xfId="34421"/>
    <cellStyle name="Comma 13 2 2 2 3 3 4" xfId="34422"/>
    <cellStyle name="Comma 13 2 2 2 3 3 4 2" xfId="34423"/>
    <cellStyle name="Comma 13 2 2 2 3 3 5" xfId="34424"/>
    <cellStyle name="Comma 13 2 2 2 3 3 6" xfId="34425"/>
    <cellStyle name="Comma 13 2 2 2 3 4" xfId="34426"/>
    <cellStyle name="Comma 13 2 2 2 3 4 2" xfId="34427"/>
    <cellStyle name="Comma 13 2 2 2 3 4 2 2" xfId="34428"/>
    <cellStyle name="Comma 13 2 2 2 3 4 2 3" xfId="34429"/>
    <cellStyle name="Comma 13 2 2 2 3 4 3" xfId="34430"/>
    <cellStyle name="Comma 13 2 2 2 3 4 3 2" xfId="34431"/>
    <cellStyle name="Comma 13 2 2 2 3 4 4" xfId="34432"/>
    <cellStyle name="Comma 13 2 2 2 3 4 5" xfId="34433"/>
    <cellStyle name="Comma 13 2 2 2 3 5" xfId="34434"/>
    <cellStyle name="Comma 13 2 2 2 3 5 2" xfId="34435"/>
    <cellStyle name="Comma 13 2 2 2 3 5 3" xfId="34436"/>
    <cellStyle name="Comma 13 2 2 2 3 6" xfId="34437"/>
    <cellStyle name="Comma 13 2 2 2 3 6 2" xfId="34438"/>
    <cellStyle name="Comma 13 2 2 2 3 6 3" xfId="34439"/>
    <cellStyle name="Comma 13 2 2 2 3 7" xfId="34440"/>
    <cellStyle name="Comma 13 2 2 2 3 7 2" xfId="34441"/>
    <cellStyle name="Comma 13 2 2 2 3 8" xfId="34442"/>
    <cellStyle name="Comma 13 2 2 2 3 9" xfId="34443"/>
    <cellStyle name="Comma 13 2 2 2 4" xfId="34444"/>
    <cellStyle name="Comma 13 2 2 2 4 2" xfId="34445"/>
    <cellStyle name="Comma 13 2 2 2 4 2 2" xfId="34446"/>
    <cellStyle name="Comma 13 2 2 2 4 2 2 2" xfId="34447"/>
    <cellStyle name="Comma 13 2 2 2 4 2 2 3" xfId="34448"/>
    <cellStyle name="Comma 13 2 2 2 4 2 3" xfId="34449"/>
    <cellStyle name="Comma 13 2 2 2 4 2 3 2" xfId="34450"/>
    <cellStyle name="Comma 13 2 2 2 4 2 3 3" xfId="34451"/>
    <cellStyle name="Comma 13 2 2 2 4 2 4" xfId="34452"/>
    <cellStyle name="Comma 13 2 2 2 4 2 4 2" xfId="34453"/>
    <cellStyle name="Comma 13 2 2 2 4 2 5" xfId="34454"/>
    <cellStyle name="Comma 13 2 2 2 4 2 6" xfId="34455"/>
    <cellStyle name="Comma 13 2 2 2 4 3" xfId="34456"/>
    <cellStyle name="Comma 13 2 2 2 4 3 2" xfId="34457"/>
    <cellStyle name="Comma 13 2 2 2 4 3 2 2" xfId="34458"/>
    <cellStyle name="Comma 13 2 2 2 4 3 2 3" xfId="34459"/>
    <cellStyle name="Comma 13 2 2 2 4 3 3" xfId="34460"/>
    <cellStyle name="Comma 13 2 2 2 4 3 3 2" xfId="34461"/>
    <cellStyle name="Comma 13 2 2 2 4 3 3 3" xfId="34462"/>
    <cellStyle name="Comma 13 2 2 2 4 3 4" xfId="34463"/>
    <cellStyle name="Comma 13 2 2 2 4 3 4 2" xfId="34464"/>
    <cellStyle name="Comma 13 2 2 2 4 3 5" xfId="34465"/>
    <cellStyle name="Comma 13 2 2 2 4 3 6" xfId="34466"/>
    <cellStyle name="Comma 13 2 2 2 4 4" xfId="34467"/>
    <cellStyle name="Comma 13 2 2 2 4 4 2" xfId="34468"/>
    <cellStyle name="Comma 13 2 2 2 4 4 2 2" xfId="34469"/>
    <cellStyle name="Comma 13 2 2 2 4 4 2 3" xfId="34470"/>
    <cellStyle name="Comma 13 2 2 2 4 4 3" xfId="34471"/>
    <cellStyle name="Comma 13 2 2 2 4 4 3 2" xfId="34472"/>
    <cellStyle name="Comma 13 2 2 2 4 4 4" xfId="34473"/>
    <cellStyle name="Comma 13 2 2 2 4 4 5" xfId="34474"/>
    <cellStyle name="Comma 13 2 2 2 4 5" xfId="34475"/>
    <cellStyle name="Comma 13 2 2 2 4 5 2" xfId="34476"/>
    <cellStyle name="Comma 13 2 2 2 4 5 3" xfId="34477"/>
    <cellStyle name="Comma 13 2 2 2 4 6" xfId="34478"/>
    <cellStyle name="Comma 13 2 2 2 4 6 2" xfId="34479"/>
    <cellStyle name="Comma 13 2 2 2 4 6 3" xfId="34480"/>
    <cellStyle name="Comma 13 2 2 2 4 7" xfId="34481"/>
    <cellStyle name="Comma 13 2 2 2 4 7 2" xfId="34482"/>
    <cellStyle name="Comma 13 2 2 2 4 8" xfId="34483"/>
    <cellStyle name="Comma 13 2 2 2 4 9" xfId="34484"/>
    <cellStyle name="Comma 13 2 2 2 5" xfId="34485"/>
    <cellStyle name="Comma 13 2 2 2 5 2" xfId="34486"/>
    <cellStyle name="Comma 13 2 2 2 5 2 2" xfId="34487"/>
    <cellStyle name="Comma 13 2 2 2 5 2 3" xfId="34488"/>
    <cellStyle name="Comma 13 2 2 2 5 3" xfId="34489"/>
    <cellStyle name="Comma 13 2 2 2 5 3 2" xfId="34490"/>
    <cellStyle name="Comma 13 2 2 2 5 3 3" xfId="34491"/>
    <cellStyle name="Comma 13 2 2 2 5 4" xfId="34492"/>
    <cellStyle name="Comma 13 2 2 2 5 4 2" xfId="34493"/>
    <cellStyle name="Comma 13 2 2 2 5 5" xfId="34494"/>
    <cellStyle name="Comma 13 2 2 2 5 6" xfId="34495"/>
    <cellStyle name="Comma 13 2 2 2 6" xfId="34496"/>
    <cellStyle name="Comma 13 2 2 2 6 2" xfId="34497"/>
    <cellStyle name="Comma 13 2 2 2 6 2 2" xfId="34498"/>
    <cellStyle name="Comma 13 2 2 2 6 2 3" xfId="34499"/>
    <cellStyle name="Comma 13 2 2 2 6 3" xfId="34500"/>
    <cellStyle name="Comma 13 2 2 2 6 3 2" xfId="34501"/>
    <cellStyle name="Comma 13 2 2 2 6 3 3" xfId="34502"/>
    <cellStyle name="Comma 13 2 2 2 6 4" xfId="34503"/>
    <cellStyle name="Comma 13 2 2 2 6 4 2" xfId="34504"/>
    <cellStyle name="Comma 13 2 2 2 6 5" xfId="34505"/>
    <cellStyle name="Comma 13 2 2 2 6 6" xfId="34506"/>
    <cellStyle name="Comma 13 2 2 2 7" xfId="34507"/>
    <cellStyle name="Comma 13 2 2 2 7 2" xfId="34508"/>
    <cellStyle name="Comma 13 2 2 2 7 2 2" xfId="34509"/>
    <cellStyle name="Comma 13 2 2 2 7 2 3" xfId="34510"/>
    <cellStyle name="Comma 13 2 2 2 7 3" xfId="34511"/>
    <cellStyle name="Comma 13 2 2 2 7 3 2" xfId="34512"/>
    <cellStyle name="Comma 13 2 2 2 7 4" xfId="34513"/>
    <cellStyle name="Comma 13 2 2 2 7 5" xfId="34514"/>
    <cellStyle name="Comma 13 2 2 2 8" xfId="34515"/>
    <cellStyle name="Comma 13 2 2 2 8 2" xfId="34516"/>
    <cellStyle name="Comma 13 2 2 2 8 3" xfId="34517"/>
    <cellStyle name="Comma 13 2 2 2 9" xfId="34518"/>
    <cellStyle name="Comma 13 2 2 2 9 2" xfId="34519"/>
    <cellStyle name="Comma 13 2 2 2 9 3" xfId="34520"/>
    <cellStyle name="Comma 13 2 2 3" xfId="34521"/>
    <cellStyle name="Comma 13 2 2 3 10" xfId="34522"/>
    <cellStyle name="Comma 13 2 2 3 2" xfId="34523"/>
    <cellStyle name="Comma 13 2 2 3 2 2" xfId="34524"/>
    <cellStyle name="Comma 13 2 2 3 2 2 2" xfId="34525"/>
    <cellStyle name="Comma 13 2 2 3 2 2 2 2" xfId="34526"/>
    <cellStyle name="Comma 13 2 2 3 2 2 2 3" xfId="34527"/>
    <cellStyle name="Comma 13 2 2 3 2 2 3" xfId="34528"/>
    <cellStyle name="Comma 13 2 2 3 2 2 3 2" xfId="34529"/>
    <cellStyle name="Comma 13 2 2 3 2 2 3 3" xfId="34530"/>
    <cellStyle name="Comma 13 2 2 3 2 2 4" xfId="34531"/>
    <cellStyle name="Comma 13 2 2 3 2 2 4 2" xfId="34532"/>
    <cellStyle name="Comma 13 2 2 3 2 2 5" xfId="34533"/>
    <cellStyle name="Comma 13 2 2 3 2 2 6" xfId="34534"/>
    <cellStyle name="Comma 13 2 2 3 2 3" xfId="34535"/>
    <cellStyle name="Comma 13 2 2 3 2 3 2" xfId="34536"/>
    <cellStyle name="Comma 13 2 2 3 2 3 2 2" xfId="34537"/>
    <cellStyle name="Comma 13 2 2 3 2 3 2 3" xfId="34538"/>
    <cellStyle name="Comma 13 2 2 3 2 3 3" xfId="34539"/>
    <cellStyle name="Comma 13 2 2 3 2 3 3 2" xfId="34540"/>
    <cellStyle name="Comma 13 2 2 3 2 3 3 3" xfId="34541"/>
    <cellStyle name="Comma 13 2 2 3 2 3 4" xfId="34542"/>
    <cellStyle name="Comma 13 2 2 3 2 3 4 2" xfId="34543"/>
    <cellStyle name="Comma 13 2 2 3 2 3 5" xfId="34544"/>
    <cellStyle name="Comma 13 2 2 3 2 3 6" xfId="34545"/>
    <cellStyle name="Comma 13 2 2 3 2 4" xfId="34546"/>
    <cellStyle name="Comma 13 2 2 3 2 4 2" xfId="34547"/>
    <cellStyle name="Comma 13 2 2 3 2 4 2 2" xfId="34548"/>
    <cellStyle name="Comma 13 2 2 3 2 4 2 3" xfId="34549"/>
    <cellStyle name="Comma 13 2 2 3 2 4 3" xfId="34550"/>
    <cellStyle name="Comma 13 2 2 3 2 4 3 2" xfId="34551"/>
    <cellStyle name="Comma 13 2 2 3 2 4 4" xfId="34552"/>
    <cellStyle name="Comma 13 2 2 3 2 4 5" xfId="34553"/>
    <cellStyle name="Comma 13 2 2 3 2 5" xfId="34554"/>
    <cellStyle name="Comma 13 2 2 3 2 5 2" xfId="34555"/>
    <cellStyle name="Comma 13 2 2 3 2 5 3" xfId="34556"/>
    <cellStyle name="Comma 13 2 2 3 2 6" xfId="34557"/>
    <cellStyle name="Comma 13 2 2 3 2 6 2" xfId="34558"/>
    <cellStyle name="Comma 13 2 2 3 2 6 3" xfId="34559"/>
    <cellStyle name="Comma 13 2 2 3 2 7" xfId="34560"/>
    <cellStyle name="Comma 13 2 2 3 2 7 2" xfId="34561"/>
    <cellStyle name="Comma 13 2 2 3 2 8" xfId="34562"/>
    <cellStyle name="Comma 13 2 2 3 2 9" xfId="34563"/>
    <cellStyle name="Comma 13 2 2 3 3" xfId="34564"/>
    <cellStyle name="Comma 13 2 2 3 3 2" xfId="34565"/>
    <cellStyle name="Comma 13 2 2 3 3 2 2" xfId="34566"/>
    <cellStyle name="Comma 13 2 2 3 3 2 3" xfId="34567"/>
    <cellStyle name="Comma 13 2 2 3 3 3" xfId="34568"/>
    <cellStyle name="Comma 13 2 2 3 3 3 2" xfId="34569"/>
    <cellStyle name="Comma 13 2 2 3 3 3 3" xfId="34570"/>
    <cellStyle name="Comma 13 2 2 3 3 4" xfId="34571"/>
    <cellStyle name="Comma 13 2 2 3 3 4 2" xfId="34572"/>
    <cellStyle name="Comma 13 2 2 3 3 5" xfId="34573"/>
    <cellStyle name="Comma 13 2 2 3 3 6" xfId="34574"/>
    <cellStyle name="Comma 13 2 2 3 4" xfId="34575"/>
    <cellStyle name="Comma 13 2 2 3 4 2" xfId="34576"/>
    <cellStyle name="Comma 13 2 2 3 4 2 2" xfId="34577"/>
    <cellStyle name="Comma 13 2 2 3 4 2 3" xfId="34578"/>
    <cellStyle name="Comma 13 2 2 3 4 3" xfId="34579"/>
    <cellStyle name="Comma 13 2 2 3 4 3 2" xfId="34580"/>
    <cellStyle name="Comma 13 2 2 3 4 3 3" xfId="34581"/>
    <cellStyle name="Comma 13 2 2 3 4 4" xfId="34582"/>
    <cellStyle name="Comma 13 2 2 3 4 4 2" xfId="34583"/>
    <cellStyle name="Comma 13 2 2 3 4 5" xfId="34584"/>
    <cellStyle name="Comma 13 2 2 3 4 6" xfId="34585"/>
    <cellStyle name="Comma 13 2 2 3 5" xfId="34586"/>
    <cellStyle name="Comma 13 2 2 3 5 2" xfId="34587"/>
    <cellStyle name="Comma 13 2 2 3 5 2 2" xfId="34588"/>
    <cellStyle name="Comma 13 2 2 3 5 2 3" xfId="34589"/>
    <cellStyle name="Comma 13 2 2 3 5 3" xfId="34590"/>
    <cellStyle name="Comma 13 2 2 3 5 3 2" xfId="34591"/>
    <cellStyle name="Comma 13 2 2 3 5 4" xfId="34592"/>
    <cellStyle name="Comma 13 2 2 3 5 5" xfId="34593"/>
    <cellStyle name="Comma 13 2 2 3 6" xfId="34594"/>
    <cellStyle name="Comma 13 2 2 3 6 2" xfId="34595"/>
    <cellStyle name="Comma 13 2 2 3 6 3" xfId="34596"/>
    <cellStyle name="Comma 13 2 2 3 7" xfId="34597"/>
    <cellStyle name="Comma 13 2 2 3 7 2" xfId="34598"/>
    <cellStyle name="Comma 13 2 2 3 7 3" xfId="34599"/>
    <cellStyle name="Comma 13 2 2 3 8" xfId="34600"/>
    <cellStyle name="Comma 13 2 2 3 8 2" xfId="34601"/>
    <cellStyle name="Comma 13 2 2 3 9" xfId="34602"/>
    <cellStyle name="Comma 13 2 2 4" xfId="34603"/>
    <cellStyle name="Comma 13 2 2 4 2" xfId="34604"/>
    <cellStyle name="Comma 13 2 2 4 2 2" xfId="34605"/>
    <cellStyle name="Comma 13 2 2 4 2 2 2" xfId="34606"/>
    <cellStyle name="Comma 13 2 2 4 2 2 3" xfId="34607"/>
    <cellStyle name="Comma 13 2 2 4 2 3" xfId="34608"/>
    <cellStyle name="Comma 13 2 2 4 2 3 2" xfId="34609"/>
    <cellStyle name="Comma 13 2 2 4 2 3 3" xfId="34610"/>
    <cellStyle name="Comma 13 2 2 4 2 4" xfId="34611"/>
    <cellStyle name="Comma 13 2 2 4 2 4 2" xfId="34612"/>
    <cellStyle name="Comma 13 2 2 4 2 5" xfId="34613"/>
    <cellStyle name="Comma 13 2 2 4 2 6" xfId="34614"/>
    <cellStyle name="Comma 13 2 2 4 3" xfId="34615"/>
    <cellStyle name="Comma 13 2 2 4 3 2" xfId="34616"/>
    <cellStyle name="Comma 13 2 2 4 3 2 2" xfId="34617"/>
    <cellStyle name="Comma 13 2 2 4 3 2 3" xfId="34618"/>
    <cellStyle name="Comma 13 2 2 4 3 3" xfId="34619"/>
    <cellStyle name="Comma 13 2 2 4 3 3 2" xfId="34620"/>
    <cellStyle name="Comma 13 2 2 4 3 3 3" xfId="34621"/>
    <cellStyle name="Comma 13 2 2 4 3 4" xfId="34622"/>
    <cellStyle name="Comma 13 2 2 4 3 4 2" xfId="34623"/>
    <cellStyle name="Comma 13 2 2 4 3 5" xfId="34624"/>
    <cellStyle name="Comma 13 2 2 4 3 6" xfId="34625"/>
    <cellStyle name="Comma 13 2 2 4 4" xfId="34626"/>
    <cellStyle name="Comma 13 2 2 4 4 2" xfId="34627"/>
    <cellStyle name="Comma 13 2 2 4 4 2 2" xfId="34628"/>
    <cellStyle name="Comma 13 2 2 4 4 2 3" xfId="34629"/>
    <cellStyle name="Comma 13 2 2 4 4 3" xfId="34630"/>
    <cellStyle name="Comma 13 2 2 4 4 3 2" xfId="34631"/>
    <cellStyle name="Comma 13 2 2 4 4 4" xfId="34632"/>
    <cellStyle name="Comma 13 2 2 4 4 5" xfId="34633"/>
    <cellStyle name="Comma 13 2 2 4 5" xfId="34634"/>
    <cellStyle name="Comma 13 2 2 4 5 2" xfId="34635"/>
    <cellStyle name="Comma 13 2 2 4 5 3" xfId="34636"/>
    <cellStyle name="Comma 13 2 2 4 6" xfId="34637"/>
    <cellStyle name="Comma 13 2 2 4 6 2" xfId="34638"/>
    <cellStyle name="Comma 13 2 2 4 6 3" xfId="34639"/>
    <cellStyle name="Comma 13 2 2 4 7" xfId="34640"/>
    <cellStyle name="Comma 13 2 2 4 7 2" xfId="34641"/>
    <cellStyle name="Comma 13 2 2 4 8" xfId="34642"/>
    <cellStyle name="Comma 13 2 2 4 9" xfId="34643"/>
    <cellStyle name="Comma 13 2 2 5" xfId="34644"/>
    <cellStyle name="Comma 13 2 2 5 2" xfId="34645"/>
    <cellStyle name="Comma 13 2 2 5 2 2" xfId="34646"/>
    <cellStyle name="Comma 13 2 2 5 2 2 2" xfId="34647"/>
    <cellStyle name="Comma 13 2 2 5 2 2 3" xfId="34648"/>
    <cellStyle name="Comma 13 2 2 5 2 3" xfId="34649"/>
    <cellStyle name="Comma 13 2 2 5 2 3 2" xfId="34650"/>
    <cellStyle name="Comma 13 2 2 5 2 3 3" xfId="34651"/>
    <cellStyle name="Comma 13 2 2 5 2 4" xfId="34652"/>
    <cellStyle name="Comma 13 2 2 5 2 4 2" xfId="34653"/>
    <cellStyle name="Comma 13 2 2 5 2 5" xfId="34654"/>
    <cellStyle name="Comma 13 2 2 5 2 6" xfId="34655"/>
    <cellStyle name="Comma 13 2 2 5 3" xfId="34656"/>
    <cellStyle name="Comma 13 2 2 5 3 2" xfId="34657"/>
    <cellStyle name="Comma 13 2 2 5 3 2 2" xfId="34658"/>
    <cellStyle name="Comma 13 2 2 5 3 2 3" xfId="34659"/>
    <cellStyle name="Comma 13 2 2 5 3 3" xfId="34660"/>
    <cellStyle name="Comma 13 2 2 5 3 3 2" xfId="34661"/>
    <cellStyle name="Comma 13 2 2 5 3 3 3" xfId="34662"/>
    <cellStyle name="Comma 13 2 2 5 3 4" xfId="34663"/>
    <cellStyle name="Comma 13 2 2 5 3 4 2" xfId="34664"/>
    <cellStyle name="Comma 13 2 2 5 3 5" xfId="34665"/>
    <cellStyle name="Comma 13 2 2 5 3 6" xfId="34666"/>
    <cellStyle name="Comma 13 2 2 5 4" xfId="34667"/>
    <cellStyle name="Comma 13 2 2 5 4 2" xfId="34668"/>
    <cellStyle name="Comma 13 2 2 5 4 2 2" xfId="34669"/>
    <cellStyle name="Comma 13 2 2 5 4 2 3" xfId="34670"/>
    <cellStyle name="Comma 13 2 2 5 4 3" xfId="34671"/>
    <cellStyle name="Comma 13 2 2 5 4 3 2" xfId="34672"/>
    <cellStyle name="Comma 13 2 2 5 4 4" xfId="34673"/>
    <cellStyle name="Comma 13 2 2 5 4 5" xfId="34674"/>
    <cellStyle name="Comma 13 2 2 5 5" xfId="34675"/>
    <cellStyle name="Comma 13 2 2 5 5 2" xfId="34676"/>
    <cellStyle name="Comma 13 2 2 5 5 3" xfId="34677"/>
    <cellStyle name="Comma 13 2 2 5 6" xfId="34678"/>
    <cellStyle name="Comma 13 2 2 5 6 2" xfId="34679"/>
    <cellStyle name="Comma 13 2 2 5 6 3" xfId="34680"/>
    <cellStyle name="Comma 13 2 2 5 7" xfId="34681"/>
    <cellStyle name="Comma 13 2 2 5 7 2" xfId="34682"/>
    <cellStyle name="Comma 13 2 2 5 8" xfId="34683"/>
    <cellStyle name="Comma 13 2 2 5 9" xfId="34684"/>
    <cellStyle name="Comma 13 2 2 6" xfId="34685"/>
    <cellStyle name="Comma 13 2 2 6 2" xfId="34686"/>
    <cellStyle name="Comma 13 2 2 6 2 2" xfId="34687"/>
    <cellStyle name="Comma 13 2 2 6 2 3" xfId="34688"/>
    <cellStyle name="Comma 13 2 2 6 3" xfId="34689"/>
    <cellStyle name="Comma 13 2 2 6 3 2" xfId="34690"/>
    <cellStyle name="Comma 13 2 2 6 3 3" xfId="34691"/>
    <cellStyle name="Comma 13 2 2 6 4" xfId="34692"/>
    <cellStyle name="Comma 13 2 2 6 4 2" xfId="34693"/>
    <cellStyle name="Comma 13 2 2 6 5" xfId="34694"/>
    <cellStyle name="Comma 13 2 2 6 6" xfId="34695"/>
    <cellStyle name="Comma 13 2 2 7" xfId="34696"/>
    <cellStyle name="Comma 13 2 2 7 2" xfId="34697"/>
    <cellStyle name="Comma 13 2 2 7 2 2" xfId="34698"/>
    <cellStyle name="Comma 13 2 2 7 2 3" xfId="34699"/>
    <cellStyle name="Comma 13 2 2 7 3" xfId="34700"/>
    <cellStyle name="Comma 13 2 2 7 3 2" xfId="34701"/>
    <cellStyle name="Comma 13 2 2 7 3 3" xfId="34702"/>
    <cellStyle name="Comma 13 2 2 7 4" xfId="34703"/>
    <cellStyle name="Comma 13 2 2 7 4 2" xfId="34704"/>
    <cellStyle name="Comma 13 2 2 7 5" xfId="34705"/>
    <cellStyle name="Comma 13 2 2 7 6" xfId="34706"/>
    <cellStyle name="Comma 13 2 2 8" xfId="34707"/>
    <cellStyle name="Comma 13 2 2 8 2" xfId="34708"/>
    <cellStyle name="Comma 13 2 2 8 2 2" xfId="34709"/>
    <cellStyle name="Comma 13 2 2 8 2 3" xfId="34710"/>
    <cellStyle name="Comma 13 2 2 8 3" xfId="34711"/>
    <cellStyle name="Comma 13 2 2 8 3 2" xfId="34712"/>
    <cellStyle name="Comma 13 2 2 8 4" xfId="34713"/>
    <cellStyle name="Comma 13 2 2 8 5" xfId="34714"/>
    <cellStyle name="Comma 13 2 2 9" xfId="34715"/>
    <cellStyle name="Comma 13 2 2 9 2" xfId="34716"/>
    <cellStyle name="Comma 13 2 2 9 3" xfId="34717"/>
    <cellStyle name="Comma 13 2 3" xfId="34718"/>
    <cellStyle name="Comma 13 2 3 10" xfId="34719"/>
    <cellStyle name="Comma 13 2 3 10 2" xfId="34720"/>
    <cellStyle name="Comma 13 2 3 11" xfId="34721"/>
    <cellStyle name="Comma 13 2 3 12" xfId="34722"/>
    <cellStyle name="Comma 13 2 3 2" xfId="34723"/>
    <cellStyle name="Comma 13 2 3 2 10" xfId="34724"/>
    <cellStyle name="Comma 13 2 3 2 2" xfId="34725"/>
    <cellStyle name="Comma 13 2 3 2 2 2" xfId="34726"/>
    <cellStyle name="Comma 13 2 3 2 2 2 2" xfId="34727"/>
    <cellStyle name="Comma 13 2 3 2 2 2 2 2" xfId="34728"/>
    <cellStyle name="Comma 13 2 3 2 2 2 2 3" xfId="34729"/>
    <cellStyle name="Comma 13 2 3 2 2 2 3" xfId="34730"/>
    <cellStyle name="Comma 13 2 3 2 2 2 3 2" xfId="34731"/>
    <cellStyle name="Comma 13 2 3 2 2 2 3 3" xfId="34732"/>
    <cellStyle name="Comma 13 2 3 2 2 2 4" xfId="34733"/>
    <cellStyle name="Comma 13 2 3 2 2 2 4 2" xfId="34734"/>
    <cellStyle name="Comma 13 2 3 2 2 2 5" xfId="34735"/>
    <cellStyle name="Comma 13 2 3 2 2 2 6" xfId="34736"/>
    <cellStyle name="Comma 13 2 3 2 2 3" xfId="34737"/>
    <cellStyle name="Comma 13 2 3 2 2 3 2" xfId="34738"/>
    <cellStyle name="Comma 13 2 3 2 2 3 2 2" xfId="34739"/>
    <cellStyle name="Comma 13 2 3 2 2 3 2 3" xfId="34740"/>
    <cellStyle name="Comma 13 2 3 2 2 3 3" xfId="34741"/>
    <cellStyle name="Comma 13 2 3 2 2 3 3 2" xfId="34742"/>
    <cellStyle name="Comma 13 2 3 2 2 3 3 3" xfId="34743"/>
    <cellStyle name="Comma 13 2 3 2 2 3 4" xfId="34744"/>
    <cellStyle name="Comma 13 2 3 2 2 3 4 2" xfId="34745"/>
    <cellStyle name="Comma 13 2 3 2 2 3 5" xfId="34746"/>
    <cellStyle name="Comma 13 2 3 2 2 3 6" xfId="34747"/>
    <cellStyle name="Comma 13 2 3 2 2 4" xfId="34748"/>
    <cellStyle name="Comma 13 2 3 2 2 4 2" xfId="34749"/>
    <cellStyle name="Comma 13 2 3 2 2 4 2 2" xfId="34750"/>
    <cellStyle name="Comma 13 2 3 2 2 4 2 3" xfId="34751"/>
    <cellStyle name="Comma 13 2 3 2 2 4 3" xfId="34752"/>
    <cellStyle name="Comma 13 2 3 2 2 4 3 2" xfId="34753"/>
    <cellStyle name="Comma 13 2 3 2 2 4 4" xfId="34754"/>
    <cellStyle name="Comma 13 2 3 2 2 4 5" xfId="34755"/>
    <cellStyle name="Comma 13 2 3 2 2 5" xfId="34756"/>
    <cellStyle name="Comma 13 2 3 2 2 5 2" xfId="34757"/>
    <cellStyle name="Comma 13 2 3 2 2 5 3" xfId="34758"/>
    <cellStyle name="Comma 13 2 3 2 2 6" xfId="34759"/>
    <cellStyle name="Comma 13 2 3 2 2 6 2" xfId="34760"/>
    <cellStyle name="Comma 13 2 3 2 2 6 3" xfId="34761"/>
    <cellStyle name="Comma 13 2 3 2 2 7" xfId="34762"/>
    <cellStyle name="Comma 13 2 3 2 2 7 2" xfId="34763"/>
    <cellStyle name="Comma 13 2 3 2 2 8" xfId="34764"/>
    <cellStyle name="Comma 13 2 3 2 2 9" xfId="34765"/>
    <cellStyle name="Comma 13 2 3 2 3" xfId="34766"/>
    <cellStyle name="Comma 13 2 3 2 3 2" xfId="34767"/>
    <cellStyle name="Comma 13 2 3 2 3 2 2" xfId="34768"/>
    <cellStyle name="Comma 13 2 3 2 3 2 3" xfId="34769"/>
    <cellStyle name="Comma 13 2 3 2 3 3" xfId="34770"/>
    <cellStyle name="Comma 13 2 3 2 3 3 2" xfId="34771"/>
    <cellStyle name="Comma 13 2 3 2 3 3 3" xfId="34772"/>
    <cellStyle name="Comma 13 2 3 2 3 4" xfId="34773"/>
    <cellStyle name="Comma 13 2 3 2 3 4 2" xfId="34774"/>
    <cellStyle name="Comma 13 2 3 2 3 5" xfId="34775"/>
    <cellStyle name="Comma 13 2 3 2 3 6" xfId="34776"/>
    <cellStyle name="Comma 13 2 3 2 4" xfId="34777"/>
    <cellStyle name="Comma 13 2 3 2 4 2" xfId="34778"/>
    <cellStyle name="Comma 13 2 3 2 4 2 2" xfId="34779"/>
    <cellStyle name="Comma 13 2 3 2 4 2 3" xfId="34780"/>
    <cellStyle name="Comma 13 2 3 2 4 3" xfId="34781"/>
    <cellStyle name="Comma 13 2 3 2 4 3 2" xfId="34782"/>
    <cellStyle name="Comma 13 2 3 2 4 3 3" xfId="34783"/>
    <cellStyle name="Comma 13 2 3 2 4 4" xfId="34784"/>
    <cellStyle name="Comma 13 2 3 2 4 4 2" xfId="34785"/>
    <cellStyle name="Comma 13 2 3 2 4 5" xfId="34786"/>
    <cellStyle name="Comma 13 2 3 2 4 6" xfId="34787"/>
    <cellStyle name="Comma 13 2 3 2 5" xfId="34788"/>
    <cellStyle name="Comma 13 2 3 2 5 2" xfId="34789"/>
    <cellStyle name="Comma 13 2 3 2 5 2 2" xfId="34790"/>
    <cellStyle name="Comma 13 2 3 2 5 2 3" xfId="34791"/>
    <cellStyle name="Comma 13 2 3 2 5 3" xfId="34792"/>
    <cellStyle name="Comma 13 2 3 2 5 3 2" xfId="34793"/>
    <cellStyle name="Comma 13 2 3 2 5 4" xfId="34794"/>
    <cellStyle name="Comma 13 2 3 2 5 5" xfId="34795"/>
    <cellStyle name="Comma 13 2 3 2 6" xfId="34796"/>
    <cellStyle name="Comma 13 2 3 2 6 2" xfId="34797"/>
    <cellStyle name="Comma 13 2 3 2 6 3" xfId="34798"/>
    <cellStyle name="Comma 13 2 3 2 7" xfId="34799"/>
    <cellStyle name="Comma 13 2 3 2 7 2" xfId="34800"/>
    <cellStyle name="Comma 13 2 3 2 7 3" xfId="34801"/>
    <cellStyle name="Comma 13 2 3 2 8" xfId="34802"/>
    <cellStyle name="Comma 13 2 3 2 8 2" xfId="34803"/>
    <cellStyle name="Comma 13 2 3 2 9" xfId="34804"/>
    <cellStyle name="Comma 13 2 3 3" xfId="34805"/>
    <cellStyle name="Comma 13 2 3 3 2" xfId="34806"/>
    <cellStyle name="Comma 13 2 3 3 2 2" xfId="34807"/>
    <cellStyle name="Comma 13 2 3 3 2 2 2" xfId="34808"/>
    <cellStyle name="Comma 13 2 3 3 2 2 3" xfId="34809"/>
    <cellStyle name="Comma 13 2 3 3 2 3" xfId="34810"/>
    <cellStyle name="Comma 13 2 3 3 2 3 2" xfId="34811"/>
    <cellStyle name="Comma 13 2 3 3 2 3 3" xfId="34812"/>
    <cellStyle name="Comma 13 2 3 3 2 4" xfId="34813"/>
    <cellStyle name="Comma 13 2 3 3 2 4 2" xfId="34814"/>
    <cellStyle name="Comma 13 2 3 3 2 5" xfId="34815"/>
    <cellStyle name="Comma 13 2 3 3 2 6" xfId="34816"/>
    <cellStyle name="Comma 13 2 3 3 3" xfId="34817"/>
    <cellStyle name="Comma 13 2 3 3 3 2" xfId="34818"/>
    <cellStyle name="Comma 13 2 3 3 3 2 2" xfId="34819"/>
    <cellStyle name="Comma 13 2 3 3 3 2 3" xfId="34820"/>
    <cellStyle name="Comma 13 2 3 3 3 3" xfId="34821"/>
    <cellStyle name="Comma 13 2 3 3 3 3 2" xfId="34822"/>
    <cellStyle name="Comma 13 2 3 3 3 3 3" xfId="34823"/>
    <cellStyle name="Comma 13 2 3 3 3 4" xfId="34824"/>
    <cellStyle name="Comma 13 2 3 3 3 4 2" xfId="34825"/>
    <cellStyle name="Comma 13 2 3 3 3 5" xfId="34826"/>
    <cellStyle name="Comma 13 2 3 3 3 6" xfId="34827"/>
    <cellStyle name="Comma 13 2 3 3 4" xfId="34828"/>
    <cellStyle name="Comma 13 2 3 3 4 2" xfId="34829"/>
    <cellStyle name="Comma 13 2 3 3 4 2 2" xfId="34830"/>
    <cellStyle name="Comma 13 2 3 3 4 2 3" xfId="34831"/>
    <cellStyle name="Comma 13 2 3 3 4 3" xfId="34832"/>
    <cellStyle name="Comma 13 2 3 3 4 3 2" xfId="34833"/>
    <cellStyle name="Comma 13 2 3 3 4 4" xfId="34834"/>
    <cellStyle name="Comma 13 2 3 3 4 5" xfId="34835"/>
    <cellStyle name="Comma 13 2 3 3 5" xfId="34836"/>
    <cellStyle name="Comma 13 2 3 3 5 2" xfId="34837"/>
    <cellStyle name="Comma 13 2 3 3 5 3" xfId="34838"/>
    <cellStyle name="Comma 13 2 3 3 6" xfId="34839"/>
    <cellStyle name="Comma 13 2 3 3 6 2" xfId="34840"/>
    <cellStyle name="Comma 13 2 3 3 6 3" xfId="34841"/>
    <cellStyle name="Comma 13 2 3 3 7" xfId="34842"/>
    <cellStyle name="Comma 13 2 3 3 7 2" xfId="34843"/>
    <cellStyle name="Comma 13 2 3 3 8" xfId="34844"/>
    <cellStyle name="Comma 13 2 3 3 9" xfId="34845"/>
    <cellStyle name="Comma 13 2 3 4" xfId="34846"/>
    <cellStyle name="Comma 13 2 3 4 2" xfId="34847"/>
    <cellStyle name="Comma 13 2 3 4 2 2" xfId="34848"/>
    <cellStyle name="Comma 13 2 3 4 2 2 2" xfId="34849"/>
    <cellStyle name="Comma 13 2 3 4 2 2 3" xfId="34850"/>
    <cellStyle name="Comma 13 2 3 4 2 3" xfId="34851"/>
    <cellStyle name="Comma 13 2 3 4 2 3 2" xfId="34852"/>
    <cellStyle name="Comma 13 2 3 4 2 3 3" xfId="34853"/>
    <cellStyle name="Comma 13 2 3 4 2 4" xfId="34854"/>
    <cellStyle name="Comma 13 2 3 4 2 4 2" xfId="34855"/>
    <cellStyle name="Comma 13 2 3 4 2 5" xfId="34856"/>
    <cellStyle name="Comma 13 2 3 4 2 6" xfId="34857"/>
    <cellStyle name="Comma 13 2 3 4 3" xfId="34858"/>
    <cellStyle name="Comma 13 2 3 4 3 2" xfId="34859"/>
    <cellStyle name="Comma 13 2 3 4 3 2 2" xfId="34860"/>
    <cellStyle name="Comma 13 2 3 4 3 2 3" xfId="34861"/>
    <cellStyle name="Comma 13 2 3 4 3 3" xfId="34862"/>
    <cellStyle name="Comma 13 2 3 4 3 3 2" xfId="34863"/>
    <cellStyle name="Comma 13 2 3 4 3 3 3" xfId="34864"/>
    <cellStyle name="Comma 13 2 3 4 3 4" xfId="34865"/>
    <cellStyle name="Comma 13 2 3 4 3 4 2" xfId="34866"/>
    <cellStyle name="Comma 13 2 3 4 3 5" xfId="34867"/>
    <cellStyle name="Comma 13 2 3 4 3 6" xfId="34868"/>
    <cellStyle name="Comma 13 2 3 4 4" xfId="34869"/>
    <cellStyle name="Comma 13 2 3 4 4 2" xfId="34870"/>
    <cellStyle name="Comma 13 2 3 4 4 2 2" xfId="34871"/>
    <cellStyle name="Comma 13 2 3 4 4 2 3" xfId="34872"/>
    <cellStyle name="Comma 13 2 3 4 4 3" xfId="34873"/>
    <cellStyle name="Comma 13 2 3 4 4 3 2" xfId="34874"/>
    <cellStyle name="Comma 13 2 3 4 4 4" xfId="34875"/>
    <cellStyle name="Comma 13 2 3 4 4 5" xfId="34876"/>
    <cellStyle name="Comma 13 2 3 4 5" xfId="34877"/>
    <cellStyle name="Comma 13 2 3 4 5 2" xfId="34878"/>
    <cellStyle name="Comma 13 2 3 4 5 3" xfId="34879"/>
    <cellStyle name="Comma 13 2 3 4 6" xfId="34880"/>
    <cellStyle name="Comma 13 2 3 4 6 2" xfId="34881"/>
    <cellStyle name="Comma 13 2 3 4 6 3" xfId="34882"/>
    <cellStyle name="Comma 13 2 3 4 7" xfId="34883"/>
    <cellStyle name="Comma 13 2 3 4 7 2" xfId="34884"/>
    <cellStyle name="Comma 13 2 3 4 8" xfId="34885"/>
    <cellStyle name="Comma 13 2 3 4 9" xfId="34886"/>
    <cellStyle name="Comma 13 2 3 5" xfId="34887"/>
    <cellStyle name="Comma 13 2 3 5 2" xfId="34888"/>
    <cellStyle name="Comma 13 2 3 5 2 2" xfId="34889"/>
    <cellStyle name="Comma 13 2 3 5 2 3" xfId="34890"/>
    <cellStyle name="Comma 13 2 3 5 3" xfId="34891"/>
    <cellStyle name="Comma 13 2 3 5 3 2" xfId="34892"/>
    <cellStyle name="Comma 13 2 3 5 3 3" xfId="34893"/>
    <cellStyle name="Comma 13 2 3 5 4" xfId="34894"/>
    <cellStyle name="Comma 13 2 3 5 4 2" xfId="34895"/>
    <cellStyle name="Comma 13 2 3 5 5" xfId="34896"/>
    <cellStyle name="Comma 13 2 3 5 6" xfId="34897"/>
    <cellStyle name="Comma 13 2 3 6" xfId="34898"/>
    <cellStyle name="Comma 13 2 3 6 2" xfId="34899"/>
    <cellStyle name="Comma 13 2 3 6 2 2" xfId="34900"/>
    <cellStyle name="Comma 13 2 3 6 2 3" xfId="34901"/>
    <cellStyle name="Comma 13 2 3 6 3" xfId="34902"/>
    <cellStyle name="Comma 13 2 3 6 3 2" xfId="34903"/>
    <cellStyle name="Comma 13 2 3 6 3 3" xfId="34904"/>
    <cellStyle name="Comma 13 2 3 6 4" xfId="34905"/>
    <cellStyle name="Comma 13 2 3 6 4 2" xfId="34906"/>
    <cellStyle name="Comma 13 2 3 6 5" xfId="34907"/>
    <cellStyle name="Comma 13 2 3 6 6" xfId="34908"/>
    <cellStyle name="Comma 13 2 3 7" xfId="34909"/>
    <cellStyle name="Comma 13 2 3 7 2" xfId="34910"/>
    <cellStyle name="Comma 13 2 3 7 2 2" xfId="34911"/>
    <cellStyle name="Comma 13 2 3 7 2 3" xfId="34912"/>
    <cellStyle name="Comma 13 2 3 7 3" xfId="34913"/>
    <cellStyle name="Comma 13 2 3 7 3 2" xfId="34914"/>
    <cellStyle name="Comma 13 2 3 7 4" xfId="34915"/>
    <cellStyle name="Comma 13 2 3 7 5" xfId="34916"/>
    <cellStyle name="Comma 13 2 3 8" xfId="34917"/>
    <cellStyle name="Comma 13 2 3 8 2" xfId="34918"/>
    <cellStyle name="Comma 13 2 3 8 3" xfId="34919"/>
    <cellStyle name="Comma 13 2 3 9" xfId="34920"/>
    <cellStyle name="Comma 13 2 3 9 2" xfId="34921"/>
    <cellStyle name="Comma 13 2 3 9 3" xfId="34922"/>
    <cellStyle name="Comma 13 2 4" xfId="34923"/>
    <cellStyle name="Comma 13 2 4 10" xfId="34924"/>
    <cellStyle name="Comma 13 2 4 2" xfId="34925"/>
    <cellStyle name="Comma 13 2 4 2 2" xfId="34926"/>
    <cellStyle name="Comma 13 2 4 2 2 2" xfId="34927"/>
    <cellStyle name="Comma 13 2 4 2 2 2 2" xfId="34928"/>
    <cellStyle name="Comma 13 2 4 2 2 2 3" xfId="34929"/>
    <cellStyle name="Comma 13 2 4 2 2 3" xfId="34930"/>
    <cellStyle name="Comma 13 2 4 2 2 3 2" xfId="34931"/>
    <cellStyle name="Comma 13 2 4 2 2 3 3" xfId="34932"/>
    <cellStyle name="Comma 13 2 4 2 2 4" xfId="34933"/>
    <cellStyle name="Comma 13 2 4 2 2 4 2" xfId="34934"/>
    <cellStyle name="Comma 13 2 4 2 2 5" xfId="34935"/>
    <cellStyle name="Comma 13 2 4 2 2 6" xfId="34936"/>
    <cellStyle name="Comma 13 2 4 2 3" xfId="34937"/>
    <cellStyle name="Comma 13 2 4 2 3 2" xfId="34938"/>
    <cellStyle name="Comma 13 2 4 2 3 2 2" xfId="34939"/>
    <cellStyle name="Comma 13 2 4 2 3 2 3" xfId="34940"/>
    <cellStyle name="Comma 13 2 4 2 3 3" xfId="34941"/>
    <cellStyle name="Comma 13 2 4 2 3 3 2" xfId="34942"/>
    <cellStyle name="Comma 13 2 4 2 3 3 3" xfId="34943"/>
    <cellStyle name="Comma 13 2 4 2 3 4" xfId="34944"/>
    <cellStyle name="Comma 13 2 4 2 3 4 2" xfId="34945"/>
    <cellStyle name="Comma 13 2 4 2 3 5" xfId="34946"/>
    <cellStyle name="Comma 13 2 4 2 3 6" xfId="34947"/>
    <cellStyle name="Comma 13 2 4 2 4" xfId="34948"/>
    <cellStyle name="Comma 13 2 4 2 4 2" xfId="34949"/>
    <cellStyle name="Comma 13 2 4 2 4 2 2" xfId="34950"/>
    <cellStyle name="Comma 13 2 4 2 4 2 3" xfId="34951"/>
    <cellStyle name="Comma 13 2 4 2 4 3" xfId="34952"/>
    <cellStyle name="Comma 13 2 4 2 4 3 2" xfId="34953"/>
    <cellStyle name="Comma 13 2 4 2 4 4" xfId="34954"/>
    <cellStyle name="Comma 13 2 4 2 4 5" xfId="34955"/>
    <cellStyle name="Comma 13 2 4 2 5" xfId="34956"/>
    <cellStyle name="Comma 13 2 4 2 5 2" xfId="34957"/>
    <cellStyle name="Comma 13 2 4 2 5 3" xfId="34958"/>
    <cellStyle name="Comma 13 2 4 2 6" xfId="34959"/>
    <cellStyle name="Comma 13 2 4 2 6 2" xfId="34960"/>
    <cellStyle name="Comma 13 2 4 2 6 3" xfId="34961"/>
    <cellStyle name="Comma 13 2 4 2 7" xfId="34962"/>
    <cellStyle name="Comma 13 2 4 2 7 2" xfId="34963"/>
    <cellStyle name="Comma 13 2 4 2 8" xfId="34964"/>
    <cellStyle name="Comma 13 2 4 2 9" xfId="34965"/>
    <cellStyle name="Comma 13 2 4 3" xfId="34966"/>
    <cellStyle name="Comma 13 2 4 3 2" xfId="34967"/>
    <cellStyle name="Comma 13 2 4 3 2 2" xfId="34968"/>
    <cellStyle name="Comma 13 2 4 3 2 3" xfId="34969"/>
    <cellStyle name="Comma 13 2 4 3 3" xfId="34970"/>
    <cellStyle name="Comma 13 2 4 3 3 2" xfId="34971"/>
    <cellStyle name="Comma 13 2 4 3 3 3" xfId="34972"/>
    <cellStyle name="Comma 13 2 4 3 4" xfId="34973"/>
    <cellStyle name="Comma 13 2 4 3 4 2" xfId="34974"/>
    <cellStyle name="Comma 13 2 4 3 5" xfId="34975"/>
    <cellStyle name="Comma 13 2 4 3 6" xfId="34976"/>
    <cellStyle name="Comma 13 2 4 4" xfId="34977"/>
    <cellStyle name="Comma 13 2 4 4 2" xfId="34978"/>
    <cellStyle name="Comma 13 2 4 4 2 2" xfId="34979"/>
    <cellStyle name="Comma 13 2 4 4 2 3" xfId="34980"/>
    <cellStyle name="Comma 13 2 4 4 3" xfId="34981"/>
    <cellStyle name="Comma 13 2 4 4 3 2" xfId="34982"/>
    <cellStyle name="Comma 13 2 4 4 3 3" xfId="34983"/>
    <cellStyle name="Comma 13 2 4 4 4" xfId="34984"/>
    <cellStyle name="Comma 13 2 4 4 4 2" xfId="34985"/>
    <cellStyle name="Comma 13 2 4 4 5" xfId="34986"/>
    <cellStyle name="Comma 13 2 4 4 6" xfId="34987"/>
    <cellStyle name="Comma 13 2 4 5" xfId="34988"/>
    <cellStyle name="Comma 13 2 4 5 2" xfId="34989"/>
    <cellStyle name="Comma 13 2 4 5 2 2" xfId="34990"/>
    <cellStyle name="Comma 13 2 4 5 2 3" xfId="34991"/>
    <cellStyle name="Comma 13 2 4 5 3" xfId="34992"/>
    <cellStyle name="Comma 13 2 4 5 3 2" xfId="34993"/>
    <cellStyle name="Comma 13 2 4 5 4" xfId="34994"/>
    <cellStyle name="Comma 13 2 4 5 5" xfId="34995"/>
    <cellStyle name="Comma 13 2 4 6" xfId="34996"/>
    <cellStyle name="Comma 13 2 4 6 2" xfId="34997"/>
    <cellStyle name="Comma 13 2 4 6 3" xfId="34998"/>
    <cellStyle name="Comma 13 2 4 7" xfId="34999"/>
    <cellStyle name="Comma 13 2 4 7 2" xfId="35000"/>
    <cellStyle name="Comma 13 2 4 7 3" xfId="35001"/>
    <cellStyle name="Comma 13 2 4 8" xfId="35002"/>
    <cellStyle name="Comma 13 2 4 8 2" xfId="35003"/>
    <cellStyle name="Comma 13 2 4 9" xfId="35004"/>
    <cellStyle name="Comma 13 2 5" xfId="35005"/>
    <cellStyle name="Comma 13 2 5 2" xfId="35006"/>
    <cellStyle name="Comma 13 2 5 2 2" xfId="35007"/>
    <cellStyle name="Comma 13 2 5 2 2 2" xfId="35008"/>
    <cellStyle name="Comma 13 2 5 2 2 3" xfId="35009"/>
    <cellStyle name="Comma 13 2 5 2 3" xfId="35010"/>
    <cellStyle name="Comma 13 2 5 2 3 2" xfId="35011"/>
    <cellStyle name="Comma 13 2 5 2 3 3" xfId="35012"/>
    <cellStyle name="Comma 13 2 5 2 4" xfId="35013"/>
    <cellStyle name="Comma 13 2 5 2 4 2" xfId="35014"/>
    <cellStyle name="Comma 13 2 5 2 5" xfId="35015"/>
    <cellStyle name="Comma 13 2 5 2 6" xfId="35016"/>
    <cellStyle name="Comma 13 2 5 3" xfId="35017"/>
    <cellStyle name="Comma 13 2 5 3 2" xfId="35018"/>
    <cellStyle name="Comma 13 2 5 3 2 2" xfId="35019"/>
    <cellStyle name="Comma 13 2 5 3 2 3" xfId="35020"/>
    <cellStyle name="Comma 13 2 5 3 3" xfId="35021"/>
    <cellStyle name="Comma 13 2 5 3 3 2" xfId="35022"/>
    <cellStyle name="Comma 13 2 5 3 3 3" xfId="35023"/>
    <cellStyle name="Comma 13 2 5 3 4" xfId="35024"/>
    <cellStyle name="Comma 13 2 5 3 4 2" xfId="35025"/>
    <cellStyle name="Comma 13 2 5 3 5" xfId="35026"/>
    <cellStyle name="Comma 13 2 5 3 6" xfId="35027"/>
    <cellStyle name="Comma 13 2 5 4" xfId="35028"/>
    <cellStyle name="Comma 13 2 5 4 2" xfId="35029"/>
    <cellStyle name="Comma 13 2 5 4 2 2" xfId="35030"/>
    <cellStyle name="Comma 13 2 5 4 2 3" xfId="35031"/>
    <cellStyle name="Comma 13 2 5 4 3" xfId="35032"/>
    <cellStyle name="Comma 13 2 5 4 3 2" xfId="35033"/>
    <cellStyle name="Comma 13 2 5 4 4" xfId="35034"/>
    <cellStyle name="Comma 13 2 5 4 5" xfId="35035"/>
    <cellStyle name="Comma 13 2 5 5" xfId="35036"/>
    <cellStyle name="Comma 13 2 5 5 2" xfId="35037"/>
    <cellStyle name="Comma 13 2 5 5 3" xfId="35038"/>
    <cellStyle name="Comma 13 2 5 6" xfId="35039"/>
    <cellStyle name="Comma 13 2 5 6 2" xfId="35040"/>
    <cellStyle name="Comma 13 2 5 6 3" xfId="35041"/>
    <cellStyle name="Comma 13 2 5 7" xfId="35042"/>
    <cellStyle name="Comma 13 2 5 7 2" xfId="35043"/>
    <cellStyle name="Comma 13 2 5 8" xfId="35044"/>
    <cellStyle name="Comma 13 2 5 9" xfId="35045"/>
    <cellStyle name="Comma 13 2 6" xfId="35046"/>
    <cellStyle name="Comma 13 2 6 2" xfId="35047"/>
    <cellStyle name="Comma 13 2 6 2 2" xfId="35048"/>
    <cellStyle name="Comma 13 2 6 2 2 2" xfId="35049"/>
    <cellStyle name="Comma 13 2 6 2 2 3" xfId="35050"/>
    <cellStyle name="Comma 13 2 6 2 3" xfId="35051"/>
    <cellStyle name="Comma 13 2 6 2 3 2" xfId="35052"/>
    <cellStyle name="Comma 13 2 6 2 3 3" xfId="35053"/>
    <cellStyle name="Comma 13 2 6 2 4" xfId="35054"/>
    <cellStyle name="Comma 13 2 6 2 4 2" xfId="35055"/>
    <cellStyle name="Comma 13 2 6 2 5" xfId="35056"/>
    <cellStyle name="Comma 13 2 6 2 6" xfId="35057"/>
    <cellStyle name="Comma 13 2 6 3" xfId="35058"/>
    <cellStyle name="Comma 13 2 6 3 2" xfId="35059"/>
    <cellStyle name="Comma 13 2 6 3 2 2" xfId="35060"/>
    <cellStyle name="Comma 13 2 6 3 2 3" xfId="35061"/>
    <cellStyle name="Comma 13 2 6 3 3" xfId="35062"/>
    <cellStyle name="Comma 13 2 6 3 3 2" xfId="35063"/>
    <cellStyle name="Comma 13 2 6 3 3 3" xfId="35064"/>
    <cellStyle name="Comma 13 2 6 3 4" xfId="35065"/>
    <cellStyle name="Comma 13 2 6 3 4 2" xfId="35066"/>
    <cellStyle name="Comma 13 2 6 3 5" xfId="35067"/>
    <cellStyle name="Comma 13 2 6 3 6" xfId="35068"/>
    <cellStyle name="Comma 13 2 6 4" xfId="35069"/>
    <cellStyle name="Comma 13 2 6 4 2" xfId="35070"/>
    <cellStyle name="Comma 13 2 6 4 2 2" xfId="35071"/>
    <cellStyle name="Comma 13 2 6 4 2 3" xfId="35072"/>
    <cellStyle name="Comma 13 2 6 4 3" xfId="35073"/>
    <cellStyle name="Comma 13 2 6 4 3 2" xfId="35074"/>
    <cellStyle name="Comma 13 2 6 4 4" xfId="35075"/>
    <cellStyle name="Comma 13 2 6 4 5" xfId="35076"/>
    <cellStyle name="Comma 13 2 6 5" xfId="35077"/>
    <cellStyle name="Comma 13 2 6 5 2" xfId="35078"/>
    <cellStyle name="Comma 13 2 6 5 3" xfId="35079"/>
    <cellStyle name="Comma 13 2 6 6" xfId="35080"/>
    <cellStyle name="Comma 13 2 6 6 2" xfId="35081"/>
    <cellStyle name="Comma 13 2 6 6 3" xfId="35082"/>
    <cellStyle name="Comma 13 2 6 7" xfId="35083"/>
    <cellStyle name="Comma 13 2 6 7 2" xfId="35084"/>
    <cellStyle name="Comma 13 2 6 8" xfId="35085"/>
    <cellStyle name="Comma 13 2 6 9" xfId="35086"/>
    <cellStyle name="Comma 13 2 7" xfId="35087"/>
    <cellStyle name="Comma 13 2 7 2" xfId="35088"/>
    <cellStyle name="Comma 13 2 7 2 2" xfId="35089"/>
    <cellStyle name="Comma 13 2 7 2 3" xfId="35090"/>
    <cellStyle name="Comma 13 2 7 3" xfId="35091"/>
    <cellStyle name="Comma 13 2 7 3 2" xfId="35092"/>
    <cellStyle name="Comma 13 2 7 3 3" xfId="35093"/>
    <cellStyle name="Comma 13 2 7 4" xfId="35094"/>
    <cellStyle name="Comma 13 2 7 4 2" xfId="35095"/>
    <cellStyle name="Comma 13 2 7 5" xfId="35096"/>
    <cellStyle name="Comma 13 2 7 6" xfId="35097"/>
    <cellStyle name="Comma 13 2 8" xfId="35098"/>
    <cellStyle name="Comma 13 2 8 2" xfId="35099"/>
    <cellStyle name="Comma 13 2 8 2 2" xfId="35100"/>
    <cellStyle name="Comma 13 2 8 2 3" xfId="35101"/>
    <cellStyle name="Comma 13 2 8 3" xfId="35102"/>
    <cellStyle name="Comma 13 2 8 3 2" xfId="35103"/>
    <cellStyle name="Comma 13 2 8 3 3" xfId="35104"/>
    <cellStyle name="Comma 13 2 8 4" xfId="35105"/>
    <cellStyle name="Comma 13 2 8 4 2" xfId="35106"/>
    <cellStyle name="Comma 13 2 8 5" xfId="35107"/>
    <cellStyle name="Comma 13 2 8 6" xfId="35108"/>
    <cellStyle name="Comma 13 2 9" xfId="35109"/>
    <cellStyle name="Comma 13 2 9 2" xfId="35110"/>
    <cellStyle name="Comma 13 2 9 2 2" xfId="35111"/>
    <cellStyle name="Comma 13 2 9 2 3" xfId="35112"/>
    <cellStyle name="Comma 13 2 9 3" xfId="35113"/>
    <cellStyle name="Comma 13 2 9 3 2" xfId="35114"/>
    <cellStyle name="Comma 13 2 9 4" xfId="35115"/>
    <cellStyle name="Comma 13 2 9 5" xfId="35116"/>
    <cellStyle name="Comma 13 3" xfId="9097"/>
    <cellStyle name="Comma 13 3 10" xfId="35117"/>
    <cellStyle name="Comma 13 3 10 2" xfId="35118"/>
    <cellStyle name="Comma 13 3 10 3" xfId="35119"/>
    <cellStyle name="Comma 13 3 11" xfId="35120"/>
    <cellStyle name="Comma 13 3 11 2" xfId="35121"/>
    <cellStyle name="Comma 13 3 12" xfId="35122"/>
    <cellStyle name="Comma 13 3 13" xfId="35123"/>
    <cellStyle name="Comma 13 3 2" xfId="9412"/>
    <cellStyle name="Comma 13 3 2 10" xfId="35124"/>
    <cellStyle name="Comma 13 3 2 10 2" xfId="35125"/>
    <cellStyle name="Comma 13 3 2 11" xfId="35126"/>
    <cellStyle name="Comma 13 3 2 12" xfId="35127"/>
    <cellStyle name="Comma 13 3 2 2" xfId="35128"/>
    <cellStyle name="Comma 13 3 2 2 10" xfId="35129"/>
    <cellStyle name="Comma 13 3 2 2 2" xfId="35130"/>
    <cellStyle name="Comma 13 3 2 2 2 2" xfId="35131"/>
    <cellStyle name="Comma 13 3 2 2 2 2 2" xfId="35132"/>
    <cellStyle name="Comma 13 3 2 2 2 2 2 2" xfId="35133"/>
    <cellStyle name="Comma 13 3 2 2 2 2 2 3" xfId="35134"/>
    <cellStyle name="Comma 13 3 2 2 2 2 3" xfId="35135"/>
    <cellStyle name="Comma 13 3 2 2 2 2 3 2" xfId="35136"/>
    <cellStyle name="Comma 13 3 2 2 2 2 3 3" xfId="35137"/>
    <cellStyle name="Comma 13 3 2 2 2 2 4" xfId="35138"/>
    <cellStyle name="Comma 13 3 2 2 2 2 4 2" xfId="35139"/>
    <cellStyle name="Comma 13 3 2 2 2 2 5" xfId="35140"/>
    <cellStyle name="Comma 13 3 2 2 2 2 6" xfId="35141"/>
    <cellStyle name="Comma 13 3 2 2 2 3" xfId="35142"/>
    <cellStyle name="Comma 13 3 2 2 2 3 2" xfId="35143"/>
    <cellStyle name="Comma 13 3 2 2 2 3 2 2" xfId="35144"/>
    <cellStyle name="Comma 13 3 2 2 2 3 2 3" xfId="35145"/>
    <cellStyle name="Comma 13 3 2 2 2 3 3" xfId="35146"/>
    <cellStyle name="Comma 13 3 2 2 2 3 3 2" xfId="35147"/>
    <cellStyle name="Comma 13 3 2 2 2 3 3 3" xfId="35148"/>
    <cellStyle name="Comma 13 3 2 2 2 3 4" xfId="35149"/>
    <cellStyle name="Comma 13 3 2 2 2 3 4 2" xfId="35150"/>
    <cellStyle name="Comma 13 3 2 2 2 3 5" xfId="35151"/>
    <cellStyle name="Comma 13 3 2 2 2 3 6" xfId="35152"/>
    <cellStyle name="Comma 13 3 2 2 2 4" xfId="35153"/>
    <cellStyle name="Comma 13 3 2 2 2 4 2" xfId="35154"/>
    <cellStyle name="Comma 13 3 2 2 2 4 2 2" xfId="35155"/>
    <cellStyle name="Comma 13 3 2 2 2 4 2 3" xfId="35156"/>
    <cellStyle name="Comma 13 3 2 2 2 4 3" xfId="35157"/>
    <cellStyle name="Comma 13 3 2 2 2 4 3 2" xfId="35158"/>
    <cellStyle name="Comma 13 3 2 2 2 4 4" xfId="35159"/>
    <cellStyle name="Comma 13 3 2 2 2 4 5" xfId="35160"/>
    <cellStyle name="Comma 13 3 2 2 2 5" xfId="35161"/>
    <cellStyle name="Comma 13 3 2 2 2 5 2" xfId="35162"/>
    <cellStyle name="Comma 13 3 2 2 2 5 3" xfId="35163"/>
    <cellStyle name="Comma 13 3 2 2 2 6" xfId="35164"/>
    <cellStyle name="Comma 13 3 2 2 2 6 2" xfId="35165"/>
    <cellStyle name="Comma 13 3 2 2 2 6 3" xfId="35166"/>
    <cellStyle name="Comma 13 3 2 2 2 7" xfId="35167"/>
    <cellStyle name="Comma 13 3 2 2 2 7 2" xfId="35168"/>
    <cellStyle name="Comma 13 3 2 2 2 8" xfId="35169"/>
    <cellStyle name="Comma 13 3 2 2 2 9" xfId="35170"/>
    <cellStyle name="Comma 13 3 2 2 3" xfId="35171"/>
    <cellStyle name="Comma 13 3 2 2 3 2" xfId="35172"/>
    <cellStyle name="Comma 13 3 2 2 3 2 2" xfId="35173"/>
    <cellStyle name="Comma 13 3 2 2 3 2 3" xfId="35174"/>
    <cellStyle name="Comma 13 3 2 2 3 3" xfId="35175"/>
    <cellStyle name="Comma 13 3 2 2 3 3 2" xfId="35176"/>
    <cellStyle name="Comma 13 3 2 2 3 3 3" xfId="35177"/>
    <cellStyle name="Comma 13 3 2 2 3 4" xfId="35178"/>
    <cellStyle name="Comma 13 3 2 2 3 4 2" xfId="35179"/>
    <cellStyle name="Comma 13 3 2 2 3 5" xfId="35180"/>
    <cellStyle name="Comma 13 3 2 2 3 6" xfId="35181"/>
    <cellStyle name="Comma 13 3 2 2 4" xfId="35182"/>
    <cellStyle name="Comma 13 3 2 2 4 2" xfId="35183"/>
    <cellStyle name="Comma 13 3 2 2 4 2 2" xfId="35184"/>
    <cellStyle name="Comma 13 3 2 2 4 2 3" xfId="35185"/>
    <cellStyle name="Comma 13 3 2 2 4 3" xfId="35186"/>
    <cellStyle name="Comma 13 3 2 2 4 3 2" xfId="35187"/>
    <cellStyle name="Comma 13 3 2 2 4 3 3" xfId="35188"/>
    <cellStyle name="Comma 13 3 2 2 4 4" xfId="35189"/>
    <cellStyle name="Comma 13 3 2 2 4 4 2" xfId="35190"/>
    <cellStyle name="Comma 13 3 2 2 4 5" xfId="35191"/>
    <cellStyle name="Comma 13 3 2 2 4 6" xfId="35192"/>
    <cellStyle name="Comma 13 3 2 2 5" xfId="35193"/>
    <cellStyle name="Comma 13 3 2 2 5 2" xfId="35194"/>
    <cellStyle name="Comma 13 3 2 2 5 2 2" xfId="35195"/>
    <cellStyle name="Comma 13 3 2 2 5 2 3" xfId="35196"/>
    <cellStyle name="Comma 13 3 2 2 5 3" xfId="35197"/>
    <cellStyle name="Comma 13 3 2 2 5 3 2" xfId="35198"/>
    <cellStyle name="Comma 13 3 2 2 5 4" xfId="35199"/>
    <cellStyle name="Comma 13 3 2 2 5 5" xfId="35200"/>
    <cellStyle name="Comma 13 3 2 2 6" xfId="35201"/>
    <cellStyle name="Comma 13 3 2 2 6 2" xfId="35202"/>
    <cellStyle name="Comma 13 3 2 2 6 3" xfId="35203"/>
    <cellStyle name="Comma 13 3 2 2 7" xfId="35204"/>
    <cellStyle name="Comma 13 3 2 2 7 2" xfId="35205"/>
    <cellStyle name="Comma 13 3 2 2 7 3" xfId="35206"/>
    <cellStyle name="Comma 13 3 2 2 8" xfId="35207"/>
    <cellStyle name="Comma 13 3 2 2 8 2" xfId="35208"/>
    <cellStyle name="Comma 13 3 2 2 9" xfId="35209"/>
    <cellStyle name="Comma 13 3 2 3" xfId="35210"/>
    <cellStyle name="Comma 13 3 2 3 2" xfId="35211"/>
    <cellStyle name="Comma 13 3 2 3 2 2" xfId="35212"/>
    <cellStyle name="Comma 13 3 2 3 2 2 2" xfId="35213"/>
    <cellStyle name="Comma 13 3 2 3 2 2 3" xfId="35214"/>
    <cellStyle name="Comma 13 3 2 3 2 3" xfId="35215"/>
    <cellStyle name="Comma 13 3 2 3 2 3 2" xfId="35216"/>
    <cellStyle name="Comma 13 3 2 3 2 3 3" xfId="35217"/>
    <cellStyle name="Comma 13 3 2 3 2 4" xfId="35218"/>
    <cellStyle name="Comma 13 3 2 3 2 4 2" xfId="35219"/>
    <cellStyle name="Comma 13 3 2 3 2 5" xfId="35220"/>
    <cellStyle name="Comma 13 3 2 3 2 6" xfId="35221"/>
    <cellStyle name="Comma 13 3 2 3 3" xfId="35222"/>
    <cellStyle name="Comma 13 3 2 3 3 2" xfId="35223"/>
    <cellStyle name="Comma 13 3 2 3 3 2 2" xfId="35224"/>
    <cellStyle name="Comma 13 3 2 3 3 2 3" xfId="35225"/>
    <cellStyle name="Comma 13 3 2 3 3 3" xfId="35226"/>
    <cellStyle name="Comma 13 3 2 3 3 3 2" xfId="35227"/>
    <cellStyle name="Comma 13 3 2 3 3 3 3" xfId="35228"/>
    <cellStyle name="Comma 13 3 2 3 3 4" xfId="35229"/>
    <cellStyle name="Comma 13 3 2 3 3 4 2" xfId="35230"/>
    <cellStyle name="Comma 13 3 2 3 3 5" xfId="35231"/>
    <cellStyle name="Comma 13 3 2 3 3 6" xfId="35232"/>
    <cellStyle name="Comma 13 3 2 3 4" xfId="35233"/>
    <cellStyle name="Comma 13 3 2 3 4 2" xfId="35234"/>
    <cellStyle name="Comma 13 3 2 3 4 2 2" xfId="35235"/>
    <cellStyle name="Comma 13 3 2 3 4 2 3" xfId="35236"/>
    <cellStyle name="Comma 13 3 2 3 4 3" xfId="35237"/>
    <cellStyle name="Comma 13 3 2 3 4 3 2" xfId="35238"/>
    <cellStyle name="Comma 13 3 2 3 4 4" xfId="35239"/>
    <cellStyle name="Comma 13 3 2 3 4 5" xfId="35240"/>
    <cellStyle name="Comma 13 3 2 3 5" xfId="35241"/>
    <cellStyle name="Comma 13 3 2 3 5 2" xfId="35242"/>
    <cellStyle name="Comma 13 3 2 3 5 3" xfId="35243"/>
    <cellStyle name="Comma 13 3 2 3 6" xfId="35244"/>
    <cellStyle name="Comma 13 3 2 3 6 2" xfId="35245"/>
    <cellStyle name="Comma 13 3 2 3 6 3" xfId="35246"/>
    <cellStyle name="Comma 13 3 2 3 7" xfId="35247"/>
    <cellStyle name="Comma 13 3 2 3 7 2" xfId="35248"/>
    <cellStyle name="Comma 13 3 2 3 8" xfId="35249"/>
    <cellStyle name="Comma 13 3 2 3 9" xfId="35250"/>
    <cellStyle name="Comma 13 3 2 4" xfId="35251"/>
    <cellStyle name="Comma 13 3 2 4 2" xfId="35252"/>
    <cellStyle name="Comma 13 3 2 4 2 2" xfId="35253"/>
    <cellStyle name="Comma 13 3 2 4 2 2 2" xfId="35254"/>
    <cellStyle name="Comma 13 3 2 4 2 2 3" xfId="35255"/>
    <cellStyle name="Comma 13 3 2 4 2 3" xfId="35256"/>
    <cellStyle name="Comma 13 3 2 4 2 3 2" xfId="35257"/>
    <cellStyle name="Comma 13 3 2 4 2 3 3" xfId="35258"/>
    <cellStyle name="Comma 13 3 2 4 2 4" xfId="35259"/>
    <cellStyle name="Comma 13 3 2 4 2 4 2" xfId="35260"/>
    <cellStyle name="Comma 13 3 2 4 2 5" xfId="35261"/>
    <cellStyle name="Comma 13 3 2 4 2 6" xfId="35262"/>
    <cellStyle name="Comma 13 3 2 4 3" xfId="35263"/>
    <cellStyle name="Comma 13 3 2 4 3 2" xfId="35264"/>
    <cellStyle name="Comma 13 3 2 4 3 2 2" xfId="35265"/>
    <cellStyle name="Comma 13 3 2 4 3 2 3" xfId="35266"/>
    <cellStyle name="Comma 13 3 2 4 3 3" xfId="35267"/>
    <cellStyle name="Comma 13 3 2 4 3 3 2" xfId="35268"/>
    <cellStyle name="Comma 13 3 2 4 3 3 3" xfId="35269"/>
    <cellStyle name="Comma 13 3 2 4 3 4" xfId="35270"/>
    <cellStyle name="Comma 13 3 2 4 3 4 2" xfId="35271"/>
    <cellStyle name="Comma 13 3 2 4 3 5" xfId="35272"/>
    <cellStyle name="Comma 13 3 2 4 3 6" xfId="35273"/>
    <cellStyle name="Comma 13 3 2 4 4" xfId="35274"/>
    <cellStyle name="Comma 13 3 2 4 4 2" xfId="35275"/>
    <cellStyle name="Comma 13 3 2 4 4 2 2" xfId="35276"/>
    <cellStyle name="Comma 13 3 2 4 4 2 3" xfId="35277"/>
    <cellStyle name="Comma 13 3 2 4 4 3" xfId="35278"/>
    <cellStyle name="Comma 13 3 2 4 4 3 2" xfId="35279"/>
    <cellStyle name="Comma 13 3 2 4 4 4" xfId="35280"/>
    <cellStyle name="Comma 13 3 2 4 4 5" xfId="35281"/>
    <cellStyle name="Comma 13 3 2 4 5" xfId="35282"/>
    <cellStyle name="Comma 13 3 2 4 5 2" xfId="35283"/>
    <cellStyle name="Comma 13 3 2 4 5 3" xfId="35284"/>
    <cellStyle name="Comma 13 3 2 4 6" xfId="35285"/>
    <cellStyle name="Comma 13 3 2 4 6 2" xfId="35286"/>
    <cellStyle name="Comma 13 3 2 4 6 3" xfId="35287"/>
    <cellStyle name="Comma 13 3 2 4 7" xfId="35288"/>
    <cellStyle name="Comma 13 3 2 4 7 2" xfId="35289"/>
    <cellStyle name="Comma 13 3 2 4 8" xfId="35290"/>
    <cellStyle name="Comma 13 3 2 4 9" xfId="35291"/>
    <cellStyle name="Comma 13 3 2 5" xfId="35292"/>
    <cellStyle name="Comma 13 3 2 5 2" xfId="35293"/>
    <cellStyle name="Comma 13 3 2 5 2 2" xfId="35294"/>
    <cellStyle name="Comma 13 3 2 5 2 3" xfId="35295"/>
    <cellStyle name="Comma 13 3 2 5 3" xfId="35296"/>
    <cellStyle name="Comma 13 3 2 5 3 2" xfId="35297"/>
    <cellStyle name="Comma 13 3 2 5 3 3" xfId="35298"/>
    <cellStyle name="Comma 13 3 2 5 4" xfId="35299"/>
    <cellStyle name="Comma 13 3 2 5 4 2" xfId="35300"/>
    <cellStyle name="Comma 13 3 2 5 5" xfId="35301"/>
    <cellStyle name="Comma 13 3 2 5 6" xfId="35302"/>
    <cellStyle name="Comma 13 3 2 6" xfId="35303"/>
    <cellStyle name="Comma 13 3 2 6 2" xfId="35304"/>
    <cellStyle name="Comma 13 3 2 6 2 2" xfId="35305"/>
    <cellStyle name="Comma 13 3 2 6 2 3" xfId="35306"/>
    <cellStyle name="Comma 13 3 2 6 3" xfId="35307"/>
    <cellStyle name="Comma 13 3 2 6 3 2" xfId="35308"/>
    <cellStyle name="Comma 13 3 2 6 3 3" xfId="35309"/>
    <cellStyle name="Comma 13 3 2 6 4" xfId="35310"/>
    <cellStyle name="Comma 13 3 2 6 4 2" xfId="35311"/>
    <cellStyle name="Comma 13 3 2 6 5" xfId="35312"/>
    <cellStyle name="Comma 13 3 2 6 6" xfId="35313"/>
    <cellStyle name="Comma 13 3 2 7" xfId="35314"/>
    <cellStyle name="Comma 13 3 2 7 2" xfId="35315"/>
    <cellStyle name="Comma 13 3 2 7 2 2" xfId="35316"/>
    <cellStyle name="Comma 13 3 2 7 2 3" xfId="35317"/>
    <cellStyle name="Comma 13 3 2 7 3" xfId="35318"/>
    <cellStyle name="Comma 13 3 2 7 3 2" xfId="35319"/>
    <cellStyle name="Comma 13 3 2 7 4" xfId="35320"/>
    <cellStyle name="Comma 13 3 2 7 5" xfId="35321"/>
    <cellStyle name="Comma 13 3 2 8" xfId="35322"/>
    <cellStyle name="Comma 13 3 2 8 2" xfId="35323"/>
    <cellStyle name="Comma 13 3 2 8 3" xfId="35324"/>
    <cellStyle name="Comma 13 3 2 9" xfId="35325"/>
    <cellStyle name="Comma 13 3 2 9 2" xfId="35326"/>
    <cellStyle name="Comma 13 3 2 9 3" xfId="35327"/>
    <cellStyle name="Comma 13 3 3" xfId="35328"/>
    <cellStyle name="Comma 13 3 3 10" xfId="35329"/>
    <cellStyle name="Comma 13 3 3 2" xfId="35330"/>
    <cellStyle name="Comma 13 3 3 2 2" xfId="35331"/>
    <cellStyle name="Comma 13 3 3 2 2 2" xfId="35332"/>
    <cellStyle name="Comma 13 3 3 2 2 2 2" xfId="35333"/>
    <cellStyle name="Comma 13 3 3 2 2 2 3" xfId="35334"/>
    <cellStyle name="Comma 13 3 3 2 2 3" xfId="35335"/>
    <cellStyle name="Comma 13 3 3 2 2 3 2" xfId="35336"/>
    <cellStyle name="Comma 13 3 3 2 2 3 3" xfId="35337"/>
    <cellStyle name="Comma 13 3 3 2 2 4" xfId="35338"/>
    <cellStyle name="Comma 13 3 3 2 2 4 2" xfId="35339"/>
    <cellStyle name="Comma 13 3 3 2 2 5" xfId="35340"/>
    <cellStyle name="Comma 13 3 3 2 2 6" xfId="35341"/>
    <cellStyle name="Comma 13 3 3 2 3" xfId="35342"/>
    <cellStyle name="Comma 13 3 3 2 3 2" xfId="35343"/>
    <cellStyle name="Comma 13 3 3 2 3 2 2" xfId="35344"/>
    <cellStyle name="Comma 13 3 3 2 3 2 3" xfId="35345"/>
    <cellStyle name="Comma 13 3 3 2 3 3" xfId="35346"/>
    <cellStyle name="Comma 13 3 3 2 3 3 2" xfId="35347"/>
    <cellStyle name="Comma 13 3 3 2 3 3 3" xfId="35348"/>
    <cellStyle name="Comma 13 3 3 2 3 4" xfId="35349"/>
    <cellStyle name="Comma 13 3 3 2 3 4 2" xfId="35350"/>
    <cellStyle name="Comma 13 3 3 2 3 5" xfId="35351"/>
    <cellStyle name="Comma 13 3 3 2 3 6" xfId="35352"/>
    <cellStyle name="Comma 13 3 3 2 4" xfId="35353"/>
    <cellStyle name="Comma 13 3 3 2 4 2" xfId="35354"/>
    <cellStyle name="Comma 13 3 3 2 4 2 2" xfId="35355"/>
    <cellStyle name="Comma 13 3 3 2 4 2 3" xfId="35356"/>
    <cellStyle name="Comma 13 3 3 2 4 3" xfId="35357"/>
    <cellStyle name="Comma 13 3 3 2 4 3 2" xfId="35358"/>
    <cellStyle name="Comma 13 3 3 2 4 4" xfId="35359"/>
    <cellStyle name="Comma 13 3 3 2 4 5" xfId="35360"/>
    <cellStyle name="Comma 13 3 3 2 5" xfId="35361"/>
    <cellStyle name="Comma 13 3 3 2 5 2" xfId="35362"/>
    <cellStyle name="Comma 13 3 3 2 5 3" xfId="35363"/>
    <cellStyle name="Comma 13 3 3 2 6" xfId="35364"/>
    <cellStyle name="Comma 13 3 3 2 6 2" xfId="35365"/>
    <cellStyle name="Comma 13 3 3 2 6 3" xfId="35366"/>
    <cellStyle name="Comma 13 3 3 2 7" xfId="35367"/>
    <cellStyle name="Comma 13 3 3 2 7 2" xfId="35368"/>
    <cellStyle name="Comma 13 3 3 2 8" xfId="35369"/>
    <cellStyle name="Comma 13 3 3 2 9" xfId="35370"/>
    <cellStyle name="Comma 13 3 3 3" xfId="35371"/>
    <cellStyle name="Comma 13 3 3 3 2" xfId="35372"/>
    <cellStyle name="Comma 13 3 3 3 2 2" xfId="35373"/>
    <cellStyle name="Comma 13 3 3 3 2 3" xfId="35374"/>
    <cellStyle name="Comma 13 3 3 3 3" xfId="35375"/>
    <cellStyle name="Comma 13 3 3 3 3 2" xfId="35376"/>
    <cellStyle name="Comma 13 3 3 3 3 3" xfId="35377"/>
    <cellStyle name="Comma 13 3 3 3 4" xfId="35378"/>
    <cellStyle name="Comma 13 3 3 3 4 2" xfId="35379"/>
    <cellStyle name="Comma 13 3 3 3 5" xfId="35380"/>
    <cellStyle name="Comma 13 3 3 3 6" xfId="35381"/>
    <cellStyle name="Comma 13 3 3 4" xfId="35382"/>
    <cellStyle name="Comma 13 3 3 4 2" xfId="35383"/>
    <cellStyle name="Comma 13 3 3 4 2 2" xfId="35384"/>
    <cellStyle name="Comma 13 3 3 4 2 3" xfId="35385"/>
    <cellStyle name="Comma 13 3 3 4 3" xfId="35386"/>
    <cellStyle name="Comma 13 3 3 4 3 2" xfId="35387"/>
    <cellStyle name="Comma 13 3 3 4 3 3" xfId="35388"/>
    <cellStyle name="Comma 13 3 3 4 4" xfId="35389"/>
    <cellStyle name="Comma 13 3 3 4 4 2" xfId="35390"/>
    <cellStyle name="Comma 13 3 3 4 5" xfId="35391"/>
    <cellStyle name="Comma 13 3 3 4 6" xfId="35392"/>
    <cellStyle name="Comma 13 3 3 5" xfId="35393"/>
    <cellStyle name="Comma 13 3 3 5 2" xfId="35394"/>
    <cellStyle name="Comma 13 3 3 5 2 2" xfId="35395"/>
    <cellStyle name="Comma 13 3 3 5 2 3" xfId="35396"/>
    <cellStyle name="Comma 13 3 3 5 3" xfId="35397"/>
    <cellStyle name="Comma 13 3 3 5 3 2" xfId="35398"/>
    <cellStyle name="Comma 13 3 3 5 4" xfId="35399"/>
    <cellStyle name="Comma 13 3 3 5 5" xfId="35400"/>
    <cellStyle name="Comma 13 3 3 6" xfId="35401"/>
    <cellStyle name="Comma 13 3 3 6 2" xfId="35402"/>
    <cellStyle name="Comma 13 3 3 6 3" xfId="35403"/>
    <cellStyle name="Comma 13 3 3 7" xfId="35404"/>
    <cellStyle name="Comma 13 3 3 7 2" xfId="35405"/>
    <cellStyle name="Comma 13 3 3 7 3" xfId="35406"/>
    <cellStyle name="Comma 13 3 3 8" xfId="35407"/>
    <cellStyle name="Comma 13 3 3 8 2" xfId="35408"/>
    <cellStyle name="Comma 13 3 3 9" xfId="35409"/>
    <cellStyle name="Comma 13 3 4" xfId="35410"/>
    <cellStyle name="Comma 13 3 4 2" xfId="35411"/>
    <cellStyle name="Comma 13 3 4 2 2" xfId="35412"/>
    <cellStyle name="Comma 13 3 4 2 2 2" xfId="35413"/>
    <cellStyle name="Comma 13 3 4 2 2 3" xfId="35414"/>
    <cellStyle name="Comma 13 3 4 2 3" xfId="35415"/>
    <cellStyle name="Comma 13 3 4 2 3 2" xfId="35416"/>
    <cellStyle name="Comma 13 3 4 2 3 3" xfId="35417"/>
    <cellStyle name="Comma 13 3 4 2 4" xfId="35418"/>
    <cellStyle name="Comma 13 3 4 2 4 2" xfId="35419"/>
    <cellStyle name="Comma 13 3 4 2 5" xfId="35420"/>
    <cellStyle name="Comma 13 3 4 2 6" xfId="35421"/>
    <cellStyle name="Comma 13 3 4 3" xfId="35422"/>
    <cellStyle name="Comma 13 3 4 3 2" xfId="35423"/>
    <cellStyle name="Comma 13 3 4 3 2 2" xfId="35424"/>
    <cellStyle name="Comma 13 3 4 3 2 3" xfId="35425"/>
    <cellStyle name="Comma 13 3 4 3 3" xfId="35426"/>
    <cellStyle name="Comma 13 3 4 3 3 2" xfId="35427"/>
    <cellStyle name="Comma 13 3 4 3 3 3" xfId="35428"/>
    <cellStyle name="Comma 13 3 4 3 4" xfId="35429"/>
    <cellStyle name="Comma 13 3 4 3 4 2" xfId="35430"/>
    <cellStyle name="Comma 13 3 4 3 5" xfId="35431"/>
    <cellStyle name="Comma 13 3 4 3 6" xfId="35432"/>
    <cellStyle name="Comma 13 3 4 4" xfId="35433"/>
    <cellStyle name="Comma 13 3 4 4 2" xfId="35434"/>
    <cellStyle name="Comma 13 3 4 4 2 2" xfId="35435"/>
    <cellStyle name="Comma 13 3 4 4 2 3" xfId="35436"/>
    <cellStyle name="Comma 13 3 4 4 3" xfId="35437"/>
    <cellStyle name="Comma 13 3 4 4 3 2" xfId="35438"/>
    <cellStyle name="Comma 13 3 4 4 4" xfId="35439"/>
    <cellStyle name="Comma 13 3 4 4 5" xfId="35440"/>
    <cellStyle name="Comma 13 3 4 5" xfId="35441"/>
    <cellStyle name="Comma 13 3 4 5 2" xfId="35442"/>
    <cellStyle name="Comma 13 3 4 5 3" xfId="35443"/>
    <cellStyle name="Comma 13 3 4 6" xfId="35444"/>
    <cellStyle name="Comma 13 3 4 6 2" xfId="35445"/>
    <cellStyle name="Comma 13 3 4 6 3" xfId="35446"/>
    <cellStyle name="Comma 13 3 4 7" xfId="35447"/>
    <cellStyle name="Comma 13 3 4 7 2" xfId="35448"/>
    <cellStyle name="Comma 13 3 4 8" xfId="35449"/>
    <cellStyle name="Comma 13 3 4 9" xfId="35450"/>
    <cellStyle name="Comma 13 3 5" xfId="35451"/>
    <cellStyle name="Comma 13 3 5 2" xfId="35452"/>
    <cellStyle name="Comma 13 3 5 2 2" xfId="35453"/>
    <cellStyle name="Comma 13 3 5 2 2 2" xfId="35454"/>
    <cellStyle name="Comma 13 3 5 2 2 3" xfId="35455"/>
    <cellStyle name="Comma 13 3 5 2 3" xfId="35456"/>
    <cellStyle name="Comma 13 3 5 2 3 2" xfId="35457"/>
    <cellStyle name="Comma 13 3 5 2 3 3" xfId="35458"/>
    <cellStyle name="Comma 13 3 5 2 4" xfId="35459"/>
    <cellStyle name="Comma 13 3 5 2 4 2" xfId="35460"/>
    <cellStyle name="Comma 13 3 5 2 5" xfId="35461"/>
    <cellStyle name="Comma 13 3 5 2 6" xfId="35462"/>
    <cellStyle name="Comma 13 3 5 3" xfId="35463"/>
    <cellStyle name="Comma 13 3 5 3 2" xfId="35464"/>
    <cellStyle name="Comma 13 3 5 3 2 2" xfId="35465"/>
    <cellStyle name="Comma 13 3 5 3 2 3" xfId="35466"/>
    <cellStyle name="Comma 13 3 5 3 3" xfId="35467"/>
    <cellStyle name="Comma 13 3 5 3 3 2" xfId="35468"/>
    <cellStyle name="Comma 13 3 5 3 3 3" xfId="35469"/>
    <cellStyle name="Comma 13 3 5 3 4" xfId="35470"/>
    <cellStyle name="Comma 13 3 5 3 4 2" xfId="35471"/>
    <cellStyle name="Comma 13 3 5 3 5" xfId="35472"/>
    <cellStyle name="Comma 13 3 5 3 6" xfId="35473"/>
    <cellStyle name="Comma 13 3 5 4" xfId="35474"/>
    <cellStyle name="Comma 13 3 5 4 2" xfId="35475"/>
    <cellStyle name="Comma 13 3 5 4 2 2" xfId="35476"/>
    <cellStyle name="Comma 13 3 5 4 2 3" xfId="35477"/>
    <cellStyle name="Comma 13 3 5 4 3" xfId="35478"/>
    <cellStyle name="Comma 13 3 5 4 3 2" xfId="35479"/>
    <cellStyle name="Comma 13 3 5 4 4" xfId="35480"/>
    <cellStyle name="Comma 13 3 5 4 5" xfId="35481"/>
    <cellStyle name="Comma 13 3 5 5" xfId="35482"/>
    <cellStyle name="Comma 13 3 5 5 2" xfId="35483"/>
    <cellStyle name="Comma 13 3 5 5 3" xfId="35484"/>
    <cellStyle name="Comma 13 3 5 6" xfId="35485"/>
    <cellStyle name="Comma 13 3 5 6 2" xfId="35486"/>
    <cellStyle name="Comma 13 3 5 6 3" xfId="35487"/>
    <cellStyle name="Comma 13 3 5 7" xfId="35488"/>
    <cellStyle name="Comma 13 3 5 7 2" xfId="35489"/>
    <cellStyle name="Comma 13 3 5 8" xfId="35490"/>
    <cellStyle name="Comma 13 3 5 9" xfId="35491"/>
    <cellStyle name="Comma 13 3 6" xfId="35492"/>
    <cellStyle name="Comma 13 3 6 2" xfId="35493"/>
    <cellStyle name="Comma 13 3 6 2 2" xfId="35494"/>
    <cellStyle name="Comma 13 3 6 2 3" xfId="35495"/>
    <cellStyle name="Comma 13 3 6 3" xfId="35496"/>
    <cellStyle name="Comma 13 3 6 3 2" xfId="35497"/>
    <cellStyle name="Comma 13 3 6 3 3" xfId="35498"/>
    <cellStyle name="Comma 13 3 6 4" xfId="35499"/>
    <cellStyle name="Comma 13 3 6 4 2" xfId="35500"/>
    <cellStyle name="Comma 13 3 6 5" xfId="35501"/>
    <cellStyle name="Comma 13 3 6 6" xfId="35502"/>
    <cellStyle name="Comma 13 3 7" xfId="35503"/>
    <cellStyle name="Comma 13 3 7 2" xfId="35504"/>
    <cellStyle name="Comma 13 3 7 2 2" xfId="35505"/>
    <cellStyle name="Comma 13 3 7 2 3" xfId="35506"/>
    <cellStyle name="Comma 13 3 7 3" xfId="35507"/>
    <cellStyle name="Comma 13 3 7 3 2" xfId="35508"/>
    <cellStyle name="Comma 13 3 7 3 3" xfId="35509"/>
    <cellStyle name="Comma 13 3 7 4" xfId="35510"/>
    <cellStyle name="Comma 13 3 7 4 2" xfId="35511"/>
    <cellStyle name="Comma 13 3 7 5" xfId="35512"/>
    <cellStyle name="Comma 13 3 7 6" xfId="35513"/>
    <cellStyle name="Comma 13 3 8" xfId="35514"/>
    <cellStyle name="Comma 13 3 8 2" xfId="35515"/>
    <cellStyle name="Comma 13 3 8 2 2" xfId="35516"/>
    <cellStyle name="Comma 13 3 8 2 3" xfId="35517"/>
    <cellStyle name="Comma 13 3 8 3" xfId="35518"/>
    <cellStyle name="Comma 13 3 8 3 2" xfId="35519"/>
    <cellStyle name="Comma 13 3 8 4" xfId="35520"/>
    <cellStyle name="Comma 13 3 8 5" xfId="35521"/>
    <cellStyle name="Comma 13 3 9" xfId="35522"/>
    <cellStyle name="Comma 13 3 9 2" xfId="35523"/>
    <cellStyle name="Comma 13 3 9 3" xfId="35524"/>
    <cellStyle name="Comma 13 4" xfId="9413"/>
    <cellStyle name="Comma 13 4 10" xfId="35525"/>
    <cellStyle name="Comma 13 4 10 2" xfId="35526"/>
    <cellStyle name="Comma 13 4 11" xfId="35527"/>
    <cellStyle name="Comma 13 4 12" xfId="35528"/>
    <cellStyle name="Comma 13 4 2" xfId="9414"/>
    <cellStyle name="Comma 13 4 2 10" xfId="35529"/>
    <cellStyle name="Comma 13 4 2 2" xfId="35530"/>
    <cellStyle name="Comma 13 4 2 2 2" xfId="35531"/>
    <cellStyle name="Comma 13 4 2 2 2 2" xfId="35532"/>
    <cellStyle name="Comma 13 4 2 2 2 2 2" xfId="35533"/>
    <cellStyle name="Comma 13 4 2 2 2 2 3" xfId="35534"/>
    <cellStyle name="Comma 13 4 2 2 2 3" xfId="35535"/>
    <cellStyle name="Comma 13 4 2 2 2 3 2" xfId="35536"/>
    <cellStyle name="Comma 13 4 2 2 2 3 3" xfId="35537"/>
    <cellStyle name="Comma 13 4 2 2 2 4" xfId="35538"/>
    <cellStyle name="Comma 13 4 2 2 2 4 2" xfId="35539"/>
    <cellStyle name="Comma 13 4 2 2 2 5" xfId="35540"/>
    <cellStyle name="Comma 13 4 2 2 2 6" xfId="35541"/>
    <cellStyle name="Comma 13 4 2 2 3" xfId="35542"/>
    <cellStyle name="Comma 13 4 2 2 3 2" xfId="35543"/>
    <cellStyle name="Comma 13 4 2 2 3 2 2" xfId="35544"/>
    <cellStyle name="Comma 13 4 2 2 3 2 3" xfId="35545"/>
    <cellStyle name="Comma 13 4 2 2 3 3" xfId="35546"/>
    <cellStyle name="Comma 13 4 2 2 3 3 2" xfId="35547"/>
    <cellStyle name="Comma 13 4 2 2 3 3 3" xfId="35548"/>
    <cellStyle name="Comma 13 4 2 2 3 4" xfId="35549"/>
    <cellStyle name="Comma 13 4 2 2 3 4 2" xfId="35550"/>
    <cellStyle name="Comma 13 4 2 2 3 5" xfId="35551"/>
    <cellStyle name="Comma 13 4 2 2 3 6" xfId="35552"/>
    <cellStyle name="Comma 13 4 2 2 4" xfId="35553"/>
    <cellStyle name="Comma 13 4 2 2 4 2" xfId="35554"/>
    <cellStyle name="Comma 13 4 2 2 4 2 2" xfId="35555"/>
    <cellStyle name="Comma 13 4 2 2 4 2 3" xfId="35556"/>
    <cellStyle name="Comma 13 4 2 2 4 3" xfId="35557"/>
    <cellStyle name="Comma 13 4 2 2 4 3 2" xfId="35558"/>
    <cellStyle name="Comma 13 4 2 2 4 4" xfId="35559"/>
    <cellStyle name="Comma 13 4 2 2 4 5" xfId="35560"/>
    <cellStyle name="Comma 13 4 2 2 5" xfId="35561"/>
    <cellStyle name="Comma 13 4 2 2 5 2" xfId="35562"/>
    <cellStyle name="Comma 13 4 2 2 5 3" xfId="35563"/>
    <cellStyle name="Comma 13 4 2 2 6" xfId="35564"/>
    <cellStyle name="Comma 13 4 2 2 6 2" xfId="35565"/>
    <cellStyle name="Comma 13 4 2 2 6 3" xfId="35566"/>
    <cellStyle name="Comma 13 4 2 2 7" xfId="35567"/>
    <cellStyle name="Comma 13 4 2 2 7 2" xfId="35568"/>
    <cellStyle name="Comma 13 4 2 2 8" xfId="35569"/>
    <cellStyle name="Comma 13 4 2 2 9" xfId="35570"/>
    <cellStyle name="Comma 13 4 2 3" xfId="35571"/>
    <cellStyle name="Comma 13 4 2 3 2" xfId="35572"/>
    <cellStyle name="Comma 13 4 2 3 2 2" xfId="35573"/>
    <cellStyle name="Comma 13 4 2 3 2 3" xfId="35574"/>
    <cellStyle name="Comma 13 4 2 3 3" xfId="35575"/>
    <cellStyle name="Comma 13 4 2 3 3 2" xfId="35576"/>
    <cellStyle name="Comma 13 4 2 3 3 3" xfId="35577"/>
    <cellStyle name="Comma 13 4 2 3 4" xfId="35578"/>
    <cellStyle name="Comma 13 4 2 3 4 2" xfId="35579"/>
    <cellStyle name="Comma 13 4 2 3 5" xfId="35580"/>
    <cellStyle name="Comma 13 4 2 3 6" xfId="35581"/>
    <cellStyle name="Comma 13 4 2 4" xfId="35582"/>
    <cellStyle name="Comma 13 4 2 4 2" xfId="35583"/>
    <cellStyle name="Comma 13 4 2 4 2 2" xfId="35584"/>
    <cellStyle name="Comma 13 4 2 4 2 3" xfId="35585"/>
    <cellStyle name="Comma 13 4 2 4 3" xfId="35586"/>
    <cellStyle name="Comma 13 4 2 4 3 2" xfId="35587"/>
    <cellStyle name="Comma 13 4 2 4 3 3" xfId="35588"/>
    <cellStyle name="Comma 13 4 2 4 4" xfId="35589"/>
    <cellStyle name="Comma 13 4 2 4 4 2" xfId="35590"/>
    <cellStyle name="Comma 13 4 2 4 5" xfId="35591"/>
    <cellStyle name="Comma 13 4 2 4 6" xfId="35592"/>
    <cellStyle name="Comma 13 4 2 5" xfId="35593"/>
    <cellStyle name="Comma 13 4 2 5 2" xfId="35594"/>
    <cellStyle name="Comma 13 4 2 5 2 2" xfId="35595"/>
    <cellStyle name="Comma 13 4 2 5 2 3" xfId="35596"/>
    <cellStyle name="Comma 13 4 2 5 3" xfId="35597"/>
    <cellStyle name="Comma 13 4 2 5 3 2" xfId="35598"/>
    <cellStyle name="Comma 13 4 2 5 4" xfId="35599"/>
    <cellStyle name="Comma 13 4 2 5 5" xfId="35600"/>
    <cellStyle name="Comma 13 4 2 6" xfId="35601"/>
    <cellStyle name="Comma 13 4 2 6 2" xfId="35602"/>
    <cellStyle name="Comma 13 4 2 6 3" xfId="35603"/>
    <cellStyle name="Comma 13 4 2 7" xfId="35604"/>
    <cellStyle name="Comma 13 4 2 7 2" xfId="35605"/>
    <cellStyle name="Comma 13 4 2 7 3" xfId="35606"/>
    <cellStyle name="Comma 13 4 2 8" xfId="35607"/>
    <cellStyle name="Comma 13 4 2 8 2" xfId="35608"/>
    <cellStyle name="Comma 13 4 2 9" xfId="35609"/>
    <cellStyle name="Comma 13 4 3" xfId="35610"/>
    <cellStyle name="Comma 13 4 3 2" xfId="35611"/>
    <cellStyle name="Comma 13 4 3 2 2" xfId="35612"/>
    <cellStyle name="Comma 13 4 3 2 2 2" xfId="35613"/>
    <cellStyle name="Comma 13 4 3 2 2 3" xfId="35614"/>
    <cellStyle name="Comma 13 4 3 2 3" xfId="35615"/>
    <cellStyle name="Comma 13 4 3 2 3 2" xfId="35616"/>
    <cellStyle name="Comma 13 4 3 2 3 3" xfId="35617"/>
    <cellStyle name="Comma 13 4 3 2 4" xfId="35618"/>
    <cellStyle name="Comma 13 4 3 2 4 2" xfId="35619"/>
    <cellStyle name="Comma 13 4 3 2 5" xfId="35620"/>
    <cellStyle name="Comma 13 4 3 2 6" xfId="35621"/>
    <cellStyle name="Comma 13 4 3 3" xfId="35622"/>
    <cellStyle name="Comma 13 4 3 3 2" xfId="35623"/>
    <cellStyle name="Comma 13 4 3 3 2 2" xfId="35624"/>
    <cellStyle name="Comma 13 4 3 3 2 3" xfId="35625"/>
    <cellStyle name="Comma 13 4 3 3 3" xfId="35626"/>
    <cellStyle name="Comma 13 4 3 3 3 2" xfId="35627"/>
    <cellStyle name="Comma 13 4 3 3 3 3" xfId="35628"/>
    <cellStyle name="Comma 13 4 3 3 4" xfId="35629"/>
    <cellStyle name="Comma 13 4 3 3 4 2" xfId="35630"/>
    <cellStyle name="Comma 13 4 3 3 5" xfId="35631"/>
    <cellStyle name="Comma 13 4 3 3 6" xfId="35632"/>
    <cellStyle name="Comma 13 4 3 4" xfId="35633"/>
    <cellStyle name="Comma 13 4 3 4 2" xfId="35634"/>
    <cellStyle name="Comma 13 4 3 4 2 2" xfId="35635"/>
    <cellStyle name="Comma 13 4 3 4 2 3" xfId="35636"/>
    <cellStyle name="Comma 13 4 3 4 3" xfId="35637"/>
    <cellStyle name="Comma 13 4 3 4 3 2" xfId="35638"/>
    <cellStyle name="Comma 13 4 3 4 4" xfId="35639"/>
    <cellStyle name="Comma 13 4 3 4 5" xfId="35640"/>
    <cellStyle name="Comma 13 4 3 5" xfId="35641"/>
    <cellStyle name="Comma 13 4 3 5 2" xfId="35642"/>
    <cellStyle name="Comma 13 4 3 5 3" xfId="35643"/>
    <cellStyle name="Comma 13 4 3 6" xfId="35644"/>
    <cellStyle name="Comma 13 4 3 6 2" xfId="35645"/>
    <cellStyle name="Comma 13 4 3 6 3" xfId="35646"/>
    <cellStyle name="Comma 13 4 3 7" xfId="35647"/>
    <cellStyle name="Comma 13 4 3 7 2" xfId="35648"/>
    <cellStyle name="Comma 13 4 3 8" xfId="35649"/>
    <cellStyle name="Comma 13 4 3 9" xfId="35650"/>
    <cellStyle name="Comma 13 4 4" xfId="35651"/>
    <cellStyle name="Comma 13 4 4 2" xfId="35652"/>
    <cellStyle name="Comma 13 4 4 2 2" xfId="35653"/>
    <cellStyle name="Comma 13 4 4 2 2 2" xfId="35654"/>
    <cellStyle name="Comma 13 4 4 2 2 3" xfId="35655"/>
    <cellStyle name="Comma 13 4 4 2 3" xfId="35656"/>
    <cellStyle name="Comma 13 4 4 2 3 2" xfId="35657"/>
    <cellStyle name="Comma 13 4 4 2 3 3" xfId="35658"/>
    <cellStyle name="Comma 13 4 4 2 4" xfId="35659"/>
    <cellStyle name="Comma 13 4 4 2 4 2" xfId="35660"/>
    <cellStyle name="Comma 13 4 4 2 5" xfId="35661"/>
    <cellStyle name="Comma 13 4 4 2 6" xfId="35662"/>
    <cellStyle name="Comma 13 4 4 3" xfId="35663"/>
    <cellStyle name="Comma 13 4 4 3 2" xfId="35664"/>
    <cellStyle name="Comma 13 4 4 3 2 2" xfId="35665"/>
    <cellStyle name="Comma 13 4 4 3 2 3" xfId="35666"/>
    <cellStyle name="Comma 13 4 4 3 3" xfId="35667"/>
    <cellStyle name="Comma 13 4 4 3 3 2" xfId="35668"/>
    <cellStyle name="Comma 13 4 4 3 3 3" xfId="35669"/>
    <cellStyle name="Comma 13 4 4 3 4" xfId="35670"/>
    <cellStyle name="Comma 13 4 4 3 4 2" xfId="35671"/>
    <cellStyle name="Comma 13 4 4 3 5" xfId="35672"/>
    <cellStyle name="Comma 13 4 4 3 6" xfId="35673"/>
    <cellStyle name="Comma 13 4 4 4" xfId="35674"/>
    <cellStyle name="Comma 13 4 4 4 2" xfId="35675"/>
    <cellStyle name="Comma 13 4 4 4 2 2" xfId="35676"/>
    <cellStyle name="Comma 13 4 4 4 2 3" xfId="35677"/>
    <cellStyle name="Comma 13 4 4 4 3" xfId="35678"/>
    <cellStyle name="Comma 13 4 4 4 3 2" xfId="35679"/>
    <cellStyle name="Comma 13 4 4 4 4" xfId="35680"/>
    <cellStyle name="Comma 13 4 4 4 5" xfId="35681"/>
    <cellStyle name="Comma 13 4 4 5" xfId="35682"/>
    <cellStyle name="Comma 13 4 4 5 2" xfId="35683"/>
    <cellStyle name="Comma 13 4 4 5 3" xfId="35684"/>
    <cellStyle name="Comma 13 4 4 6" xfId="35685"/>
    <cellStyle name="Comma 13 4 4 6 2" xfId="35686"/>
    <cellStyle name="Comma 13 4 4 6 3" xfId="35687"/>
    <cellStyle name="Comma 13 4 4 7" xfId="35688"/>
    <cellStyle name="Comma 13 4 4 7 2" xfId="35689"/>
    <cellStyle name="Comma 13 4 4 8" xfId="35690"/>
    <cellStyle name="Comma 13 4 4 9" xfId="35691"/>
    <cellStyle name="Comma 13 4 5" xfId="35692"/>
    <cellStyle name="Comma 13 4 5 2" xfId="35693"/>
    <cellStyle name="Comma 13 4 5 2 2" xfId="35694"/>
    <cellStyle name="Comma 13 4 5 2 3" xfId="35695"/>
    <cellStyle name="Comma 13 4 5 3" xfId="35696"/>
    <cellStyle name="Comma 13 4 5 3 2" xfId="35697"/>
    <cellStyle name="Comma 13 4 5 3 3" xfId="35698"/>
    <cellStyle name="Comma 13 4 5 4" xfId="35699"/>
    <cellStyle name="Comma 13 4 5 4 2" xfId="35700"/>
    <cellStyle name="Comma 13 4 5 5" xfId="35701"/>
    <cellStyle name="Comma 13 4 5 6" xfId="35702"/>
    <cellStyle name="Comma 13 4 6" xfId="35703"/>
    <cellStyle name="Comma 13 4 6 2" xfId="35704"/>
    <cellStyle name="Comma 13 4 6 2 2" xfId="35705"/>
    <cellStyle name="Comma 13 4 6 2 3" xfId="35706"/>
    <cellStyle name="Comma 13 4 6 3" xfId="35707"/>
    <cellStyle name="Comma 13 4 6 3 2" xfId="35708"/>
    <cellStyle name="Comma 13 4 6 3 3" xfId="35709"/>
    <cellStyle name="Comma 13 4 6 4" xfId="35710"/>
    <cellStyle name="Comma 13 4 6 4 2" xfId="35711"/>
    <cellStyle name="Comma 13 4 6 5" xfId="35712"/>
    <cellStyle name="Comma 13 4 6 6" xfId="35713"/>
    <cellStyle name="Comma 13 4 7" xfId="35714"/>
    <cellStyle name="Comma 13 4 7 2" xfId="35715"/>
    <cellStyle name="Comma 13 4 7 2 2" xfId="35716"/>
    <cellStyle name="Comma 13 4 7 2 3" xfId="35717"/>
    <cellStyle name="Comma 13 4 7 3" xfId="35718"/>
    <cellStyle name="Comma 13 4 7 3 2" xfId="35719"/>
    <cellStyle name="Comma 13 4 7 4" xfId="35720"/>
    <cellStyle name="Comma 13 4 7 5" xfId="35721"/>
    <cellStyle name="Comma 13 4 8" xfId="35722"/>
    <cellStyle name="Comma 13 4 8 2" xfId="35723"/>
    <cellStyle name="Comma 13 4 8 3" xfId="35724"/>
    <cellStyle name="Comma 13 4 9" xfId="35725"/>
    <cellStyle name="Comma 13 4 9 2" xfId="35726"/>
    <cellStyle name="Comma 13 4 9 3" xfId="35727"/>
    <cellStyle name="Comma 13 5" xfId="9415"/>
    <cellStyle name="Comma 13 5 10" xfId="35728"/>
    <cellStyle name="Comma 13 5 2" xfId="35729"/>
    <cellStyle name="Comma 13 5 2 2" xfId="35730"/>
    <cellStyle name="Comma 13 5 2 2 2" xfId="35731"/>
    <cellStyle name="Comma 13 5 2 2 2 2" xfId="35732"/>
    <cellStyle name="Comma 13 5 2 2 2 3" xfId="35733"/>
    <cellStyle name="Comma 13 5 2 2 3" xfId="35734"/>
    <cellStyle name="Comma 13 5 2 2 3 2" xfId="35735"/>
    <cellStyle name="Comma 13 5 2 2 3 3" xfId="35736"/>
    <cellStyle name="Comma 13 5 2 2 4" xfId="35737"/>
    <cellStyle name="Comma 13 5 2 2 4 2" xfId="35738"/>
    <cellStyle name="Comma 13 5 2 2 5" xfId="35739"/>
    <cellStyle name="Comma 13 5 2 2 6" xfId="35740"/>
    <cellStyle name="Comma 13 5 2 3" xfId="35741"/>
    <cellStyle name="Comma 13 5 2 3 2" xfId="35742"/>
    <cellStyle name="Comma 13 5 2 3 2 2" xfId="35743"/>
    <cellStyle name="Comma 13 5 2 3 2 3" xfId="35744"/>
    <cellStyle name="Comma 13 5 2 3 3" xfId="35745"/>
    <cellStyle name="Comma 13 5 2 3 3 2" xfId="35746"/>
    <cellStyle name="Comma 13 5 2 3 3 3" xfId="35747"/>
    <cellStyle name="Comma 13 5 2 3 4" xfId="35748"/>
    <cellStyle name="Comma 13 5 2 3 4 2" xfId="35749"/>
    <cellStyle name="Comma 13 5 2 3 5" xfId="35750"/>
    <cellStyle name="Comma 13 5 2 3 6" xfId="35751"/>
    <cellStyle name="Comma 13 5 2 4" xfId="35752"/>
    <cellStyle name="Comma 13 5 2 4 2" xfId="35753"/>
    <cellStyle name="Comma 13 5 2 4 2 2" xfId="35754"/>
    <cellStyle name="Comma 13 5 2 4 2 3" xfId="35755"/>
    <cellStyle name="Comma 13 5 2 4 3" xfId="35756"/>
    <cellStyle name="Comma 13 5 2 4 3 2" xfId="35757"/>
    <cellStyle name="Comma 13 5 2 4 4" xfId="35758"/>
    <cellStyle name="Comma 13 5 2 4 5" xfId="35759"/>
    <cellStyle name="Comma 13 5 2 5" xfId="35760"/>
    <cellStyle name="Comma 13 5 2 5 2" xfId="35761"/>
    <cellStyle name="Comma 13 5 2 5 3" xfId="35762"/>
    <cellStyle name="Comma 13 5 2 6" xfId="35763"/>
    <cellStyle name="Comma 13 5 2 6 2" xfId="35764"/>
    <cellStyle name="Comma 13 5 2 6 3" xfId="35765"/>
    <cellStyle name="Comma 13 5 2 7" xfId="35766"/>
    <cellStyle name="Comma 13 5 2 7 2" xfId="35767"/>
    <cellStyle name="Comma 13 5 2 8" xfId="35768"/>
    <cellStyle name="Comma 13 5 2 9" xfId="35769"/>
    <cellStyle name="Comma 13 5 3" xfId="35770"/>
    <cellStyle name="Comma 13 5 3 2" xfId="35771"/>
    <cellStyle name="Comma 13 5 3 2 2" xfId="35772"/>
    <cellStyle name="Comma 13 5 3 2 3" xfId="35773"/>
    <cellStyle name="Comma 13 5 3 3" xfId="35774"/>
    <cellStyle name="Comma 13 5 3 3 2" xfId="35775"/>
    <cellStyle name="Comma 13 5 3 3 3" xfId="35776"/>
    <cellStyle name="Comma 13 5 3 4" xfId="35777"/>
    <cellStyle name="Comma 13 5 3 4 2" xfId="35778"/>
    <cellStyle name="Comma 13 5 3 5" xfId="35779"/>
    <cellStyle name="Comma 13 5 3 6" xfId="35780"/>
    <cellStyle name="Comma 13 5 4" xfId="35781"/>
    <cellStyle name="Comma 13 5 4 2" xfId="35782"/>
    <cellStyle name="Comma 13 5 4 2 2" xfId="35783"/>
    <cellStyle name="Comma 13 5 4 2 3" xfId="35784"/>
    <cellStyle name="Comma 13 5 4 3" xfId="35785"/>
    <cellStyle name="Comma 13 5 4 3 2" xfId="35786"/>
    <cellStyle name="Comma 13 5 4 3 3" xfId="35787"/>
    <cellStyle name="Comma 13 5 4 4" xfId="35788"/>
    <cellStyle name="Comma 13 5 4 4 2" xfId="35789"/>
    <cellStyle name="Comma 13 5 4 5" xfId="35790"/>
    <cellStyle name="Comma 13 5 4 6" xfId="35791"/>
    <cellStyle name="Comma 13 5 5" xfId="35792"/>
    <cellStyle name="Comma 13 5 5 2" xfId="35793"/>
    <cellStyle name="Comma 13 5 5 2 2" xfId="35794"/>
    <cellStyle name="Comma 13 5 5 2 3" xfId="35795"/>
    <cellStyle name="Comma 13 5 5 3" xfId="35796"/>
    <cellStyle name="Comma 13 5 5 3 2" xfId="35797"/>
    <cellStyle name="Comma 13 5 5 4" xfId="35798"/>
    <cellStyle name="Comma 13 5 5 5" xfId="35799"/>
    <cellStyle name="Comma 13 5 6" xfId="35800"/>
    <cellStyle name="Comma 13 5 6 2" xfId="35801"/>
    <cellStyle name="Comma 13 5 6 3" xfId="35802"/>
    <cellStyle name="Comma 13 5 7" xfId="35803"/>
    <cellStyle name="Comma 13 5 7 2" xfId="35804"/>
    <cellStyle name="Comma 13 5 7 3" xfId="35805"/>
    <cellStyle name="Comma 13 5 8" xfId="35806"/>
    <cellStyle name="Comma 13 5 8 2" xfId="35807"/>
    <cellStyle name="Comma 13 5 9" xfId="35808"/>
    <cellStyle name="Comma 13 6" xfId="9416"/>
    <cellStyle name="Comma 13 6 2" xfId="35809"/>
    <cellStyle name="Comma 13 6 2 2" xfId="35810"/>
    <cellStyle name="Comma 13 6 2 2 2" xfId="35811"/>
    <cellStyle name="Comma 13 6 2 2 3" xfId="35812"/>
    <cellStyle name="Comma 13 6 2 3" xfId="35813"/>
    <cellStyle name="Comma 13 6 2 3 2" xfId="35814"/>
    <cellStyle name="Comma 13 6 2 3 3" xfId="35815"/>
    <cellStyle name="Comma 13 6 2 4" xfId="35816"/>
    <cellStyle name="Comma 13 6 2 4 2" xfId="35817"/>
    <cellStyle name="Comma 13 6 2 5" xfId="35818"/>
    <cellStyle name="Comma 13 6 2 6" xfId="35819"/>
    <cellStyle name="Comma 13 6 3" xfId="35820"/>
    <cellStyle name="Comma 13 6 3 2" xfId="35821"/>
    <cellStyle name="Comma 13 6 3 2 2" xfId="35822"/>
    <cellStyle name="Comma 13 6 3 2 3" xfId="35823"/>
    <cellStyle name="Comma 13 6 3 3" xfId="35824"/>
    <cellStyle name="Comma 13 6 3 3 2" xfId="35825"/>
    <cellStyle name="Comma 13 6 3 3 3" xfId="35826"/>
    <cellStyle name="Comma 13 6 3 4" xfId="35827"/>
    <cellStyle name="Comma 13 6 3 4 2" xfId="35828"/>
    <cellStyle name="Comma 13 6 3 5" xfId="35829"/>
    <cellStyle name="Comma 13 6 3 6" xfId="35830"/>
    <cellStyle name="Comma 13 6 4" xfId="35831"/>
    <cellStyle name="Comma 13 6 4 2" xfId="35832"/>
    <cellStyle name="Comma 13 6 4 2 2" xfId="35833"/>
    <cellStyle name="Comma 13 6 4 2 3" xfId="35834"/>
    <cellStyle name="Comma 13 6 4 3" xfId="35835"/>
    <cellStyle name="Comma 13 6 4 3 2" xfId="35836"/>
    <cellStyle name="Comma 13 6 4 4" xfId="35837"/>
    <cellStyle name="Comma 13 6 4 5" xfId="35838"/>
    <cellStyle name="Comma 13 6 5" xfId="35839"/>
    <cellStyle name="Comma 13 6 5 2" xfId="35840"/>
    <cellStyle name="Comma 13 6 5 3" xfId="35841"/>
    <cellStyle name="Comma 13 6 6" xfId="35842"/>
    <cellStyle name="Comma 13 6 6 2" xfId="35843"/>
    <cellStyle name="Comma 13 6 6 3" xfId="35844"/>
    <cellStyle name="Comma 13 6 7" xfId="35845"/>
    <cellStyle name="Comma 13 6 7 2" xfId="35846"/>
    <cellStyle name="Comma 13 6 8" xfId="35847"/>
    <cellStyle name="Comma 13 6 9" xfId="35848"/>
    <cellStyle name="Comma 13 7" xfId="35849"/>
    <cellStyle name="Comma 13 7 2" xfId="35850"/>
    <cellStyle name="Comma 13 7 2 2" xfId="35851"/>
    <cellStyle name="Comma 13 7 2 2 2" xfId="35852"/>
    <cellStyle name="Comma 13 7 2 2 3" xfId="35853"/>
    <cellStyle name="Comma 13 7 2 3" xfId="35854"/>
    <cellStyle name="Comma 13 7 2 3 2" xfId="35855"/>
    <cellStyle name="Comma 13 7 2 3 3" xfId="35856"/>
    <cellStyle name="Comma 13 7 2 4" xfId="35857"/>
    <cellStyle name="Comma 13 7 2 4 2" xfId="35858"/>
    <cellStyle name="Comma 13 7 2 5" xfId="35859"/>
    <cellStyle name="Comma 13 7 2 6" xfId="35860"/>
    <cellStyle name="Comma 13 7 3" xfId="35861"/>
    <cellStyle name="Comma 13 7 3 2" xfId="35862"/>
    <cellStyle name="Comma 13 7 3 2 2" xfId="35863"/>
    <cellStyle name="Comma 13 7 3 2 3" xfId="35864"/>
    <cellStyle name="Comma 13 7 3 3" xfId="35865"/>
    <cellStyle name="Comma 13 7 3 3 2" xfId="35866"/>
    <cellStyle name="Comma 13 7 3 3 3" xfId="35867"/>
    <cellStyle name="Comma 13 7 3 4" xfId="35868"/>
    <cellStyle name="Comma 13 7 3 4 2" xfId="35869"/>
    <cellStyle name="Comma 13 7 3 5" xfId="35870"/>
    <cellStyle name="Comma 13 7 3 6" xfId="35871"/>
    <cellStyle name="Comma 13 7 4" xfId="35872"/>
    <cellStyle name="Comma 13 7 4 2" xfId="35873"/>
    <cellStyle name="Comma 13 7 4 2 2" xfId="35874"/>
    <cellStyle name="Comma 13 7 4 2 3" xfId="35875"/>
    <cellStyle name="Comma 13 7 4 3" xfId="35876"/>
    <cellStyle name="Comma 13 7 4 3 2" xfId="35877"/>
    <cellStyle name="Comma 13 7 4 4" xfId="35878"/>
    <cellStyle name="Comma 13 7 4 5" xfId="35879"/>
    <cellStyle name="Comma 13 7 5" xfId="35880"/>
    <cellStyle name="Comma 13 7 5 2" xfId="35881"/>
    <cellStyle name="Comma 13 7 5 3" xfId="35882"/>
    <cellStyle name="Comma 13 7 6" xfId="35883"/>
    <cellStyle name="Comma 13 7 6 2" xfId="35884"/>
    <cellStyle name="Comma 13 7 6 3" xfId="35885"/>
    <cellStyle name="Comma 13 7 7" xfId="35886"/>
    <cellStyle name="Comma 13 7 7 2" xfId="35887"/>
    <cellStyle name="Comma 13 7 8" xfId="35888"/>
    <cellStyle name="Comma 13 7 9" xfId="35889"/>
    <cellStyle name="Comma 13 8" xfId="35890"/>
    <cellStyle name="Comma 13 8 2" xfId="35891"/>
    <cellStyle name="Comma 13 8 2 2" xfId="35892"/>
    <cellStyle name="Comma 13 8 2 3" xfId="35893"/>
    <cellStyle name="Comma 13 8 3" xfId="35894"/>
    <cellStyle name="Comma 13 8 3 2" xfId="35895"/>
    <cellStyle name="Comma 13 8 3 3" xfId="35896"/>
    <cellStyle name="Comma 13 8 4" xfId="35897"/>
    <cellStyle name="Comma 13 8 4 2" xfId="35898"/>
    <cellStyle name="Comma 13 8 5" xfId="35899"/>
    <cellStyle name="Comma 13 8 6" xfId="35900"/>
    <cellStyle name="Comma 13 9" xfId="35901"/>
    <cellStyle name="Comma 13 9 2" xfId="35902"/>
    <cellStyle name="Comma 13 9 2 2" xfId="35903"/>
    <cellStyle name="Comma 13 9 2 3" xfId="35904"/>
    <cellStyle name="Comma 13 9 3" xfId="35905"/>
    <cellStyle name="Comma 13 9 3 2" xfId="35906"/>
    <cellStyle name="Comma 13 9 3 3" xfId="35907"/>
    <cellStyle name="Comma 13 9 4" xfId="35908"/>
    <cellStyle name="Comma 13 9 4 2" xfId="35909"/>
    <cellStyle name="Comma 13 9 5" xfId="35910"/>
    <cellStyle name="Comma 13 9 6" xfId="35911"/>
    <cellStyle name="Comma 130" xfId="57848"/>
    <cellStyle name="Comma 131" xfId="57849"/>
    <cellStyle name="Comma 132" xfId="57850"/>
    <cellStyle name="Comma 133" xfId="57851"/>
    <cellStyle name="Comma 134" xfId="57852"/>
    <cellStyle name="Comma 135" xfId="57853"/>
    <cellStyle name="Comma 136" xfId="57854"/>
    <cellStyle name="Comma 137" xfId="57855"/>
    <cellStyle name="Comma 138" xfId="57856"/>
    <cellStyle name="Comma 139" xfId="57857"/>
    <cellStyle name="Comma 14" xfId="3241"/>
    <cellStyle name="Comma 14 10" xfId="35912"/>
    <cellStyle name="Comma 14 10 2" xfId="35913"/>
    <cellStyle name="Comma 14 10 2 2" xfId="35914"/>
    <cellStyle name="Comma 14 10 2 3" xfId="35915"/>
    <cellStyle name="Comma 14 10 3" xfId="35916"/>
    <cellStyle name="Comma 14 10 3 2" xfId="35917"/>
    <cellStyle name="Comma 14 10 4" xfId="35918"/>
    <cellStyle name="Comma 14 10 5" xfId="35919"/>
    <cellStyle name="Comma 14 11" xfId="35920"/>
    <cellStyle name="Comma 14 11 2" xfId="35921"/>
    <cellStyle name="Comma 14 11 3" xfId="35922"/>
    <cellStyle name="Comma 14 12" xfId="35923"/>
    <cellStyle name="Comma 14 12 2" xfId="35924"/>
    <cellStyle name="Comma 14 12 3" xfId="35925"/>
    <cellStyle name="Comma 14 13" xfId="35926"/>
    <cellStyle name="Comma 14 13 2" xfId="35927"/>
    <cellStyle name="Comma 14 14" xfId="35928"/>
    <cellStyle name="Comma 14 15" xfId="35929"/>
    <cellStyle name="Comma 14 16" xfId="35930"/>
    <cellStyle name="Comma 14 17" xfId="62053"/>
    <cellStyle name="Comma 14 2" xfId="8227"/>
    <cellStyle name="Comma 14 2 10" xfId="35931"/>
    <cellStyle name="Comma 14 2 10 2" xfId="35932"/>
    <cellStyle name="Comma 14 2 10 3" xfId="35933"/>
    <cellStyle name="Comma 14 2 11" xfId="35934"/>
    <cellStyle name="Comma 14 2 11 2" xfId="35935"/>
    <cellStyle name="Comma 14 2 11 3" xfId="35936"/>
    <cellStyle name="Comma 14 2 12" xfId="35937"/>
    <cellStyle name="Comma 14 2 12 2" xfId="35938"/>
    <cellStyle name="Comma 14 2 13" xfId="35939"/>
    <cellStyle name="Comma 14 2 14" xfId="35940"/>
    <cellStyle name="Comma 14 2 15" xfId="35941"/>
    <cellStyle name="Comma 14 2 2" xfId="9417"/>
    <cellStyle name="Comma 14 2 2 10" xfId="35942"/>
    <cellStyle name="Comma 14 2 2 10 2" xfId="35943"/>
    <cellStyle name="Comma 14 2 2 10 3" xfId="35944"/>
    <cellStyle name="Comma 14 2 2 11" xfId="35945"/>
    <cellStyle name="Comma 14 2 2 11 2" xfId="35946"/>
    <cellStyle name="Comma 14 2 2 12" xfId="35947"/>
    <cellStyle name="Comma 14 2 2 13" xfId="35948"/>
    <cellStyle name="Comma 14 2 2 2" xfId="35949"/>
    <cellStyle name="Comma 14 2 2 2 10" xfId="35950"/>
    <cellStyle name="Comma 14 2 2 2 10 2" xfId="35951"/>
    <cellStyle name="Comma 14 2 2 2 11" xfId="35952"/>
    <cellStyle name="Comma 14 2 2 2 12" xfId="35953"/>
    <cellStyle name="Comma 14 2 2 2 2" xfId="35954"/>
    <cellStyle name="Comma 14 2 2 2 2 10" xfId="35955"/>
    <cellStyle name="Comma 14 2 2 2 2 2" xfId="35956"/>
    <cellStyle name="Comma 14 2 2 2 2 2 2" xfId="35957"/>
    <cellStyle name="Comma 14 2 2 2 2 2 2 2" xfId="35958"/>
    <cellStyle name="Comma 14 2 2 2 2 2 2 2 2" xfId="35959"/>
    <cellStyle name="Comma 14 2 2 2 2 2 2 2 3" xfId="35960"/>
    <cellStyle name="Comma 14 2 2 2 2 2 2 3" xfId="35961"/>
    <cellStyle name="Comma 14 2 2 2 2 2 2 3 2" xfId="35962"/>
    <cellStyle name="Comma 14 2 2 2 2 2 2 3 3" xfId="35963"/>
    <cellStyle name="Comma 14 2 2 2 2 2 2 4" xfId="35964"/>
    <cellStyle name="Comma 14 2 2 2 2 2 2 4 2" xfId="35965"/>
    <cellStyle name="Comma 14 2 2 2 2 2 2 5" xfId="35966"/>
    <cellStyle name="Comma 14 2 2 2 2 2 2 6" xfId="35967"/>
    <cellStyle name="Comma 14 2 2 2 2 2 3" xfId="35968"/>
    <cellStyle name="Comma 14 2 2 2 2 2 3 2" xfId="35969"/>
    <cellStyle name="Comma 14 2 2 2 2 2 3 2 2" xfId="35970"/>
    <cellStyle name="Comma 14 2 2 2 2 2 3 2 3" xfId="35971"/>
    <cellStyle name="Comma 14 2 2 2 2 2 3 3" xfId="35972"/>
    <cellStyle name="Comma 14 2 2 2 2 2 3 3 2" xfId="35973"/>
    <cellStyle name="Comma 14 2 2 2 2 2 3 3 3" xfId="35974"/>
    <cellStyle name="Comma 14 2 2 2 2 2 3 4" xfId="35975"/>
    <cellStyle name="Comma 14 2 2 2 2 2 3 4 2" xfId="35976"/>
    <cellStyle name="Comma 14 2 2 2 2 2 3 5" xfId="35977"/>
    <cellStyle name="Comma 14 2 2 2 2 2 3 6" xfId="35978"/>
    <cellStyle name="Comma 14 2 2 2 2 2 4" xfId="35979"/>
    <cellStyle name="Comma 14 2 2 2 2 2 4 2" xfId="35980"/>
    <cellStyle name="Comma 14 2 2 2 2 2 4 2 2" xfId="35981"/>
    <cellStyle name="Comma 14 2 2 2 2 2 4 2 3" xfId="35982"/>
    <cellStyle name="Comma 14 2 2 2 2 2 4 3" xfId="35983"/>
    <cellStyle name="Comma 14 2 2 2 2 2 4 3 2" xfId="35984"/>
    <cellStyle name="Comma 14 2 2 2 2 2 4 4" xfId="35985"/>
    <cellStyle name="Comma 14 2 2 2 2 2 4 5" xfId="35986"/>
    <cellStyle name="Comma 14 2 2 2 2 2 5" xfId="35987"/>
    <cellStyle name="Comma 14 2 2 2 2 2 5 2" xfId="35988"/>
    <cellStyle name="Comma 14 2 2 2 2 2 5 3" xfId="35989"/>
    <cellStyle name="Comma 14 2 2 2 2 2 6" xfId="35990"/>
    <cellStyle name="Comma 14 2 2 2 2 2 6 2" xfId="35991"/>
    <cellStyle name="Comma 14 2 2 2 2 2 6 3" xfId="35992"/>
    <cellStyle name="Comma 14 2 2 2 2 2 7" xfId="35993"/>
    <cellStyle name="Comma 14 2 2 2 2 2 7 2" xfId="35994"/>
    <cellStyle name="Comma 14 2 2 2 2 2 8" xfId="35995"/>
    <cellStyle name="Comma 14 2 2 2 2 2 9" xfId="35996"/>
    <cellStyle name="Comma 14 2 2 2 2 3" xfId="35997"/>
    <cellStyle name="Comma 14 2 2 2 2 3 2" xfId="35998"/>
    <cellStyle name="Comma 14 2 2 2 2 3 2 2" xfId="35999"/>
    <cellStyle name="Comma 14 2 2 2 2 3 2 3" xfId="36000"/>
    <cellStyle name="Comma 14 2 2 2 2 3 3" xfId="36001"/>
    <cellStyle name="Comma 14 2 2 2 2 3 3 2" xfId="36002"/>
    <cellStyle name="Comma 14 2 2 2 2 3 3 3" xfId="36003"/>
    <cellStyle name="Comma 14 2 2 2 2 3 4" xfId="36004"/>
    <cellStyle name="Comma 14 2 2 2 2 3 4 2" xfId="36005"/>
    <cellStyle name="Comma 14 2 2 2 2 3 5" xfId="36006"/>
    <cellStyle name="Comma 14 2 2 2 2 3 6" xfId="36007"/>
    <cellStyle name="Comma 14 2 2 2 2 4" xfId="36008"/>
    <cellStyle name="Comma 14 2 2 2 2 4 2" xfId="36009"/>
    <cellStyle name="Comma 14 2 2 2 2 4 2 2" xfId="36010"/>
    <cellStyle name="Comma 14 2 2 2 2 4 2 3" xfId="36011"/>
    <cellStyle name="Comma 14 2 2 2 2 4 3" xfId="36012"/>
    <cellStyle name="Comma 14 2 2 2 2 4 3 2" xfId="36013"/>
    <cellStyle name="Comma 14 2 2 2 2 4 3 3" xfId="36014"/>
    <cellStyle name="Comma 14 2 2 2 2 4 4" xfId="36015"/>
    <cellStyle name="Comma 14 2 2 2 2 4 4 2" xfId="36016"/>
    <cellStyle name="Comma 14 2 2 2 2 4 5" xfId="36017"/>
    <cellStyle name="Comma 14 2 2 2 2 4 6" xfId="36018"/>
    <cellStyle name="Comma 14 2 2 2 2 5" xfId="36019"/>
    <cellStyle name="Comma 14 2 2 2 2 5 2" xfId="36020"/>
    <cellStyle name="Comma 14 2 2 2 2 5 2 2" xfId="36021"/>
    <cellStyle name="Comma 14 2 2 2 2 5 2 3" xfId="36022"/>
    <cellStyle name="Comma 14 2 2 2 2 5 3" xfId="36023"/>
    <cellStyle name="Comma 14 2 2 2 2 5 3 2" xfId="36024"/>
    <cellStyle name="Comma 14 2 2 2 2 5 4" xfId="36025"/>
    <cellStyle name="Comma 14 2 2 2 2 5 5" xfId="36026"/>
    <cellStyle name="Comma 14 2 2 2 2 6" xfId="36027"/>
    <cellStyle name="Comma 14 2 2 2 2 6 2" xfId="36028"/>
    <cellStyle name="Comma 14 2 2 2 2 6 3" xfId="36029"/>
    <cellStyle name="Comma 14 2 2 2 2 7" xfId="36030"/>
    <cellStyle name="Comma 14 2 2 2 2 7 2" xfId="36031"/>
    <cellStyle name="Comma 14 2 2 2 2 7 3" xfId="36032"/>
    <cellStyle name="Comma 14 2 2 2 2 8" xfId="36033"/>
    <cellStyle name="Comma 14 2 2 2 2 8 2" xfId="36034"/>
    <cellStyle name="Comma 14 2 2 2 2 9" xfId="36035"/>
    <cellStyle name="Comma 14 2 2 2 3" xfId="36036"/>
    <cellStyle name="Comma 14 2 2 2 3 2" xfId="36037"/>
    <cellStyle name="Comma 14 2 2 2 3 2 2" xfId="36038"/>
    <cellStyle name="Comma 14 2 2 2 3 2 2 2" xfId="36039"/>
    <cellStyle name="Comma 14 2 2 2 3 2 2 3" xfId="36040"/>
    <cellStyle name="Comma 14 2 2 2 3 2 3" xfId="36041"/>
    <cellStyle name="Comma 14 2 2 2 3 2 3 2" xfId="36042"/>
    <cellStyle name="Comma 14 2 2 2 3 2 3 3" xfId="36043"/>
    <cellStyle name="Comma 14 2 2 2 3 2 4" xfId="36044"/>
    <cellStyle name="Comma 14 2 2 2 3 2 4 2" xfId="36045"/>
    <cellStyle name="Comma 14 2 2 2 3 2 5" xfId="36046"/>
    <cellStyle name="Comma 14 2 2 2 3 2 6" xfId="36047"/>
    <cellStyle name="Comma 14 2 2 2 3 3" xfId="36048"/>
    <cellStyle name="Comma 14 2 2 2 3 3 2" xfId="36049"/>
    <cellStyle name="Comma 14 2 2 2 3 3 2 2" xfId="36050"/>
    <cellStyle name="Comma 14 2 2 2 3 3 2 3" xfId="36051"/>
    <cellStyle name="Comma 14 2 2 2 3 3 3" xfId="36052"/>
    <cellStyle name="Comma 14 2 2 2 3 3 3 2" xfId="36053"/>
    <cellStyle name="Comma 14 2 2 2 3 3 3 3" xfId="36054"/>
    <cellStyle name="Comma 14 2 2 2 3 3 4" xfId="36055"/>
    <cellStyle name="Comma 14 2 2 2 3 3 4 2" xfId="36056"/>
    <cellStyle name="Comma 14 2 2 2 3 3 5" xfId="36057"/>
    <cellStyle name="Comma 14 2 2 2 3 3 6" xfId="36058"/>
    <cellStyle name="Comma 14 2 2 2 3 4" xfId="36059"/>
    <cellStyle name="Comma 14 2 2 2 3 4 2" xfId="36060"/>
    <cellStyle name="Comma 14 2 2 2 3 4 2 2" xfId="36061"/>
    <cellStyle name="Comma 14 2 2 2 3 4 2 3" xfId="36062"/>
    <cellStyle name="Comma 14 2 2 2 3 4 3" xfId="36063"/>
    <cellStyle name="Comma 14 2 2 2 3 4 3 2" xfId="36064"/>
    <cellStyle name="Comma 14 2 2 2 3 4 4" xfId="36065"/>
    <cellStyle name="Comma 14 2 2 2 3 4 5" xfId="36066"/>
    <cellStyle name="Comma 14 2 2 2 3 5" xfId="36067"/>
    <cellStyle name="Comma 14 2 2 2 3 5 2" xfId="36068"/>
    <cellStyle name="Comma 14 2 2 2 3 5 3" xfId="36069"/>
    <cellStyle name="Comma 14 2 2 2 3 6" xfId="36070"/>
    <cellStyle name="Comma 14 2 2 2 3 6 2" xfId="36071"/>
    <cellStyle name="Comma 14 2 2 2 3 6 3" xfId="36072"/>
    <cellStyle name="Comma 14 2 2 2 3 7" xfId="36073"/>
    <cellStyle name="Comma 14 2 2 2 3 7 2" xfId="36074"/>
    <cellStyle name="Comma 14 2 2 2 3 8" xfId="36075"/>
    <cellStyle name="Comma 14 2 2 2 3 9" xfId="36076"/>
    <cellStyle name="Comma 14 2 2 2 4" xfId="36077"/>
    <cellStyle name="Comma 14 2 2 2 4 2" xfId="36078"/>
    <cellStyle name="Comma 14 2 2 2 4 2 2" xfId="36079"/>
    <cellStyle name="Comma 14 2 2 2 4 2 2 2" xfId="36080"/>
    <cellStyle name="Comma 14 2 2 2 4 2 2 3" xfId="36081"/>
    <cellStyle name="Comma 14 2 2 2 4 2 3" xfId="36082"/>
    <cellStyle name="Comma 14 2 2 2 4 2 3 2" xfId="36083"/>
    <cellStyle name="Comma 14 2 2 2 4 2 3 3" xfId="36084"/>
    <cellStyle name="Comma 14 2 2 2 4 2 4" xfId="36085"/>
    <cellStyle name="Comma 14 2 2 2 4 2 4 2" xfId="36086"/>
    <cellStyle name="Comma 14 2 2 2 4 2 5" xfId="36087"/>
    <cellStyle name="Comma 14 2 2 2 4 2 6" xfId="36088"/>
    <cellStyle name="Comma 14 2 2 2 4 3" xfId="36089"/>
    <cellStyle name="Comma 14 2 2 2 4 3 2" xfId="36090"/>
    <cellStyle name="Comma 14 2 2 2 4 3 2 2" xfId="36091"/>
    <cellStyle name="Comma 14 2 2 2 4 3 2 3" xfId="36092"/>
    <cellStyle name="Comma 14 2 2 2 4 3 3" xfId="36093"/>
    <cellStyle name="Comma 14 2 2 2 4 3 3 2" xfId="36094"/>
    <cellStyle name="Comma 14 2 2 2 4 3 3 3" xfId="36095"/>
    <cellStyle name="Comma 14 2 2 2 4 3 4" xfId="36096"/>
    <cellStyle name="Comma 14 2 2 2 4 3 4 2" xfId="36097"/>
    <cellStyle name="Comma 14 2 2 2 4 3 5" xfId="36098"/>
    <cellStyle name="Comma 14 2 2 2 4 3 6" xfId="36099"/>
    <cellStyle name="Comma 14 2 2 2 4 4" xfId="36100"/>
    <cellStyle name="Comma 14 2 2 2 4 4 2" xfId="36101"/>
    <cellStyle name="Comma 14 2 2 2 4 4 2 2" xfId="36102"/>
    <cellStyle name="Comma 14 2 2 2 4 4 2 3" xfId="36103"/>
    <cellStyle name="Comma 14 2 2 2 4 4 3" xfId="36104"/>
    <cellStyle name="Comma 14 2 2 2 4 4 3 2" xfId="36105"/>
    <cellStyle name="Comma 14 2 2 2 4 4 4" xfId="36106"/>
    <cellStyle name="Comma 14 2 2 2 4 4 5" xfId="36107"/>
    <cellStyle name="Comma 14 2 2 2 4 5" xfId="36108"/>
    <cellStyle name="Comma 14 2 2 2 4 5 2" xfId="36109"/>
    <cellStyle name="Comma 14 2 2 2 4 5 3" xfId="36110"/>
    <cellStyle name="Comma 14 2 2 2 4 6" xfId="36111"/>
    <cellStyle name="Comma 14 2 2 2 4 6 2" xfId="36112"/>
    <cellStyle name="Comma 14 2 2 2 4 6 3" xfId="36113"/>
    <cellStyle name="Comma 14 2 2 2 4 7" xfId="36114"/>
    <cellStyle name="Comma 14 2 2 2 4 7 2" xfId="36115"/>
    <cellStyle name="Comma 14 2 2 2 4 8" xfId="36116"/>
    <cellStyle name="Comma 14 2 2 2 4 9" xfId="36117"/>
    <cellStyle name="Comma 14 2 2 2 5" xfId="36118"/>
    <cellStyle name="Comma 14 2 2 2 5 2" xfId="36119"/>
    <cellStyle name="Comma 14 2 2 2 5 2 2" xfId="36120"/>
    <cellStyle name="Comma 14 2 2 2 5 2 3" xfId="36121"/>
    <cellStyle name="Comma 14 2 2 2 5 3" xfId="36122"/>
    <cellStyle name="Comma 14 2 2 2 5 3 2" xfId="36123"/>
    <cellStyle name="Comma 14 2 2 2 5 3 3" xfId="36124"/>
    <cellStyle name="Comma 14 2 2 2 5 4" xfId="36125"/>
    <cellStyle name="Comma 14 2 2 2 5 4 2" xfId="36126"/>
    <cellStyle name="Comma 14 2 2 2 5 5" xfId="36127"/>
    <cellStyle name="Comma 14 2 2 2 5 6" xfId="36128"/>
    <cellStyle name="Comma 14 2 2 2 6" xfId="36129"/>
    <cellStyle name="Comma 14 2 2 2 6 2" xfId="36130"/>
    <cellStyle name="Comma 14 2 2 2 6 2 2" xfId="36131"/>
    <cellStyle name="Comma 14 2 2 2 6 2 3" xfId="36132"/>
    <cellStyle name="Comma 14 2 2 2 6 3" xfId="36133"/>
    <cellStyle name="Comma 14 2 2 2 6 3 2" xfId="36134"/>
    <cellStyle name="Comma 14 2 2 2 6 3 3" xfId="36135"/>
    <cellStyle name="Comma 14 2 2 2 6 4" xfId="36136"/>
    <cellStyle name="Comma 14 2 2 2 6 4 2" xfId="36137"/>
    <cellStyle name="Comma 14 2 2 2 6 5" xfId="36138"/>
    <cellStyle name="Comma 14 2 2 2 6 6" xfId="36139"/>
    <cellStyle name="Comma 14 2 2 2 7" xfId="36140"/>
    <cellStyle name="Comma 14 2 2 2 7 2" xfId="36141"/>
    <cellStyle name="Comma 14 2 2 2 7 2 2" xfId="36142"/>
    <cellStyle name="Comma 14 2 2 2 7 2 3" xfId="36143"/>
    <cellStyle name="Comma 14 2 2 2 7 3" xfId="36144"/>
    <cellStyle name="Comma 14 2 2 2 7 3 2" xfId="36145"/>
    <cellStyle name="Comma 14 2 2 2 7 4" xfId="36146"/>
    <cellStyle name="Comma 14 2 2 2 7 5" xfId="36147"/>
    <cellStyle name="Comma 14 2 2 2 8" xfId="36148"/>
    <cellStyle name="Comma 14 2 2 2 8 2" xfId="36149"/>
    <cellStyle name="Comma 14 2 2 2 8 3" xfId="36150"/>
    <cellStyle name="Comma 14 2 2 2 9" xfId="36151"/>
    <cellStyle name="Comma 14 2 2 2 9 2" xfId="36152"/>
    <cellStyle name="Comma 14 2 2 2 9 3" xfId="36153"/>
    <cellStyle name="Comma 14 2 2 3" xfId="36154"/>
    <cellStyle name="Comma 14 2 2 3 10" xfId="36155"/>
    <cellStyle name="Comma 14 2 2 3 2" xfId="36156"/>
    <cellStyle name="Comma 14 2 2 3 2 2" xfId="36157"/>
    <cellStyle name="Comma 14 2 2 3 2 2 2" xfId="36158"/>
    <cellStyle name="Comma 14 2 2 3 2 2 2 2" xfId="36159"/>
    <cellStyle name="Comma 14 2 2 3 2 2 2 3" xfId="36160"/>
    <cellStyle name="Comma 14 2 2 3 2 2 3" xfId="36161"/>
    <cellStyle name="Comma 14 2 2 3 2 2 3 2" xfId="36162"/>
    <cellStyle name="Comma 14 2 2 3 2 2 3 3" xfId="36163"/>
    <cellStyle name="Comma 14 2 2 3 2 2 4" xfId="36164"/>
    <cellStyle name="Comma 14 2 2 3 2 2 4 2" xfId="36165"/>
    <cellStyle name="Comma 14 2 2 3 2 2 5" xfId="36166"/>
    <cellStyle name="Comma 14 2 2 3 2 2 6" xfId="36167"/>
    <cellStyle name="Comma 14 2 2 3 2 3" xfId="36168"/>
    <cellStyle name="Comma 14 2 2 3 2 3 2" xfId="36169"/>
    <cellStyle name="Comma 14 2 2 3 2 3 2 2" xfId="36170"/>
    <cellStyle name="Comma 14 2 2 3 2 3 2 3" xfId="36171"/>
    <cellStyle name="Comma 14 2 2 3 2 3 3" xfId="36172"/>
    <cellStyle name="Comma 14 2 2 3 2 3 3 2" xfId="36173"/>
    <cellStyle name="Comma 14 2 2 3 2 3 3 3" xfId="36174"/>
    <cellStyle name="Comma 14 2 2 3 2 3 4" xfId="36175"/>
    <cellStyle name="Comma 14 2 2 3 2 3 4 2" xfId="36176"/>
    <cellStyle name="Comma 14 2 2 3 2 3 5" xfId="36177"/>
    <cellStyle name="Comma 14 2 2 3 2 3 6" xfId="36178"/>
    <cellStyle name="Comma 14 2 2 3 2 4" xfId="36179"/>
    <cellStyle name="Comma 14 2 2 3 2 4 2" xfId="36180"/>
    <cellStyle name="Comma 14 2 2 3 2 4 2 2" xfId="36181"/>
    <cellStyle name="Comma 14 2 2 3 2 4 2 3" xfId="36182"/>
    <cellStyle name="Comma 14 2 2 3 2 4 3" xfId="36183"/>
    <cellStyle name="Comma 14 2 2 3 2 4 3 2" xfId="36184"/>
    <cellStyle name="Comma 14 2 2 3 2 4 4" xfId="36185"/>
    <cellStyle name="Comma 14 2 2 3 2 4 5" xfId="36186"/>
    <cellStyle name="Comma 14 2 2 3 2 5" xfId="36187"/>
    <cellStyle name="Comma 14 2 2 3 2 5 2" xfId="36188"/>
    <cellStyle name="Comma 14 2 2 3 2 5 3" xfId="36189"/>
    <cellStyle name="Comma 14 2 2 3 2 6" xfId="36190"/>
    <cellStyle name="Comma 14 2 2 3 2 6 2" xfId="36191"/>
    <cellStyle name="Comma 14 2 2 3 2 6 3" xfId="36192"/>
    <cellStyle name="Comma 14 2 2 3 2 7" xfId="36193"/>
    <cellStyle name="Comma 14 2 2 3 2 7 2" xfId="36194"/>
    <cellStyle name="Comma 14 2 2 3 2 8" xfId="36195"/>
    <cellStyle name="Comma 14 2 2 3 2 9" xfId="36196"/>
    <cellStyle name="Comma 14 2 2 3 3" xfId="36197"/>
    <cellStyle name="Comma 14 2 2 3 3 2" xfId="36198"/>
    <cellStyle name="Comma 14 2 2 3 3 2 2" xfId="36199"/>
    <cellStyle name="Comma 14 2 2 3 3 2 3" xfId="36200"/>
    <cellStyle name="Comma 14 2 2 3 3 3" xfId="36201"/>
    <cellStyle name="Comma 14 2 2 3 3 3 2" xfId="36202"/>
    <cellStyle name="Comma 14 2 2 3 3 3 3" xfId="36203"/>
    <cellStyle name="Comma 14 2 2 3 3 4" xfId="36204"/>
    <cellStyle name="Comma 14 2 2 3 3 4 2" xfId="36205"/>
    <cellStyle name="Comma 14 2 2 3 3 5" xfId="36206"/>
    <cellStyle name="Comma 14 2 2 3 3 6" xfId="36207"/>
    <cellStyle name="Comma 14 2 2 3 4" xfId="36208"/>
    <cellStyle name="Comma 14 2 2 3 4 2" xfId="36209"/>
    <cellStyle name="Comma 14 2 2 3 4 2 2" xfId="36210"/>
    <cellStyle name="Comma 14 2 2 3 4 2 3" xfId="36211"/>
    <cellStyle name="Comma 14 2 2 3 4 3" xfId="36212"/>
    <cellStyle name="Comma 14 2 2 3 4 3 2" xfId="36213"/>
    <cellStyle name="Comma 14 2 2 3 4 3 3" xfId="36214"/>
    <cellStyle name="Comma 14 2 2 3 4 4" xfId="36215"/>
    <cellStyle name="Comma 14 2 2 3 4 4 2" xfId="36216"/>
    <cellStyle name="Comma 14 2 2 3 4 5" xfId="36217"/>
    <cellStyle name="Comma 14 2 2 3 4 6" xfId="36218"/>
    <cellStyle name="Comma 14 2 2 3 5" xfId="36219"/>
    <cellStyle name="Comma 14 2 2 3 5 2" xfId="36220"/>
    <cellStyle name="Comma 14 2 2 3 5 2 2" xfId="36221"/>
    <cellStyle name="Comma 14 2 2 3 5 2 3" xfId="36222"/>
    <cellStyle name="Comma 14 2 2 3 5 3" xfId="36223"/>
    <cellStyle name="Comma 14 2 2 3 5 3 2" xfId="36224"/>
    <cellStyle name="Comma 14 2 2 3 5 4" xfId="36225"/>
    <cellStyle name="Comma 14 2 2 3 5 5" xfId="36226"/>
    <cellStyle name="Comma 14 2 2 3 6" xfId="36227"/>
    <cellStyle name="Comma 14 2 2 3 6 2" xfId="36228"/>
    <cellStyle name="Comma 14 2 2 3 6 3" xfId="36229"/>
    <cellStyle name="Comma 14 2 2 3 7" xfId="36230"/>
    <cellStyle name="Comma 14 2 2 3 7 2" xfId="36231"/>
    <cellStyle name="Comma 14 2 2 3 7 3" xfId="36232"/>
    <cellStyle name="Comma 14 2 2 3 8" xfId="36233"/>
    <cellStyle name="Comma 14 2 2 3 8 2" xfId="36234"/>
    <cellStyle name="Comma 14 2 2 3 9" xfId="36235"/>
    <cellStyle name="Comma 14 2 2 4" xfId="36236"/>
    <cellStyle name="Comma 14 2 2 4 2" xfId="36237"/>
    <cellStyle name="Comma 14 2 2 4 2 2" xfId="36238"/>
    <cellStyle name="Comma 14 2 2 4 2 2 2" xfId="36239"/>
    <cellStyle name="Comma 14 2 2 4 2 2 3" xfId="36240"/>
    <cellStyle name="Comma 14 2 2 4 2 3" xfId="36241"/>
    <cellStyle name="Comma 14 2 2 4 2 3 2" xfId="36242"/>
    <cellStyle name="Comma 14 2 2 4 2 3 3" xfId="36243"/>
    <cellStyle name="Comma 14 2 2 4 2 4" xfId="36244"/>
    <cellStyle name="Comma 14 2 2 4 2 4 2" xfId="36245"/>
    <cellStyle name="Comma 14 2 2 4 2 5" xfId="36246"/>
    <cellStyle name="Comma 14 2 2 4 2 6" xfId="36247"/>
    <cellStyle name="Comma 14 2 2 4 3" xfId="36248"/>
    <cellStyle name="Comma 14 2 2 4 3 2" xfId="36249"/>
    <cellStyle name="Comma 14 2 2 4 3 2 2" xfId="36250"/>
    <cellStyle name="Comma 14 2 2 4 3 2 3" xfId="36251"/>
    <cellStyle name="Comma 14 2 2 4 3 3" xfId="36252"/>
    <cellStyle name="Comma 14 2 2 4 3 3 2" xfId="36253"/>
    <cellStyle name="Comma 14 2 2 4 3 3 3" xfId="36254"/>
    <cellStyle name="Comma 14 2 2 4 3 4" xfId="36255"/>
    <cellStyle name="Comma 14 2 2 4 3 4 2" xfId="36256"/>
    <cellStyle name="Comma 14 2 2 4 3 5" xfId="36257"/>
    <cellStyle name="Comma 14 2 2 4 3 6" xfId="36258"/>
    <cellStyle name="Comma 14 2 2 4 4" xfId="36259"/>
    <cellStyle name="Comma 14 2 2 4 4 2" xfId="36260"/>
    <cellStyle name="Comma 14 2 2 4 4 2 2" xfId="36261"/>
    <cellStyle name="Comma 14 2 2 4 4 2 3" xfId="36262"/>
    <cellStyle name="Comma 14 2 2 4 4 3" xfId="36263"/>
    <cellStyle name="Comma 14 2 2 4 4 3 2" xfId="36264"/>
    <cellStyle name="Comma 14 2 2 4 4 4" xfId="36265"/>
    <cellStyle name="Comma 14 2 2 4 4 5" xfId="36266"/>
    <cellStyle name="Comma 14 2 2 4 5" xfId="36267"/>
    <cellStyle name="Comma 14 2 2 4 5 2" xfId="36268"/>
    <cellStyle name="Comma 14 2 2 4 5 3" xfId="36269"/>
    <cellStyle name="Comma 14 2 2 4 6" xfId="36270"/>
    <cellStyle name="Comma 14 2 2 4 6 2" xfId="36271"/>
    <cellStyle name="Comma 14 2 2 4 6 3" xfId="36272"/>
    <cellStyle name="Comma 14 2 2 4 7" xfId="36273"/>
    <cellStyle name="Comma 14 2 2 4 7 2" xfId="36274"/>
    <cellStyle name="Comma 14 2 2 4 8" xfId="36275"/>
    <cellStyle name="Comma 14 2 2 4 9" xfId="36276"/>
    <cellStyle name="Comma 14 2 2 5" xfId="36277"/>
    <cellStyle name="Comma 14 2 2 5 2" xfId="36278"/>
    <cellStyle name="Comma 14 2 2 5 2 2" xfId="36279"/>
    <cellStyle name="Comma 14 2 2 5 2 2 2" xfId="36280"/>
    <cellStyle name="Comma 14 2 2 5 2 2 3" xfId="36281"/>
    <cellStyle name="Comma 14 2 2 5 2 3" xfId="36282"/>
    <cellStyle name="Comma 14 2 2 5 2 3 2" xfId="36283"/>
    <cellStyle name="Comma 14 2 2 5 2 3 3" xfId="36284"/>
    <cellStyle name="Comma 14 2 2 5 2 4" xfId="36285"/>
    <cellStyle name="Comma 14 2 2 5 2 4 2" xfId="36286"/>
    <cellStyle name="Comma 14 2 2 5 2 5" xfId="36287"/>
    <cellStyle name="Comma 14 2 2 5 2 6" xfId="36288"/>
    <cellStyle name="Comma 14 2 2 5 3" xfId="36289"/>
    <cellStyle name="Comma 14 2 2 5 3 2" xfId="36290"/>
    <cellStyle name="Comma 14 2 2 5 3 2 2" xfId="36291"/>
    <cellStyle name="Comma 14 2 2 5 3 2 3" xfId="36292"/>
    <cellStyle name="Comma 14 2 2 5 3 3" xfId="36293"/>
    <cellStyle name="Comma 14 2 2 5 3 3 2" xfId="36294"/>
    <cellStyle name="Comma 14 2 2 5 3 3 3" xfId="36295"/>
    <cellStyle name="Comma 14 2 2 5 3 4" xfId="36296"/>
    <cellStyle name="Comma 14 2 2 5 3 4 2" xfId="36297"/>
    <cellStyle name="Comma 14 2 2 5 3 5" xfId="36298"/>
    <cellStyle name="Comma 14 2 2 5 3 6" xfId="36299"/>
    <cellStyle name="Comma 14 2 2 5 4" xfId="36300"/>
    <cellStyle name="Comma 14 2 2 5 4 2" xfId="36301"/>
    <cellStyle name="Comma 14 2 2 5 4 2 2" xfId="36302"/>
    <cellStyle name="Comma 14 2 2 5 4 2 3" xfId="36303"/>
    <cellStyle name="Comma 14 2 2 5 4 3" xfId="36304"/>
    <cellStyle name="Comma 14 2 2 5 4 3 2" xfId="36305"/>
    <cellStyle name="Comma 14 2 2 5 4 4" xfId="36306"/>
    <cellStyle name="Comma 14 2 2 5 4 5" xfId="36307"/>
    <cellStyle name="Comma 14 2 2 5 5" xfId="36308"/>
    <cellStyle name="Comma 14 2 2 5 5 2" xfId="36309"/>
    <cellStyle name="Comma 14 2 2 5 5 3" xfId="36310"/>
    <cellStyle name="Comma 14 2 2 5 6" xfId="36311"/>
    <cellStyle name="Comma 14 2 2 5 6 2" xfId="36312"/>
    <cellStyle name="Comma 14 2 2 5 6 3" xfId="36313"/>
    <cellStyle name="Comma 14 2 2 5 7" xfId="36314"/>
    <cellStyle name="Comma 14 2 2 5 7 2" xfId="36315"/>
    <cellStyle name="Comma 14 2 2 5 8" xfId="36316"/>
    <cellStyle name="Comma 14 2 2 5 9" xfId="36317"/>
    <cellStyle name="Comma 14 2 2 6" xfId="36318"/>
    <cellStyle name="Comma 14 2 2 6 2" xfId="36319"/>
    <cellStyle name="Comma 14 2 2 6 2 2" xfId="36320"/>
    <cellStyle name="Comma 14 2 2 6 2 3" xfId="36321"/>
    <cellStyle name="Comma 14 2 2 6 3" xfId="36322"/>
    <cellStyle name="Comma 14 2 2 6 3 2" xfId="36323"/>
    <cellStyle name="Comma 14 2 2 6 3 3" xfId="36324"/>
    <cellStyle name="Comma 14 2 2 6 4" xfId="36325"/>
    <cellStyle name="Comma 14 2 2 6 4 2" xfId="36326"/>
    <cellStyle name="Comma 14 2 2 6 5" xfId="36327"/>
    <cellStyle name="Comma 14 2 2 6 6" xfId="36328"/>
    <cellStyle name="Comma 14 2 2 7" xfId="36329"/>
    <cellStyle name="Comma 14 2 2 7 2" xfId="36330"/>
    <cellStyle name="Comma 14 2 2 7 2 2" xfId="36331"/>
    <cellStyle name="Comma 14 2 2 7 2 3" xfId="36332"/>
    <cellStyle name="Comma 14 2 2 7 3" xfId="36333"/>
    <cellStyle name="Comma 14 2 2 7 3 2" xfId="36334"/>
    <cellStyle name="Comma 14 2 2 7 3 3" xfId="36335"/>
    <cellStyle name="Comma 14 2 2 7 4" xfId="36336"/>
    <cellStyle name="Comma 14 2 2 7 4 2" xfId="36337"/>
    <cellStyle name="Comma 14 2 2 7 5" xfId="36338"/>
    <cellStyle name="Comma 14 2 2 7 6" xfId="36339"/>
    <cellStyle name="Comma 14 2 2 8" xfId="36340"/>
    <cellStyle name="Comma 14 2 2 8 2" xfId="36341"/>
    <cellStyle name="Comma 14 2 2 8 2 2" xfId="36342"/>
    <cellStyle name="Comma 14 2 2 8 2 3" xfId="36343"/>
    <cellStyle name="Comma 14 2 2 8 3" xfId="36344"/>
    <cellStyle name="Comma 14 2 2 8 3 2" xfId="36345"/>
    <cellStyle name="Comma 14 2 2 8 4" xfId="36346"/>
    <cellStyle name="Comma 14 2 2 8 5" xfId="36347"/>
    <cellStyle name="Comma 14 2 2 9" xfId="36348"/>
    <cellStyle name="Comma 14 2 2 9 2" xfId="36349"/>
    <cellStyle name="Comma 14 2 2 9 3" xfId="36350"/>
    <cellStyle name="Comma 14 2 3" xfId="36351"/>
    <cellStyle name="Comma 14 2 3 10" xfId="36352"/>
    <cellStyle name="Comma 14 2 3 10 2" xfId="36353"/>
    <cellStyle name="Comma 14 2 3 11" xfId="36354"/>
    <cellStyle name="Comma 14 2 3 12" xfId="36355"/>
    <cellStyle name="Comma 14 2 3 2" xfId="36356"/>
    <cellStyle name="Comma 14 2 3 2 10" xfId="36357"/>
    <cellStyle name="Comma 14 2 3 2 2" xfId="36358"/>
    <cellStyle name="Comma 14 2 3 2 2 2" xfId="36359"/>
    <cellStyle name="Comma 14 2 3 2 2 2 2" xfId="36360"/>
    <cellStyle name="Comma 14 2 3 2 2 2 2 2" xfId="36361"/>
    <cellStyle name="Comma 14 2 3 2 2 2 2 3" xfId="36362"/>
    <cellStyle name="Comma 14 2 3 2 2 2 3" xfId="36363"/>
    <cellStyle name="Comma 14 2 3 2 2 2 3 2" xfId="36364"/>
    <cellStyle name="Comma 14 2 3 2 2 2 3 3" xfId="36365"/>
    <cellStyle name="Comma 14 2 3 2 2 2 4" xfId="36366"/>
    <cellStyle name="Comma 14 2 3 2 2 2 4 2" xfId="36367"/>
    <cellStyle name="Comma 14 2 3 2 2 2 5" xfId="36368"/>
    <cellStyle name="Comma 14 2 3 2 2 2 6" xfId="36369"/>
    <cellStyle name="Comma 14 2 3 2 2 3" xfId="36370"/>
    <cellStyle name="Comma 14 2 3 2 2 3 2" xfId="36371"/>
    <cellStyle name="Comma 14 2 3 2 2 3 2 2" xfId="36372"/>
    <cellStyle name="Comma 14 2 3 2 2 3 2 3" xfId="36373"/>
    <cellStyle name="Comma 14 2 3 2 2 3 3" xfId="36374"/>
    <cellStyle name="Comma 14 2 3 2 2 3 3 2" xfId="36375"/>
    <cellStyle name="Comma 14 2 3 2 2 3 3 3" xfId="36376"/>
    <cellStyle name="Comma 14 2 3 2 2 3 4" xfId="36377"/>
    <cellStyle name="Comma 14 2 3 2 2 3 4 2" xfId="36378"/>
    <cellStyle name="Comma 14 2 3 2 2 3 5" xfId="36379"/>
    <cellStyle name="Comma 14 2 3 2 2 3 6" xfId="36380"/>
    <cellStyle name="Comma 14 2 3 2 2 4" xfId="36381"/>
    <cellStyle name="Comma 14 2 3 2 2 4 2" xfId="36382"/>
    <cellStyle name="Comma 14 2 3 2 2 4 2 2" xfId="36383"/>
    <cellStyle name="Comma 14 2 3 2 2 4 2 3" xfId="36384"/>
    <cellStyle name="Comma 14 2 3 2 2 4 3" xfId="36385"/>
    <cellStyle name="Comma 14 2 3 2 2 4 3 2" xfId="36386"/>
    <cellStyle name="Comma 14 2 3 2 2 4 4" xfId="36387"/>
    <cellStyle name="Comma 14 2 3 2 2 4 5" xfId="36388"/>
    <cellStyle name="Comma 14 2 3 2 2 5" xfId="36389"/>
    <cellStyle name="Comma 14 2 3 2 2 5 2" xfId="36390"/>
    <cellStyle name="Comma 14 2 3 2 2 5 3" xfId="36391"/>
    <cellStyle name="Comma 14 2 3 2 2 6" xfId="36392"/>
    <cellStyle name="Comma 14 2 3 2 2 6 2" xfId="36393"/>
    <cellStyle name="Comma 14 2 3 2 2 6 3" xfId="36394"/>
    <cellStyle name="Comma 14 2 3 2 2 7" xfId="36395"/>
    <cellStyle name="Comma 14 2 3 2 2 7 2" xfId="36396"/>
    <cellStyle name="Comma 14 2 3 2 2 8" xfId="36397"/>
    <cellStyle name="Comma 14 2 3 2 2 9" xfId="36398"/>
    <cellStyle name="Comma 14 2 3 2 3" xfId="36399"/>
    <cellStyle name="Comma 14 2 3 2 3 2" xfId="36400"/>
    <cellStyle name="Comma 14 2 3 2 3 2 2" xfId="36401"/>
    <cellStyle name="Comma 14 2 3 2 3 2 3" xfId="36402"/>
    <cellStyle name="Comma 14 2 3 2 3 3" xfId="36403"/>
    <cellStyle name="Comma 14 2 3 2 3 3 2" xfId="36404"/>
    <cellStyle name="Comma 14 2 3 2 3 3 3" xfId="36405"/>
    <cellStyle name="Comma 14 2 3 2 3 4" xfId="36406"/>
    <cellStyle name="Comma 14 2 3 2 3 4 2" xfId="36407"/>
    <cellStyle name="Comma 14 2 3 2 3 5" xfId="36408"/>
    <cellStyle name="Comma 14 2 3 2 3 6" xfId="36409"/>
    <cellStyle name="Comma 14 2 3 2 4" xfId="36410"/>
    <cellStyle name="Comma 14 2 3 2 4 2" xfId="36411"/>
    <cellStyle name="Comma 14 2 3 2 4 2 2" xfId="36412"/>
    <cellStyle name="Comma 14 2 3 2 4 2 3" xfId="36413"/>
    <cellStyle name="Comma 14 2 3 2 4 3" xfId="36414"/>
    <cellStyle name="Comma 14 2 3 2 4 3 2" xfId="36415"/>
    <cellStyle name="Comma 14 2 3 2 4 3 3" xfId="36416"/>
    <cellStyle name="Comma 14 2 3 2 4 4" xfId="36417"/>
    <cellStyle name="Comma 14 2 3 2 4 4 2" xfId="36418"/>
    <cellStyle name="Comma 14 2 3 2 4 5" xfId="36419"/>
    <cellStyle name="Comma 14 2 3 2 4 6" xfId="36420"/>
    <cellStyle name="Comma 14 2 3 2 5" xfId="36421"/>
    <cellStyle name="Comma 14 2 3 2 5 2" xfId="36422"/>
    <cellStyle name="Comma 14 2 3 2 5 2 2" xfId="36423"/>
    <cellStyle name="Comma 14 2 3 2 5 2 3" xfId="36424"/>
    <cellStyle name="Comma 14 2 3 2 5 3" xfId="36425"/>
    <cellStyle name="Comma 14 2 3 2 5 3 2" xfId="36426"/>
    <cellStyle name="Comma 14 2 3 2 5 4" xfId="36427"/>
    <cellStyle name="Comma 14 2 3 2 5 5" xfId="36428"/>
    <cellStyle name="Comma 14 2 3 2 6" xfId="36429"/>
    <cellStyle name="Comma 14 2 3 2 6 2" xfId="36430"/>
    <cellStyle name="Comma 14 2 3 2 6 3" xfId="36431"/>
    <cellStyle name="Comma 14 2 3 2 7" xfId="36432"/>
    <cellStyle name="Comma 14 2 3 2 7 2" xfId="36433"/>
    <cellStyle name="Comma 14 2 3 2 7 3" xfId="36434"/>
    <cellStyle name="Comma 14 2 3 2 8" xfId="36435"/>
    <cellStyle name="Comma 14 2 3 2 8 2" xfId="36436"/>
    <cellStyle name="Comma 14 2 3 2 9" xfId="36437"/>
    <cellStyle name="Comma 14 2 3 3" xfId="36438"/>
    <cellStyle name="Comma 14 2 3 3 2" xfId="36439"/>
    <cellStyle name="Comma 14 2 3 3 2 2" xfId="36440"/>
    <cellStyle name="Comma 14 2 3 3 2 2 2" xfId="36441"/>
    <cellStyle name="Comma 14 2 3 3 2 2 3" xfId="36442"/>
    <cellStyle name="Comma 14 2 3 3 2 3" xfId="36443"/>
    <cellStyle name="Comma 14 2 3 3 2 3 2" xfId="36444"/>
    <cellStyle name="Comma 14 2 3 3 2 3 3" xfId="36445"/>
    <cellStyle name="Comma 14 2 3 3 2 4" xfId="36446"/>
    <cellStyle name="Comma 14 2 3 3 2 4 2" xfId="36447"/>
    <cellStyle name="Comma 14 2 3 3 2 5" xfId="36448"/>
    <cellStyle name="Comma 14 2 3 3 2 6" xfId="36449"/>
    <cellStyle name="Comma 14 2 3 3 3" xfId="36450"/>
    <cellStyle name="Comma 14 2 3 3 3 2" xfId="36451"/>
    <cellStyle name="Comma 14 2 3 3 3 2 2" xfId="36452"/>
    <cellStyle name="Comma 14 2 3 3 3 2 3" xfId="36453"/>
    <cellStyle name="Comma 14 2 3 3 3 3" xfId="36454"/>
    <cellStyle name="Comma 14 2 3 3 3 3 2" xfId="36455"/>
    <cellStyle name="Comma 14 2 3 3 3 3 3" xfId="36456"/>
    <cellStyle name="Comma 14 2 3 3 3 4" xfId="36457"/>
    <cellStyle name="Comma 14 2 3 3 3 4 2" xfId="36458"/>
    <cellStyle name="Comma 14 2 3 3 3 5" xfId="36459"/>
    <cellStyle name="Comma 14 2 3 3 3 6" xfId="36460"/>
    <cellStyle name="Comma 14 2 3 3 4" xfId="36461"/>
    <cellStyle name="Comma 14 2 3 3 4 2" xfId="36462"/>
    <cellStyle name="Comma 14 2 3 3 4 2 2" xfId="36463"/>
    <cellStyle name="Comma 14 2 3 3 4 2 3" xfId="36464"/>
    <cellStyle name="Comma 14 2 3 3 4 3" xfId="36465"/>
    <cellStyle name="Comma 14 2 3 3 4 3 2" xfId="36466"/>
    <cellStyle name="Comma 14 2 3 3 4 4" xfId="36467"/>
    <cellStyle name="Comma 14 2 3 3 4 5" xfId="36468"/>
    <cellStyle name="Comma 14 2 3 3 5" xfId="36469"/>
    <cellStyle name="Comma 14 2 3 3 5 2" xfId="36470"/>
    <cellStyle name="Comma 14 2 3 3 5 3" xfId="36471"/>
    <cellStyle name="Comma 14 2 3 3 6" xfId="36472"/>
    <cellStyle name="Comma 14 2 3 3 6 2" xfId="36473"/>
    <cellStyle name="Comma 14 2 3 3 6 3" xfId="36474"/>
    <cellStyle name="Comma 14 2 3 3 7" xfId="36475"/>
    <cellStyle name="Comma 14 2 3 3 7 2" xfId="36476"/>
    <cellStyle name="Comma 14 2 3 3 8" xfId="36477"/>
    <cellStyle name="Comma 14 2 3 3 9" xfId="36478"/>
    <cellStyle name="Comma 14 2 3 4" xfId="36479"/>
    <cellStyle name="Comma 14 2 3 4 2" xfId="36480"/>
    <cellStyle name="Comma 14 2 3 4 2 2" xfId="36481"/>
    <cellStyle name="Comma 14 2 3 4 2 2 2" xfId="36482"/>
    <cellStyle name="Comma 14 2 3 4 2 2 3" xfId="36483"/>
    <cellStyle name="Comma 14 2 3 4 2 3" xfId="36484"/>
    <cellStyle name="Comma 14 2 3 4 2 3 2" xfId="36485"/>
    <cellStyle name="Comma 14 2 3 4 2 3 3" xfId="36486"/>
    <cellStyle name="Comma 14 2 3 4 2 4" xfId="36487"/>
    <cellStyle name="Comma 14 2 3 4 2 4 2" xfId="36488"/>
    <cellStyle name="Comma 14 2 3 4 2 5" xfId="36489"/>
    <cellStyle name="Comma 14 2 3 4 2 6" xfId="36490"/>
    <cellStyle name="Comma 14 2 3 4 3" xfId="36491"/>
    <cellStyle name="Comma 14 2 3 4 3 2" xfId="36492"/>
    <cellStyle name="Comma 14 2 3 4 3 2 2" xfId="36493"/>
    <cellStyle name="Comma 14 2 3 4 3 2 3" xfId="36494"/>
    <cellStyle name="Comma 14 2 3 4 3 3" xfId="36495"/>
    <cellStyle name="Comma 14 2 3 4 3 3 2" xfId="36496"/>
    <cellStyle name="Comma 14 2 3 4 3 3 3" xfId="36497"/>
    <cellStyle name="Comma 14 2 3 4 3 4" xfId="36498"/>
    <cellStyle name="Comma 14 2 3 4 3 4 2" xfId="36499"/>
    <cellStyle name="Comma 14 2 3 4 3 5" xfId="36500"/>
    <cellStyle name="Comma 14 2 3 4 3 6" xfId="36501"/>
    <cellStyle name="Comma 14 2 3 4 4" xfId="36502"/>
    <cellStyle name="Comma 14 2 3 4 4 2" xfId="36503"/>
    <cellStyle name="Comma 14 2 3 4 4 2 2" xfId="36504"/>
    <cellStyle name="Comma 14 2 3 4 4 2 3" xfId="36505"/>
    <cellStyle name="Comma 14 2 3 4 4 3" xfId="36506"/>
    <cellStyle name="Comma 14 2 3 4 4 3 2" xfId="36507"/>
    <cellStyle name="Comma 14 2 3 4 4 4" xfId="36508"/>
    <cellStyle name="Comma 14 2 3 4 4 5" xfId="36509"/>
    <cellStyle name="Comma 14 2 3 4 5" xfId="36510"/>
    <cellStyle name="Comma 14 2 3 4 5 2" xfId="36511"/>
    <cellStyle name="Comma 14 2 3 4 5 3" xfId="36512"/>
    <cellStyle name="Comma 14 2 3 4 6" xfId="36513"/>
    <cellStyle name="Comma 14 2 3 4 6 2" xfId="36514"/>
    <cellStyle name="Comma 14 2 3 4 6 3" xfId="36515"/>
    <cellStyle name="Comma 14 2 3 4 7" xfId="36516"/>
    <cellStyle name="Comma 14 2 3 4 7 2" xfId="36517"/>
    <cellStyle name="Comma 14 2 3 4 8" xfId="36518"/>
    <cellStyle name="Comma 14 2 3 4 9" xfId="36519"/>
    <cellStyle name="Comma 14 2 3 5" xfId="36520"/>
    <cellStyle name="Comma 14 2 3 5 2" xfId="36521"/>
    <cellStyle name="Comma 14 2 3 5 2 2" xfId="36522"/>
    <cellStyle name="Comma 14 2 3 5 2 3" xfId="36523"/>
    <cellStyle name="Comma 14 2 3 5 3" xfId="36524"/>
    <cellStyle name="Comma 14 2 3 5 3 2" xfId="36525"/>
    <cellStyle name="Comma 14 2 3 5 3 3" xfId="36526"/>
    <cellStyle name="Comma 14 2 3 5 4" xfId="36527"/>
    <cellStyle name="Comma 14 2 3 5 4 2" xfId="36528"/>
    <cellStyle name="Comma 14 2 3 5 5" xfId="36529"/>
    <cellStyle name="Comma 14 2 3 5 6" xfId="36530"/>
    <cellStyle name="Comma 14 2 3 6" xfId="36531"/>
    <cellStyle name="Comma 14 2 3 6 2" xfId="36532"/>
    <cellStyle name="Comma 14 2 3 6 2 2" xfId="36533"/>
    <cellStyle name="Comma 14 2 3 6 2 3" xfId="36534"/>
    <cellStyle name="Comma 14 2 3 6 3" xfId="36535"/>
    <cellStyle name="Comma 14 2 3 6 3 2" xfId="36536"/>
    <cellStyle name="Comma 14 2 3 6 3 3" xfId="36537"/>
    <cellStyle name="Comma 14 2 3 6 4" xfId="36538"/>
    <cellStyle name="Comma 14 2 3 6 4 2" xfId="36539"/>
    <cellStyle name="Comma 14 2 3 6 5" xfId="36540"/>
    <cellStyle name="Comma 14 2 3 6 6" xfId="36541"/>
    <cellStyle name="Comma 14 2 3 7" xfId="36542"/>
    <cellStyle name="Comma 14 2 3 7 2" xfId="36543"/>
    <cellStyle name="Comma 14 2 3 7 2 2" xfId="36544"/>
    <cellStyle name="Comma 14 2 3 7 2 3" xfId="36545"/>
    <cellStyle name="Comma 14 2 3 7 3" xfId="36546"/>
    <cellStyle name="Comma 14 2 3 7 3 2" xfId="36547"/>
    <cellStyle name="Comma 14 2 3 7 4" xfId="36548"/>
    <cellStyle name="Comma 14 2 3 7 5" xfId="36549"/>
    <cellStyle name="Comma 14 2 3 8" xfId="36550"/>
    <cellStyle name="Comma 14 2 3 8 2" xfId="36551"/>
    <cellStyle name="Comma 14 2 3 8 3" xfId="36552"/>
    <cellStyle name="Comma 14 2 3 9" xfId="36553"/>
    <cellStyle name="Comma 14 2 3 9 2" xfId="36554"/>
    <cellStyle name="Comma 14 2 3 9 3" xfId="36555"/>
    <cellStyle name="Comma 14 2 4" xfId="36556"/>
    <cellStyle name="Comma 14 2 4 10" xfId="36557"/>
    <cellStyle name="Comma 14 2 4 2" xfId="36558"/>
    <cellStyle name="Comma 14 2 4 2 2" xfId="36559"/>
    <cellStyle name="Comma 14 2 4 2 2 2" xfId="36560"/>
    <cellStyle name="Comma 14 2 4 2 2 2 2" xfId="36561"/>
    <cellStyle name="Comma 14 2 4 2 2 2 3" xfId="36562"/>
    <cellStyle name="Comma 14 2 4 2 2 3" xfId="36563"/>
    <cellStyle name="Comma 14 2 4 2 2 3 2" xfId="36564"/>
    <cellStyle name="Comma 14 2 4 2 2 3 3" xfId="36565"/>
    <cellStyle name="Comma 14 2 4 2 2 4" xfId="36566"/>
    <cellStyle name="Comma 14 2 4 2 2 4 2" xfId="36567"/>
    <cellStyle name="Comma 14 2 4 2 2 5" xfId="36568"/>
    <cellStyle name="Comma 14 2 4 2 2 6" xfId="36569"/>
    <cellStyle name="Comma 14 2 4 2 3" xfId="36570"/>
    <cellStyle name="Comma 14 2 4 2 3 2" xfId="36571"/>
    <cellStyle name="Comma 14 2 4 2 3 2 2" xfId="36572"/>
    <cellStyle name="Comma 14 2 4 2 3 2 3" xfId="36573"/>
    <cellStyle name="Comma 14 2 4 2 3 3" xfId="36574"/>
    <cellStyle name="Comma 14 2 4 2 3 3 2" xfId="36575"/>
    <cellStyle name="Comma 14 2 4 2 3 3 3" xfId="36576"/>
    <cellStyle name="Comma 14 2 4 2 3 4" xfId="36577"/>
    <cellStyle name="Comma 14 2 4 2 3 4 2" xfId="36578"/>
    <cellStyle name="Comma 14 2 4 2 3 5" xfId="36579"/>
    <cellStyle name="Comma 14 2 4 2 3 6" xfId="36580"/>
    <cellStyle name="Comma 14 2 4 2 4" xfId="36581"/>
    <cellStyle name="Comma 14 2 4 2 4 2" xfId="36582"/>
    <cellStyle name="Comma 14 2 4 2 4 2 2" xfId="36583"/>
    <cellStyle name="Comma 14 2 4 2 4 2 3" xfId="36584"/>
    <cellStyle name="Comma 14 2 4 2 4 3" xfId="36585"/>
    <cellStyle name="Comma 14 2 4 2 4 3 2" xfId="36586"/>
    <cellStyle name="Comma 14 2 4 2 4 4" xfId="36587"/>
    <cellStyle name="Comma 14 2 4 2 4 5" xfId="36588"/>
    <cellStyle name="Comma 14 2 4 2 5" xfId="36589"/>
    <cellStyle name="Comma 14 2 4 2 5 2" xfId="36590"/>
    <cellStyle name="Comma 14 2 4 2 5 3" xfId="36591"/>
    <cellStyle name="Comma 14 2 4 2 6" xfId="36592"/>
    <cellStyle name="Comma 14 2 4 2 6 2" xfId="36593"/>
    <cellStyle name="Comma 14 2 4 2 6 3" xfId="36594"/>
    <cellStyle name="Comma 14 2 4 2 7" xfId="36595"/>
    <cellStyle name="Comma 14 2 4 2 7 2" xfId="36596"/>
    <cellStyle name="Comma 14 2 4 2 8" xfId="36597"/>
    <cellStyle name="Comma 14 2 4 2 9" xfId="36598"/>
    <cellStyle name="Comma 14 2 4 3" xfId="36599"/>
    <cellStyle name="Comma 14 2 4 3 2" xfId="36600"/>
    <cellStyle name="Comma 14 2 4 3 2 2" xfId="36601"/>
    <cellStyle name="Comma 14 2 4 3 2 3" xfId="36602"/>
    <cellStyle name="Comma 14 2 4 3 3" xfId="36603"/>
    <cellStyle name="Comma 14 2 4 3 3 2" xfId="36604"/>
    <cellStyle name="Comma 14 2 4 3 3 3" xfId="36605"/>
    <cellStyle name="Comma 14 2 4 3 4" xfId="36606"/>
    <cellStyle name="Comma 14 2 4 3 4 2" xfId="36607"/>
    <cellStyle name="Comma 14 2 4 3 5" xfId="36608"/>
    <cellStyle name="Comma 14 2 4 3 6" xfId="36609"/>
    <cellStyle name="Comma 14 2 4 4" xfId="36610"/>
    <cellStyle name="Comma 14 2 4 4 2" xfId="36611"/>
    <cellStyle name="Comma 14 2 4 4 2 2" xfId="36612"/>
    <cellStyle name="Comma 14 2 4 4 2 3" xfId="36613"/>
    <cellStyle name="Comma 14 2 4 4 3" xfId="36614"/>
    <cellStyle name="Comma 14 2 4 4 3 2" xfId="36615"/>
    <cellStyle name="Comma 14 2 4 4 3 3" xfId="36616"/>
    <cellStyle name="Comma 14 2 4 4 4" xfId="36617"/>
    <cellStyle name="Comma 14 2 4 4 4 2" xfId="36618"/>
    <cellStyle name="Comma 14 2 4 4 5" xfId="36619"/>
    <cellStyle name="Comma 14 2 4 4 6" xfId="36620"/>
    <cellStyle name="Comma 14 2 4 5" xfId="36621"/>
    <cellStyle name="Comma 14 2 4 5 2" xfId="36622"/>
    <cellStyle name="Comma 14 2 4 5 2 2" xfId="36623"/>
    <cellStyle name="Comma 14 2 4 5 2 3" xfId="36624"/>
    <cellStyle name="Comma 14 2 4 5 3" xfId="36625"/>
    <cellStyle name="Comma 14 2 4 5 3 2" xfId="36626"/>
    <cellStyle name="Comma 14 2 4 5 4" xfId="36627"/>
    <cellStyle name="Comma 14 2 4 5 5" xfId="36628"/>
    <cellStyle name="Comma 14 2 4 6" xfId="36629"/>
    <cellStyle name="Comma 14 2 4 6 2" xfId="36630"/>
    <cellStyle name="Comma 14 2 4 6 3" xfId="36631"/>
    <cellStyle name="Comma 14 2 4 7" xfId="36632"/>
    <cellStyle name="Comma 14 2 4 7 2" xfId="36633"/>
    <cellStyle name="Comma 14 2 4 7 3" xfId="36634"/>
    <cellStyle name="Comma 14 2 4 8" xfId="36635"/>
    <cellStyle name="Comma 14 2 4 8 2" xfId="36636"/>
    <cellStyle name="Comma 14 2 4 9" xfId="36637"/>
    <cellStyle name="Comma 14 2 5" xfId="36638"/>
    <cellStyle name="Comma 14 2 5 2" xfId="36639"/>
    <cellStyle name="Comma 14 2 5 2 2" xfId="36640"/>
    <cellStyle name="Comma 14 2 5 2 2 2" xfId="36641"/>
    <cellStyle name="Comma 14 2 5 2 2 3" xfId="36642"/>
    <cellStyle name="Comma 14 2 5 2 3" xfId="36643"/>
    <cellStyle name="Comma 14 2 5 2 3 2" xfId="36644"/>
    <cellStyle name="Comma 14 2 5 2 3 3" xfId="36645"/>
    <cellStyle name="Comma 14 2 5 2 4" xfId="36646"/>
    <cellStyle name="Comma 14 2 5 2 4 2" xfId="36647"/>
    <cellStyle name="Comma 14 2 5 2 5" xfId="36648"/>
    <cellStyle name="Comma 14 2 5 2 6" xfId="36649"/>
    <cellStyle name="Comma 14 2 5 3" xfId="36650"/>
    <cellStyle name="Comma 14 2 5 3 2" xfId="36651"/>
    <cellStyle name="Comma 14 2 5 3 2 2" xfId="36652"/>
    <cellStyle name="Comma 14 2 5 3 2 3" xfId="36653"/>
    <cellStyle name="Comma 14 2 5 3 3" xfId="36654"/>
    <cellStyle name="Comma 14 2 5 3 3 2" xfId="36655"/>
    <cellStyle name="Comma 14 2 5 3 3 3" xfId="36656"/>
    <cellStyle name="Comma 14 2 5 3 4" xfId="36657"/>
    <cellStyle name="Comma 14 2 5 3 4 2" xfId="36658"/>
    <cellStyle name="Comma 14 2 5 3 5" xfId="36659"/>
    <cellStyle name="Comma 14 2 5 3 6" xfId="36660"/>
    <cellStyle name="Comma 14 2 5 4" xfId="36661"/>
    <cellStyle name="Comma 14 2 5 4 2" xfId="36662"/>
    <cellStyle name="Comma 14 2 5 4 2 2" xfId="36663"/>
    <cellStyle name="Comma 14 2 5 4 2 3" xfId="36664"/>
    <cellStyle name="Comma 14 2 5 4 3" xfId="36665"/>
    <cellStyle name="Comma 14 2 5 4 3 2" xfId="36666"/>
    <cellStyle name="Comma 14 2 5 4 4" xfId="36667"/>
    <cellStyle name="Comma 14 2 5 4 5" xfId="36668"/>
    <cellStyle name="Comma 14 2 5 5" xfId="36669"/>
    <cellStyle name="Comma 14 2 5 5 2" xfId="36670"/>
    <cellStyle name="Comma 14 2 5 5 3" xfId="36671"/>
    <cellStyle name="Comma 14 2 5 6" xfId="36672"/>
    <cellStyle name="Comma 14 2 5 6 2" xfId="36673"/>
    <cellStyle name="Comma 14 2 5 6 3" xfId="36674"/>
    <cellStyle name="Comma 14 2 5 7" xfId="36675"/>
    <cellStyle name="Comma 14 2 5 7 2" xfId="36676"/>
    <cellStyle name="Comma 14 2 5 8" xfId="36677"/>
    <cellStyle name="Comma 14 2 5 9" xfId="36678"/>
    <cellStyle name="Comma 14 2 6" xfId="36679"/>
    <cellStyle name="Comma 14 2 6 2" xfId="36680"/>
    <cellStyle name="Comma 14 2 6 2 2" xfId="36681"/>
    <cellStyle name="Comma 14 2 6 2 2 2" xfId="36682"/>
    <cellStyle name="Comma 14 2 6 2 2 3" xfId="36683"/>
    <cellStyle name="Comma 14 2 6 2 3" xfId="36684"/>
    <cellStyle name="Comma 14 2 6 2 3 2" xfId="36685"/>
    <cellStyle name="Comma 14 2 6 2 3 3" xfId="36686"/>
    <cellStyle name="Comma 14 2 6 2 4" xfId="36687"/>
    <cellStyle name="Comma 14 2 6 2 4 2" xfId="36688"/>
    <cellStyle name="Comma 14 2 6 2 5" xfId="36689"/>
    <cellStyle name="Comma 14 2 6 2 6" xfId="36690"/>
    <cellStyle name="Comma 14 2 6 3" xfId="36691"/>
    <cellStyle name="Comma 14 2 6 3 2" xfId="36692"/>
    <cellStyle name="Comma 14 2 6 3 2 2" xfId="36693"/>
    <cellStyle name="Comma 14 2 6 3 2 3" xfId="36694"/>
    <cellStyle name="Comma 14 2 6 3 3" xfId="36695"/>
    <cellStyle name="Comma 14 2 6 3 3 2" xfId="36696"/>
    <cellStyle name="Comma 14 2 6 3 3 3" xfId="36697"/>
    <cellStyle name="Comma 14 2 6 3 4" xfId="36698"/>
    <cellStyle name="Comma 14 2 6 3 4 2" xfId="36699"/>
    <cellStyle name="Comma 14 2 6 3 5" xfId="36700"/>
    <cellStyle name="Comma 14 2 6 3 6" xfId="36701"/>
    <cellStyle name="Comma 14 2 6 4" xfId="36702"/>
    <cellStyle name="Comma 14 2 6 4 2" xfId="36703"/>
    <cellStyle name="Comma 14 2 6 4 2 2" xfId="36704"/>
    <cellStyle name="Comma 14 2 6 4 2 3" xfId="36705"/>
    <cellStyle name="Comma 14 2 6 4 3" xfId="36706"/>
    <cellStyle name="Comma 14 2 6 4 3 2" xfId="36707"/>
    <cellStyle name="Comma 14 2 6 4 4" xfId="36708"/>
    <cellStyle name="Comma 14 2 6 4 5" xfId="36709"/>
    <cellStyle name="Comma 14 2 6 5" xfId="36710"/>
    <cellStyle name="Comma 14 2 6 5 2" xfId="36711"/>
    <cellStyle name="Comma 14 2 6 5 3" xfId="36712"/>
    <cellStyle name="Comma 14 2 6 6" xfId="36713"/>
    <cellStyle name="Comma 14 2 6 6 2" xfId="36714"/>
    <cellStyle name="Comma 14 2 6 6 3" xfId="36715"/>
    <cellStyle name="Comma 14 2 6 7" xfId="36716"/>
    <cellStyle name="Comma 14 2 6 7 2" xfId="36717"/>
    <cellStyle name="Comma 14 2 6 8" xfId="36718"/>
    <cellStyle name="Comma 14 2 6 9" xfId="36719"/>
    <cellStyle name="Comma 14 2 7" xfId="36720"/>
    <cellStyle name="Comma 14 2 7 2" xfId="36721"/>
    <cellStyle name="Comma 14 2 7 2 2" xfId="36722"/>
    <cellStyle name="Comma 14 2 7 2 3" xfId="36723"/>
    <cellStyle name="Comma 14 2 7 3" xfId="36724"/>
    <cellStyle name="Comma 14 2 7 3 2" xfId="36725"/>
    <cellStyle name="Comma 14 2 7 3 3" xfId="36726"/>
    <cellStyle name="Comma 14 2 7 4" xfId="36727"/>
    <cellStyle name="Comma 14 2 7 4 2" xfId="36728"/>
    <cellStyle name="Comma 14 2 7 5" xfId="36729"/>
    <cellStyle name="Comma 14 2 7 6" xfId="36730"/>
    <cellStyle name="Comma 14 2 8" xfId="36731"/>
    <cellStyle name="Comma 14 2 8 2" xfId="36732"/>
    <cellStyle name="Comma 14 2 8 2 2" xfId="36733"/>
    <cellStyle name="Comma 14 2 8 2 3" xfId="36734"/>
    <cellStyle name="Comma 14 2 8 3" xfId="36735"/>
    <cellStyle name="Comma 14 2 8 3 2" xfId="36736"/>
    <cellStyle name="Comma 14 2 8 3 3" xfId="36737"/>
    <cellStyle name="Comma 14 2 8 4" xfId="36738"/>
    <cellStyle name="Comma 14 2 8 4 2" xfId="36739"/>
    <cellStyle name="Comma 14 2 8 5" xfId="36740"/>
    <cellStyle name="Comma 14 2 8 6" xfId="36741"/>
    <cellStyle name="Comma 14 2 9" xfId="36742"/>
    <cellStyle name="Comma 14 2 9 2" xfId="36743"/>
    <cellStyle name="Comma 14 2 9 2 2" xfId="36744"/>
    <cellStyle name="Comma 14 2 9 2 3" xfId="36745"/>
    <cellStyle name="Comma 14 2 9 3" xfId="36746"/>
    <cellStyle name="Comma 14 2 9 3 2" xfId="36747"/>
    <cellStyle name="Comma 14 2 9 4" xfId="36748"/>
    <cellStyle name="Comma 14 2 9 5" xfId="36749"/>
    <cellStyle name="Comma 14 3" xfId="9418"/>
    <cellStyle name="Comma 14 3 10" xfId="36750"/>
    <cellStyle name="Comma 14 3 10 2" xfId="36751"/>
    <cellStyle name="Comma 14 3 10 3" xfId="36752"/>
    <cellStyle name="Comma 14 3 11" xfId="36753"/>
    <cellStyle name="Comma 14 3 11 2" xfId="36754"/>
    <cellStyle name="Comma 14 3 12" xfId="36755"/>
    <cellStyle name="Comma 14 3 13" xfId="36756"/>
    <cellStyle name="Comma 14 3 2" xfId="9419"/>
    <cellStyle name="Comma 14 3 2 10" xfId="36757"/>
    <cellStyle name="Comma 14 3 2 10 2" xfId="36758"/>
    <cellStyle name="Comma 14 3 2 11" xfId="36759"/>
    <cellStyle name="Comma 14 3 2 12" xfId="36760"/>
    <cellStyle name="Comma 14 3 2 2" xfId="36761"/>
    <cellStyle name="Comma 14 3 2 2 10" xfId="36762"/>
    <cellStyle name="Comma 14 3 2 2 2" xfId="36763"/>
    <cellStyle name="Comma 14 3 2 2 2 2" xfId="36764"/>
    <cellStyle name="Comma 14 3 2 2 2 2 2" xfId="36765"/>
    <cellStyle name="Comma 14 3 2 2 2 2 2 2" xfId="36766"/>
    <cellStyle name="Comma 14 3 2 2 2 2 2 3" xfId="36767"/>
    <cellStyle name="Comma 14 3 2 2 2 2 3" xfId="36768"/>
    <cellStyle name="Comma 14 3 2 2 2 2 3 2" xfId="36769"/>
    <cellStyle name="Comma 14 3 2 2 2 2 3 3" xfId="36770"/>
    <cellStyle name="Comma 14 3 2 2 2 2 4" xfId="36771"/>
    <cellStyle name="Comma 14 3 2 2 2 2 4 2" xfId="36772"/>
    <cellStyle name="Comma 14 3 2 2 2 2 5" xfId="36773"/>
    <cellStyle name="Comma 14 3 2 2 2 2 6" xfId="36774"/>
    <cellStyle name="Comma 14 3 2 2 2 3" xfId="36775"/>
    <cellStyle name="Comma 14 3 2 2 2 3 2" xfId="36776"/>
    <cellStyle name="Comma 14 3 2 2 2 3 2 2" xfId="36777"/>
    <cellStyle name="Comma 14 3 2 2 2 3 2 3" xfId="36778"/>
    <cellStyle name="Comma 14 3 2 2 2 3 3" xfId="36779"/>
    <cellStyle name="Comma 14 3 2 2 2 3 3 2" xfId="36780"/>
    <cellStyle name="Comma 14 3 2 2 2 3 3 3" xfId="36781"/>
    <cellStyle name="Comma 14 3 2 2 2 3 4" xfId="36782"/>
    <cellStyle name="Comma 14 3 2 2 2 3 4 2" xfId="36783"/>
    <cellStyle name="Comma 14 3 2 2 2 3 5" xfId="36784"/>
    <cellStyle name="Comma 14 3 2 2 2 3 6" xfId="36785"/>
    <cellStyle name="Comma 14 3 2 2 2 4" xfId="36786"/>
    <cellStyle name="Comma 14 3 2 2 2 4 2" xfId="36787"/>
    <cellStyle name="Comma 14 3 2 2 2 4 2 2" xfId="36788"/>
    <cellStyle name="Comma 14 3 2 2 2 4 2 3" xfId="36789"/>
    <cellStyle name="Comma 14 3 2 2 2 4 3" xfId="36790"/>
    <cellStyle name="Comma 14 3 2 2 2 4 3 2" xfId="36791"/>
    <cellStyle name="Comma 14 3 2 2 2 4 4" xfId="36792"/>
    <cellStyle name="Comma 14 3 2 2 2 4 5" xfId="36793"/>
    <cellStyle name="Comma 14 3 2 2 2 5" xfId="36794"/>
    <cellStyle name="Comma 14 3 2 2 2 5 2" xfId="36795"/>
    <cellStyle name="Comma 14 3 2 2 2 5 3" xfId="36796"/>
    <cellStyle name="Comma 14 3 2 2 2 6" xfId="36797"/>
    <cellStyle name="Comma 14 3 2 2 2 6 2" xfId="36798"/>
    <cellStyle name="Comma 14 3 2 2 2 6 3" xfId="36799"/>
    <cellStyle name="Comma 14 3 2 2 2 7" xfId="36800"/>
    <cellStyle name="Comma 14 3 2 2 2 7 2" xfId="36801"/>
    <cellStyle name="Comma 14 3 2 2 2 8" xfId="36802"/>
    <cellStyle name="Comma 14 3 2 2 2 9" xfId="36803"/>
    <cellStyle name="Comma 14 3 2 2 3" xfId="36804"/>
    <cellStyle name="Comma 14 3 2 2 3 2" xfId="36805"/>
    <cellStyle name="Comma 14 3 2 2 3 2 2" xfId="36806"/>
    <cellStyle name="Comma 14 3 2 2 3 2 3" xfId="36807"/>
    <cellStyle name="Comma 14 3 2 2 3 3" xfId="36808"/>
    <cellStyle name="Comma 14 3 2 2 3 3 2" xfId="36809"/>
    <cellStyle name="Comma 14 3 2 2 3 3 3" xfId="36810"/>
    <cellStyle name="Comma 14 3 2 2 3 4" xfId="36811"/>
    <cellStyle name="Comma 14 3 2 2 3 4 2" xfId="36812"/>
    <cellStyle name="Comma 14 3 2 2 3 5" xfId="36813"/>
    <cellStyle name="Comma 14 3 2 2 3 6" xfId="36814"/>
    <cellStyle name="Comma 14 3 2 2 4" xfId="36815"/>
    <cellStyle name="Comma 14 3 2 2 4 2" xfId="36816"/>
    <cellStyle name="Comma 14 3 2 2 4 2 2" xfId="36817"/>
    <cellStyle name="Comma 14 3 2 2 4 2 3" xfId="36818"/>
    <cellStyle name="Comma 14 3 2 2 4 3" xfId="36819"/>
    <cellStyle name="Comma 14 3 2 2 4 3 2" xfId="36820"/>
    <cellStyle name="Comma 14 3 2 2 4 3 3" xfId="36821"/>
    <cellStyle name="Comma 14 3 2 2 4 4" xfId="36822"/>
    <cellStyle name="Comma 14 3 2 2 4 4 2" xfId="36823"/>
    <cellStyle name="Comma 14 3 2 2 4 5" xfId="36824"/>
    <cellStyle name="Comma 14 3 2 2 4 6" xfId="36825"/>
    <cellStyle name="Comma 14 3 2 2 5" xfId="36826"/>
    <cellStyle name="Comma 14 3 2 2 5 2" xfId="36827"/>
    <cellStyle name="Comma 14 3 2 2 5 2 2" xfId="36828"/>
    <cellStyle name="Comma 14 3 2 2 5 2 3" xfId="36829"/>
    <cellStyle name="Comma 14 3 2 2 5 3" xfId="36830"/>
    <cellStyle name="Comma 14 3 2 2 5 3 2" xfId="36831"/>
    <cellStyle name="Comma 14 3 2 2 5 4" xfId="36832"/>
    <cellStyle name="Comma 14 3 2 2 5 5" xfId="36833"/>
    <cellStyle name="Comma 14 3 2 2 6" xfId="36834"/>
    <cellStyle name="Comma 14 3 2 2 6 2" xfId="36835"/>
    <cellStyle name="Comma 14 3 2 2 6 3" xfId="36836"/>
    <cellStyle name="Comma 14 3 2 2 7" xfId="36837"/>
    <cellStyle name="Comma 14 3 2 2 7 2" xfId="36838"/>
    <cellStyle name="Comma 14 3 2 2 7 3" xfId="36839"/>
    <cellStyle name="Comma 14 3 2 2 8" xfId="36840"/>
    <cellStyle name="Comma 14 3 2 2 8 2" xfId="36841"/>
    <cellStyle name="Comma 14 3 2 2 9" xfId="36842"/>
    <cellStyle name="Comma 14 3 2 3" xfId="36843"/>
    <cellStyle name="Comma 14 3 2 3 2" xfId="36844"/>
    <cellStyle name="Comma 14 3 2 3 2 2" xfId="36845"/>
    <cellStyle name="Comma 14 3 2 3 2 2 2" xfId="36846"/>
    <cellStyle name="Comma 14 3 2 3 2 2 3" xfId="36847"/>
    <cellStyle name="Comma 14 3 2 3 2 3" xfId="36848"/>
    <cellStyle name="Comma 14 3 2 3 2 3 2" xfId="36849"/>
    <cellStyle name="Comma 14 3 2 3 2 3 3" xfId="36850"/>
    <cellStyle name="Comma 14 3 2 3 2 4" xfId="36851"/>
    <cellStyle name="Comma 14 3 2 3 2 4 2" xfId="36852"/>
    <cellStyle name="Comma 14 3 2 3 2 5" xfId="36853"/>
    <cellStyle name="Comma 14 3 2 3 2 6" xfId="36854"/>
    <cellStyle name="Comma 14 3 2 3 3" xfId="36855"/>
    <cellStyle name="Comma 14 3 2 3 3 2" xfId="36856"/>
    <cellStyle name="Comma 14 3 2 3 3 2 2" xfId="36857"/>
    <cellStyle name="Comma 14 3 2 3 3 2 3" xfId="36858"/>
    <cellStyle name="Comma 14 3 2 3 3 3" xfId="36859"/>
    <cellStyle name="Comma 14 3 2 3 3 3 2" xfId="36860"/>
    <cellStyle name="Comma 14 3 2 3 3 3 3" xfId="36861"/>
    <cellStyle name="Comma 14 3 2 3 3 4" xfId="36862"/>
    <cellStyle name="Comma 14 3 2 3 3 4 2" xfId="36863"/>
    <cellStyle name="Comma 14 3 2 3 3 5" xfId="36864"/>
    <cellStyle name="Comma 14 3 2 3 3 6" xfId="36865"/>
    <cellStyle name="Comma 14 3 2 3 4" xfId="36866"/>
    <cellStyle name="Comma 14 3 2 3 4 2" xfId="36867"/>
    <cellStyle name="Comma 14 3 2 3 4 2 2" xfId="36868"/>
    <cellStyle name="Comma 14 3 2 3 4 2 3" xfId="36869"/>
    <cellStyle name="Comma 14 3 2 3 4 3" xfId="36870"/>
    <cellStyle name="Comma 14 3 2 3 4 3 2" xfId="36871"/>
    <cellStyle name="Comma 14 3 2 3 4 4" xfId="36872"/>
    <cellStyle name="Comma 14 3 2 3 4 5" xfId="36873"/>
    <cellStyle name="Comma 14 3 2 3 5" xfId="36874"/>
    <cellStyle name="Comma 14 3 2 3 5 2" xfId="36875"/>
    <cellStyle name="Comma 14 3 2 3 5 3" xfId="36876"/>
    <cellStyle name="Comma 14 3 2 3 6" xfId="36877"/>
    <cellStyle name="Comma 14 3 2 3 6 2" xfId="36878"/>
    <cellStyle name="Comma 14 3 2 3 6 3" xfId="36879"/>
    <cellStyle name="Comma 14 3 2 3 7" xfId="36880"/>
    <cellStyle name="Comma 14 3 2 3 7 2" xfId="36881"/>
    <cellStyle name="Comma 14 3 2 3 8" xfId="36882"/>
    <cellStyle name="Comma 14 3 2 3 9" xfId="36883"/>
    <cellStyle name="Comma 14 3 2 4" xfId="36884"/>
    <cellStyle name="Comma 14 3 2 4 2" xfId="36885"/>
    <cellStyle name="Comma 14 3 2 4 2 2" xfId="36886"/>
    <cellStyle name="Comma 14 3 2 4 2 2 2" xfId="36887"/>
    <cellStyle name="Comma 14 3 2 4 2 2 3" xfId="36888"/>
    <cellStyle name="Comma 14 3 2 4 2 3" xfId="36889"/>
    <cellStyle name="Comma 14 3 2 4 2 3 2" xfId="36890"/>
    <cellStyle name="Comma 14 3 2 4 2 3 3" xfId="36891"/>
    <cellStyle name="Comma 14 3 2 4 2 4" xfId="36892"/>
    <cellStyle name="Comma 14 3 2 4 2 4 2" xfId="36893"/>
    <cellStyle name="Comma 14 3 2 4 2 5" xfId="36894"/>
    <cellStyle name="Comma 14 3 2 4 2 6" xfId="36895"/>
    <cellStyle name="Comma 14 3 2 4 3" xfId="36896"/>
    <cellStyle name="Comma 14 3 2 4 3 2" xfId="36897"/>
    <cellStyle name="Comma 14 3 2 4 3 2 2" xfId="36898"/>
    <cellStyle name="Comma 14 3 2 4 3 2 3" xfId="36899"/>
    <cellStyle name="Comma 14 3 2 4 3 3" xfId="36900"/>
    <cellStyle name="Comma 14 3 2 4 3 3 2" xfId="36901"/>
    <cellStyle name="Comma 14 3 2 4 3 3 3" xfId="36902"/>
    <cellStyle name="Comma 14 3 2 4 3 4" xfId="36903"/>
    <cellStyle name="Comma 14 3 2 4 3 4 2" xfId="36904"/>
    <cellStyle name="Comma 14 3 2 4 3 5" xfId="36905"/>
    <cellStyle name="Comma 14 3 2 4 3 6" xfId="36906"/>
    <cellStyle name="Comma 14 3 2 4 4" xfId="36907"/>
    <cellStyle name="Comma 14 3 2 4 4 2" xfId="36908"/>
    <cellStyle name="Comma 14 3 2 4 4 2 2" xfId="36909"/>
    <cellStyle name="Comma 14 3 2 4 4 2 3" xfId="36910"/>
    <cellStyle name="Comma 14 3 2 4 4 3" xfId="36911"/>
    <cellStyle name="Comma 14 3 2 4 4 3 2" xfId="36912"/>
    <cellStyle name="Comma 14 3 2 4 4 4" xfId="36913"/>
    <cellStyle name="Comma 14 3 2 4 4 5" xfId="36914"/>
    <cellStyle name="Comma 14 3 2 4 5" xfId="36915"/>
    <cellStyle name="Comma 14 3 2 4 5 2" xfId="36916"/>
    <cellStyle name="Comma 14 3 2 4 5 3" xfId="36917"/>
    <cellStyle name="Comma 14 3 2 4 6" xfId="36918"/>
    <cellStyle name="Comma 14 3 2 4 6 2" xfId="36919"/>
    <cellStyle name="Comma 14 3 2 4 6 3" xfId="36920"/>
    <cellStyle name="Comma 14 3 2 4 7" xfId="36921"/>
    <cellStyle name="Comma 14 3 2 4 7 2" xfId="36922"/>
    <cellStyle name="Comma 14 3 2 4 8" xfId="36923"/>
    <cellStyle name="Comma 14 3 2 4 9" xfId="36924"/>
    <cellStyle name="Comma 14 3 2 5" xfId="36925"/>
    <cellStyle name="Comma 14 3 2 5 2" xfId="36926"/>
    <cellStyle name="Comma 14 3 2 5 2 2" xfId="36927"/>
    <cellStyle name="Comma 14 3 2 5 2 3" xfId="36928"/>
    <cellStyle name="Comma 14 3 2 5 3" xfId="36929"/>
    <cellStyle name="Comma 14 3 2 5 3 2" xfId="36930"/>
    <cellStyle name="Comma 14 3 2 5 3 3" xfId="36931"/>
    <cellStyle name="Comma 14 3 2 5 4" xfId="36932"/>
    <cellStyle name="Comma 14 3 2 5 4 2" xfId="36933"/>
    <cellStyle name="Comma 14 3 2 5 5" xfId="36934"/>
    <cellStyle name="Comma 14 3 2 5 6" xfId="36935"/>
    <cellStyle name="Comma 14 3 2 6" xfId="36936"/>
    <cellStyle name="Comma 14 3 2 6 2" xfId="36937"/>
    <cellStyle name="Comma 14 3 2 6 2 2" xfId="36938"/>
    <cellStyle name="Comma 14 3 2 6 2 3" xfId="36939"/>
    <cellStyle name="Comma 14 3 2 6 3" xfId="36940"/>
    <cellStyle name="Comma 14 3 2 6 3 2" xfId="36941"/>
    <cellStyle name="Comma 14 3 2 6 3 3" xfId="36942"/>
    <cellStyle name="Comma 14 3 2 6 4" xfId="36943"/>
    <cellStyle name="Comma 14 3 2 6 4 2" xfId="36944"/>
    <cellStyle name="Comma 14 3 2 6 5" xfId="36945"/>
    <cellStyle name="Comma 14 3 2 6 6" xfId="36946"/>
    <cellStyle name="Comma 14 3 2 7" xfId="36947"/>
    <cellStyle name="Comma 14 3 2 7 2" xfId="36948"/>
    <cellStyle name="Comma 14 3 2 7 2 2" xfId="36949"/>
    <cellStyle name="Comma 14 3 2 7 2 3" xfId="36950"/>
    <cellStyle name="Comma 14 3 2 7 3" xfId="36951"/>
    <cellStyle name="Comma 14 3 2 7 3 2" xfId="36952"/>
    <cellStyle name="Comma 14 3 2 7 4" xfId="36953"/>
    <cellStyle name="Comma 14 3 2 7 5" xfId="36954"/>
    <cellStyle name="Comma 14 3 2 8" xfId="36955"/>
    <cellStyle name="Comma 14 3 2 8 2" xfId="36956"/>
    <cellStyle name="Comma 14 3 2 8 3" xfId="36957"/>
    <cellStyle name="Comma 14 3 2 9" xfId="36958"/>
    <cellStyle name="Comma 14 3 2 9 2" xfId="36959"/>
    <cellStyle name="Comma 14 3 2 9 3" xfId="36960"/>
    <cellStyle name="Comma 14 3 3" xfId="36961"/>
    <cellStyle name="Comma 14 3 3 10" xfId="36962"/>
    <cellStyle name="Comma 14 3 3 2" xfId="36963"/>
    <cellStyle name="Comma 14 3 3 2 2" xfId="36964"/>
    <cellStyle name="Comma 14 3 3 2 2 2" xfId="36965"/>
    <cellStyle name="Comma 14 3 3 2 2 2 2" xfId="36966"/>
    <cellStyle name="Comma 14 3 3 2 2 2 3" xfId="36967"/>
    <cellStyle name="Comma 14 3 3 2 2 3" xfId="36968"/>
    <cellStyle name="Comma 14 3 3 2 2 3 2" xfId="36969"/>
    <cellStyle name="Comma 14 3 3 2 2 3 3" xfId="36970"/>
    <cellStyle name="Comma 14 3 3 2 2 4" xfId="36971"/>
    <cellStyle name="Comma 14 3 3 2 2 4 2" xfId="36972"/>
    <cellStyle name="Comma 14 3 3 2 2 5" xfId="36973"/>
    <cellStyle name="Comma 14 3 3 2 2 6" xfId="36974"/>
    <cellStyle name="Comma 14 3 3 2 3" xfId="36975"/>
    <cellStyle name="Comma 14 3 3 2 3 2" xfId="36976"/>
    <cellStyle name="Comma 14 3 3 2 3 2 2" xfId="36977"/>
    <cellStyle name="Comma 14 3 3 2 3 2 3" xfId="36978"/>
    <cellStyle name="Comma 14 3 3 2 3 3" xfId="36979"/>
    <cellStyle name="Comma 14 3 3 2 3 3 2" xfId="36980"/>
    <cellStyle name="Comma 14 3 3 2 3 3 3" xfId="36981"/>
    <cellStyle name="Comma 14 3 3 2 3 4" xfId="36982"/>
    <cellStyle name="Comma 14 3 3 2 3 4 2" xfId="36983"/>
    <cellStyle name="Comma 14 3 3 2 3 5" xfId="36984"/>
    <cellStyle name="Comma 14 3 3 2 3 6" xfId="36985"/>
    <cellStyle name="Comma 14 3 3 2 4" xfId="36986"/>
    <cellStyle name="Comma 14 3 3 2 4 2" xfId="36987"/>
    <cellStyle name="Comma 14 3 3 2 4 2 2" xfId="36988"/>
    <cellStyle name="Comma 14 3 3 2 4 2 3" xfId="36989"/>
    <cellStyle name="Comma 14 3 3 2 4 3" xfId="36990"/>
    <cellStyle name="Comma 14 3 3 2 4 3 2" xfId="36991"/>
    <cellStyle name="Comma 14 3 3 2 4 4" xfId="36992"/>
    <cellStyle name="Comma 14 3 3 2 4 5" xfId="36993"/>
    <cellStyle name="Comma 14 3 3 2 5" xfId="36994"/>
    <cellStyle name="Comma 14 3 3 2 5 2" xfId="36995"/>
    <cellStyle name="Comma 14 3 3 2 5 3" xfId="36996"/>
    <cellStyle name="Comma 14 3 3 2 6" xfId="36997"/>
    <cellStyle name="Comma 14 3 3 2 6 2" xfId="36998"/>
    <cellStyle name="Comma 14 3 3 2 6 3" xfId="36999"/>
    <cellStyle name="Comma 14 3 3 2 7" xfId="37000"/>
    <cellStyle name="Comma 14 3 3 2 7 2" xfId="37001"/>
    <cellStyle name="Comma 14 3 3 2 8" xfId="37002"/>
    <cellStyle name="Comma 14 3 3 2 9" xfId="37003"/>
    <cellStyle name="Comma 14 3 3 3" xfId="37004"/>
    <cellStyle name="Comma 14 3 3 3 2" xfId="37005"/>
    <cellStyle name="Comma 14 3 3 3 2 2" xfId="37006"/>
    <cellStyle name="Comma 14 3 3 3 2 3" xfId="37007"/>
    <cellStyle name="Comma 14 3 3 3 3" xfId="37008"/>
    <cellStyle name="Comma 14 3 3 3 3 2" xfId="37009"/>
    <cellStyle name="Comma 14 3 3 3 3 3" xfId="37010"/>
    <cellStyle name="Comma 14 3 3 3 4" xfId="37011"/>
    <cellStyle name="Comma 14 3 3 3 4 2" xfId="37012"/>
    <cellStyle name="Comma 14 3 3 3 5" xfId="37013"/>
    <cellStyle name="Comma 14 3 3 3 6" xfId="37014"/>
    <cellStyle name="Comma 14 3 3 4" xfId="37015"/>
    <cellStyle name="Comma 14 3 3 4 2" xfId="37016"/>
    <cellStyle name="Comma 14 3 3 4 2 2" xfId="37017"/>
    <cellStyle name="Comma 14 3 3 4 2 3" xfId="37018"/>
    <cellStyle name="Comma 14 3 3 4 3" xfId="37019"/>
    <cellStyle name="Comma 14 3 3 4 3 2" xfId="37020"/>
    <cellStyle name="Comma 14 3 3 4 3 3" xfId="37021"/>
    <cellStyle name="Comma 14 3 3 4 4" xfId="37022"/>
    <cellStyle name="Comma 14 3 3 4 4 2" xfId="37023"/>
    <cellStyle name="Comma 14 3 3 4 5" xfId="37024"/>
    <cellStyle name="Comma 14 3 3 4 6" xfId="37025"/>
    <cellStyle name="Comma 14 3 3 5" xfId="37026"/>
    <cellStyle name="Comma 14 3 3 5 2" xfId="37027"/>
    <cellStyle name="Comma 14 3 3 5 2 2" xfId="37028"/>
    <cellStyle name="Comma 14 3 3 5 2 3" xfId="37029"/>
    <cellStyle name="Comma 14 3 3 5 3" xfId="37030"/>
    <cellStyle name="Comma 14 3 3 5 3 2" xfId="37031"/>
    <cellStyle name="Comma 14 3 3 5 4" xfId="37032"/>
    <cellStyle name="Comma 14 3 3 5 5" xfId="37033"/>
    <cellStyle name="Comma 14 3 3 6" xfId="37034"/>
    <cellStyle name="Comma 14 3 3 6 2" xfId="37035"/>
    <cellStyle name="Comma 14 3 3 6 3" xfId="37036"/>
    <cellStyle name="Comma 14 3 3 7" xfId="37037"/>
    <cellStyle name="Comma 14 3 3 7 2" xfId="37038"/>
    <cellStyle name="Comma 14 3 3 7 3" xfId="37039"/>
    <cellStyle name="Comma 14 3 3 8" xfId="37040"/>
    <cellStyle name="Comma 14 3 3 8 2" xfId="37041"/>
    <cellStyle name="Comma 14 3 3 9" xfId="37042"/>
    <cellStyle name="Comma 14 3 4" xfId="37043"/>
    <cellStyle name="Comma 14 3 4 2" xfId="37044"/>
    <cellStyle name="Comma 14 3 4 2 2" xfId="37045"/>
    <cellStyle name="Comma 14 3 4 2 2 2" xfId="37046"/>
    <cellStyle name="Comma 14 3 4 2 2 3" xfId="37047"/>
    <cellStyle name="Comma 14 3 4 2 3" xfId="37048"/>
    <cellStyle name="Comma 14 3 4 2 3 2" xfId="37049"/>
    <cellStyle name="Comma 14 3 4 2 3 3" xfId="37050"/>
    <cellStyle name="Comma 14 3 4 2 4" xfId="37051"/>
    <cellStyle name="Comma 14 3 4 2 4 2" xfId="37052"/>
    <cellStyle name="Comma 14 3 4 2 5" xfId="37053"/>
    <cellStyle name="Comma 14 3 4 2 6" xfId="37054"/>
    <cellStyle name="Comma 14 3 4 3" xfId="37055"/>
    <cellStyle name="Comma 14 3 4 3 2" xfId="37056"/>
    <cellStyle name="Comma 14 3 4 3 2 2" xfId="37057"/>
    <cellStyle name="Comma 14 3 4 3 2 3" xfId="37058"/>
    <cellStyle name="Comma 14 3 4 3 3" xfId="37059"/>
    <cellStyle name="Comma 14 3 4 3 3 2" xfId="37060"/>
    <cellStyle name="Comma 14 3 4 3 3 3" xfId="37061"/>
    <cellStyle name="Comma 14 3 4 3 4" xfId="37062"/>
    <cellStyle name="Comma 14 3 4 3 4 2" xfId="37063"/>
    <cellStyle name="Comma 14 3 4 3 5" xfId="37064"/>
    <cellStyle name="Comma 14 3 4 3 6" xfId="37065"/>
    <cellStyle name="Comma 14 3 4 4" xfId="37066"/>
    <cellStyle name="Comma 14 3 4 4 2" xfId="37067"/>
    <cellStyle name="Comma 14 3 4 4 2 2" xfId="37068"/>
    <cellStyle name="Comma 14 3 4 4 2 3" xfId="37069"/>
    <cellStyle name="Comma 14 3 4 4 3" xfId="37070"/>
    <cellStyle name="Comma 14 3 4 4 3 2" xfId="37071"/>
    <cellStyle name="Comma 14 3 4 4 4" xfId="37072"/>
    <cellStyle name="Comma 14 3 4 4 5" xfId="37073"/>
    <cellStyle name="Comma 14 3 4 5" xfId="37074"/>
    <cellStyle name="Comma 14 3 4 5 2" xfId="37075"/>
    <cellStyle name="Comma 14 3 4 5 3" xfId="37076"/>
    <cellStyle name="Comma 14 3 4 6" xfId="37077"/>
    <cellStyle name="Comma 14 3 4 6 2" xfId="37078"/>
    <cellStyle name="Comma 14 3 4 6 3" xfId="37079"/>
    <cellStyle name="Comma 14 3 4 7" xfId="37080"/>
    <cellStyle name="Comma 14 3 4 7 2" xfId="37081"/>
    <cellStyle name="Comma 14 3 4 8" xfId="37082"/>
    <cellStyle name="Comma 14 3 4 9" xfId="37083"/>
    <cellStyle name="Comma 14 3 5" xfId="37084"/>
    <cellStyle name="Comma 14 3 5 2" xfId="37085"/>
    <cellStyle name="Comma 14 3 5 2 2" xfId="37086"/>
    <cellStyle name="Comma 14 3 5 2 2 2" xfId="37087"/>
    <cellStyle name="Comma 14 3 5 2 2 3" xfId="37088"/>
    <cellStyle name="Comma 14 3 5 2 3" xfId="37089"/>
    <cellStyle name="Comma 14 3 5 2 3 2" xfId="37090"/>
    <cellStyle name="Comma 14 3 5 2 3 3" xfId="37091"/>
    <cellStyle name="Comma 14 3 5 2 4" xfId="37092"/>
    <cellStyle name="Comma 14 3 5 2 4 2" xfId="37093"/>
    <cellStyle name="Comma 14 3 5 2 5" xfId="37094"/>
    <cellStyle name="Comma 14 3 5 2 6" xfId="37095"/>
    <cellStyle name="Comma 14 3 5 3" xfId="37096"/>
    <cellStyle name="Comma 14 3 5 3 2" xfId="37097"/>
    <cellStyle name="Comma 14 3 5 3 2 2" xfId="37098"/>
    <cellStyle name="Comma 14 3 5 3 2 3" xfId="37099"/>
    <cellStyle name="Comma 14 3 5 3 3" xfId="37100"/>
    <cellStyle name="Comma 14 3 5 3 3 2" xfId="37101"/>
    <cellStyle name="Comma 14 3 5 3 3 3" xfId="37102"/>
    <cellStyle name="Comma 14 3 5 3 4" xfId="37103"/>
    <cellStyle name="Comma 14 3 5 3 4 2" xfId="37104"/>
    <cellStyle name="Comma 14 3 5 3 5" xfId="37105"/>
    <cellStyle name="Comma 14 3 5 3 6" xfId="37106"/>
    <cellStyle name="Comma 14 3 5 4" xfId="37107"/>
    <cellStyle name="Comma 14 3 5 4 2" xfId="37108"/>
    <cellStyle name="Comma 14 3 5 4 2 2" xfId="37109"/>
    <cellStyle name="Comma 14 3 5 4 2 3" xfId="37110"/>
    <cellStyle name="Comma 14 3 5 4 3" xfId="37111"/>
    <cellStyle name="Comma 14 3 5 4 3 2" xfId="37112"/>
    <cellStyle name="Comma 14 3 5 4 4" xfId="37113"/>
    <cellStyle name="Comma 14 3 5 4 5" xfId="37114"/>
    <cellStyle name="Comma 14 3 5 5" xfId="37115"/>
    <cellStyle name="Comma 14 3 5 5 2" xfId="37116"/>
    <cellStyle name="Comma 14 3 5 5 3" xfId="37117"/>
    <cellStyle name="Comma 14 3 5 6" xfId="37118"/>
    <cellStyle name="Comma 14 3 5 6 2" xfId="37119"/>
    <cellStyle name="Comma 14 3 5 6 3" xfId="37120"/>
    <cellStyle name="Comma 14 3 5 7" xfId="37121"/>
    <cellStyle name="Comma 14 3 5 7 2" xfId="37122"/>
    <cellStyle name="Comma 14 3 5 8" xfId="37123"/>
    <cellStyle name="Comma 14 3 5 9" xfId="37124"/>
    <cellStyle name="Comma 14 3 6" xfId="37125"/>
    <cellStyle name="Comma 14 3 6 2" xfId="37126"/>
    <cellStyle name="Comma 14 3 6 2 2" xfId="37127"/>
    <cellStyle name="Comma 14 3 6 2 3" xfId="37128"/>
    <cellStyle name="Comma 14 3 6 3" xfId="37129"/>
    <cellStyle name="Comma 14 3 6 3 2" xfId="37130"/>
    <cellStyle name="Comma 14 3 6 3 3" xfId="37131"/>
    <cellStyle name="Comma 14 3 6 4" xfId="37132"/>
    <cellStyle name="Comma 14 3 6 4 2" xfId="37133"/>
    <cellStyle name="Comma 14 3 6 5" xfId="37134"/>
    <cellStyle name="Comma 14 3 6 6" xfId="37135"/>
    <cellStyle name="Comma 14 3 7" xfId="37136"/>
    <cellStyle name="Comma 14 3 7 2" xfId="37137"/>
    <cellStyle name="Comma 14 3 7 2 2" xfId="37138"/>
    <cellStyle name="Comma 14 3 7 2 3" xfId="37139"/>
    <cellStyle name="Comma 14 3 7 3" xfId="37140"/>
    <cellStyle name="Comma 14 3 7 3 2" xfId="37141"/>
    <cellStyle name="Comma 14 3 7 3 3" xfId="37142"/>
    <cellStyle name="Comma 14 3 7 4" xfId="37143"/>
    <cellStyle name="Comma 14 3 7 4 2" xfId="37144"/>
    <cellStyle name="Comma 14 3 7 5" xfId="37145"/>
    <cellStyle name="Comma 14 3 7 6" xfId="37146"/>
    <cellStyle name="Comma 14 3 8" xfId="37147"/>
    <cellStyle name="Comma 14 3 8 2" xfId="37148"/>
    <cellStyle name="Comma 14 3 8 2 2" xfId="37149"/>
    <cellStyle name="Comma 14 3 8 2 3" xfId="37150"/>
    <cellStyle name="Comma 14 3 8 3" xfId="37151"/>
    <cellStyle name="Comma 14 3 8 3 2" xfId="37152"/>
    <cellStyle name="Comma 14 3 8 4" xfId="37153"/>
    <cellStyle name="Comma 14 3 8 5" xfId="37154"/>
    <cellStyle name="Comma 14 3 9" xfId="37155"/>
    <cellStyle name="Comma 14 3 9 2" xfId="37156"/>
    <cellStyle name="Comma 14 3 9 3" xfId="37157"/>
    <cellStyle name="Comma 14 4" xfId="9420"/>
    <cellStyle name="Comma 14 4 10" xfId="37158"/>
    <cellStyle name="Comma 14 4 10 2" xfId="37159"/>
    <cellStyle name="Comma 14 4 11" xfId="37160"/>
    <cellStyle name="Comma 14 4 12" xfId="37161"/>
    <cellStyle name="Comma 14 4 2" xfId="37162"/>
    <cellStyle name="Comma 14 4 2 10" xfId="37163"/>
    <cellStyle name="Comma 14 4 2 2" xfId="37164"/>
    <cellStyle name="Comma 14 4 2 2 2" xfId="37165"/>
    <cellStyle name="Comma 14 4 2 2 2 2" xfId="37166"/>
    <cellStyle name="Comma 14 4 2 2 2 2 2" xfId="37167"/>
    <cellStyle name="Comma 14 4 2 2 2 2 3" xfId="37168"/>
    <cellStyle name="Comma 14 4 2 2 2 3" xfId="37169"/>
    <cellStyle name="Comma 14 4 2 2 2 3 2" xfId="37170"/>
    <cellStyle name="Comma 14 4 2 2 2 3 3" xfId="37171"/>
    <cellStyle name="Comma 14 4 2 2 2 4" xfId="37172"/>
    <cellStyle name="Comma 14 4 2 2 2 4 2" xfId="37173"/>
    <cellStyle name="Comma 14 4 2 2 2 5" xfId="37174"/>
    <cellStyle name="Comma 14 4 2 2 2 6" xfId="37175"/>
    <cellStyle name="Comma 14 4 2 2 3" xfId="37176"/>
    <cellStyle name="Comma 14 4 2 2 3 2" xfId="37177"/>
    <cellStyle name="Comma 14 4 2 2 3 2 2" xfId="37178"/>
    <cellStyle name="Comma 14 4 2 2 3 2 3" xfId="37179"/>
    <cellStyle name="Comma 14 4 2 2 3 3" xfId="37180"/>
    <cellStyle name="Comma 14 4 2 2 3 3 2" xfId="37181"/>
    <cellStyle name="Comma 14 4 2 2 3 3 3" xfId="37182"/>
    <cellStyle name="Comma 14 4 2 2 3 4" xfId="37183"/>
    <cellStyle name="Comma 14 4 2 2 3 4 2" xfId="37184"/>
    <cellStyle name="Comma 14 4 2 2 3 5" xfId="37185"/>
    <cellStyle name="Comma 14 4 2 2 3 6" xfId="37186"/>
    <cellStyle name="Comma 14 4 2 2 4" xfId="37187"/>
    <cellStyle name="Comma 14 4 2 2 4 2" xfId="37188"/>
    <cellStyle name="Comma 14 4 2 2 4 2 2" xfId="37189"/>
    <cellStyle name="Comma 14 4 2 2 4 2 3" xfId="37190"/>
    <cellStyle name="Comma 14 4 2 2 4 3" xfId="37191"/>
    <cellStyle name="Comma 14 4 2 2 4 3 2" xfId="37192"/>
    <cellStyle name="Comma 14 4 2 2 4 4" xfId="37193"/>
    <cellStyle name="Comma 14 4 2 2 4 5" xfId="37194"/>
    <cellStyle name="Comma 14 4 2 2 5" xfId="37195"/>
    <cellStyle name="Comma 14 4 2 2 5 2" xfId="37196"/>
    <cellStyle name="Comma 14 4 2 2 5 3" xfId="37197"/>
    <cellStyle name="Comma 14 4 2 2 6" xfId="37198"/>
    <cellStyle name="Comma 14 4 2 2 6 2" xfId="37199"/>
    <cellStyle name="Comma 14 4 2 2 6 3" xfId="37200"/>
    <cellStyle name="Comma 14 4 2 2 7" xfId="37201"/>
    <cellStyle name="Comma 14 4 2 2 7 2" xfId="37202"/>
    <cellStyle name="Comma 14 4 2 2 8" xfId="37203"/>
    <cellStyle name="Comma 14 4 2 2 9" xfId="37204"/>
    <cellStyle name="Comma 14 4 2 3" xfId="37205"/>
    <cellStyle name="Comma 14 4 2 3 2" xfId="37206"/>
    <cellStyle name="Comma 14 4 2 3 2 2" xfId="37207"/>
    <cellStyle name="Comma 14 4 2 3 2 3" xfId="37208"/>
    <cellStyle name="Comma 14 4 2 3 3" xfId="37209"/>
    <cellStyle name="Comma 14 4 2 3 3 2" xfId="37210"/>
    <cellStyle name="Comma 14 4 2 3 3 3" xfId="37211"/>
    <cellStyle name="Comma 14 4 2 3 4" xfId="37212"/>
    <cellStyle name="Comma 14 4 2 3 4 2" xfId="37213"/>
    <cellStyle name="Comma 14 4 2 3 5" xfId="37214"/>
    <cellStyle name="Comma 14 4 2 3 6" xfId="37215"/>
    <cellStyle name="Comma 14 4 2 4" xfId="37216"/>
    <cellStyle name="Comma 14 4 2 4 2" xfId="37217"/>
    <cellStyle name="Comma 14 4 2 4 2 2" xfId="37218"/>
    <cellStyle name="Comma 14 4 2 4 2 3" xfId="37219"/>
    <cellStyle name="Comma 14 4 2 4 3" xfId="37220"/>
    <cellStyle name="Comma 14 4 2 4 3 2" xfId="37221"/>
    <cellStyle name="Comma 14 4 2 4 3 3" xfId="37222"/>
    <cellStyle name="Comma 14 4 2 4 4" xfId="37223"/>
    <cellStyle name="Comma 14 4 2 4 4 2" xfId="37224"/>
    <cellStyle name="Comma 14 4 2 4 5" xfId="37225"/>
    <cellStyle name="Comma 14 4 2 4 6" xfId="37226"/>
    <cellStyle name="Comma 14 4 2 5" xfId="37227"/>
    <cellStyle name="Comma 14 4 2 5 2" xfId="37228"/>
    <cellStyle name="Comma 14 4 2 5 2 2" xfId="37229"/>
    <cellStyle name="Comma 14 4 2 5 2 3" xfId="37230"/>
    <cellStyle name="Comma 14 4 2 5 3" xfId="37231"/>
    <cellStyle name="Comma 14 4 2 5 3 2" xfId="37232"/>
    <cellStyle name="Comma 14 4 2 5 4" xfId="37233"/>
    <cellStyle name="Comma 14 4 2 5 5" xfId="37234"/>
    <cellStyle name="Comma 14 4 2 6" xfId="37235"/>
    <cellStyle name="Comma 14 4 2 6 2" xfId="37236"/>
    <cellStyle name="Comma 14 4 2 6 3" xfId="37237"/>
    <cellStyle name="Comma 14 4 2 7" xfId="37238"/>
    <cellStyle name="Comma 14 4 2 7 2" xfId="37239"/>
    <cellStyle name="Comma 14 4 2 7 3" xfId="37240"/>
    <cellStyle name="Comma 14 4 2 8" xfId="37241"/>
    <cellStyle name="Comma 14 4 2 8 2" xfId="37242"/>
    <cellStyle name="Comma 14 4 2 9" xfId="37243"/>
    <cellStyle name="Comma 14 4 3" xfId="37244"/>
    <cellStyle name="Comma 14 4 3 2" xfId="37245"/>
    <cellStyle name="Comma 14 4 3 2 2" xfId="37246"/>
    <cellStyle name="Comma 14 4 3 2 2 2" xfId="37247"/>
    <cellStyle name="Comma 14 4 3 2 2 3" xfId="37248"/>
    <cellStyle name="Comma 14 4 3 2 3" xfId="37249"/>
    <cellStyle name="Comma 14 4 3 2 3 2" xfId="37250"/>
    <cellStyle name="Comma 14 4 3 2 3 3" xfId="37251"/>
    <cellStyle name="Comma 14 4 3 2 4" xfId="37252"/>
    <cellStyle name="Comma 14 4 3 2 4 2" xfId="37253"/>
    <cellStyle name="Comma 14 4 3 2 5" xfId="37254"/>
    <cellStyle name="Comma 14 4 3 2 6" xfId="37255"/>
    <cellStyle name="Comma 14 4 3 3" xfId="37256"/>
    <cellStyle name="Comma 14 4 3 3 2" xfId="37257"/>
    <cellStyle name="Comma 14 4 3 3 2 2" xfId="37258"/>
    <cellStyle name="Comma 14 4 3 3 2 3" xfId="37259"/>
    <cellStyle name="Comma 14 4 3 3 3" xfId="37260"/>
    <cellStyle name="Comma 14 4 3 3 3 2" xfId="37261"/>
    <cellStyle name="Comma 14 4 3 3 3 3" xfId="37262"/>
    <cellStyle name="Comma 14 4 3 3 4" xfId="37263"/>
    <cellStyle name="Comma 14 4 3 3 4 2" xfId="37264"/>
    <cellStyle name="Comma 14 4 3 3 5" xfId="37265"/>
    <cellStyle name="Comma 14 4 3 3 6" xfId="37266"/>
    <cellStyle name="Comma 14 4 3 4" xfId="37267"/>
    <cellStyle name="Comma 14 4 3 4 2" xfId="37268"/>
    <cellStyle name="Comma 14 4 3 4 2 2" xfId="37269"/>
    <cellStyle name="Comma 14 4 3 4 2 3" xfId="37270"/>
    <cellStyle name="Comma 14 4 3 4 3" xfId="37271"/>
    <cellStyle name="Comma 14 4 3 4 3 2" xfId="37272"/>
    <cellStyle name="Comma 14 4 3 4 4" xfId="37273"/>
    <cellStyle name="Comma 14 4 3 4 5" xfId="37274"/>
    <cellStyle name="Comma 14 4 3 5" xfId="37275"/>
    <cellStyle name="Comma 14 4 3 5 2" xfId="37276"/>
    <cellStyle name="Comma 14 4 3 5 3" xfId="37277"/>
    <cellStyle name="Comma 14 4 3 6" xfId="37278"/>
    <cellStyle name="Comma 14 4 3 6 2" xfId="37279"/>
    <cellStyle name="Comma 14 4 3 6 3" xfId="37280"/>
    <cellStyle name="Comma 14 4 3 7" xfId="37281"/>
    <cellStyle name="Comma 14 4 3 7 2" xfId="37282"/>
    <cellStyle name="Comma 14 4 3 8" xfId="37283"/>
    <cellStyle name="Comma 14 4 3 9" xfId="37284"/>
    <cellStyle name="Comma 14 4 4" xfId="37285"/>
    <cellStyle name="Comma 14 4 4 2" xfId="37286"/>
    <cellStyle name="Comma 14 4 4 2 2" xfId="37287"/>
    <cellStyle name="Comma 14 4 4 2 2 2" xfId="37288"/>
    <cellStyle name="Comma 14 4 4 2 2 3" xfId="37289"/>
    <cellStyle name="Comma 14 4 4 2 3" xfId="37290"/>
    <cellStyle name="Comma 14 4 4 2 3 2" xfId="37291"/>
    <cellStyle name="Comma 14 4 4 2 3 3" xfId="37292"/>
    <cellStyle name="Comma 14 4 4 2 4" xfId="37293"/>
    <cellStyle name="Comma 14 4 4 2 4 2" xfId="37294"/>
    <cellStyle name="Comma 14 4 4 2 5" xfId="37295"/>
    <cellStyle name="Comma 14 4 4 2 6" xfId="37296"/>
    <cellStyle name="Comma 14 4 4 3" xfId="37297"/>
    <cellStyle name="Comma 14 4 4 3 2" xfId="37298"/>
    <cellStyle name="Comma 14 4 4 3 2 2" xfId="37299"/>
    <cellStyle name="Comma 14 4 4 3 2 3" xfId="37300"/>
    <cellStyle name="Comma 14 4 4 3 3" xfId="37301"/>
    <cellStyle name="Comma 14 4 4 3 3 2" xfId="37302"/>
    <cellStyle name="Comma 14 4 4 3 3 3" xfId="37303"/>
    <cellStyle name="Comma 14 4 4 3 4" xfId="37304"/>
    <cellStyle name="Comma 14 4 4 3 4 2" xfId="37305"/>
    <cellStyle name="Comma 14 4 4 3 5" xfId="37306"/>
    <cellStyle name="Comma 14 4 4 3 6" xfId="37307"/>
    <cellStyle name="Comma 14 4 4 4" xfId="37308"/>
    <cellStyle name="Comma 14 4 4 4 2" xfId="37309"/>
    <cellStyle name="Comma 14 4 4 4 2 2" xfId="37310"/>
    <cellStyle name="Comma 14 4 4 4 2 3" xfId="37311"/>
    <cellStyle name="Comma 14 4 4 4 3" xfId="37312"/>
    <cellStyle name="Comma 14 4 4 4 3 2" xfId="37313"/>
    <cellStyle name="Comma 14 4 4 4 4" xfId="37314"/>
    <cellStyle name="Comma 14 4 4 4 5" xfId="37315"/>
    <cellStyle name="Comma 14 4 4 5" xfId="37316"/>
    <cellStyle name="Comma 14 4 4 5 2" xfId="37317"/>
    <cellStyle name="Comma 14 4 4 5 3" xfId="37318"/>
    <cellStyle name="Comma 14 4 4 6" xfId="37319"/>
    <cellStyle name="Comma 14 4 4 6 2" xfId="37320"/>
    <cellStyle name="Comma 14 4 4 6 3" xfId="37321"/>
    <cellStyle name="Comma 14 4 4 7" xfId="37322"/>
    <cellStyle name="Comma 14 4 4 7 2" xfId="37323"/>
    <cellStyle name="Comma 14 4 4 8" xfId="37324"/>
    <cellStyle name="Comma 14 4 4 9" xfId="37325"/>
    <cellStyle name="Comma 14 4 5" xfId="37326"/>
    <cellStyle name="Comma 14 4 5 2" xfId="37327"/>
    <cellStyle name="Comma 14 4 5 2 2" xfId="37328"/>
    <cellStyle name="Comma 14 4 5 2 3" xfId="37329"/>
    <cellStyle name="Comma 14 4 5 3" xfId="37330"/>
    <cellStyle name="Comma 14 4 5 3 2" xfId="37331"/>
    <cellStyle name="Comma 14 4 5 3 3" xfId="37332"/>
    <cellStyle name="Comma 14 4 5 4" xfId="37333"/>
    <cellStyle name="Comma 14 4 5 4 2" xfId="37334"/>
    <cellStyle name="Comma 14 4 5 5" xfId="37335"/>
    <cellStyle name="Comma 14 4 5 6" xfId="37336"/>
    <cellStyle name="Comma 14 4 6" xfId="37337"/>
    <cellStyle name="Comma 14 4 6 2" xfId="37338"/>
    <cellStyle name="Comma 14 4 6 2 2" xfId="37339"/>
    <cellStyle name="Comma 14 4 6 2 3" xfId="37340"/>
    <cellStyle name="Comma 14 4 6 3" xfId="37341"/>
    <cellStyle name="Comma 14 4 6 3 2" xfId="37342"/>
    <cellStyle name="Comma 14 4 6 3 3" xfId="37343"/>
    <cellStyle name="Comma 14 4 6 4" xfId="37344"/>
    <cellStyle name="Comma 14 4 6 4 2" xfId="37345"/>
    <cellStyle name="Comma 14 4 6 5" xfId="37346"/>
    <cellStyle name="Comma 14 4 6 6" xfId="37347"/>
    <cellStyle name="Comma 14 4 7" xfId="37348"/>
    <cellStyle name="Comma 14 4 7 2" xfId="37349"/>
    <cellStyle name="Comma 14 4 7 2 2" xfId="37350"/>
    <cellStyle name="Comma 14 4 7 2 3" xfId="37351"/>
    <cellStyle name="Comma 14 4 7 3" xfId="37352"/>
    <cellStyle name="Comma 14 4 7 3 2" xfId="37353"/>
    <cellStyle name="Comma 14 4 7 4" xfId="37354"/>
    <cellStyle name="Comma 14 4 7 5" xfId="37355"/>
    <cellStyle name="Comma 14 4 8" xfId="37356"/>
    <cellStyle name="Comma 14 4 8 2" xfId="37357"/>
    <cellStyle name="Comma 14 4 8 3" xfId="37358"/>
    <cellStyle name="Comma 14 4 9" xfId="37359"/>
    <cellStyle name="Comma 14 4 9 2" xfId="37360"/>
    <cellStyle name="Comma 14 4 9 3" xfId="37361"/>
    <cellStyle name="Comma 14 5" xfId="9421"/>
    <cellStyle name="Comma 14 5 10" xfId="37362"/>
    <cellStyle name="Comma 14 5 2" xfId="37363"/>
    <cellStyle name="Comma 14 5 2 2" xfId="37364"/>
    <cellStyle name="Comma 14 5 2 2 2" xfId="37365"/>
    <cellStyle name="Comma 14 5 2 2 2 2" xfId="37366"/>
    <cellStyle name="Comma 14 5 2 2 2 3" xfId="37367"/>
    <cellStyle name="Comma 14 5 2 2 3" xfId="37368"/>
    <cellStyle name="Comma 14 5 2 2 3 2" xfId="37369"/>
    <cellStyle name="Comma 14 5 2 2 3 3" xfId="37370"/>
    <cellStyle name="Comma 14 5 2 2 4" xfId="37371"/>
    <cellStyle name="Comma 14 5 2 2 4 2" xfId="37372"/>
    <cellStyle name="Comma 14 5 2 2 5" xfId="37373"/>
    <cellStyle name="Comma 14 5 2 2 6" xfId="37374"/>
    <cellStyle name="Comma 14 5 2 3" xfId="37375"/>
    <cellStyle name="Comma 14 5 2 3 2" xfId="37376"/>
    <cellStyle name="Comma 14 5 2 3 2 2" xfId="37377"/>
    <cellStyle name="Comma 14 5 2 3 2 3" xfId="37378"/>
    <cellStyle name="Comma 14 5 2 3 3" xfId="37379"/>
    <cellStyle name="Comma 14 5 2 3 3 2" xfId="37380"/>
    <cellStyle name="Comma 14 5 2 3 3 3" xfId="37381"/>
    <cellStyle name="Comma 14 5 2 3 4" xfId="37382"/>
    <cellStyle name="Comma 14 5 2 3 4 2" xfId="37383"/>
    <cellStyle name="Comma 14 5 2 3 5" xfId="37384"/>
    <cellStyle name="Comma 14 5 2 3 6" xfId="37385"/>
    <cellStyle name="Comma 14 5 2 4" xfId="37386"/>
    <cellStyle name="Comma 14 5 2 4 2" xfId="37387"/>
    <cellStyle name="Comma 14 5 2 4 2 2" xfId="37388"/>
    <cellStyle name="Comma 14 5 2 4 2 3" xfId="37389"/>
    <cellStyle name="Comma 14 5 2 4 3" xfId="37390"/>
    <cellStyle name="Comma 14 5 2 4 3 2" xfId="37391"/>
    <cellStyle name="Comma 14 5 2 4 4" xfId="37392"/>
    <cellStyle name="Comma 14 5 2 4 5" xfId="37393"/>
    <cellStyle name="Comma 14 5 2 5" xfId="37394"/>
    <cellStyle name="Comma 14 5 2 5 2" xfId="37395"/>
    <cellStyle name="Comma 14 5 2 5 3" xfId="37396"/>
    <cellStyle name="Comma 14 5 2 6" xfId="37397"/>
    <cellStyle name="Comma 14 5 2 6 2" xfId="37398"/>
    <cellStyle name="Comma 14 5 2 6 3" xfId="37399"/>
    <cellStyle name="Comma 14 5 2 7" xfId="37400"/>
    <cellStyle name="Comma 14 5 2 7 2" xfId="37401"/>
    <cellStyle name="Comma 14 5 2 8" xfId="37402"/>
    <cellStyle name="Comma 14 5 2 9" xfId="37403"/>
    <cellStyle name="Comma 14 5 3" xfId="37404"/>
    <cellStyle name="Comma 14 5 3 2" xfId="37405"/>
    <cellStyle name="Comma 14 5 3 2 2" xfId="37406"/>
    <cellStyle name="Comma 14 5 3 2 3" xfId="37407"/>
    <cellStyle name="Comma 14 5 3 3" xfId="37408"/>
    <cellStyle name="Comma 14 5 3 3 2" xfId="37409"/>
    <cellStyle name="Comma 14 5 3 3 3" xfId="37410"/>
    <cellStyle name="Comma 14 5 3 4" xfId="37411"/>
    <cellStyle name="Comma 14 5 3 4 2" xfId="37412"/>
    <cellStyle name="Comma 14 5 3 5" xfId="37413"/>
    <cellStyle name="Comma 14 5 3 6" xfId="37414"/>
    <cellStyle name="Comma 14 5 4" xfId="37415"/>
    <cellStyle name="Comma 14 5 4 2" xfId="37416"/>
    <cellStyle name="Comma 14 5 4 2 2" xfId="37417"/>
    <cellStyle name="Comma 14 5 4 2 3" xfId="37418"/>
    <cellStyle name="Comma 14 5 4 3" xfId="37419"/>
    <cellStyle name="Comma 14 5 4 3 2" xfId="37420"/>
    <cellStyle name="Comma 14 5 4 3 3" xfId="37421"/>
    <cellStyle name="Comma 14 5 4 4" xfId="37422"/>
    <cellStyle name="Comma 14 5 4 4 2" xfId="37423"/>
    <cellStyle name="Comma 14 5 4 5" xfId="37424"/>
    <cellStyle name="Comma 14 5 4 6" xfId="37425"/>
    <cellStyle name="Comma 14 5 5" xfId="37426"/>
    <cellStyle name="Comma 14 5 5 2" xfId="37427"/>
    <cellStyle name="Comma 14 5 5 2 2" xfId="37428"/>
    <cellStyle name="Comma 14 5 5 2 3" xfId="37429"/>
    <cellStyle name="Comma 14 5 5 3" xfId="37430"/>
    <cellStyle name="Comma 14 5 5 3 2" xfId="37431"/>
    <cellStyle name="Comma 14 5 5 4" xfId="37432"/>
    <cellStyle name="Comma 14 5 5 5" xfId="37433"/>
    <cellStyle name="Comma 14 5 6" xfId="37434"/>
    <cellStyle name="Comma 14 5 6 2" xfId="37435"/>
    <cellStyle name="Comma 14 5 6 3" xfId="37436"/>
    <cellStyle name="Comma 14 5 7" xfId="37437"/>
    <cellStyle name="Comma 14 5 7 2" xfId="37438"/>
    <cellStyle name="Comma 14 5 7 3" xfId="37439"/>
    <cellStyle name="Comma 14 5 8" xfId="37440"/>
    <cellStyle name="Comma 14 5 8 2" xfId="37441"/>
    <cellStyle name="Comma 14 5 9" xfId="37442"/>
    <cellStyle name="Comma 14 6" xfId="37443"/>
    <cellStyle name="Comma 14 6 2" xfId="37444"/>
    <cellStyle name="Comma 14 6 2 2" xfId="37445"/>
    <cellStyle name="Comma 14 6 2 2 2" xfId="37446"/>
    <cellStyle name="Comma 14 6 2 2 3" xfId="37447"/>
    <cellStyle name="Comma 14 6 2 3" xfId="37448"/>
    <cellStyle name="Comma 14 6 2 3 2" xfId="37449"/>
    <cellStyle name="Comma 14 6 2 3 3" xfId="37450"/>
    <cellStyle name="Comma 14 6 2 4" xfId="37451"/>
    <cellStyle name="Comma 14 6 2 4 2" xfId="37452"/>
    <cellStyle name="Comma 14 6 2 5" xfId="37453"/>
    <cellStyle name="Comma 14 6 2 6" xfId="37454"/>
    <cellStyle name="Comma 14 6 3" xfId="37455"/>
    <cellStyle name="Comma 14 6 3 2" xfId="37456"/>
    <cellStyle name="Comma 14 6 3 2 2" xfId="37457"/>
    <cellStyle name="Comma 14 6 3 2 3" xfId="37458"/>
    <cellStyle name="Comma 14 6 3 3" xfId="37459"/>
    <cellStyle name="Comma 14 6 3 3 2" xfId="37460"/>
    <cellStyle name="Comma 14 6 3 3 3" xfId="37461"/>
    <cellStyle name="Comma 14 6 3 4" xfId="37462"/>
    <cellStyle name="Comma 14 6 3 4 2" xfId="37463"/>
    <cellStyle name="Comma 14 6 3 5" xfId="37464"/>
    <cellStyle name="Comma 14 6 3 6" xfId="37465"/>
    <cellStyle name="Comma 14 6 4" xfId="37466"/>
    <cellStyle name="Comma 14 6 4 2" xfId="37467"/>
    <cellStyle name="Comma 14 6 4 2 2" xfId="37468"/>
    <cellStyle name="Comma 14 6 4 2 3" xfId="37469"/>
    <cellStyle name="Comma 14 6 4 3" xfId="37470"/>
    <cellStyle name="Comma 14 6 4 3 2" xfId="37471"/>
    <cellStyle name="Comma 14 6 4 4" xfId="37472"/>
    <cellStyle name="Comma 14 6 4 5" xfId="37473"/>
    <cellStyle name="Comma 14 6 5" xfId="37474"/>
    <cellStyle name="Comma 14 6 5 2" xfId="37475"/>
    <cellStyle name="Comma 14 6 5 3" xfId="37476"/>
    <cellStyle name="Comma 14 6 6" xfId="37477"/>
    <cellStyle name="Comma 14 6 6 2" xfId="37478"/>
    <cellStyle name="Comma 14 6 6 3" xfId="37479"/>
    <cellStyle name="Comma 14 6 7" xfId="37480"/>
    <cellStyle name="Comma 14 6 7 2" xfId="37481"/>
    <cellStyle name="Comma 14 6 8" xfId="37482"/>
    <cellStyle name="Comma 14 6 9" xfId="37483"/>
    <cellStyle name="Comma 14 7" xfId="37484"/>
    <cellStyle name="Comma 14 7 2" xfId="37485"/>
    <cellStyle name="Comma 14 7 2 2" xfId="37486"/>
    <cellStyle name="Comma 14 7 2 2 2" xfId="37487"/>
    <cellStyle name="Comma 14 7 2 2 3" xfId="37488"/>
    <cellStyle name="Comma 14 7 2 3" xfId="37489"/>
    <cellStyle name="Comma 14 7 2 3 2" xfId="37490"/>
    <cellStyle name="Comma 14 7 2 3 3" xfId="37491"/>
    <cellStyle name="Comma 14 7 2 4" xfId="37492"/>
    <cellStyle name="Comma 14 7 2 4 2" xfId="37493"/>
    <cellStyle name="Comma 14 7 2 5" xfId="37494"/>
    <cellStyle name="Comma 14 7 2 6" xfId="37495"/>
    <cellStyle name="Comma 14 7 3" xfId="37496"/>
    <cellStyle name="Comma 14 7 3 2" xfId="37497"/>
    <cellStyle name="Comma 14 7 3 2 2" xfId="37498"/>
    <cellStyle name="Comma 14 7 3 2 3" xfId="37499"/>
    <cellStyle name="Comma 14 7 3 3" xfId="37500"/>
    <cellStyle name="Comma 14 7 3 3 2" xfId="37501"/>
    <cellStyle name="Comma 14 7 3 3 3" xfId="37502"/>
    <cellStyle name="Comma 14 7 3 4" xfId="37503"/>
    <cellStyle name="Comma 14 7 3 4 2" xfId="37504"/>
    <cellStyle name="Comma 14 7 3 5" xfId="37505"/>
    <cellStyle name="Comma 14 7 3 6" xfId="37506"/>
    <cellStyle name="Comma 14 7 4" xfId="37507"/>
    <cellStyle name="Comma 14 7 4 2" xfId="37508"/>
    <cellStyle name="Comma 14 7 4 2 2" xfId="37509"/>
    <cellStyle name="Comma 14 7 4 2 3" xfId="37510"/>
    <cellStyle name="Comma 14 7 4 3" xfId="37511"/>
    <cellStyle name="Comma 14 7 4 3 2" xfId="37512"/>
    <cellStyle name="Comma 14 7 4 4" xfId="37513"/>
    <cellStyle name="Comma 14 7 4 5" xfId="37514"/>
    <cellStyle name="Comma 14 7 5" xfId="37515"/>
    <cellStyle name="Comma 14 7 5 2" xfId="37516"/>
    <cellStyle name="Comma 14 7 5 3" xfId="37517"/>
    <cellStyle name="Comma 14 7 6" xfId="37518"/>
    <cellStyle name="Comma 14 7 6 2" xfId="37519"/>
    <cellStyle name="Comma 14 7 6 3" xfId="37520"/>
    <cellStyle name="Comma 14 7 7" xfId="37521"/>
    <cellStyle name="Comma 14 7 7 2" xfId="37522"/>
    <cellStyle name="Comma 14 7 8" xfId="37523"/>
    <cellStyle name="Comma 14 7 9" xfId="37524"/>
    <cellStyle name="Comma 14 8" xfId="37525"/>
    <cellStyle name="Comma 14 8 2" xfId="37526"/>
    <cellStyle name="Comma 14 8 2 2" xfId="37527"/>
    <cellStyle name="Comma 14 8 2 3" xfId="37528"/>
    <cellStyle name="Comma 14 8 3" xfId="37529"/>
    <cellStyle name="Comma 14 8 3 2" xfId="37530"/>
    <cellStyle name="Comma 14 8 3 3" xfId="37531"/>
    <cellStyle name="Comma 14 8 4" xfId="37532"/>
    <cellStyle name="Comma 14 8 4 2" xfId="37533"/>
    <cellStyle name="Comma 14 8 5" xfId="37534"/>
    <cellStyle name="Comma 14 8 6" xfId="37535"/>
    <cellStyle name="Comma 14 9" xfId="37536"/>
    <cellStyle name="Comma 14 9 2" xfId="37537"/>
    <cellStyle name="Comma 14 9 2 2" xfId="37538"/>
    <cellStyle name="Comma 14 9 2 3" xfId="37539"/>
    <cellStyle name="Comma 14 9 3" xfId="37540"/>
    <cellStyle name="Comma 14 9 3 2" xfId="37541"/>
    <cellStyle name="Comma 14 9 3 3" xfId="37542"/>
    <cellStyle name="Comma 14 9 4" xfId="37543"/>
    <cellStyle name="Comma 14 9 4 2" xfId="37544"/>
    <cellStyle name="Comma 14 9 5" xfId="37545"/>
    <cellStyle name="Comma 14 9 6" xfId="37546"/>
    <cellStyle name="Comma 140" xfId="57858"/>
    <cellStyle name="Comma 141" xfId="57859"/>
    <cellStyle name="Comma 142" xfId="57860"/>
    <cellStyle name="Comma 143" xfId="57861"/>
    <cellStyle name="Comma 144" xfId="57862"/>
    <cellStyle name="Comma 145" xfId="57863"/>
    <cellStyle name="Comma 146" xfId="57864"/>
    <cellStyle name="Comma 147" xfId="57865"/>
    <cellStyle name="Comma 148" xfId="57866"/>
    <cellStyle name="Comma 149" xfId="57867"/>
    <cellStyle name="Comma 15" xfId="3242"/>
    <cellStyle name="Comma 15 10" xfId="37547"/>
    <cellStyle name="Comma 15 10 2" xfId="37548"/>
    <cellStyle name="Comma 15 10 2 2" xfId="37549"/>
    <cellStyle name="Comma 15 10 2 3" xfId="37550"/>
    <cellStyle name="Comma 15 10 3" xfId="37551"/>
    <cellStyle name="Comma 15 10 3 2" xfId="37552"/>
    <cellStyle name="Comma 15 10 4" xfId="37553"/>
    <cellStyle name="Comma 15 10 5" xfId="37554"/>
    <cellStyle name="Comma 15 11" xfId="37555"/>
    <cellStyle name="Comma 15 11 2" xfId="37556"/>
    <cellStyle name="Comma 15 11 3" xfId="37557"/>
    <cellStyle name="Comma 15 12" xfId="37558"/>
    <cellStyle name="Comma 15 12 2" xfId="37559"/>
    <cellStyle name="Comma 15 12 3" xfId="37560"/>
    <cellStyle name="Comma 15 13" xfId="37561"/>
    <cellStyle name="Comma 15 13 2" xfId="37562"/>
    <cellStyle name="Comma 15 14" xfId="37563"/>
    <cellStyle name="Comma 15 15" xfId="37564"/>
    <cellStyle name="Comma 15 16" xfId="37565"/>
    <cellStyle name="Comma 15 2" xfId="8228"/>
    <cellStyle name="Comma 15 2 10" xfId="37566"/>
    <cellStyle name="Comma 15 2 10 2" xfId="37567"/>
    <cellStyle name="Comma 15 2 10 3" xfId="37568"/>
    <cellStyle name="Comma 15 2 11" xfId="37569"/>
    <cellStyle name="Comma 15 2 11 2" xfId="37570"/>
    <cellStyle name="Comma 15 2 11 3" xfId="37571"/>
    <cellStyle name="Comma 15 2 12" xfId="37572"/>
    <cellStyle name="Comma 15 2 12 2" xfId="37573"/>
    <cellStyle name="Comma 15 2 13" xfId="37574"/>
    <cellStyle name="Comma 15 2 14" xfId="37575"/>
    <cellStyle name="Comma 15 2 15" xfId="37576"/>
    <cellStyle name="Comma 15 2 2" xfId="37577"/>
    <cellStyle name="Comma 15 2 2 10" xfId="37578"/>
    <cellStyle name="Comma 15 2 2 10 2" xfId="37579"/>
    <cellStyle name="Comma 15 2 2 10 3" xfId="37580"/>
    <cellStyle name="Comma 15 2 2 11" xfId="37581"/>
    <cellStyle name="Comma 15 2 2 11 2" xfId="37582"/>
    <cellStyle name="Comma 15 2 2 12" xfId="37583"/>
    <cellStyle name="Comma 15 2 2 13" xfId="37584"/>
    <cellStyle name="Comma 15 2 2 2" xfId="37585"/>
    <cellStyle name="Comma 15 2 2 2 10" xfId="37586"/>
    <cellStyle name="Comma 15 2 2 2 10 2" xfId="37587"/>
    <cellStyle name="Comma 15 2 2 2 11" xfId="37588"/>
    <cellStyle name="Comma 15 2 2 2 12" xfId="37589"/>
    <cellStyle name="Comma 15 2 2 2 2" xfId="37590"/>
    <cellStyle name="Comma 15 2 2 2 2 10" xfId="37591"/>
    <cellStyle name="Comma 15 2 2 2 2 2" xfId="37592"/>
    <cellStyle name="Comma 15 2 2 2 2 2 2" xfId="37593"/>
    <cellStyle name="Comma 15 2 2 2 2 2 2 2" xfId="37594"/>
    <cellStyle name="Comma 15 2 2 2 2 2 2 2 2" xfId="37595"/>
    <cellStyle name="Comma 15 2 2 2 2 2 2 2 3" xfId="37596"/>
    <cellStyle name="Comma 15 2 2 2 2 2 2 3" xfId="37597"/>
    <cellStyle name="Comma 15 2 2 2 2 2 2 3 2" xfId="37598"/>
    <cellStyle name="Comma 15 2 2 2 2 2 2 3 3" xfId="37599"/>
    <cellStyle name="Comma 15 2 2 2 2 2 2 4" xfId="37600"/>
    <cellStyle name="Comma 15 2 2 2 2 2 2 4 2" xfId="37601"/>
    <cellStyle name="Comma 15 2 2 2 2 2 2 5" xfId="37602"/>
    <cellStyle name="Comma 15 2 2 2 2 2 2 6" xfId="37603"/>
    <cellStyle name="Comma 15 2 2 2 2 2 3" xfId="37604"/>
    <cellStyle name="Comma 15 2 2 2 2 2 3 2" xfId="37605"/>
    <cellStyle name="Comma 15 2 2 2 2 2 3 2 2" xfId="37606"/>
    <cellStyle name="Comma 15 2 2 2 2 2 3 2 3" xfId="37607"/>
    <cellStyle name="Comma 15 2 2 2 2 2 3 3" xfId="37608"/>
    <cellStyle name="Comma 15 2 2 2 2 2 3 3 2" xfId="37609"/>
    <cellStyle name="Comma 15 2 2 2 2 2 3 3 3" xfId="37610"/>
    <cellStyle name="Comma 15 2 2 2 2 2 3 4" xfId="37611"/>
    <cellStyle name="Comma 15 2 2 2 2 2 3 4 2" xfId="37612"/>
    <cellStyle name="Comma 15 2 2 2 2 2 3 5" xfId="37613"/>
    <cellStyle name="Comma 15 2 2 2 2 2 3 6" xfId="37614"/>
    <cellStyle name="Comma 15 2 2 2 2 2 4" xfId="37615"/>
    <cellStyle name="Comma 15 2 2 2 2 2 4 2" xfId="37616"/>
    <cellStyle name="Comma 15 2 2 2 2 2 4 2 2" xfId="37617"/>
    <cellStyle name="Comma 15 2 2 2 2 2 4 2 3" xfId="37618"/>
    <cellStyle name="Comma 15 2 2 2 2 2 4 3" xfId="37619"/>
    <cellStyle name="Comma 15 2 2 2 2 2 4 3 2" xfId="37620"/>
    <cellStyle name="Comma 15 2 2 2 2 2 4 4" xfId="37621"/>
    <cellStyle name="Comma 15 2 2 2 2 2 4 5" xfId="37622"/>
    <cellStyle name="Comma 15 2 2 2 2 2 5" xfId="37623"/>
    <cellStyle name="Comma 15 2 2 2 2 2 5 2" xfId="37624"/>
    <cellStyle name="Comma 15 2 2 2 2 2 5 3" xfId="37625"/>
    <cellStyle name="Comma 15 2 2 2 2 2 6" xfId="37626"/>
    <cellStyle name="Comma 15 2 2 2 2 2 6 2" xfId="37627"/>
    <cellStyle name="Comma 15 2 2 2 2 2 6 3" xfId="37628"/>
    <cellStyle name="Comma 15 2 2 2 2 2 7" xfId="37629"/>
    <cellStyle name="Comma 15 2 2 2 2 2 7 2" xfId="37630"/>
    <cellStyle name="Comma 15 2 2 2 2 2 8" xfId="37631"/>
    <cellStyle name="Comma 15 2 2 2 2 2 9" xfId="37632"/>
    <cellStyle name="Comma 15 2 2 2 2 3" xfId="37633"/>
    <cellStyle name="Comma 15 2 2 2 2 3 2" xfId="37634"/>
    <cellStyle name="Comma 15 2 2 2 2 3 2 2" xfId="37635"/>
    <cellStyle name="Comma 15 2 2 2 2 3 2 3" xfId="37636"/>
    <cellStyle name="Comma 15 2 2 2 2 3 3" xfId="37637"/>
    <cellStyle name="Comma 15 2 2 2 2 3 3 2" xfId="37638"/>
    <cellStyle name="Comma 15 2 2 2 2 3 3 3" xfId="37639"/>
    <cellStyle name="Comma 15 2 2 2 2 3 4" xfId="37640"/>
    <cellStyle name="Comma 15 2 2 2 2 3 4 2" xfId="37641"/>
    <cellStyle name="Comma 15 2 2 2 2 3 5" xfId="37642"/>
    <cellStyle name="Comma 15 2 2 2 2 3 6" xfId="37643"/>
    <cellStyle name="Comma 15 2 2 2 2 4" xfId="37644"/>
    <cellStyle name="Comma 15 2 2 2 2 4 2" xfId="37645"/>
    <cellStyle name="Comma 15 2 2 2 2 4 2 2" xfId="37646"/>
    <cellStyle name="Comma 15 2 2 2 2 4 2 3" xfId="37647"/>
    <cellStyle name="Comma 15 2 2 2 2 4 3" xfId="37648"/>
    <cellStyle name="Comma 15 2 2 2 2 4 3 2" xfId="37649"/>
    <cellStyle name="Comma 15 2 2 2 2 4 3 3" xfId="37650"/>
    <cellStyle name="Comma 15 2 2 2 2 4 4" xfId="37651"/>
    <cellStyle name="Comma 15 2 2 2 2 4 4 2" xfId="37652"/>
    <cellStyle name="Comma 15 2 2 2 2 4 5" xfId="37653"/>
    <cellStyle name="Comma 15 2 2 2 2 4 6" xfId="37654"/>
    <cellStyle name="Comma 15 2 2 2 2 5" xfId="37655"/>
    <cellStyle name="Comma 15 2 2 2 2 5 2" xfId="37656"/>
    <cellStyle name="Comma 15 2 2 2 2 5 2 2" xfId="37657"/>
    <cellStyle name="Comma 15 2 2 2 2 5 2 3" xfId="37658"/>
    <cellStyle name="Comma 15 2 2 2 2 5 3" xfId="37659"/>
    <cellStyle name="Comma 15 2 2 2 2 5 3 2" xfId="37660"/>
    <cellStyle name="Comma 15 2 2 2 2 5 4" xfId="37661"/>
    <cellStyle name="Comma 15 2 2 2 2 5 5" xfId="37662"/>
    <cellStyle name="Comma 15 2 2 2 2 6" xfId="37663"/>
    <cellStyle name="Comma 15 2 2 2 2 6 2" xfId="37664"/>
    <cellStyle name="Comma 15 2 2 2 2 6 3" xfId="37665"/>
    <cellStyle name="Comma 15 2 2 2 2 7" xfId="37666"/>
    <cellStyle name="Comma 15 2 2 2 2 7 2" xfId="37667"/>
    <cellStyle name="Comma 15 2 2 2 2 7 3" xfId="37668"/>
    <cellStyle name="Comma 15 2 2 2 2 8" xfId="37669"/>
    <cellStyle name="Comma 15 2 2 2 2 8 2" xfId="37670"/>
    <cellStyle name="Comma 15 2 2 2 2 9" xfId="37671"/>
    <cellStyle name="Comma 15 2 2 2 3" xfId="37672"/>
    <cellStyle name="Comma 15 2 2 2 3 2" xfId="37673"/>
    <cellStyle name="Comma 15 2 2 2 3 2 2" xfId="37674"/>
    <cellStyle name="Comma 15 2 2 2 3 2 2 2" xfId="37675"/>
    <cellStyle name="Comma 15 2 2 2 3 2 2 3" xfId="37676"/>
    <cellStyle name="Comma 15 2 2 2 3 2 3" xfId="37677"/>
    <cellStyle name="Comma 15 2 2 2 3 2 3 2" xfId="37678"/>
    <cellStyle name="Comma 15 2 2 2 3 2 3 3" xfId="37679"/>
    <cellStyle name="Comma 15 2 2 2 3 2 4" xfId="37680"/>
    <cellStyle name="Comma 15 2 2 2 3 2 4 2" xfId="37681"/>
    <cellStyle name="Comma 15 2 2 2 3 2 5" xfId="37682"/>
    <cellStyle name="Comma 15 2 2 2 3 2 6" xfId="37683"/>
    <cellStyle name="Comma 15 2 2 2 3 3" xfId="37684"/>
    <cellStyle name="Comma 15 2 2 2 3 3 2" xfId="37685"/>
    <cellStyle name="Comma 15 2 2 2 3 3 2 2" xfId="37686"/>
    <cellStyle name="Comma 15 2 2 2 3 3 2 3" xfId="37687"/>
    <cellStyle name="Comma 15 2 2 2 3 3 3" xfId="37688"/>
    <cellStyle name="Comma 15 2 2 2 3 3 3 2" xfId="37689"/>
    <cellStyle name="Comma 15 2 2 2 3 3 3 3" xfId="37690"/>
    <cellStyle name="Comma 15 2 2 2 3 3 4" xfId="37691"/>
    <cellStyle name="Comma 15 2 2 2 3 3 4 2" xfId="37692"/>
    <cellStyle name="Comma 15 2 2 2 3 3 5" xfId="37693"/>
    <cellStyle name="Comma 15 2 2 2 3 3 6" xfId="37694"/>
    <cellStyle name="Comma 15 2 2 2 3 4" xfId="37695"/>
    <cellStyle name="Comma 15 2 2 2 3 4 2" xfId="37696"/>
    <cellStyle name="Comma 15 2 2 2 3 4 2 2" xfId="37697"/>
    <cellStyle name="Comma 15 2 2 2 3 4 2 3" xfId="37698"/>
    <cellStyle name="Comma 15 2 2 2 3 4 3" xfId="37699"/>
    <cellStyle name="Comma 15 2 2 2 3 4 3 2" xfId="37700"/>
    <cellStyle name="Comma 15 2 2 2 3 4 4" xfId="37701"/>
    <cellStyle name="Comma 15 2 2 2 3 4 5" xfId="37702"/>
    <cellStyle name="Comma 15 2 2 2 3 5" xfId="37703"/>
    <cellStyle name="Comma 15 2 2 2 3 5 2" xfId="37704"/>
    <cellStyle name="Comma 15 2 2 2 3 5 3" xfId="37705"/>
    <cellStyle name="Comma 15 2 2 2 3 6" xfId="37706"/>
    <cellStyle name="Comma 15 2 2 2 3 6 2" xfId="37707"/>
    <cellStyle name="Comma 15 2 2 2 3 6 3" xfId="37708"/>
    <cellStyle name="Comma 15 2 2 2 3 7" xfId="37709"/>
    <cellStyle name="Comma 15 2 2 2 3 7 2" xfId="37710"/>
    <cellStyle name="Comma 15 2 2 2 3 8" xfId="37711"/>
    <cellStyle name="Comma 15 2 2 2 3 9" xfId="37712"/>
    <cellStyle name="Comma 15 2 2 2 4" xfId="37713"/>
    <cellStyle name="Comma 15 2 2 2 4 2" xfId="37714"/>
    <cellStyle name="Comma 15 2 2 2 4 2 2" xfId="37715"/>
    <cellStyle name="Comma 15 2 2 2 4 2 2 2" xfId="37716"/>
    <cellStyle name="Comma 15 2 2 2 4 2 2 3" xfId="37717"/>
    <cellStyle name="Comma 15 2 2 2 4 2 3" xfId="37718"/>
    <cellStyle name="Comma 15 2 2 2 4 2 3 2" xfId="37719"/>
    <cellStyle name="Comma 15 2 2 2 4 2 3 3" xfId="37720"/>
    <cellStyle name="Comma 15 2 2 2 4 2 4" xfId="37721"/>
    <cellStyle name="Comma 15 2 2 2 4 2 4 2" xfId="37722"/>
    <cellStyle name="Comma 15 2 2 2 4 2 5" xfId="37723"/>
    <cellStyle name="Comma 15 2 2 2 4 2 6" xfId="37724"/>
    <cellStyle name="Comma 15 2 2 2 4 3" xfId="37725"/>
    <cellStyle name="Comma 15 2 2 2 4 3 2" xfId="37726"/>
    <cellStyle name="Comma 15 2 2 2 4 3 2 2" xfId="37727"/>
    <cellStyle name="Comma 15 2 2 2 4 3 2 3" xfId="37728"/>
    <cellStyle name="Comma 15 2 2 2 4 3 3" xfId="37729"/>
    <cellStyle name="Comma 15 2 2 2 4 3 3 2" xfId="37730"/>
    <cellStyle name="Comma 15 2 2 2 4 3 3 3" xfId="37731"/>
    <cellStyle name="Comma 15 2 2 2 4 3 4" xfId="37732"/>
    <cellStyle name="Comma 15 2 2 2 4 3 4 2" xfId="37733"/>
    <cellStyle name="Comma 15 2 2 2 4 3 5" xfId="37734"/>
    <cellStyle name="Comma 15 2 2 2 4 3 6" xfId="37735"/>
    <cellStyle name="Comma 15 2 2 2 4 4" xfId="37736"/>
    <cellStyle name="Comma 15 2 2 2 4 4 2" xfId="37737"/>
    <cellStyle name="Comma 15 2 2 2 4 4 2 2" xfId="37738"/>
    <cellStyle name="Comma 15 2 2 2 4 4 2 3" xfId="37739"/>
    <cellStyle name="Comma 15 2 2 2 4 4 3" xfId="37740"/>
    <cellStyle name="Comma 15 2 2 2 4 4 3 2" xfId="37741"/>
    <cellStyle name="Comma 15 2 2 2 4 4 4" xfId="37742"/>
    <cellStyle name="Comma 15 2 2 2 4 4 5" xfId="37743"/>
    <cellStyle name="Comma 15 2 2 2 4 5" xfId="37744"/>
    <cellStyle name="Comma 15 2 2 2 4 5 2" xfId="37745"/>
    <cellStyle name="Comma 15 2 2 2 4 5 3" xfId="37746"/>
    <cellStyle name="Comma 15 2 2 2 4 6" xfId="37747"/>
    <cellStyle name="Comma 15 2 2 2 4 6 2" xfId="37748"/>
    <cellStyle name="Comma 15 2 2 2 4 6 3" xfId="37749"/>
    <cellStyle name="Comma 15 2 2 2 4 7" xfId="37750"/>
    <cellStyle name="Comma 15 2 2 2 4 7 2" xfId="37751"/>
    <cellStyle name="Comma 15 2 2 2 4 8" xfId="37752"/>
    <cellStyle name="Comma 15 2 2 2 4 9" xfId="37753"/>
    <cellStyle name="Comma 15 2 2 2 5" xfId="37754"/>
    <cellStyle name="Comma 15 2 2 2 5 2" xfId="37755"/>
    <cellStyle name="Comma 15 2 2 2 5 2 2" xfId="37756"/>
    <cellStyle name="Comma 15 2 2 2 5 2 3" xfId="37757"/>
    <cellStyle name="Comma 15 2 2 2 5 3" xfId="37758"/>
    <cellStyle name="Comma 15 2 2 2 5 3 2" xfId="37759"/>
    <cellStyle name="Comma 15 2 2 2 5 3 3" xfId="37760"/>
    <cellStyle name="Comma 15 2 2 2 5 4" xfId="37761"/>
    <cellStyle name="Comma 15 2 2 2 5 4 2" xfId="37762"/>
    <cellStyle name="Comma 15 2 2 2 5 5" xfId="37763"/>
    <cellStyle name="Comma 15 2 2 2 5 6" xfId="37764"/>
    <cellStyle name="Comma 15 2 2 2 6" xfId="37765"/>
    <cellStyle name="Comma 15 2 2 2 6 2" xfId="37766"/>
    <cellStyle name="Comma 15 2 2 2 6 2 2" xfId="37767"/>
    <cellStyle name="Comma 15 2 2 2 6 2 3" xfId="37768"/>
    <cellStyle name="Comma 15 2 2 2 6 3" xfId="37769"/>
    <cellStyle name="Comma 15 2 2 2 6 3 2" xfId="37770"/>
    <cellStyle name="Comma 15 2 2 2 6 3 3" xfId="37771"/>
    <cellStyle name="Comma 15 2 2 2 6 4" xfId="37772"/>
    <cellStyle name="Comma 15 2 2 2 6 4 2" xfId="37773"/>
    <cellStyle name="Comma 15 2 2 2 6 5" xfId="37774"/>
    <cellStyle name="Comma 15 2 2 2 6 6" xfId="37775"/>
    <cellStyle name="Comma 15 2 2 2 7" xfId="37776"/>
    <cellStyle name="Comma 15 2 2 2 7 2" xfId="37777"/>
    <cellStyle name="Comma 15 2 2 2 7 2 2" xfId="37778"/>
    <cellStyle name="Comma 15 2 2 2 7 2 3" xfId="37779"/>
    <cellStyle name="Comma 15 2 2 2 7 3" xfId="37780"/>
    <cellStyle name="Comma 15 2 2 2 7 3 2" xfId="37781"/>
    <cellStyle name="Comma 15 2 2 2 7 4" xfId="37782"/>
    <cellStyle name="Comma 15 2 2 2 7 5" xfId="37783"/>
    <cellStyle name="Comma 15 2 2 2 8" xfId="37784"/>
    <cellStyle name="Comma 15 2 2 2 8 2" xfId="37785"/>
    <cellStyle name="Comma 15 2 2 2 8 3" xfId="37786"/>
    <cellStyle name="Comma 15 2 2 2 9" xfId="37787"/>
    <cellStyle name="Comma 15 2 2 2 9 2" xfId="37788"/>
    <cellStyle name="Comma 15 2 2 2 9 3" xfId="37789"/>
    <cellStyle name="Comma 15 2 2 3" xfId="37790"/>
    <cellStyle name="Comma 15 2 2 3 10" xfId="37791"/>
    <cellStyle name="Comma 15 2 2 3 2" xfId="37792"/>
    <cellStyle name="Comma 15 2 2 3 2 2" xfId="37793"/>
    <cellStyle name="Comma 15 2 2 3 2 2 2" xfId="37794"/>
    <cellStyle name="Comma 15 2 2 3 2 2 2 2" xfId="37795"/>
    <cellStyle name="Comma 15 2 2 3 2 2 2 3" xfId="37796"/>
    <cellStyle name="Comma 15 2 2 3 2 2 3" xfId="37797"/>
    <cellStyle name="Comma 15 2 2 3 2 2 3 2" xfId="37798"/>
    <cellStyle name="Comma 15 2 2 3 2 2 3 3" xfId="37799"/>
    <cellStyle name="Comma 15 2 2 3 2 2 4" xfId="37800"/>
    <cellStyle name="Comma 15 2 2 3 2 2 4 2" xfId="37801"/>
    <cellStyle name="Comma 15 2 2 3 2 2 5" xfId="37802"/>
    <cellStyle name="Comma 15 2 2 3 2 2 6" xfId="37803"/>
    <cellStyle name="Comma 15 2 2 3 2 3" xfId="37804"/>
    <cellStyle name="Comma 15 2 2 3 2 3 2" xfId="37805"/>
    <cellStyle name="Comma 15 2 2 3 2 3 2 2" xfId="37806"/>
    <cellStyle name="Comma 15 2 2 3 2 3 2 3" xfId="37807"/>
    <cellStyle name="Comma 15 2 2 3 2 3 3" xfId="37808"/>
    <cellStyle name="Comma 15 2 2 3 2 3 3 2" xfId="37809"/>
    <cellStyle name="Comma 15 2 2 3 2 3 3 3" xfId="37810"/>
    <cellStyle name="Comma 15 2 2 3 2 3 4" xfId="37811"/>
    <cellStyle name="Comma 15 2 2 3 2 3 4 2" xfId="37812"/>
    <cellStyle name="Comma 15 2 2 3 2 3 5" xfId="37813"/>
    <cellStyle name="Comma 15 2 2 3 2 3 6" xfId="37814"/>
    <cellStyle name="Comma 15 2 2 3 2 4" xfId="37815"/>
    <cellStyle name="Comma 15 2 2 3 2 4 2" xfId="37816"/>
    <cellStyle name="Comma 15 2 2 3 2 4 2 2" xfId="37817"/>
    <cellStyle name="Comma 15 2 2 3 2 4 2 3" xfId="37818"/>
    <cellStyle name="Comma 15 2 2 3 2 4 3" xfId="37819"/>
    <cellStyle name="Comma 15 2 2 3 2 4 3 2" xfId="37820"/>
    <cellStyle name="Comma 15 2 2 3 2 4 4" xfId="37821"/>
    <cellStyle name="Comma 15 2 2 3 2 4 5" xfId="37822"/>
    <cellStyle name="Comma 15 2 2 3 2 5" xfId="37823"/>
    <cellStyle name="Comma 15 2 2 3 2 5 2" xfId="37824"/>
    <cellStyle name="Comma 15 2 2 3 2 5 3" xfId="37825"/>
    <cellStyle name="Comma 15 2 2 3 2 6" xfId="37826"/>
    <cellStyle name="Comma 15 2 2 3 2 6 2" xfId="37827"/>
    <cellStyle name="Comma 15 2 2 3 2 6 3" xfId="37828"/>
    <cellStyle name="Comma 15 2 2 3 2 7" xfId="37829"/>
    <cellStyle name="Comma 15 2 2 3 2 7 2" xfId="37830"/>
    <cellStyle name="Comma 15 2 2 3 2 8" xfId="37831"/>
    <cellStyle name="Comma 15 2 2 3 2 9" xfId="37832"/>
    <cellStyle name="Comma 15 2 2 3 3" xfId="37833"/>
    <cellStyle name="Comma 15 2 2 3 3 2" xfId="37834"/>
    <cellStyle name="Comma 15 2 2 3 3 2 2" xfId="37835"/>
    <cellStyle name="Comma 15 2 2 3 3 2 3" xfId="37836"/>
    <cellStyle name="Comma 15 2 2 3 3 3" xfId="37837"/>
    <cellStyle name="Comma 15 2 2 3 3 3 2" xfId="37838"/>
    <cellStyle name="Comma 15 2 2 3 3 3 3" xfId="37839"/>
    <cellStyle name="Comma 15 2 2 3 3 4" xfId="37840"/>
    <cellStyle name="Comma 15 2 2 3 3 4 2" xfId="37841"/>
    <cellStyle name="Comma 15 2 2 3 3 5" xfId="37842"/>
    <cellStyle name="Comma 15 2 2 3 3 6" xfId="37843"/>
    <cellStyle name="Comma 15 2 2 3 4" xfId="37844"/>
    <cellStyle name="Comma 15 2 2 3 4 2" xfId="37845"/>
    <cellStyle name="Comma 15 2 2 3 4 2 2" xfId="37846"/>
    <cellStyle name="Comma 15 2 2 3 4 2 3" xfId="37847"/>
    <cellStyle name="Comma 15 2 2 3 4 3" xfId="37848"/>
    <cellStyle name="Comma 15 2 2 3 4 3 2" xfId="37849"/>
    <cellStyle name="Comma 15 2 2 3 4 3 3" xfId="37850"/>
    <cellStyle name="Comma 15 2 2 3 4 4" xfId="37851"/>
    <cellStyle name="Comma 15 2 2 3 4 4 2" xfId="37852"/>
    <cellStyle name="Comma 15 2 2 3 4 5" xfId="37853"/>
    <cellStyle name="Comma 15 2 2 3 4 6" xfId="37854"/>
    <cellStyle name="Comma 15 2 2 3 5" xfId="37855"/>
    <cellStyle name="Comma 15 2 2 3 5 2" xfId="37856"/>
    <cellStyle name="Comma 15 2 2 3 5 2 2" xfId="37857"/>
    <cellStyle name="Comma 15 2 2 3 5 2 3" xfId="37858"/>
    <cellStyle name="Comma 15 2 2 3 5 3" xfId="37859"/>
    <cellStyle name="Comma 15 2 2 3 5 3 2" xfId="37860"/>
    <cellStyle name="Comma 15 2 2 3 5 4" xfId="37861"/>
    <cellStyle name="Comma 15 2 2 3 5 5" xfId="37862"/>
    <cellStyle name="Comma 15 2 2 3 6" xfId="37863"/>
    <cellStyle name="Comma 15 2 2 3 6 2" xfId="37864"/>
    <cellStyle name="Comma 15 2 2 3 6 3" xfId="37865"/>
    <cellStyle name="Comma 15 2 2 3 7" xfId="37866"/>
    <cellStyle name="Comma 15 2 2 3 7 2" xfId="37867"/>
    <cellStyle name="Comma 15 2 2 3 7 3" xfId="37868"/>
    <cellStyle name="Comma 15 2 2 3 8" xfId="37869"/>
    <cellStyle name="Comma 15 2 2 3 8 2" xfId="37870"/>
    <cellStyle name="Comma 15 2 2 3 9" xfId="37871"/>
    <cellStyle name="Comma 15 2 2 4" xfId="37872"/>
    <cellStyle name="Comma 15 2 2 4 2" xfId="37873"/>
    <cellStyle name="Comma 15 2 2 4 2 2" xfId="37874"/>
    <cellStyle name="Comma 15 2 2 4 2 2 2" xfId="37875"/>
    <cellStyle name="Comma 15 2 2 4 2 2 3" xfId="37876"/>
    <cellStyle name="Comma 15 2 2 4 2 3" xfId="37877"/>
    <cellStyle name="Comma 15 2 2 4 2 3 2" xfId="37878"/>
    <cellStyle name="Comma 15 2 2 4 2 3 3" xfId="37879"/>
    <cellStyle name="Comma 15 2 2 4 2 4" xfId="37880"/>
    <cellStyle name="Comma 15 2 2 4 2 4 2" xfId="37881"/>
    <cellStyle name="Comma 15 2 2 4 2 5" xfId="37882"/>
    <cellStyle name="Comma 15 2 2 4 2 6" xfId="37883"/>
    <cellStyle name="Comma 15 2 2 4 3" xfId="37884"/>
    <cellStyle name="Comma 15 2 2 4 3 2" xfId="37885"/>
    <cellStyle name="Comma 15 2 2 4 3 2 2" xfId="37886"/>
    <cellStyle name="Comma 15 2 2 4 3 2 3" xfId="37887"/>
    <cellStyle name="Comma 15 2 2 4 3 3" xfId="37888"/>
    <cellStyle name="Comma 15 2 2 4 3 3 2" xfId="37889"/>
    <cellStyle name="Comma 15 2 2 4 3 3 3" xfId="37890"/>
    <cellStyle name="Comma 15 2 2 4 3 4" xfId="37891"/>
    <cellStyle name="Comma 15 2 2 4 3 4 2" xfId="37892"/>
    <cellStyle name="Comma 15 2 2 4 3 5" xfId="37893"/>
    <cellStyle name="Comma 15 2 2 4 3 6" xfId="37894"/>
    <cellStyle name="Comma 15 2 2 4 4" xfId="37895"/>
    <cellStyle name="Comma 15 2 2 4 4 2" xfId="37896"/>
    <cellStyle name="Comma 15 2 2 4 4 2 2" xfId="37897"/>
    <cellStyle name="Comma 15 2 2 4 4 2 3" xfId="37898"/>
    <cellStyle name="Comma 15 2 2 4 4 3" xfId="37899"/>
    <cellStyle name="Comma 15 2 2 4 4 3 2" xfId="37900"/>
    <cellStyle name="Comma 15 2 2 4 4 4" xfId="37901"/>
    <cellStyle name="Comma 15 2 2 4 4 5" xfId="37902"/>
    <cellStyle name="Comma 15 2 2 4 5" xfId="37903"/>
    <cellStyle name="Comma 15 2 2 4 5 2" xfId="37904"/>
    <cellStyle name="Comma 15 2 2 4 5 3" xfId="37905"/>
    <cellStyle name="Comma 15 2 2 4 6" xfId="37906"/>
    <cellStyle name="Comma 15 2 2 4 6 2" xfId="37907"/>
    <cellStyle name="Comma 15 2 2 4 6 3" xfId="37908"/>
    <cellStyle name="Comma 15 2 2 4 7" xfId="37909"/>
    <cellStyle name="Comma 15 2 2 4 7 2" xfId="37910"/>
    <cellStyle name="Comma 15 2 2 4 8" xfId="37911"/>
    <cellStyle name="Comma 15 2 2 4 9" xfId="37912"/>
    <cellStyle name="Comma 15 2 2 5" xfId="37913"/>
    <cellStyle name="Comma 15 2 2 5 2" xfId="37914"/>
    <cellStyle name="Comma 15 2 2 5 2 2" xfId="37915"/>
    <cellStyle name="Comma 15 2 2 5 2 2 2" xfId="37916"/>
    <cellStyle name="Comma 15 2 2 5 2 2 3" xfId="37917"/>
    <cellStyle name="Comma 15 2 2 5 2 3" xfId="37918"/>
    <cellStyle name="Comma 15 2 2 5 2 3 2" xfId="37919"/>
    <cellStyle name="Comma 15 2 2 5 2 3 3" xfId="37920"/>
    <cellStyle name="Comma 15 2 2 5 2 4" xfId="37921"/>
    <cellStyle name="Comma 15 2 2 5 2 4 2" xfId="37922"/>
    <cellStyle name="Comma 15 2 2 5 2 5" xfId="37923"/>
    <cellStyle name="Comma 15 2 2 5 2 6" xfId="37924"/>
    <cellStyle name="Comma 15 2 2 5 3" xfId="37925"/>
    <cellStyle name="Comma 15 2 2 5 3 2" xfId="37926"/>
    <cellStyle name="Comma 15 2 2 5 3 2 2" xfId="37927"/>
    <cellStyle name="Comma 15 2 2 5 3 2 3" xfId="37928"/>
    <cellStyle name="Comma 15 2 2 5 3 3" xfId="37929"/>
    <cellStyle name="Comma 15 2 2 5 3 3 2" xfId="37930"/>
    <cellStyle name="Comma 15 2 2 5 3 3 3" xfId="37931"/>
    <cellStyle name="Comma 15 2 2 5 3 4" xfId="37932"/>
    <cellStyle name="Comma 15 2 2 5 3 4 2" xfId="37933"/>
    <cellStyle name="Comma 15 2 2 5 3 5" xfId="37934"/>
    <cellStyle name="Comma 15 2 2 5 3 6" xfId="37935"/>
    <cellStyle name="Comma 15 2 2 5 4" xfId="37936"/>
    <cellStyle name="Comma 15 2 2 5 4 2" xfId="37937"/>
    <cellStyle name="Comma 15 2 2 5 4 2 2" xfId="37938"/>
    <cellStyle name="Comma 15 2 2 5 4 2 3" xfId="37939"/>
    <cellStyle name="Comma 15 2 2 5 4 3" xfId="37940"/>
    <cellStyle name="Comma 15 2 2 5 4 3 2" xfId="37941"/>
    <cellStyle name="Comma 15 2 2 5 4 4" xfId="37942"/>
    <cellStyle name="Comma 15 2 2 5 4 5" xfId="37943"/>
    <cellStyle name="Comma 15 2 2 5 5" xfId="37944"/>
    <cellStyle name="Comma 15 2 2 5 5 2" xfId="37945"/>
    <cellStyle name="Comma 15 2 2 5 5 3" xfId="37946"/>
    <cellStyle name="Comma 15 2 2 5 6" xfId="37947"/>
    <cellStyle name="Comma 15 2 2 5 6 2" xfId="37948"/>
    <cellStyle name="Comma 15 2 2 5 6 3" xfId="37949"/>
    <cellStyle name="Comma 15 2 2 5 7" xfId="37950"/>
    <cellStyle name="Comma 15 2 2 5 7 2" xfId="37951"/>
    <cellStyle name="Comma 15 2 2 5 8" xfId="37952"/>
    <cellStyle name="Comma 15 2 2 5 9" xfId="37953"/>
    <cellStyle name="Comma 15 2 2 6" xfId="37954"/>
    <cellStyle name="Comma 15 2 2 6 2" xfId="37955"/>
    <cellStyle name="Comma 15 2 2 6 2 2" xfId="37956"/>
    <cellStyle name="Comma 15 2 2 6 2 3" xfId="37957"/>
    <cellStyle name="Comma 15 2 2 6 3" xfId="37958"/>
    <cellStyle name="Comma 15 2 2 6 3 2" xfId="37959"/>
    <cellStyle name="Comma 15 2 2 6 3 3" xfId="37960"/>
    <cellStyle name="Comma 15 2 2 6 4" xfId="37961"/>
    <cellStyle name="Comma 15 2 2 6 4 2" xfId="37962"/>
    <cellStyle name="Comma 15 2 2 6 5" xfId="37963"/>
    <cellStyle name="Comma 15 2 2 6 6" xfId="37964"/>
    <cellStyle name="Comma 15 2 2 7" xfId="37965"/>
    <cellStyle name="Comma 15 2 2 7 2" xfId="37966"/>
    <cellStyle name="Comma 15 2 2 7 2 2" xfId="37967"/>
    <cellStyle name="Comma 15 2 2 7 2 3" xfId="37968"/>
    <cellStyle name="Comma 15 2 2 7 3" xfId="37969"/>
    <cellStyle name="Comma 15 2 2 7 3 2" xfId="37970"/>
    <cellStyle name="Comma 15 2 2 7 3 3" xfId="37971"/>
    <cellStyle name="Comma 15 2 2 7 4" xfId="37972"/>
    <cellStyle name="Comma 15 2 2 7 4 2" xfId="37973"/>
    <cellStyle name="Comma 15 2 2 7 5" xfId="37974"/>
    <cellStyle name="Comma 15 2 2 7 6" xfId="37975"/>
    <cellStyle name="Comma 15 2 2 8" xfId="37976"/>
    <cellStyle name="Comma 15 2 2 8 2" xfId="37977"/>
    <cellStyle name="Comma 15 2 2 8 2 2" xfId="37978"/>
    <cellStyle name="Comma 15 2 2 8 2 3" xfId="37979"/>
    <cellStyle name="Comma 15 2 2 8 3" xfId="37980"/>
    <cellStyle name="Comma 15 2 2 8 3 2" xfId="37981"/>
    <cellStyle name="Comma 15 2 2 8 4" xfId="37982"/>
    <cellStyle name="Comma 15 2 2 8 5" xfId="37983"/>
    <cellStyle name="Comma 15 2 2 9" xfId="37984"/>
    <cellStyle name="Comma 15 2 2 9 2" xfId="37985"/>
    <cellStyle name="Comma 15 2 2 9 3" xfId="37986"/>
    <cellStyle name="Comma 15 2 3" xfId="37987"/>
    <cellStyle name="Comma 15 2 3 10" xfId="37988"/>
    <cellStyle name="Comma 15 2 3 10 2" xfId="37989"/>
    <cellStyle name="Comma 15 2 3 11" xfId="37990"/>
    <cellStyle name="Comma 15 2 3 12" xfId="37991"/>
    <cellStyle name="Comma 15 2 3 2" xfId="37992"/>
    <cellStyle name="Comma 15 2 3 2 10" xfId="37993"/>
    <cellStyle name="Comma 15 2 3 2 2" xfId="37994"/>
    <cellStyle name="Comma 15 2 3 2 2 2" xfId="37995"/>
    <cellStyle name="Comma 15 2 3 2 2 2 2" xfId="37996"/>
    <cellStyle name="Comma 15 2 3 2 2 2 2 2" xfId="37997"/>
    <cellStyle name="Comma 15 2 3 2 2 2 2 3" xfId="37998"/>
    <cellStyle name="Comma 15 2 3 2 2 2 3" xfId="37999"/>
    <cellStyle name="Comma 15 2 3 2 2 2 3 2" xfId="38000"/>
    <cellStyle name="Comma 15 2 3 2 2 2 3 3" xfId="38001"/>
    <cellStyle name="Comma 15 2 3 2 2 2 4" xfId="38002"/>
    <cellStyle name="Comma 15 2 3 2 2 2 4 2" xfId="38003"/>
    <cellStyle name="Comma 15 2 3 2 2 2 5" xfId="38004"/>
    <cellStyle name="Comma 15 2 3 2 2 2 6" xfId="38005"/>
    <cellStyle name="Comma 15 2 3 2 2 3" xfId="38006"/>
    <cellStyle name="Comma 15 2 3 2 2 3 2" xfId="38007"/>
    <cellStyle name="Comma 15 2 3 2 2 3 2 2" xfId="38008"/>
    <cellStyle name="Comma 15 2 3 2 2 3 2 3" xfId="38009"/>
    <cellStyle name="Comma 15 2 3 2 2 3 3" xfId="38010"/>
    <cellStyle name="Comma 15 2 3 2 2 3 3 2" xfId="38011"/>
    <cellStyle name="Comma 15 2 3 2 2 3 3 3" xfId="38012"/>
    <cellStyle name="Comma 15 2 3 2 2 3 4" xfId="38013"/>
    <cellStyle name="Comma 15 2 3 2 2 3 4 2" xfId="38014"/>
    <cellStyle name="Comma 15 2 3 2 2 3 5" xfId="38015"/>
    <cellStyle name="Comma 15 2 3 2 2 3 6" xfId="38016"/>
    <cellStyle name="Comma 15 2 3 2 2 4" xfId="38017"/>
    <cellStyle name="Comma 15 2 3 2 2 4 2" xfId="38018"/>
    <cellStyle name="Comma 15 2 3 2 2 4 2 2" xfId="38019"/>
    <cellStyle name="Comma 15 2 3 2 2 4 2 3" xfId="38020"/>
    <cellStyle name="Comma 15 2 3 2 2 4 3" xfId="38021"/>
    <cellStyle name="Comma 15 2 3 2 2 4 3 2" xfId="38022"/>
    <cellStyle name="Comma 15 2 3 2 2 4 4" xfId="38023"/>
    <cellStyle name="Comma 15 2 3 2 2 4 5" xfId="38024"/>
    <cellStyle name="Comma 15 2 3 2 2 5" xfId="38025"/>
    <cellStyle name="Comma 15 2 3 2 2 5 2" xfId="38026"/>
    <cellStyle name="Comma 15 2 3 2 2 5 3" xfId="38027"/>
    <cellStyle name="Comma 15 2 3 2 2 6" xfId="38028"/>
    <cellStyle name="Comma 15 2 3 2 2 6 2" xfId="38029"/>
    <cellStyle name="Comma 15 2 3 2 2 6 3" xfId="38030"/>
    <cellStyle name="Comma 15 2 3 2 2 7" xfId="38031"/>
    <cellStyle name="Comma 15 2 3 2 2 7 2" xfId="38032"/>
    <cellStyle name="Comma 15 2 3 2 2 8" xfId="38033"/>
    <cellStyle name="Comma 15 2 3 2 2 9" xfId="38034"/>
    <cellStyle name="Comma 15 2 3 2 3" xfId="38035"/>
    <cellStyle name="Comma 15 2 3 2 3 2" xfId="38036"/>
    <cellStyle name="Comma 15 2 3 2 3 2 2" xfId="38037"/>
    <cellStyle name="Comma 15 2 3 2 3 2 3" xfId="38038"/>
    <cellStyle name="Comma 15 2 3 2 3 3" xfId="38039"/>
    <cellStyle name="Comma 15 2 3 2 3 3 2" xfId="38040"/>
    <cellStyle name="Comma 15 2 3 2 3 3 3" xfId="38041"/>
    <cellStyle name="Comma 15 2 3 2 3 4" xfId="38042"/>
    <cellStyle name="Comma 15 2 3 2 3 4 2" xfId="38043"/>
    <cellStyle name="Comma 15 2 3 2 3 5" xfId="38044"/>
    <cellStyle name="Comma 15 2 3 2 3 6" xfId="38045"/>
    <cellStyle name="Comma 15 2 3 2 4" xfId="38046"/>
    <cellStyle name="Comma 15 2 3 2 4 2" xfId="38047"/>
    <cellStyle name="Comma 15 2 3 2 4 2 2" xfId="38048"/>
    <cellStyle name="Comma 15 2 3 2 4 2 3" xfId="38049"/>
    <cellStyle name="Comma 15 2 3 2 4 3" xfId="38050"/>
    <cellStyle name="Comma 15 2 3 2 4 3 2" xfId="38051"/>
    <cellStyle name="Comma 15 2 3 2 4 3 3" xfId="38052"/>
    <cellStyle name="Comma 15 2 3 2 4 4" xfId="38053"/>
    <cellStyle name="Comma 15 2 3 2 4 4 2" xfId="38054"/>
    <cellStyle name="Comma 15 2 3 2 4 5" xfId="38055"/>
    <cellStyle name="Comma 15 2 3 2 4 6" xfId="38056"/>
    <cellStyle name="Comma 15 2 3 2 5" xfId="38057"/>
    <cellStyle name="Comma 15 2 3 2 5 2" xfId="38058"/>
    <cellStyle name="Comma 15 2 3 2 5 2 2" xfId="38059"/>
    <cellStyle name="Comma 15 2 3 2 5 2 3" xfId="38060"/>
    <cellStyle name="Comma 15 2 3 2 5 3" xfId="38061"/>
    <cellStyle name="Comma 15 2 3 2 5 3 2" xfId="38062"/>
    <cellStyle name="Comma 15 2 3 2 5 4" xfId="38063"/>
    <cellStyle name="Comma 15 2 3 2 5 5" xfId="38064"/>
    <cellStyle name="Comma 15 2 3 2 6" xfId="38065"/>
    <cellStyle name="Comma 15 2 3 2 6 2" xfId="38066"/>
    <cellStyle name="Comma 15 2 3 2 6 3" xfId="38067"/>
    <cellStyle name="Comma 15 2 3 2 7" xfId="38068"/>
    <cellStyle name="Comma 15 2 3 2 7 2" xfId="38069"/>
    <cellStyle name="Comma 15 2 3 2 7 3" xfId="38070"/>
    <cellStyle name="Comma 15 2 3 2 8" xfId="38071"/>
    <cellStyle name="Comma 15 2 3 2 8 2" xfId="38072"/>
    <cellStyle name="Comma 15 2 3 2 9" xfId="38073"/>
    <cellStyle name="Comma 15 2 3 3" xfId="38074"/>
    <cellStyle name="Comma 15 2 3 3 2" xfId="38075"/>
    <cellStyle name="Comma 15 2 3 3 2 2" xfId="38076"/>
    <cellStyle name="Comma 15 2 3 3 2 2 2" xfId="38077"/>
    <cellStyle name="Comma 15 2 3 3 2 2 3" xfId="38078"/>
    <cellStyle name="Comma 15 2 3 3 2 3" xfId="38079"/>
    <cellStyle name="Comma 15 2 3 3 2 3 2" xfId="38080"/>
    <cellStyle name="Comma 15 2 3 3 2 3 3" xfId="38081"/>
    <cellStyle name="Comma 15 2 3 3 2 4" xfId="38082"/>
    <cellStyle name="Comma 15 2 3 3 2 4 2" xfId="38083"/>
    <cellStyle name="Comma 15 2 3 3 2 5" xfId="38084"/>
    <cellStyle name="Comma 15 2 3 3 2 6" xfId="38085"/>
    <cellStyle name="Comma 15 2 3 3 3" xfId="38086"/>
    <cellStyle name="Comma 15 2 3 3 3 2" xfId="38087"/>
    <cellStyle name="Comma 15 2 3 3 3 2 2" xfId="38088"/>
    <cellStyle name="Comma 15 2 3 3 3 2 3" xfId="38089"/>
    <cellStyle name="Comma 15 2 3 3 3 3" xfId="38090"/>
    <cellStyle name="Comma 15 2 3 3 3 3 2" xfId="38091"/>
    <cellStyle name="Comma 15 2 3 3 3 3 3" xfId="38092"/>
    <cellStyle name="Comma 15 2 3 3 3 4" xfId="38093"/>
    <cellStyle name="Comma 15 2 3 3 3 4 2" xfId="38094"/>
    <cellStyle name="Comma 15 2 3 3 3 5" xfId="38095"/>
    <cellStyle name="Comma 15 2 3 3 3 6" xfId="38096"/>
    <cellStyle name="Comma 15 2 3 3 4" xfId="38097"/>
    <cellStyle name="Comma 15 2 3 3 4 2" xfId="38098"/>
    <cellStyle name="Comma 15 2 3 3 4 2 2" xfId="38099"/>
    <cellStyle name="Comma 15 2 3 3 4 2 3" xfId="38100"/>
    <cellStyle name="Comma 15 2 3 3 4 3" xfId="38101"/>
    <cellStyle name="Comma 15 2 3 3 4 3 2" xfId="38102"/>
    <cellStyle name="Comma 15 2 3 3 4 4" xfId="38103"/>
    <cellStyle name="Comma 15 2 3 3 4 5" xfId="38104"/>
    <cellStyle name="Comma 15 2 3 3 5" xfId="38105"/>
    <cellStyle name="Comma 15 2 3 3 5 2" xfId="38106"/>
    <cellStyle name="Comma 15 2 3 3 5 3" xfId="38107"/>
    <cellStyle name="Comma 15 2 3 3 6" xfId="38108"/>
    <cellStyle name="Comma 15 2 3 3 6 2" xfId="38109"/>
    <cellStyle name="Comma 15 2 3 3 6 3" xfId="38110"/>
    <cellStyle name="Comma 15 2 3 3 7" xfId="38111"/>
    <cellStyle name="Comma 15 2 3 3 7 2" xfId="38112"/>
    <cellStyle name="Comma 15 2 3 3 8" xfId="38113"/>
    <cellStyle name="Comma 15 2 3 3 9" xfId="38114"/>
    <cellStyle name="Comma 15 2 3 4" xfId="38115"/>
    <cellStyle name="Comma 15 2 3 4 2" xfId="38116"/>
    <cellStyle name="Comma 15 2 3 4 2 2" xfId="38117"/>
    <cellStyle name="Comma 15 2 3 4 2 2 2" xfId="38118"/>
    <cellStyle name="Comma 15 2 3 4 2 2 3" xfId="38119"/>
    <cellStyle name="Comma 15 2 3 4 2 3" xfId="38120"/>
    <cellStyle name="Comma 15 2 3 4 2 3 2" xfId="38121"/>
    <cellStyle name="Comma 15 2 3 4 2 3 3" xfId="38122"/>
    <cellStyle name="Comma 15 2 3 4 2 4" xfId="38123"/>
    <cellStyle name="Comma 15 2 3 4 2 4 2" xfId="38124"/>
    <cellStyle name="Comma 15 2 3 4 2 5" xfId="38125"/>
    <cellStyle name="Comma 15 2 3 4 2 6" xfId="38126"/>
    <cellStyle name="Comma 15 2 3 4 3" xfId="38127"/>
    <cellStyle name="Comma 15 2 3 4 3 2" xfId="38128"/>
    <cellStyle name="Comma 15 2 3 4 3 2 2" xfId="38129"/>
    <cellStyle name="Comma 15 2 3 4 3 2 3" xfId="38130"/>
    <cellStyle name="Comma 15 2 3 4 3 3" xfId="38131"/>
    <cellStyle name="Comma 15 2 3 4 3 3 2" xfId="38132"/>
    <cellStyle name="Comma 15 2 3 4 3 3 3" xfId="38133"/>
    <cellStyle name="Comma 15 2 3 4 3 4" xfId="38134"/>
    <cellStyle name="Comma 15 2 3 4 3 4 2" xfId="38135"/>
    <cellStyle name="Comma 15 2 3 4 3 5" xfId="38136"/>
    <cellStyle name="Comma 15 2 3 4 3 6" xfId="38137"/>
    <cellStyle name="Comma 15 2 3 4 4" xfId="38138"/>
    <cellStyle name="Comma 15 2 3 4 4 2" xfId="38139"/>
    <cellStyle name="Comma 15 2 3 4 4 2 2" xfId="38140"/>
    <cellStyle name="Comma 15 2 3 4 4 2 3" xfId="38141"/>
    <cellStyle name="Comma 15 2 3 4 4 3" xfId="38142"/>
    <cellStyle name="Comma 15 2 3 4 4 3 2" xfId="38143"/>
    <cellStyle name="Comma 15 2 3 4 4 4" xfId="38144"/>
    <cellStyle name="Comma 15 2 3 4 4 5" xfId="38145"/>
    <cellStyle name="Comma 15 2 3 4 5" xfId="38146"/>
    <cellStyle name="Comma 15 2 3 4 5 2" xfId="38147"/>
    <cellStyle name="Comma 15 2 3 4 5 3" xfId="38148"/>
    <cellStyle name="Comma 15 2 3 4 6" xfId="38149"/>
    <cellStyle name="Comma 15 2 3 4 6 2" xfId="38150"/>
    <cellStyle name="Comma 15 2 3 4 6 3" xfId="38151"/>
    <cellStyle name="Comma 15 2 3 4 7" xfId="38152"/>
    <cellStyle name="Comma 15 2 3 4 7 2" xfId="38153"/>
    <cellStyle name="Comma 15 2 3 4 8" xfId="38154"/>
    <cellStyle name="Comma 15 2 3 4 9" xfId="38155"/>
    <cellStyle name="Comma 15 2 3 5" xfId="38156"/>
    <cellStyle name="Comma 15 2 3 5 2" xfId="38157"/>
    <cellStyle name="Comma 15 2 3 5 2 2" xfId="38158"/>
    <cellStyle name="Comma 15 2 3 5 2 3" xfId="38159"/>
    <cellStyle name="Comma 15 2 3 5 3" xfId="38160"/>
    <cellStyle name="Comma 15 2 3 5 3 2" xfId="38161"/>
    <cellStyle name="Comma 15 2 3 5 3 3" xfId="38162"/>
    <cellStyle name="Comma 15 2 3 5 4" xfId="38163"/>
    <cellStyle name="Comma 15 2 3 5 4 2" xfId="38164"/>
    <cellStyle name="Comma 15 2 3 5 5" xfId="38165"/>
    <cellStyle name="Comma 15 2 3 5 6" xfId="38166"/>
    <cellStyle name="Comma 15 2 3 6" xfId="38167"/>
    <cellStyle name="Comma 15 2 3 6 2" xfId="38168"/>
    <cellStyle name="Comma 15 2 3 6 2 2" xfId="38169"/>
    <cellStyle name="Comma 15 2 3 6 2 3" xfId="38170"/>
    <cellStyle name="Comma 15 2 3 6 3" xfId="38171"/>
    <cellStyle name="Comma 15 2 3 6 3 2" xfId="38172"/>
    <cellStyle name="Comma 15 2 3 6 3 3" xfId="38173"/>
    <cellStyle name="Comma 15 2 3 6 4" xfId="38174"/>
    <cellStyle name="Comma 15 2 3 6 4 2" xfId="38175"/>
    <cellStyle name="Comma 15 2 3 6 5" xfId="38176"/>
    <cellStyle name="Comma 15 2 3 6 6" xfId="38177"/>
    <cellStyle name="Comma 15 2 3 7" xfId="38178"/>
    <cellStyle name="Comma 15 2 3 7 2" xfId="38179"/>
    <cellStyle name="Comma 15 2 3 7 2 2" xfId="38180"/>
    <cellStyle name="Comma 15 2 3 7 2 3" xfId="38181"/>
    <cellStyle name="Comma 15 2 3 7 3" xfId="38182"/>
    <cellStyle name="Comma 15 2 3 7 3 2" xfId="38183"/>
    <cellStyle name="Comma 15 2 3 7 4" xfId="38184"/>
    <cellStyle name="Comma 15 2 3 7 5" xfId="38185"/>
    <cellStyle name="Comma 15 2 3 8" xfId="38186"/>
    <cellStyle name="Comma 15 2 3 8 2" xfId="38187"/>
    <cellStyle name="Comma 15 2 3 8 3" xfId="38188"/>
    <cellStyle name="Comma 15 2 3 9" xfId="38189"/>
    <cellStyle name="Comma 15 2 3 9 2" xfId="38190"/>
    <cellStyle name="Comma 15 2 3 9 3" xfId="38191"/>
    <cellStyle name="Comma 15 2 4" xfId="38192"/>
    <cellStyle name="Comma 15 2 4 10" xfId="38193"/>
    <cellStyle name="Comma 15 2 4 2" xfId="38194"/>
    <cellStyle name="Comma 15 2 4 2 2" xfId="38195"/>
    <cellStyle name="Comma 15 2 4 2 2 2" xfId="38196"/>
    <cellStyle name="Comma 15 2 4 2 2 2 2" xfId="38197"/>
    <cellStyle name="Comma 15 2 4 2 2 2 3" xfId="38198"/>
    <cellStyle name="Comma 15 2 4 2 2 3" xfId="38199"/>
    <cellStyle name="Comma 15 2 4 2 2 3 2" xfId="38200"/>
    <cellStyle name="Comma 15 2 4 2 2 3 3" xfId="38201"/>
    <cellStyle name="Comma 15 2 4 2 2 4" xfId="38202"/>
    <cellStyle name="Comma 15 2 4 2 2 4 2" xfId="38203"/>
    <cellStyle name="Comma 15 2 4 2 2 5" xfId="38204"/>
    <cellStyle name="Comma 15 2 4 2 2 6" xfId="38205"/>
    <cellStyle name="Comma 15 2 4 2 3" xfId="38206"/>
    <cellStyle name="Comma 15 2 4 2 3 2" xfId="38207"/>
    <cellStyle name="Comma 15 2 4 2 3 2 2" xfId="38208"/>
    <cellStyle name="Comma 15 2 4 2 3 2 3" xfId="38209"/>
    <cellStyle name="Comma 15 2 4 2 3 3" xfId="38210"/>
    <cellStyle name="Comma 15 2 4 2 3 3 2" xfId="38211"/>
    <cellStyle name="Comma 15 2 4 2 3 3 3" xfId="38212"/>
    <cellStyle name="Comma 15 2 4 2 3 4" xfId="38213"/>
    <cellStyle name="Comma 15 2 4 2 3 4 2" xfId="38214"/>
    <cellStyle name="Comma 15 2 4 2 3 5" xfId="38215"/>
    <cellStyle name="Comma 15 2 4 2 3 6" xfId="38216"/>
    <cellStyle name="Comma 15 2 4 2 4" xfId="38217"/>
    <cellStyle name="Comma 15 2 4 2 4 2" xfId="38218"/>
    <cellStyle name="Comma 15 2 4 2 4 2 2" xfId="38219"/>
    <cellStyle name="Comma 15 2 4 2 4 2 3" xfId="38220"/>
    <cellStyle name="Comma 15 2 4 2 4 3" xfId="38221"/>
    <cellStyle name="Comma 15 2 4 2 4 3 2" xfId="38222"/>
    <cellStyle name="Comma 15 2 4 2 4 4" xfId="38223"/>
    <cellStyle name="Comma 15 2 4 2 4 5" xfId="38224"/>
    <cellStyle name="Comma 15 2 4 2 5" xfId="38225"/>
    <cellStyle name="Comma 15 2 4 2 5 2" xfId="38226"/>
    <cellStyle name="Comma 15 2 4 2 5 3" xfId="38227"/>
    <cellStyle name="Comma 15 2 4 2 6" xfId="38228"/>
    <cellStyle name="Comma 15 2 4 2 6 2" xfId="38229"/>
    <cellStyle name="Comma 15 2 4 2 6 3" xfId="38230"/>
    <cellStyle name="Comma 15 2 4 2 7" xfId="38231"/>
    <cellStyle name="Comma 15 2 4 2 7 2" xfId="38232"/>
    <cellStyle name="Comma 15 2 4 2 8" xfId="38233"/>
    <cellStyle name="Comma 15 2 4 2 9" xfId="38234"/>
    <cellStyle name="Comma 15 2 4 3" xfId="38235"/>
    <cellStyle name="Comma 15 2 4 3 2" xfId="38236"/>
    <cellStyle name="Comma 15 2 4 3 2 2" xfId="38237"/>
    <cellStyle name="Comma 15 2 4 3 2 3" xfId="38238"/>
    <cellStyle name="Comma 15 2 4 3 3" xfId="38239"/>
    <cellStyle name="Comma 15 2 4 3 3 2" xfId="38240"/>
    <cellStyle name="Comma 15 2 4 3 3 3" xfId="38241"/>
    <cellStyle name="Comma 15 2 4 3 4" xfId="38242"/>
    <cellStyle name="Comma 15 2 4 3 4 2" xfId="38243"/>
    <cellStyle name="Comma 15 2 4 3 5" xfId="38244"/>
    <cellStyle name="Comma 15 2 4 3 6" xfId="38245"/>
    <cellStyle name="Comma 15 2 4 4" xfId="38246"/>
    <cellStyle name="Comma 15 2 4 4 2" xfId="38247"/>
    <cellStyle name="Comma 15 2 4 4 2 2" xfId="38248"/>
    <cellStyle name="Comma 15 2 4 4 2 3" xfId="38249"/>
    <cellStyle name="Comma 15 2 4 4 3" xfId="38250"/>
    <cellStyle name="Comma 15 2 4 4 3 2" xfId="38251"/>
    <cellStyle name="Comma 15 2 4 4 3 3" xfId="38252"/>
    <cellStyle name="Comma 15 2 4 4 4" xfId="38253"/>
    <cellStyle name="Comma 15 2 4 4 4 2" xfId="38254"/>
    <cellStyle name="Comma 15 2 4 4 5" xfId="38255"/>
    <cellStyle name="Comma 15 2 4 4 6" xfId="38256"/>
    <cellStyle name="Comma 15 2 4 5" xfId="38257"/>
    <cellStyle name="Comma 15 2 4 5 2" xfId="38258"/>
    <cellStyle name="Comma 15 2 4 5 2 2" xfId="38259"/>
    <cellStyle name="Comma 15 2 4 5 2 3" xfId="38260"/>
    <cellStyle name="Comma 15 2 4 5 3" xfId="38261"/>
    <cellStyle name="Comma 15 2 4 5 3 2" xfId="38262"/>
    <cellStyle name="Comma 15 2 4 5 4" xfId="38263"/>
    <cellStyle name="Comma 15 2 4 5 5" xfId="38264"/>
    <cellStyle name="Comma 15 2 4 6" xfId="38265"/>
    <cellStyle name="Comma 15 2 4 6 2" xfId="38266"/>
    <cellStyle name="Comma 15 2 4 6 3" xfId="38267"/>
    <cellStyle name="Comma 15 2 4 7" xfId="38268"/>
    <cellStyle name="Comma 15 2 4 7 2" xfId="38269"/>
    <cellStyle name="Comma 15 2 4 7 3" xfId="38270"/>
    <cellStyle name="Comma 15 2 4 8" xfId="38271"/>
    <cellStyle name="Comma 15 2 4 8 2" xfId="38272"/>
    <cellStyle name="Comma 15 2 4 9" xfId="38273"/>
    <cellStyle name="Comma 15 2 5" xfId="38274"/>
    <cellStyle name="Comma 15 2 5 2" xfId="38275"/>
    <cellStyle name="Comma 15 2 5 2 2" xfId="38276"/>
    <cellStyle name="Comma 15 2 5 2 2 2" xfId="38277"/>
    <cellStyle name="Comma 15 2 5 2 2 3" xfId="38278"/>
    <cellStyle name="Comma 15 2 5 2 3" xfId="38279"/>
    <cellStyle name="Comma 15 2 5 2 3 2" xfId="38280"/>
    <cellStyle name="Comma 15 2 5 2 3 3" xfId="38281"/>
    <cellStyle name="Comma 15 2 5 2 4" xfId="38282"/>
    <cellStyle name="Comma 15 2 5 2 4 2" xfId="38283"/>
    <cellStyle name="Comma 15 2 5 2 5" xfId="38284"/>
    <cellStyle name="Comma 15 2 5 2 6" xfId="38285"/>
    <cellStyle name="Comma 15 2 5 3" xfId="38286"/>
    <cellStyle name="Comma 15 2 5 3 2" xfId="38287"/>
    <cellStyle name="Comma 15 2 5 3 2 2" xfId="38288"/>
    <cellStyle name="Comma 15 2 5 3 2 3" xfId="38289"/>
    <cellStyle name="Comma 15 2 5 3 3" xfId="38290"/>
    <cellStyle name="Comma 15 2 5 3 3 2" xfId="38291"/>
    <cellStyle name="Comma 15 2 5 3 3 3" xfId="38292"/>
    <cellStyle name="Comma 15 2 5 3 4" xfId="38293"/>
    <cellStyle name="Comma 15 2 5 3 4 2" xfId="38294"/>
    <cellStyle name="Comma 15 2 5 3 5" xfId="38295"/>
    <cellStyle name="Comma 15 2 5 3 6" xfId="38296"/>
    <cellStyle name="Comma 15 2 5 4" xfId="38297"/>
    <cellStyle name="Comma 15 2 5 4 2" xfId="38298"/>
    <cellStyle name="Comma 15 2 5 4 2 2" xfId="38299"/>
    <cellStyle name="Comma 15 2 5 4 2 3" xfId="38300"/>
    <cellStyle name="Comma 15 2 5 4 3" xfId="38301"/>
    <cellStyle name="Comma 15 2 5 4 3 2" xfId="38302"/>
    <cellStyle name="Comma 15 2 5 4 4" xfId="38303"/>
    <cellStyle name="Comma 15 2 5 4 5" xfId="38304"/>
    <cellStyle name="Comma 15 2 5 5" xfId="38305"/>
    <cellStyle name="Comma 15 2 5 5 2" xfId="38306"/>
    <cellStyle name="Comma 15 2 5 5 3" xfId="38307"/>
    <cellStyle name="Comma 15 2 5 6" xfId="38308"/>
    <cellStyle name="Comma 15 2 5 6 2" xfId="38309"/>
    <cellStyle name="Comma 15 2 5 6 3" xfId="38310"/>
    <cellStyle name="Comma 15 2 5 7" xfId="38311"/>
    <cellStyle name="Comma 15 2 5 7 2" xfId="38312"/>
    <cellStyle name="Comma 15 2 5 8" xfId="38313"/>
    <cellStyle name="Comma 15 2 5 9" xfId="38314"/>
    <cellStyle name="Comma 15 2 6" xfId="38315"/>
    <cellStyle name="Comma 15 2 6 2" xfId="38316"/>
    <cellStyle name="Comma 15 2 6 2 2" xfId="38317"/>
    <cellStyle name="Comma 15 2 6 2 2 2" xfId="38318"/>
    <cellStyle name="Comma 15 2 6 2 2 3" xfId="38319"/>
    <cellStyle name="Comma 15 2 6 2 3" xfId="38320"/>
    <cellStyle name="Comma 15 2 6 2 3 2" xfId="38321"/>
    <cellStyle name="Comma 15 2 6 2 3 3" xfId="38322"/>
    <cellStyle name="Comma 15 2 6 2 4" xfId="38323"/>
    <cellStyle name="Comma 15 2 6 2 4 2" xfId="38324"/>
    <cellStyle name="Comma 15 2 6 2 5" xfId="38325"/>
    <cellStyle name="Comma 15 2 6 2 6" xfId="38326"/>
    <cellStyle name="Comma 15 2 6 3" xfId="38327"/>
    <cellStyle name="Comma 15 2 6 3 2" xfId="38328"/>
    <cellStyle name="Comma 15 2 6 3 2 2" xfId="38329"/>
    <cellStyle name="Comma 15 2 6 3 2 3" xfId="38330"/>
    <cellStyle name="Comma 15 2 6 3 3" xfId="38331"/>
    <cellStyle name="Comma 15 2 6 3 3 2" xfId="38332"/>
    <cellStyle name="Comma 15 2 6 3 3 3" xfId="38333"/>
    <cellStyle name="Comma 15 2 6 3 4" xfId="38334"/>
    <cellStyle name="Comma 15 2 6 3 4 2" xfId="38335"/>
    <cellStyle name="Comma 15 2 6 3 5" xfId="38336"/>
    <cellStyle name="Comma 15 2 6 3 6" xfId="38337"/>
    <cellStyle name="Comma 15 2 6 4" xfId="38338"/>
    <cellStyle name="Comma 15 2 6 4 2" xfId="38339"/>
    <cellStyle name="Comma 15 2 6 4 2 2" xfId="38340"/>
    <cellStyle name="Comma 15 2 6 4 2 3" xfId="38341"/>
    <cellStyle name="Comma 15 2 6 4 3" xfId="38342"/>
    <cellStyle name="Comma 15 2 6 4 3 2" xfId="38343"/>
    <cellStyle name="Comma 15 2 6 4 4" xfId="38344"/>
    <cellStyle name="Comma 15 2 6 4 5" xfId="38345"/>
    <cellStyle name="Comma 15 2 6 5" xfId="38346"/>
    <cellStyle name="Comma 15 2 6 5 2" xfId="38347"/>
    <cellStyle name="Comma 15 2 6 5 3" xfId="38348"/>
    <cellStyle name="Comma 15 2 6 6" xfId="38349"/>
    <cellStyle name="Comma 15 2 6 6 2" xfId="38350"/>
    <cellStyle name="Comma 15 2 6 6 3" xfId="38351"/>
    <cellStyle name="Comma 15 2 6 7" xfId="38352"/>
    <cellStyle name="Comma 15 2 6 7 2" xfId="38353"/>
    <cellStyle name="Comma 15 2 6 8" xfId="38354"/>
    <cellStyle name="Comma 15 2 6 9" xfId="38355"/>
    <cellStyle name="Comma 15 2 7" xfId="38356"/>
    <cellStyle name="Comma 15 2 7 2" xfId="38357"/>
    <cellStyle name="Comma 15 2 7 2 2" xfId="38358"/>
    <cellStyle name="Comma 15 2 7 2 3" xfId="38359"/>
    <cellStyle name="Comma 15 2 7 3" xfId="38360"/>
    <cellStyle name="Comma 15 2 7 3 2" xfId="38361"/>
    <cellStyle name="Comma 15 2 7 3 3" xfId="38362"/>
    <cellStyle name="Comma 15 2 7 4" xfId="38363"/>
    <cellStyle name="Comma 15 2 7 4 2" xfId="38364"/>
    <cellStyle name="Comma 15 2 7 5" xfId="38365"/>
    <cellStyle name="Comma 15 2 7 6" xfId="38366"/>
    <cellStyle name="Comma 15 2 8" xfId="38367"/>
    <cellStyle name="Comma 15 2 8 2" xfId="38368"/>
    <cellStyle name="Comma 15 2 8 2 2" xfId="38369"/>
    <cellStyle name="Comma 15 2 8 2 3" xfId="38370"/>
    <cellStyle name="Comma 15 2 8 3" xfId="38371"/>
    <cellStyle name="Comma 15 2 8 3 2" xfId="38372"/>
    <cellStyle name="Comma 15 2 8 3 3" xfId="38373"/>
    <cellStyle name="Comma 15 2 8 4" xfId="38374"/>
    <cellStyle name="Comma 15 2 8 4 2" xfId="38375"/>
    <cellStyle name="Comma 15 2 8 5" xfId="38376"/>
    <cellStyle name="Comma 15 2 8 6" xfId="38377"/>
    <cellStyle name="Comma 15 2 9" xfId="38378"/>
    <cellStyle name="Comma 15 2 9 2" xfId="38379"/>
    <cellStyle name="Comma 15 2 9 2 2" xfId="38380"/>
    <cellStyle name="Comma 15 2 9 2 3" xfId="38381"/>
    <cellStyle name="Comma 15 2 9 3" xfId="38382"/>
    <cellStyle name="Comma 15 2 9 3 2" xfId="38383"/>
    <cellStyle name="Comma 15 2 9 4" xfId="38384"/>
    <cellStyle name="Comma 15 2 9 5" xfId="38385"/>
    <cellStyle name="Comma 15 3" xfId="8808"/>
    <cellStyle name="Comma 15 3 10" xfId="38386"/>
    <cellStyle name="Comma 15 3 10 2" xfId="38387"/>
    <cellStyle name="Comma 15 3 10 3" xfId="38388"/>
    <cellStyle name="Comma 15 3 11" xfId="38389"/>
    <cellStyle name="Comma 15 3 11 2" xfId="38390"/>
    <cellStyle name="Comma 15 3 12" xfId="38391"/>
    <cellStyle name="Comma 15 3 13" xfId="38392"/>
    <cellStyle name="Comma 15 3 2" xfId="38393"/>
    <cellStyle name="Comma 15 3 2 10" xfId="38394"/>
    <cellStyle name="Comma 15 3 2 10 2" xfId="38395"/>
    <cellStyle name="Comma 15 3 2 11" xfId="38396"/>
    <cellStyle name="Comma 15 3 2 12" xfId="38397"/>
    <cellStyle name="Comma 15 3 2 2" xfId="38398"/>
    <cellStyle name="Comma 15 3 2 2 10" xfId="38399"/>
    <cellStyle name="Comma 15 3 2 2 2" xfId="38400"/>
    <cellStyle name="Comma 15 3 2 2 2 2" xfId="38401"/>
    <cellStyle name="Comma 15 3 2 2 2 2 2" xfId="38402"/>
    <cellStyle name="Comma 15 3 2 2 2 2 2 2" xfId="38403"/>
    <cellStyle name="Comma 15 3 2 2 2 2 2 3" xfId="38404"/>
    <cellStyle name="Comma 15 3 2 2 2 2 3" xfId="38405"/>
    <cellStyle name="Comma 15 3 2 2 2 2 3 2" xfId="38406"/>
    <cellStyle name="Comma 15 3 2 2 2 2 3 3" xfId="38407"/>
    <cellStyle name="Comma 15 3 2 2 2 2 4" xfId="38408"/>
    <cellStyle name="Comma 15 3 2 2 2 2 4 2" xfId="38409"/>
    <cellStyle name="Comma 15 3 2 2 2 2 5" xfId="38410"/>
    <cellStyle name="Comma 15 3 2 2 2 2 6" xfId="38411"/>
    <cellStyle name="Comma 15 3 2 2 2 3" xfId="38412"/>
    <cellStyle name="Comma 15 3 2 2 2 3 2" xfId="38413"/>
    <cellStyle name="Comma 15 3 2 2 2 3 2 2" xfId="38414"/>
    <cellStyle name="Comma 15 3 2 2 2 3 2 3" xfId="38415"/>
    <cellStyle name="Comma 15 3 2 2 2 3 3" xfId="38416"/>
    <cellStyle name="Comma 15 3 2 2 2 3 3 2" xfId="38417"/>
    <cellStyle name="Comma 15 3 2 2 2 3 3 3" xfId="38418"/>
    <cellStyle name="Comma 15 3 2 2 2 3 4" xfId="38419"/>
    <cellStyle name="Comma 15 3 2 2 2 3 4 2" xfId="38420"/>
    <cellStyle name="Comma 15 3 2 2 2 3 5" xfId="38421"/>
    <cellStyle name="Comma 15 3 2 2 2 3 6" xfId="38422"/>
    <cellStyle name="Comma 15 3 2 2 2 4" xfId="38423"/>
    <cellStyle name="Comma 15 3 2 2 2 4 2" xfId="38424"/>
    <cellStyle name="Comma 15 3 2 2 2 4 2 2" xfId="38425"/>
    <cellStyle name="Comma 15 3 2 2 2 4 2 3" xfId="38426"/>
    <cellStyle name="Comma 15 3 2 2 2 4 3" xfId="38427"/>
    <cellStyle name="Comma 15 3 2 2 2 4 3 2" xfId="38428"/>
    <cellStyle name="Comma 15 3 2 2 2 4 4" xfId="38429"/>
    <cellStyle name="Comma 15 3 2 2 2 4 5" xfId="38430"/>
    <cellStyle name="Comma 15 3 2 2 2 5" xfId="38431"/>
    <cellStyle name="Comma 15 3 2 2 2 5 2" xfId="38432"/>
    <cellStyle name="Comma 15 3 2 2 2 5 3" xfId="38433"/>
    <cellStyle name="Comma 15 3 2 2 2 6" xfId="38434"/>
    <cellStyle name="Comma 15 3 2 2 2 6 2" xfId="38435"/>
    <cellStyle name="Comma 15 3 2 2 2 6 3" xfId="38436"/>
    <cellStyle name="Comma 15 3 2 2 2 7" xfId="38437"/>
    <cellStyle name="Comma 15 3 2 2 2 7 2" xfId="38438"/>
    <cellStyle name="Comma 15 3 2 2 2 8" xfId="38439"/>
    <cellStyle name="Comma 15 3 2 2 2 9" xfId="38440"/>
    <cellStyle name="Comma 15 3 2 2 3" xfId="38441"/>
    <cellStyle name="Comma 15 3 2 2 3 2" xfId="38442"/>
    <cellStyle name="Comma 15 3 2 2 3 2 2" xfId="38443"/>
    <cellStyle name="Comma 15 3 2 2 3 2 3" xfId="38444"/>
    <cellStyle name="Comma 15 3 2 2 3 3" xfId="38445"/>
    <cellStyle name="Comma 15 3 2 2 3 3 2" xfId="38446"/>
    <cellStyle name="Comma 15 3 2 2 3 3 3" xfId="38447"/>
    <cellStyle name="Comma 15 3 2 2 3 4" xfId="38448"/>
    <cellStyle name="Comma 15 3 2 2 3 4 2" xfId="38449"/>
    <cellStyle name="Comma 15 3 2 2 3 5" xfId="38450"/>
    <cellStyle name="Comma 15 3 2 2 3 6" xfId="38451"/>
    <cellStyle name="Comma 15 3 2 2 4" xfId="38452"/>
    <cellStyle name="Comma 15 3 2 2 4 2" xfId="38453"/>
    <cellStyle name="Comma 15 3 2 2 4 2 2" xfId="38454"/>
    <cellStyle name="Comma 15 3 2 2 4 2 3" xfId="38455"/>
    <cellStyle name="Comma 15 3 2 2 4 3" xfId="38456"/>
    <cellStyle name="Comma 15 3 2 2 4 3 2" xfId="38457"/>
    <cellStyle name="Comma 15 3 2 2 4 3 3" xfId="38458"/>
    <cellStyle name="Comma 15 3 2 2 4 4" xfId="38459"/>
    <cellStyle name="Comma 15 3 2 2 4 4 2" xfId="38460"/>
    <cellStyle name="Comma 15 3 2 2 4 5" xfId="38461"/>
    <cellStyle name="Comma 15 3 2 2 4 6" xfId="38462"/>
    <cellStyle name="Comma 15 3 2 2 5" xfId="38463"/>
    <cellStyle name="Comma 15 3 2 2 5 2" xfId="38464"/>
    <cellStyle name="Comma 15 3 2 2 5 2 2" xfId="38465"/>
    <cellStyle name="Comma 15 3 2 2 5 2 3" xfId="38466"/>
    <cellStyle name="Comma 15 3 2 2 5 3" xfId="38467"/>
    <cellStyle name="Comma 15 3 2 2 5 3 2" xfId="38468"/>
    <cellStyle name="Comma 15 3 2 2 5 4" xfId="38469"/>
    <cellStyle name="Comma 15 3 2 2 5 5" xfId="38470"/>
    <cellStyle name="Comma 15 3 2 2 6" xfId="38471"/>
    <cellStyle name="Comma 15 3 2 2 6 2" xfId="38472"/>
    <cellStyle name="Comma 15 3 2 2 6 3" xfId="38473"/>
    <cellStyle name="Comma 15 3 2 2 7" xfId="38474"/>
    <cellStyle name="Comma 15 3 2 2 7 2" xfId="38475"/>
    <cellStyle name="Comma 15 3 2 2 7 3" xfId="38476"/>
    <cellStyle name="Comma 15 3 2 2 8" xfId="38477"/>
    <cellStyle name="Comma 15 3 2 2 8 2" xfId="38478"/>
    <cellStyle name="Comma 15 3 2 2 9" xfId="38479"/>
    <cellStyle name="Comma 15 3 2 3" xfId="38480"/>
    <cellStyle name="Comma 15 3 2 3 2" xfId="38481"/>
    <cellStyle name="Comma 15 3 2 3 2 2" xfId="38482"/>
    <cellStyle name="Comma 15 3 2 3 2 2 2" xfId="38483"/>
    <cellStyle name="Comma 15 3 2 3 2 2 3" xfId="38484"/>
    <cellStyle name="Comma 15 3 2 3 2 3" xfId="38485"/>
    <cellStyle name="Comma 15 3 2 3 2 3 2" xfId="38486"/>
    <cellStyle name="Comma 15 3 2 3 2 3 3" xfId="38487"/>
    <cellStyle name="Comma 15 3 2 3 2 4" xfId="38488"/>
    <cellStyle name="Comma 15 3 2 3 2 4 2" xfId="38489"/>
    <cellStyle name="Comma 15 3 2 3 2 5" xfId="38490"/>
    <cellStyle name="Comma 15 3 2 3 2 6" xfId="38491"/>
    <cellStyle name="Comma 15 3 2 3 3" xfId="38492"/>
    <cellStyle name="Comma 15 3 2 3 3 2" xfId="38493"/>
    <cellStyle name="Comma 15 3 2 3 3 2 2" xfId="38494"/>
    <cellStyle name="Comma 15 3 2 3 3 2 3" xfId="38495"/>
    <cellStyle name="Comma 15 3 2 3 3 3" xfId="38496"/>
    <cellStyle name="Comma 15 3 2 3 3 3 2" xfId="38497"/>
    <cellStyle name="Comma 15 3 2 3 3 3 3" xfId="38498"/>
    <cellStyle name="Comma 15 3 2 3 3 4" xfId="38499"/>
    <cellStyle name="Comma 15 3 2 3 3 4 2" xfId="38500"/>
    <cellStyle name="Comma 15 3 2 3 3 5" xfId="38501"/>
    <cellStyle name="Comma 15 3 2 3 3 6" xfId="38502"/>
    <cellStyle name="Comma 15 3 2 3 4" xfId="38503"/>
    <cellStyle name="Comma 15 3 2 3 4 2" xfId="38504"/>
    <cellStyle name="Comma 15 3 2 3 4 2 2" xfId="38505"/>
    <cellStyle name="Comma 15 3 2 3 4 2 3" xfId="38506"/>
    <cellStyle name="Comma 15 3 2 3 4 3" xfId="38507"/>
    <cellStyle name="Comma 15 3 2 3 4 3 2" xfId="38508"/>
    <cellStyle name="Comma 15 3 2 3 4 4" xfId="38509"/>
    <cellStyle name="Comma 15 3 2 3 4 5" xfId="38510"/>
    <cellStyle name="Comma 15 3 2 3 5" xfId="38511"/>
    <cellStyle name="Comma 15 3 2 3 5 2" xfId="38512"/>
    <cellStyle name="Comma 15 3 2 3 5 3" xfId="38513"/>
    <cellStyle name="Comma 15 3 2 3 6" xfId="38514"/>
    <cellStyle name="Comma 15 3 2 3 6 2" xfId="38515"/>
    <cellStyle name="Comma 15 3 2 3 6 3" xfId="38516"/>
    <cellStyle name="Comma 15 3 2 3 7" xfId="38517"/>
    <cellStyle name="Comma 15 3 2 3 7 2" xfId="38518"/>
    <cellStyle name="Comma 15 3 2 3 8" xfId="38519"/>
    <cellStyle name="Comma 15 3 2 3 9" xfId="38520"/>
    <cellStyle name="Comma 15 3 2 4" xfId="38521"/>
    <cellStyle name="Comma 15 3 2 4 2" xfId="38522"/>
    <cellStyle name="Comma 15 3 2 4 2 2" xfId="38523"/>
    <cellStyle name="Comma 15 3 2 4 2 2 2" xfId="38524"/>
    <cellStyle name="Comma 15 3 2 4 2 2 3" xfId="38525"/>
    <cellStyle name="Comma 15 3 2 4 2 3" xfId="38526"/>
    <cellStyle name="Comma 15 3 2 4 2 3 2" xfId="38527"/>
    <cellStyle name="Comma 15 3 2 4 2 3 3" xfId="38528"/>
    <cellStyle name="Comma 15 3 2 4 2 4" xfId="38529"/>
    <cellStyle name="Comma 15 3 2 4 2 4 2" xfId="38530"/>
    <cellStyle name="Comma 15 3 2 4 2 5" xfId="38531"/>
    <cellStyle name="Comma 15 3 2 4 2 6" xfId="38532"/>
    <cellStyle name="Comma 15 3 2 4 3" xfId="38533"/>
    <cellStyle name="Comma 15 3 2 4 3 2" xfId="38534"/>
    <cellStyle name="Comma 15 3 2 4 3 2 2" xfId="38535"/>
    <cellStyle name="Comma 15 3 2 4 3 2 3" xfId="38536"/>
    <cellStyle name="Comma 15 3 2 4 3 3" xfId="38537"/>
    <cellStyle name="Comma 15 3 2 4 3 3 2" xfId="38538"/>
    <cellStyle name="Comma 15 3 2 4 3 3 3" xfId="38539"/>
    <cellStyle name="Comma 15 3 2 4 3 4" xfId="38540"/>
    <cellStyle name="Comma 15 3 2 4 3 4 2" xfId="38541"/>
    <cellStyle name="Comma 15 3 2 4 3 5" xfId="38542"/>
    <cellStyle name="Comma 15 3 2 4 3 6" xfId="38543"/>
    <cellStyle name="Comma 15 3 2 4 4" xfId="38544"/>
    <cellStyle name="Comma 15 3 2 4 4 2" xfId="38545"/>
    <cellStyle name="Comma 15 3 2 4 4 2 2" xfId="38546"/>
    <cellStyle name="Comma 15 3 2 4 4 2 3" xfId="38547"/>
    <cellStyle name="Comma 15 3 2 4 4 3" xfId="38548"/>
    <cellStyle name="Comma 15 3 2 4 4 3 2" xfId="38549"/>
    <cellStyle name="Comma 15 3 2 4 4 4" xfId="38550"/>
    <cellStyle name="Comma 15 3 2 4 4 5" xfId="38551"/>
    <cellStyle name="Comma 15 3 2 4 5" xfId="38552"/>
    <cellStyle name="Comma 15 3 2 4 5 2" xfId="38553"/>
    <cellStyle name="Comma 15 3 2 4 5 3" xfId="38554"/>
    <cellStyle name="Comma 15 3 2 4 6" xfId="38555"/>
    <cellStyle name="Comma 15 3 2 4 6 2" xfId="38556"/>
    <cellStyle name="Comma 15 3 2 4 6 3" xfId="38557"/>
    <cellStyle name="Comma 15 3 2 4 7" xfId="38558"/>
    <cellStyle name="Comma 15 3 2 4 7 2" xfId="38559"/>
    <cellStyle name="Comma 15 3 2 4 8" xfId="38560"/>
    <cellStyle name="Comma 15 3 2 4 9" xfId="38561"/>
    <cellStyle name="Comma 15 3 2 5" xfId="38562"/>
    <cellStyle name="Comma 15 3 2 5 2" xfId="38563"/>
    <cellStyle name="Comma 15 3 2 5 2 2" xfId="38564"/>
    <cellStyle name="Comma 15 3 2 5 2 3" xfId="38565"/>
    <cellStyle name="Comma 15 3 2 5 3" xfId="38566"/>
    <cellStyle name="Comma 15 3 2 5 3 2" xfId="38567"/>
    <cellStyle name="Comma 15 3 2 5 3 3" xfId="38568"/>
    <cellStyle name="Comma 15 3 2 5 4" xfId="38569"/>
    <cellStyle name="Comma 15 3 2 5 4 2" xfId="38570"/>
    <cellStyle name="Comma 15 3 2 5 5" xfId="38571"/>
    <cellStyle name="Comma 15 3 2 5 6" xfId="38572"/>
    <cellStyle name="Comma 15 3 2 6" xfId="38573"/>
    <cellStyle name="Comma 15 3 2 6 2" xfId="38574"/>
    <cellStyle name="Comma 15 3 2 6 2 2" xfId="38575"/>
    <cellStyle name="Comma 15 3 2 6 2 3" xfId="38576"/>
    <cellStyle name="Comma 15 3 2 6 3" xfId="38577"/>
    <cellStyle name="Comma 15 3 2 6 3 2" xfId="38578"/>
    <cellStyle name="Comma 15 3 2 6 3 3" xfId="38579"/>
    <cellStyle name="Comma 15 3 2 6 4" xfId="38580"/>
    <cellStyle name="Comma 15 3 2 6 4 2" xfId="38581"/>
    <cellStyle name="Comma 15 3 2 6 5" xfId="38582"/>
    <cellStyle name="Comma 15 3 2 6 6" xfId="38583"/>
    <cellStyle name="Comma 15 3 2 7" xfId="38584"/>
    <cellStyle name="Comma 15 3 2 7 2" xfId="38585"/>
    <cellStyle name="Comma 15 3 2 7 2 2" xfId="38586"/>
    <cellStyle name="Comma 15 3 2 7 2 3" xfId="38587"/>
    <cellStyle name="Comma 15 3 2 7 3" xfId="38588"/>
    <cellStyle name="Comma 15 3 2 7 3 2" xfId="38589"/>
    <cellStyle name="Comma 15 3 2 7 4" xfId="38590"/>
    <cellStyle name="Comma 15 3 2 7 5" xfId="38591"/>
    <cellStyle name="Comma 15 3 2 8" xfId="38592"/>
    <cellStyle name="Comma 15 3 2 8 2" xfId="38593"/>
    <cellStyle name="Comma 15 3 2 8 3" xfId="38594"/>
    <cellStyle name="Comma 15 3 2 9" xfId="38595"/>
    <cellStyle name="Comma 15 3 2 9 2" xfId="38596"/>
    <cellStyle name="Comma 15 3 2 9 3" xfId="38597"/>
    <cellStyle name="Comma 15 3 3" xfId="38598"/>
    <cellStyle name="Comma 15 3 3 10" xfId="38599"/>
    <cellStyle name="Comma 15 3 3 2" xfId="38600"/>
    <cellStyle name="Comma 15 3 3 2 2" xfId="38601"/>
    <cellStyle name="Comma 15 3 3 2 2 2" xfId="38602"/>
    <cellStyle name="Comma 15 3 3 2 2 2 2" xfId="38603"/>
    <cellStyle name="Comma 15 3 3 2 2 2 3" xfId="38604"/>
    <cellStyle name="Comma 15 3 3 2 2 3" xfId="38605"/>
    <cellStyle name="Comma 15 3 3 2 2 3 2" xfId="38606"/>
    <cellStyle name="Comma 15 3 3 2 2 3 3" xfId="38607"/>
    <cellStyle name="Comma 15 3 3 2 2 4" xfId="38608"/>
    <cellStyle name="Comma 15 3 3 2 2 4 2" xfId="38609"/>
    <cellStyle name="Comma 15 3 3 2 2 5" xfId="38610"/>
    <cellStyle name="Comma 15 3 3 2 2 6" xfId="38611"/>
    <cellStyle name="Comma 15 3 3 2 3" xfId="38612"/>
    <cellStyle name="Comma 15 3 3 2 3 2" xfId="38613"/>
    <cellStyle name="Comma 15 3 3 2 3 2 2" xfId="38614"/>
    <cellStyle name="Comma 15 3 3 2 3 2 3" xfId="38615"/>
    <cellStyle name="Comma 15 3 3 2 3 3" xfId="38616"/>
    <cellStyle name="Comma 15 3 3 2 3 3 2" xfId="38617"/>
    <cellStyle name="Comma 15 3 3 2 3 3 3" xfId="38618"/>
    <cellStyle name="Comma 15 3 3 2 3 4" xfId="38619"/>
    <cellStyle name="Comma 15 3 3 2 3 4 2" xfId="38620"/>
    <cellStyle name="Comma 15 3 3 2 3 5" xfId="38621"/>
    <cellStyle name="Comma 15 3 3 2 3 6" xfId="38622"/>
    <cellStyle name="Comma 15 3 3 2 4" xfId="38623"/>
    <cellStyle name="Comma 15 3 3 2 4 2" xfId="38624"/>
    <cellStyle name="Comma 15 3 3 2 4 2 2" xfId="38625"/>
    <cellStyle name="Comma 15 3 3 2 4 2 3" xfId="38626"/>
    <cellStyle name="Comma 15 3 3 2 4 3" xfId="38627"/>
    <cellStyle name="Comma 15 3 3 2 4 3 2" xfId="38628"/>
    <cellStyle name="Comma 15 3 3 2 4 4" xfId="38629"/>
    <cellStyle name="Comma 15 3 3 2 4 5" xfId="38630"/>
    <cellStyle name="Comma 15 3 3 2 5" xfId="38631"/>
    <cellStyle name="Comma 15 3 3 2 5 2" xfId="38632"/>
    <cellStyle name="Comma 15 3 3 2 5 3" xfId="38633"/>
    <cellStyle name="Comma 15 3 3 2 6" xfId="38634"/>
    <cellStyle name="Comma 15 3 3 2 6 2" xfId="38635"/>
    <cellStyle name="Comma 15 3 3 2 6 3" xfId="38636"/>
    <cellStyle name="Comma 15 3 3 2 7" xfId="38637"/>
    <cellStyle name="Comma 15 3 3 2 7 2" xfId="38638"/>
    <cellStyle name="Comma 15 3 3 2 8" xfId="38639"/>
    <cellStyle name="Comma 15 3 3 2 9" xfId="38640"/>
    <cellStyle name="Comma 15 3 3 3" xfId="38641"/>
    <cellStyle name="Comma 15 3 3 3 2" xfId="38642"/>
    <cellStyle name="Comma 15 3 3 3 2 2" xfId="38643"/>
    <cellStyle name="Comma 15 3 3 3 2 3" xfId="38644"/>
    <cellStyle name="Comma 15 3 3 3 3" xfId="38645"/>
    <cellStyle name="Comma 15 3 3 3 3 2" xfId="38646"/>
    <cellStyle name="Comma 15 3 3 3 3 3" xfId="38647"/>
    <cellStyle name="Comma 15 3 3 3 4" xfId="38648"/>
    <cellStyle name="Comma 15 3 3 3 4 2" xfId="38649"/>
    <cellStyle name="Comma 15 3 3 3 5" xfId="38650"/>
    <cellStyle name="Comma 15 3 3 3 6" xfId="38651"/>
    <cellStyle name="Comma 15 3 3 4" xfId="38652"/>
    <cellStyle name="Comma 15 3 3 4 2" xfId="38653"/>
    <cellStyle name="Comma 15 3 3 4 2 2" xfId="38654"/>
    <cellStyle name="Comma 15 3 3 4 2 3" xfId="38655"/>
    <cellStyle name="Comma 15 3 3 4 3" xfId="38656"/>
    <cellStyle name="Comma 15 3 3 4 3 2" xfId="38657"/>
    <cellStyle name="Comma 15 3 3 4 3 3" xfId="38658"/>
    <cellStyle name="Comma 15 3 3 4 4" xfId="38659"/>
    <cellStyle name="Comma 15 3 3 4 4 2" xfId="38660"/>
    <cellStyle name="Comma 15 3 3 4 5" xfId="38661"/>
    <cellStyle name="Comma 15 3 3 4 6" xfId="38662"/>
    <cellStyle name="Comma 15 3 3 5" xfId="38663"/>
    <cellStyle name="Comma 15 3 3 5 2" xfId="38664"/>
    <cellStyle name="Comma 15 3 3 5 2 2" xfId="38665"/>
    <cellStyle name="Comma 15 3 3 5 2 3" xfId="38666"/>
    <cellStyle name="Comma 15 3 3 5 3" xfId="38667"/>
    <cellStyle name="Comma 15 3 3 5 3 2" xfId="38668"/>
    <cellStyle name="Comma 15 3 3 5 4" xfId="38669"/>
    <cellStyle name="Comma 15 3 3 5 5" xfId="38670"/>
    <cellStyle name="Comma 15 3 3 6" xfId="38671"/>
    <cellStyle name="Comma 15 3 3 6 2" xfId="38672"/>
    <cellStyle name="Comma 15 3 3 6 3" xfId="38673"/>
    <cellStyle name="Comma 15 3 3 7" xfId="38674"/>
    <cellStyle name="Comma 15 3 3 7 2" xfId="38675"/>
    <cellStyle name="Comma 15 3 3 7 3" xfId="38676"/>
    <cellStyle name="Comma 15 3 3 8" xfId="38677"/>
    <cellStyle name="Comma 15 3 3 8 2" xfId="38678"/>
    <cellStyle name="Comma 15 3 3 9" xfId="38679"/>
    <cellStyle name="Comma 15 3 4" xfId="38680"/>
    <cellStyle name="Comma 15 3 4 2" xfId="38681"/>
    <cellStyle name="Comma 15 3 4 2 2" xfId="38682"/>
    <cellStyle name="Comma 15 3 4 2 2 2" xfId="38683"/>
    <cellStyle name="Comma 15 3 4 2 2 3" xfId="38684"/>
    <cellStyle name="Comma 15 3 4 2 3" xfId="38685"/>
    <cellStyle name="Comma 15 3 4 2 3 2" xfId="38686"/>
    <cellStyle name="Comma 15 3 4 2 3 3" xfId="38687"/>
    <cellStyle name="Comma 15 3 4 2 4" xfId="38688"/>
    <cellStyle name="Comma 15 3 4 2 4 2" xfId="38689"/>
    <cellStyle name="Comma 15 3 4 2 5" xfId="38690"/>
    <cellStyle name="Comma 15 3 4 2 6" xfId="38691"/>
    <cellStyle name="Comma 15 3 4 3" xfId="38692"/>
    <cellStyle name="Comma 15 3 4 3 2" xfId="38693"/>
    <cellStyle name="Comma 15 3 4 3 2 2" xfId="38694"/>
    <cellStyle name="Comma 15 3 4 3 2 3" xfId="38695"/>
    <cellStyle name="Comma 15 3 4 3 3" xfId="38696"/>
    <cellStyle name="Comma 15 3 4 3 3 2" xfId="38697"/>
    <cellStyle name="Comma 15 3 4 3 3 3" xfId="38698"/>
    <cellStyle name="Comma 15 3 4 3 4" xfId="38699"/>
    <cellStyle name="Comma 15 3 4 3 4 2" xfId="38700"/>
    <cellStyle name="Comma 15 3 4 3 5" xfId="38701"/>
    <cellStyle name="Comma 15 3 4 3 6" xfId="38702"/>
    <cellStyle name="Comma 15 3 4 4" xfId="38703"/>
    <cellStyle name="Comma 15 3 4 4 2" xfId="38704"/>
    <cellStyle name="Comma 15 3 4 4 2 2" xfId="38705"/>
    <cellStyle name="Comma 15 3 4 4 2 3" xfId="38706"/>
    <cellStyle name="Comma 15 3 4 4 3" xfId="38707"/>
    <cellStyle name="Comma 15 3 4 4 3 2" xfId="38708"/>
    <cellStyle name="Comma 15 3 4 4 4" xfId="38709"/>
    <cellStyle name="Comma 15 3 4 4 5" xfId="38710"/>
    <cellStyle name="Comma 15 3 4 5" xfId="38711"/>
    <cellStyle name="Comma 15 3 4 5 2" xfId="38712"/>
    <cellStyle name="Comma 15 3 4 5 3" xfId="38713"/>
    <cellStyle name="Comma 15 3 4 6" xfId="38714"/>
    <cellStyle name="Comma 15 3 4 6 2" xfId="38715"/>
    <cellStyle name="Comma 15 3 4 6 3" xfId="38716"/>
    <cellStyle name="Comma 15 3 4 7" xfId="38717"/>
    <cellStyle name="Comma 15 3 4 7 2" xfId="38718"/>
    <cellStyle name="Comma 15 3 4 8" xfId="38719"/>
    <cellStyle name="Comma 15 3 4 9" xfId="38720"/>
    <cellStyle name="Comma 15 3 5" xfId="38721"/>
    <cellStyle name="Comma 15 3 5 2" xfId="38722"/>
    <cellStyle name="Comma 15 3 5 2 2" xfId="38723"/>
    <cellStyle name="Comma 15 3 5 2 2 2" xfId="38724"/>
    <cellStyle name="Comma 15 3 5 2 2 3" xfId="38725"/>
    <cellStyle name="Comma 15 3 5 2 3" xfId="38726"/>
    <cellStyle name="Comma 15 3 5 2 3 2" xfId="38727"/>
    <cellStyle name="Comma 15 3 5 2 3 3" xfId="38728"/>
    <cellStyle name="Comma 15 3 5 2 4" xfId="38729"/>
    <cellStyle name="Comma 15 3 5 2 4 2" xfId="38730"/>
    <cellStyle name="Comma 15 3 5 2 5" xfId="38731"/>
    <cellStyle name="Comma 15 3 5 2 6" xfId="38732"/>
    <cellStyle name="Comma 15 3 5 3" xfId="38733"/>
    <cellStyle name="Comma 15 3 5 3 2" xfId="38734"/>
    <cellStyle name="Comma 15 3 5 3 2 2" xfId="38735"/>
    <cellStyle name="Comma 15 3 5 3 2 3" xfId="38736"/>
    <cellStyle name="Comma 15 3 5 3 3" xfId="38737"/>
    <cellStyle name="Comma 15 3 5 3 3 2" xfId="38738"/>
    <cellStyle name="Comma 15 3 5 3 3 3" xfId="38739"/>
    <cellStyle name="Comma 15 3 5 3 4" xfId="38740"/>
    <cellStyle name="Comma 15 3 5 3 4 2" xfId="38741"/>
    <cellStyle name="Comma 15 3 5 3 5" xfId="38742"/>
    <cellStyle name="Comma 15 3 5 3 6" xfId="38743"/>
    <cellStyle name="Comma 15 3 5 4" xfId="38744"/>
    <cellStyle name="Comma 15 3 5 4 2" xfId="38745"/>
    <cellStyle name="Comma 15 3 5 4 2 2" xfId="38746"/>
    <cellStyle name="Comma 15 3 5 4 2 3" xfId="38747"/>
    <cellStyle name="Comma 15 3 5 4 3" xfId="38748"/>
    <cellStyle name="Comma 15 3 5 4 3 2" xfId="38749"/>
    <cellStyle name="Comma 15 3 5 4 4" xfId="38750"/>
    <cellStyle name="Comma 15 3 5 4 5" xfId="38751"/>
    <cellStyle name="Comma 15 3 5 5" xfId="38752"/>
    <cellStyle name="Comma 15 3 5 5 2" xfId="38753"/>
    <cellStyle name="Comma 15 3 5 5 3" xfId="38754"/>
    <cellStyle name="Comma 15 3 5 6" xfId="38755"/>
    <cellStyle name="Comma 15 3 5 6 2" xfId="38756"/>
    <cellStyle name="Comma 15 3 5 6 3" xfId="38757"/>
    <cellStyle name="Comma 15 3 5 7" xfId="38758"/>
    <cellStyle name="Comma 15 3 5 7 2" xfId="38759"/>
    <cellStyle name="Comma 15 3 5 8" xfId="38760"/>
    <cellStyle name="Comma 15 3 5 9" xfId="38761"/>
    <cellStyle name="Comma 15 3 6" xfId="38762"/>
    <cellStyle name="Comma 15 3 6 2" xfId="38763"/>
    <cellStyle name="Comma 15 3 6 2 2" xfId="38764"/>
    <cellStyle name="Comma 15 3 6 2 3" xfId="38765"/>
    <cellStyle name="Comma 15 3 6 3" xfId="38766"/>
    <cellStyle name="Comma 15 3 6 3 2" xfId="38767"/>
    <cellStyle name="Comma 15 3 6 3 3" xfId="38768"/>
    <cellStyle name="Comma 15 3 6 4" xfId="38769"/>
    <cellStyle name="Comma 15 3 6 4 2" xfId="38770"/>
    <cellStyle name="Comma 15 3 6 5" xfId="38771"/>
    <cellStyle name="Comma 15 3 6 6" xfId="38772"/>
    <cellStyle name="Comma 15 3 7" xfId="38773"/>
    <cellStyle name="Comma 15 3 7 2" xfId="38774"/>
    <cellStyle name="Comma 15 3 7 2 2" xfId="38775"/>
    <cellStyle name="Comma 15 3 7 2 3" xfId="38776"/>
    <cellStyle name="Comma 15 3 7 3" xfId="38777"/>
    <cellStyle name="Comma 15 3 7 3 2" xfId="38778"/>
    <cellStyle name="Comma 15 3 7 3 3" xfId="38779"/>
    <cellStyle name="Comma 15 3 7 4" xfId="38780"/>
    <cellStyle name="Comma 15 3 7 4 2" xfId="38781"/>
    <cellStyle name="Comma 15 3 7 5" xfId="38782"/>
    <cellStyle name="Comma 15 3 7 6" xfId="38783"/>
    <cellStyle name="Comma 15 3 8" xfId="38784"/>
    <cellStyle name="Comma 15 3 8 2" xfId="38785"/>
    <cellStyle name="Comma 15 3 8 2 2" xfId="38786"/>
    <cellStyle name="Comma 15 3 8 2 3" xfId="38787"/>
    <cellStyle name="Comma 15 3 8 3" xfId="38788"/>
    <cellStyle name="Comma 15 3 8 3 2" xfId="38789"/>
    <cellStyle name="Comma 15 3 8 4" xfId="38790"/>
    <cellStyle name="Comma 15 3 8 5" xfId="38791"/>
    <cellStyle name="Comma 15 3 9" xfId="38792"/>
    <cellStyle name="Comma 15 3 9 2" xfId="38793"/>
    <cellStyle name="Comma 15 3 9 3" xfId="38794"/>
    <cellStyle name="Comma 15 4" xfId="38795"/>
    <cellStyle name="Comma 15 4 10" xfId="38796"/>
    <cellStyle name="Comma 15 4 10 2" xfId="38797"/>
    <cellStyle name="Comma 15 4 11" xfId="38798"/>
    <cellStyle name="Comma 15 4 12" xfId="38799"/>
    <cellStyle name="Comma 15 4 2" xfId="38800"/>
    <cellStyle name="Comma 15 4 2 10" xfId="38801"/>
    <cellStyle name="Comma 15 4 2 2" xfId="38802"/>
    <cellStyle name="Comma 15 4 2 2 2" xfId="38803"/>
    <cellStyle name="Comma 15 4 2 2 2 2" xfId="38804"/>
    <cellStyle name="Comma 15 4 2 2 2 2 2" xfId="38805"/>
    <cellStyle name="Comma 15 4 2 2 2 2 3" xfId="38806"/>
    <cellStyle name="Comma 15 4 2 2 2 3" xfId="38807"/>
    <cellStyle name="Comma 15 4 2 2 2 3 2" xfId="38808"/>
    <cellStyle name="Comma 15 4 2 2 2 3 3" xfId="38809"/>
    <cellStyle name="Comma 15 4 2 2 2 4" xfId="38810"/>
    <cellStyle name="Comma 15 4 2 2 2 4 2" xfId="38811"/>
    <cellStyle name="Comma 15 4 2 2 2 5" xfId="38812"/>
    <cellStyle name="Comma 15 4 2 2 2 6" xfId="38813"/>
    <cellStyle name="Comma 15 4 2 2 3" xfId="38814"/>
    <cellStyle name="Comma 15 4 2 2 3 2" xfId="38815"/>
    <cellStyle name="Comma 15 4 2 2 3 2 2" xfId="38816"/>
    <cellStyle name="Comma 15 4 2 2 3 2 3" xfId="38817"/>
    <cellStyle name="Comma 15 4 2 2 3 3" xfId="38818"/>
    <cellStyle name="Comma 15 4 2 2 3 3 2" xfId="38819"/>
    <cellStyle name="Comma 15 4 2 2 3 3 3" xfId="38820"/>
    <cellStyle name="Comma 15 4 2 2 3 4" xfId="38821"/>
    <cellStyle name="Comma 15 4 2 2 3 4 2" xfId="38822"/>
    <cellStyle name="Comma 15 4 2 2 3 5" xfId="38823"/>
    <cellStyle name="Comma 15 4 2 2 3 6" xfId="38824"/>
    <cellStyle name="Comma 15 4 2 2 4" xfId="38825"/>
    <cellStyle name="Comma 15 4 2 2 4 2" xfId="38826"/>
    <cellStyle name="Comma 15 4 2 2 4 2 2" xfId="38827"/>
    <cellStyle name="Comma 15 4 2 2 4 2 3" xfId="38828"/>
    <cellStyle name="Comma 15 4 2 2 4 3" xfId="38829"/>
    <cellStyle name="Comma 15 4 2 2 4 3 2" xfId="38830"/>
    <cellStyle name="Comma 15 4 2 2 4 4" xfId="38831"/>
    <cellStyle name="Comma 15 4 2 2 4 5" xfId="38832"/>
    <cellStyle name="Comma 15 4 2 2 5" xfId="38833"/>
    <cellStyle name="Comma 15 4 2 2 5 2" xfId="38834"/>
    <cellStyle name="Comma 15 4 2 2 5 3" xfId="38835"/>
    <cellStyle name="Comma 15 4 2 2 6" xfId="38836"/>
    <cellStyle name="Comma 15 4 2 2 6 2" xfId="38837"/>
    <cellStyle name="Comma 15 4 2 2 6 3" xfId="38838"/>
    <cellStyle name="Comma 15 4 2 2 7" xfId="38839"/>
    <cellStyle name="Comma 15 4 2 2 7 2" xfId="38840"/>
    <cellStyle name="Comma 15 4 2 2 8" xfId="38841"/>
    <cellStyle name="Comma 15 4 2 2 9" xfId="38842"/>
    <cellStyle name="Comma 15 4 2 3" xfId="38843"/>
    <cellStyle name="Comma 15 4 2 3 2" xfId="38844"/>
    <cellStyle name="Comma 15 4 2 3 2 2" xfId="38845"/>
    <cellStyle name="Comma 15 4 2 3 2 3" xfId="38846"/>
    <cellStyle name="Comma 15 4 2 3 3" xfId="38847"/>
    <cellStyle name="Comma 15 4 2 3 3 2" xfId="38848"/>
    <cellStyle name="Comma 15 4 2 3 3 3" xfId="38849"/>
    <cellStyle name="Comma 15 4 2 3 4" xfId="38850"/>
    <cellStyle name="Comma 15 4 2 3 4 2" xfId="38851"/>
    <cellStyle name="Comma 15 4 2 3 5" xfId="38852"/>
    <cellStyle name="Comma 15 4 2 3 6" xfId="38853"/>
    <cellStyle name="Comma 15 4 2 4" xfId="38854"/>
    <cellStyle name="Comma 15 4 2 4 2" xfId="38855"/>
    <cellStyle name="Comma 15 4 2 4 2 2" xfId="38856"/>
    <cellStyle name="Comma 15 4 2 4 2 3" xfId="38857"/>
    <cellStyle name="Comma 15 4 2 4 3" xfId="38858"/>
    <cellStyle name="Comma 15 4 2 4 3 2" xfId="38859"/>
    <cellStyle name="Comma 15 4 2 4 3 3" xfId="38860"/>
    <cellStyle name="Comma 15 4 2 4 4" xfId="38861"/>
    <cellStyle name="Comma 15 4 2 4 4 2" xfId="38862"/>
    <cellStyle name="Comma 15 4 2 4 5" xfId="38863"/>
    <cellStyle name="Comma 15 4 2 4 6" xfId="38864"/>
    <cellStyle name="Comma 15 4 2 5" xfId="38865"/>
    <cellStyle name="Comma 15 4 2 5 2" xfId="38866"/>
    <cellStyle name="Comma 15 4 2 5 2 2" xfId="38867"/>
    <cellStyle name="Comma 15 4 2 5 2 3" xfId="38868"/>
    <cellStyle name="Comma 15 4 2 5 3" xfId="38869"/>
    <cellStyle name="Comma 15 4 2 5 3 2" xfId="38870"/>
    <cellStyle name="Comma 15 4 2 5 4" xfId="38871"/>
    <cellStyle name="Comma 15 4 2 5 5" xfId="38872"/>
    <cellStyle name="Comma 15 4 2 6" xfId="38873"/>
    <cellStyle name="Comma 15 4 2 6 2" xfId="38874"/>
    <cellStyle name="Comma 15 4 2 6 3" xfId="38875"/>
    <cellStyle name="Comma 15 4 2 7" xfId="38876"/>
    <cellStyle name="Comma 15 4 2 7 2" xfId="38877"/>
    <cellStyle name="Comma 15 4 2 7 3" xfId="38878"/>
    <cellStyle name="Comma 15 4 2 8" xfId="38879"/>
    <cellStyle name="Comma 15 4 2 8 2" xfId="38880"/>
    <cellStyle name="Comma 15 4 2 9" xfId="38881"/>
    <cellStyle name="Comma 15 4 3" xfId="38882"/>
    <cellStyle name="Comma 15 4 3 2" xfId="38883"/>
    <cellStyle name="Comma 15 4 3 2 2" xfId="38884"/>
    <cellStyle name="Comma 15 4 3 2 2 2" xfId="38885"/>
    <cellStyle name="Comma 15 4 3 2 2 3" xfId="38886"/>
    <cellStyle name="Comma 15 4 3 2 3" xfId="38887"/>
    <cellStyle name="Comma 15 4 3 2 3 2" xfId="38888"/>
    <cellStyle name="Comma 15 4 3 2 3 3" xfId="38889"/>
    <cellStyle name="Comma 15 4 3 2 4" xfId="38890"/>
    <cellStyle name="Comma 15 4 3 2 4 2" xfId="38891"/>
    <cellStyle name="Comma 15 4 3 2 5" xfId="38892"/>
    <cellStyle name="Comma 15 4 3 2 6" xfId="38893"/>
    <cellStyle name="Comma 15 4 3 3" xfId="38894"/>
    <cellStyle name="Comma 15 4 3 3 2" xfId="38895"/>
    <cellStyle name="Comma 15 4 3 3 2 2" xfId="38896"/>
    <cellStyle name="Comma 15 4 3 3 2 3" xfId="38897"/>
    <cellStyle name="Comma 15 4 3 3 3" xfId="38898"/>
    <cellStyle name="Comma 15 4 3 3 3 2" xfId="38899"/>
    <cellStyle name="Comma 15 4 3 3 3 3" xfId="38900"/>
    <cellStyle name="Comma 15 4 3 3 4" xfId="38901"/>
    <cellStyle name="Comma 15 4 3 3 4 2" xfId="38902"/>
    <cellStyle name="Comma 15 4 3 3 5" xfId="38903"/>
    <cellStyle name="Comma 15 4 3 3 6" xfId="38904"/>
    <cellStyle name="Comma 15 4 3 4" xfId="38905"/>
    <cellStyle name="Comma 15 4 3 4 2" xfId="38906"/>
    <cellStyle name="Comma 15 4 3 4 2 2" xfId="38907"/>
    <cellStyle name="Comma 15 4 3 4 2 3" xfId="38908"/>
    <cellStyle name="Comma 15 4 3 4 3" xfId="38909"/>
    <cellStyle name="Comma 15 4 3 4 3 2" xfId="38910"/>
    <cellStyle name="Comma 15 4 3 4 4" xfId="38911"/>
    <cellStyle name="Comma 15 4 3 4 5" xfId="38912"/>
    <cellStyle name="Comma 15 4 3 5" xfId="38913"/>
    <cellStyle name="Comma 15 4 3 5 2" xfId="38914"/>
    <cellStyle name="Comma 15 4 3 5 3" xfId="38915"/>
    <cellStyle name="Comma 15 4 3 6" xfId="38916"/>
    <cellStyle name="Comma 15 4 3 6 2" xfId="38917"/>
    <cellStyle name="Comma 15 4 3 6 3" xfId="38918"/>
    <cellStyle name="Comma 15 4 3 7" xfId="38919"/>
    <cellStyle name="Comma 15 4 3 7 2" xfId="38920"/>
    <cellStyle name="Comma 15 4 3 8" xfId="38921"/>
    <cellStyle name="Comma 15 4 3 9" xfId="38922"/>
    <cellStyle name="Comma 15 4 4" xfId="38923"/>
    <cellStyle name="Comma 15 4 4 2" xfId="38924"/>
    <cellStyle name="Comma 15 4 4 2 2" xfId="38925"/>
    <cellStyle name="Comma 15 4 4 2 2 2" xfId="38926"/>
    <cellStyle name="Comma 15 4 4 2 2 3" xfId="38927"/>
    <cellStyle name="Comma 15 4 4 2 3" xfId="38928"/>
    <cellStyle name="Comma 15 4 4 2 3 2" xfId="38929"/>
    <cellStyle name="Comma 15 4 4 2 3 3" xfId="38930"/>
    <cellStyle name="Comma 15 4 4 2 4" xfId="38931"/>
    <cellStyle name="Comma 15 4 4 2 4 2" xfId="38932"/>
    <cellStyle name="Comma 15 4 4 2 5" xfId="38933"/>
    <cellStyle name="Comma 15 4 4 2 6" xfId="38934"/>
    <cellStyle name="Comma 15 4 4 3" xfId="38935"/>
    <cellStyle name="Comma 15 4 4 3 2" xfId="38936"/>
    <cellStyle name="Comma 15 4 4 3 2 2" xfId="38937"/>
    <cellStyle name="Comma 15 4 4 3 2 3" xfId="38938"/>
    <cellStyle name="Comma 15 4 4 3 3" xfId="38939"/>
    <cellStyle name="Comma 15 4 4 3 3 2" xfId="38940"/>
    <cellStyle name="Comma 15 4 4 3 3 3" xfId="38941"/>
    <cellStyle name="Comma 15 4 4 3 4" xfId="38942"/>
    <cellStyle name="Comma 15 4 4 3 4 2" xfId="38943"/>
    <cellStyle name="Comma 15 4 4 3 5" xfId="38944"/>
    <cellStyle name="Comma 15 4 4 3 6" xfId="38945"/>
    <cellStyle name="Comma 15 4 4 4" xfId="38946"/>
    <cellStyle name="Comma 15 4 4 4 2" xfId="38947"/>
    <cellStyle name="Comma 15 4 4 4 2 2" xfId="38948"/>
    <cellStyle name="Comma 15 4 4 4 2 3" xfId="38949"/>
    <cellStyle name="Comma 15 4 4 4 3" xfId="38950"/>
    <cellStyle name="Comma 15 4 4 4 3 2" xfId="38951"/>
    <cellStyle name="Comma 15 4 4 4 4" xfId="38952"/>
    <cellStyle name="Comma 15 4 4 4 5" xfId="38953"/>
    <cellStyle name="Comma 15 4 4 5" xfId="38954"/>
    <cellStyle name="Comma 15 4 4 5 2" xfId="38955"/>
    <cellStyle name="Comma 15 4 4 5 3" xfId="38956"/>
    <cellStyle name="Comma 15 4 4 6" xfId="38957"/>
    <cellStyle name="Comma 15 4 4 6 2" xfId="38958"/>
    <cellStyle name="Comma 15 4 4 6 3" xfId="38959"/>
    <cellStyle name="Comma 15 4 4 7" xfId="38960"/>
    <cellStyle name="Comma 15 4 4 7 2" xfId="38961"/>
    <cellStyle name="Comma 15 4 4 8" xfId="38962"/>
    <cellStyle name="Comma 15 4 4 9" xfId="38963"/>
    <cellStyle name="Comma 15 4 5" xfId="38964"/>
    <cellStyle name="Comma 15 4 5 2" xfId="38965"/>
    <cellStyle name="Comma 15 4 5 2 2" xfId="38966"/>
    <cellStyle name="Comma 15 4 5 2 3" xfId="38967"/>
    <cellStyle name="Comma 15 4 5 3" xfId="38968"/>
    <cellStyle name="Comma 15 4 5 3 2" xfId="38969"/>
    <cellStyle name="Comma 15 4 5 3 3" xfId="38970"/>
    <cellStyle name="Comma 15 4 5 4" xfId="38971"/>
    <cellStyle name="Comma 15 4 5 4 2" xfId="38972"/>
    <cellStyle name="Comma 15 4 5 5" xfId="38973"/>
    <cellStyle name="Comma 15 4 5 6" xfId="38974"/>
    <cellStyle name="Comma 15 4 6" xfId="38975"/>
    <cellStyle name="Comma 15 4 6 2" xfId="38976"/>
    <cellStyle name="Comma 15 4 6 2 2" xfId="38977"/>
    <cellStyle name="Comma 15 4 6 2 3" xfId="38978"/>
    <cellStyle name="Comma 15 4 6 3" xfId="38979"/>
    <cellStyle name="Comma 15 4 6 3 2" xfId="38980"/>
    <cellStyle name="Comma 15 4 6 3 3" xfId="38981"/>
    <cellStyle name="Comma 15 4 6 4" xfId="38982"/>
    <cellStyle name="Comma 15 4 6 4 2" xfId="38983"/>
    <cellStyle name="Comma 15 4 6 5" xfId="38984"/>
    <cellStyle name="Comma 15 4 6 6" xfId="38985"/>
    <cellStyle name="Comma 15 4 7" xfId="38986"/>
    <cellStyle name="Comma 15 4 7 2" xfId="38987"/>
    <cellStyle name="Comma 15 4 7 2 2" xfId="38988"/>
    <cellStyle name="Comma 15 4 7 2 3" xfId="38989"/>
    <cellStyle name="Comma 15 4 7 3" xfId="38990"/>
    <cellStyle name="Comma 15 4 7 3 2" xfId="38991"/>
    <cellStyle name="Comma 15 4 7 4" xfId="38992"/>
    <cellStyle name="Comma 15 4 7 5" xfId="38993"/>
    <cellStyle name="Comma 15 4 8" xfId="38994"/>
    <cellStyle name="Comma 15 4 8 2" xfId="38995"/>
    <cellStyle name="Comma 15 4 8 3" xfId="38996"/>
    <cellStyle name="Comma 15 4 9" xfId="38997"/>
    <cellStyle name="Comma 15 4 9 2" xfId="38998"/>
    <cellStyle name="Comma 15 4 9 3" xfId="38999"/>
    <cellStyle name="Comma 15 5" xfId="39000"/>
    <cellStyle name="Comma 15 5 10" xfId="39001"/>
    <cellStyle name="Comma 15 5 2" xfId="39002"/>
    <cellStyle name="Comma 15 5 2 2" xfId="39003"/>
    <cellStyle name="Comma 15 5 2 2 2" xfId="39004"/>
    <cellStyle name="Comma 15 5 2 2 2 2" xfId="39005"/>
    <cellStyle name="Comma 15 5 2 2 2 3" xfId="39006"/>
    <cellStyle name="Comma 15 5 2 2 3" xfId="39007"/>
    <cellStyle name="Comma 15 5 2 2 3 2" xfId="39008"/>
    <cellStyle name="Comma 15 5 2 2 3 3" xfId="39009"/>
    <cellStyle name="Comma 15 5 2 2 4" xfId="39010"/>
    <cellStyle name="Comma 15 5 2 2 4 2" xfId="39011"/>
    <cellStyle name="Comma 15 5 2 2 5" xfId="39012"/>
    <cellStyle name="Comma 15 5 2 2 6" xfId="39013"/>
    <cellStyle name="Comma 15 5 2 3" xfId="39014"/>
    <cellStyle name="Comma 15 5 2 3 2" xfId="39015"/>
    <cellStyle name="Comma 15 5 2 3 2 2" xfId="39016"/>
    <cellStyle name="Comma 15 5 2 3 2 3" xfId="39017"/>
    <cellStyle name="Comma 15 5 2 3 3" xfId="39018"/>
    <cellStyle name="Comma 15 5 2 3 3 2" xfId="39019"/>
    <cellStyle name="Comma 15 5 2 3 3 3" xfId="39020"/>
    <cellStyle name="Comma 15 5 2 3 4" xfId="39021"/>
    <cellStyle name="Comma 15 5 2 3 4 2" xfId="39022"/>
    <cellStyle name="Comma 15 5 2 3 5" xfId="39023"/>
    <cellStyle name="Comma 15 5 2 3 6" xfId="39024"/>
    <cellStyle name="Comma 15 5 2 4" xfId="39025"/>
    <cellStyle name="Comma 15 5 2 4 2" xfId="39026"/>
    <cellStyle name="Comma 15 5 2 4 2 2" xfId="39027"/>
    <cellStyle name="Comma 15 5 2 4 2 3" xfId="39028"/>
    <cellStyle name="Comma 15 5 2 4 3" xfId="39029"/>
    <cellStyle name="Comma 15 5 2 4 3 2" xfId="39030"/>
    <cellStyle name="Comma 15 5 2 4 4" xfId="39031"/>
    <cellStyle name="Comma 15 5 2 4 5" xfId="39032"/>
    <cellStyle name="Comma 15 5 2 5" xfId="39033"/>
    <cellStyle name="Comma 15 5 2 5 2" xfId="39034"/>
    <cellStyle name="Comma 15 5 2 5 3" xfId="39035"/>
    <cellStyle name="Comma 15 5 2 6" xfId="39036"/>
    <cellStyle name="Comma 15 5 2 6 2" xfId="39037"/>
    <cellStyle name="Comma 15 5 2 6 3" xfId="39038"/>
    <cellStyle name="Comma 15 5 2 7" xfId="39039"/>
    <cellStyle name="Comma 15 5 2 7 2" xfId="39040"/>
    <cellStyle name="Comma 15 5 2 8" xfId="39041"/>
    <cellStyle name="Comma 15 5 2 9" xfId="39042"/>
    <cellStyle name="Comma 15 5 3" xfId="39043"/>
    <cellStyle name="Comma 15 5 3 2" xfId="39044"/>
    <cellStyle name="Comma 15 5 3 2 2" xfId="39045"/>
    <cellStyle name="Comma 15 5 3 2 3" xfId="39046"/>
    <cellStyle name="Comma 15 5 3 3" xfId="39047"/>
    <cellStyle name="Comma 15 5 3 3 2" xfId="39048"/>
    <cellStyle name="Comma 15 5 3 3 3" xfId="39049"/>
    <cellStyle name="Comma 15 5 3 4" xfId="39050"/>
    <cellStyle name="Comma 15 5 3 4 2" xfId="39051"/>
    <cellStyle name="Comma 15 5 3 5" xfId="39052"/>
    <cellStyle name="Comma 15 5 3 6" xfId="39053"/>
    <cellStyle name="Comma 15 5 4" xfId="39054"/>
    <cellStyle name="Comma 15 5 4 2" xfId="39055"/>
    <cellStyle name="Comma 15 5 4 2 2" xfId="39056"/>
    <cellStyle name="Comma 15 5 4 2 3" xfId="39057"/>
    <cellStyle name="Comma 15 5 4 3" xfId="39058"/>
    <cellStyle name="Comma 15 5 4 3 2" xfId="39059"/>
    <cellStyle name="Comma 15 5 4 3 3" xfId="39060"/>
    <cellStyle name="Comma 15 5 4 4" xfId="39061"/>
    <cellStyle name="Comma 15 5 4 4 2" xfId="39062"/>
    <cellStyle name="Comma 15 5 4 5" xfId="39063"/>
    <cellStyle name="Comma 15 5 4 6" xfId="39064"/>
    <cellStyle name="Comma 15 5 5" xfId="39065"/>
    <cellStyle name="Comma 15 5 5 2" xfId="39066"/>
    <cellStyle name="Comma 15 5 5 2 2" xfId="39067"/>
    <cellStyle name="Comma 15 5 5 2 3" xfId="39068"/>
    <cellStyle name="Comma 15 5 5 3" xfId="39069"/>
    <cellStyle name="Comma 15 5 5 3 2" xfId="39070"/>
    <cellStyle name="Comma 15 5 5 4" xfId="39071"/>
    <cellStyle name="Comma 15 5 5 5" xfId="39072"/>
    <cellStyle name="Comma 15 5 6" xfId="39073"/>
    <cellStyle name="Comma 15 5 6 2" xfId="39074"/>
    <cellStyle name="Comma 15 5 6 3" xfId="39075"/>
    <cellStyle name="Comma 15 5 7" xfId="39076"/>
    <cellStyle name="Comma 15 5 7 2" xfId="39077"/>
    <cellStyle name="Comma 15 5 7 3" xfId="39078"/>
    <cellStyle name="Comma 15 5 8" xfId="39079"/>
    <cellStyle name="Comma 15 5 8 2" xfId="39080"/>
    <cellStyle name="Comma 15 5 9" xfId="39081"/>
    <cellStyle name="Comma 15 6" xfId="39082"/>
    <cellStyle name="Comma 15 6 2" xfId="39083"/>
    <cellStyle name="Comma 15 6 2 2" xfId="39084"/>
    <cellStyle name="Comma 15 6 2 2 2" xfId="39085"/>
    <cellStyle name="Comma 15 6 2 2 3" xfId="39086"/>
    <cellStyle name="Comma 15 6 2 3" xfId="39087"/>
    <cellStyle name="Comma 15 6 2 3 2" xfId="39088"/>
    <cellStyle name="Comma 15 6 2 3 3" xfId="39089"/>
    <cellStyle name="Comma 15 6 2 4" xfId="39090"/>
    <cellStyle name="Comma 15 6 2 4 2" xfId="39091"/>
    <cellStyle name="Comma 15 6 2 5" xfId="39092"/>
    <cellStyle name="Comma 15 6 2 6" xfId="39093"/>
    <cellStyle name="Comma 15 6 3" xfId="39094"/>
    <cellStyle name="Comma 15 6 3 2" xfId="39095"/>
    <cellStyle name="Comma 15 6 3 2 2" xfId="39096"/>
    <cellStyle name="Comma 15 6 3 2 3" xfId="39097"/>
    <cellStyle name="Comma 15 6 3 3" xfId="39098"/>
    <cellStyle name="Comma 15 6 3 3 2" xfId="39099"/>
    <cellStyle name="Comma 15 6 3 3 3" xfId="39100"/>
    <cellStyle name="Comma 15 6 3 4" xfId="39101"/>
    <cellStyle name="Comma 15 6 3 4 2" xfId="39102"/>
    <cellStyle name="Comma 15 6 3 5" xfId="39103"/>
    <cellStyle name="Comma 15 6 3 6" xfId="39104"/>
    <cellStyle name="Comma 15 6 4" xfId="39105"/>
    <cellStyle name="Comma 15 6 4 2" xfId="39106"/>
    <cellStyle name="Comma 15 6 4 2 2" xfId="39107"/>
    <cellStyle name="Comma 15 6 4 2 3" xfId="39108"/>
    <cellStyle name="Comma 15 6 4 3" xfId="39109"/>
    <cellStyle name="Comma 15 6 4 3 2" xfId="39110"/>
    <cellStyle name="Comma 15 6 4 4" xfId="39111"/>
    <cellStyle name="Comma 15 6 4 5" xfId="39112"/>
    <cellStyle name="Comma 15 6 5" xfId="39113"/>
    <cellStyle name="Comma 15 6 5 2" xfId="39114"/>
    <cellStyle name="Comma 15 6 5 3" xfId="39115"/>
    <cellStyle name="Comma 15 6 6" xfId="39116"/>
    <cellStyle name="Comma 15 6 6 2" xfId="39117"/>
    <cellStyle name="Comma 15 6 6 3" xfId="39118"/>
    <cellStyle name="Comma 15 6 7" xfId="39119"/>
    <cellStyle name="Comma 15 6 7 2" xfId="39120"/>
    <cellStyle name="Comma 15 6 8" xfId="39121"/>
    <cellStyle name="Comma 15 6 9" xfId="39122"/>
    <cellStyle name="Comma 15 7" xfId="39123"/>
    <cellStyle name="Comma 15 7 2" xfId="39124"/>
    <cellStyle name="Comma 15 7 2 2" xfId="39125"/>
    <cellStyle name="Comma 15 7 2 2 2" xfId="39126"/>
    <cellStyle name="Comma 15 7 2 2 3" xfId="39127"/>
    <cellStyle name="Comma 15 7 2 3" xfId="39128"/>
    <cellStyle name="Comma 15 7 2 3 2" xfId="39129"/>
    <cellStyle name="Comma 15 7 2 3 3" xfId="39130"/>
    <cellStyle name="Comma 15 7 2 4" xfId="39131"/>
    <cellStyle name="Comma 15 7 2 4 2" xfId="39132"/>
    <cellStyle name="Comma 15 7 2 5" xfId="39133"/>
    <cellStyle name="Comma 15 7 2 6" xfId="39134"/>
    <cellStyle name="Comma 15 7 3" xfId="39135"/>
    <cellStyle name="Comma 15 7 3 2" xfId="39136"/>
    <cellStyle name="Comma 15 7 3 2 2" xfId="39137"/>
    <cellStyle name="Comma 15 7 3 2 3" xfId="39138"/>
    <cellStyle name="Comma 15 7 3 3" xfId="39139"/>
    <cellStyle name="Comma 15 7 3 3 2" xfId="39140"/>
    <cellStyle name="Comma 15 7 3 3 3" xfId="39141"/>
    <cellStyle name="Comma 15 7 3 4" xfId="39142"/>
    <cellStyle name="Comma 15 7 3 4 2" xfId="39143"/>
    <cellStyle name="Comma 15 7 3 5" xfId="39144"/>
    <cellStyle name="Comma 15 7 3 6" xfId="39145"/>
    <cellStyle name="Comma 15 7 4" xfId="39146"/>
    <cellStyle name="Comma 15 7 4 2" xfId="39147"/>
    <cellStyle name="Comma 15 7 4 2 2" xfId="39148"/>
    <cellStyle name="Comma 15 7 4 2 3" xfId="39149"/>
    <cellStyle name="Comma 15 7 4 3" xfId="39150"/>
    <cellStyle name="Comma 15 7 4 3 2" xfId="39151"/>
    <cellStyle name="Comma 15 7 4 4" xfId="39152"/>
    <cellStyle name="Comma 15 7 4 5" xfId="39153"/>
    <cellStyle name="Comma 15 7 5" xfId="39154"/>
    <cellStyle name="Comma 15 7 5 2" xfId="39155"/>
    <cellStyle name="Comma 15 7 5 3" xfId="39156"/>
    <cellStyle name="Comma 15 7 6" xfId="39157"/>
    <cellStyle name="Comma 15 7 6 2" xfId="39158"/>
    <cellStyle name="Comma 15 7 6 3" xfId="39159"/>
    <cellStyle name="Comma 15 7 7" xfId="39160"/>
    <cellStyle name="Comma 15 7 7 2" xfId="39161"/>
    <cellStyle name="Comma 15 7 8" xfId="39162"/>
    <cellStyle name="Comma 15 7 9" xfId="39163"/>
    <cellStyle name="Comma 15 8" xfId="39164"/>
    <cellStyle name="Comma 15 8 2" xfId="39165"/>
    <cellStyle name="Comma 15 8 2 2" xfId="39166"/>
    <cellStyle name="Comma 15 8 2 3" xfId="39167"/>
    <cellStyle name="Comma 15 8 3" xfId="39168"/>
    <cellStyle name="Comma 15 8 3 2" xfId="39169"/>
    <cellStyle name="Comma 15 8 3 3" xfId="39170"/>
    <cellStyle name="Comma 15 8 4" xfId="39171"/>
    <cellStyle name="Comma 15 8 4 2" xfId="39172"/>
    <cellStyle name="Comma 15 8 5" xfId="39173"/>
    <cellStyle name="Comma 15 8 6" xfId="39174"/>
    <cellStyle name="Comma 15 9" xfId="39175"/>
    <cellStyle name="Comma 15 9 2" xfId="39176"/>
    <cellStyle name="Comma 15 9 2 2" xfId="39177"/>
    <cellStyle name="Comma 15 9 2 3" xfId="39178"/>
    <cellStyle name="Comma 15 9 3" xfId="39179"/>
    <cellStyle name="Comma 15 9 3 2" xfId="39180"/>
    <cellStyle name="Comma 15 9 3 3" xfId="39181"/>
    <cellStyle name="Comma 15 9 4" xfId="39182"/>
    <cellStyle name="Comma 15 9 4 2" xfId="39183"/>
    <cellStyle name="Comma 15 9 5" xfId="39184"/>
    <cellStyle name="Comma 15 9 6" xfId="39185"/>
    <cellStyle name="Comma 150" xfId="57868"/>
    <cellStyle name="Comma 151" xfId="57869"/>
    <cellStyle name="Comma 152" xfId="57870"/>
    <cellStyle name="Comma 153" xfId="57871"/>
    <cellStyle name="Comma 154" xfId="57872"/>
    <cellStyle name="Comma 155" xfId="57873"/>
    <cellStyle name="Comma 156" xfId="57874"/>
    <cellStyle name="Comma 157" xfId="62045"/>
    <cellStyle name="Comma 158" xfId="62052"/>
    <cellStyle name="Comma 16" xfId="3243"/>
    <cellStyle name="Comma 16 10" xfId="39186"/>
    <cellStyle name="Comma 16 10 2" xfId="39187"/>
    <cellStyle name="Comma 16 10 2 2" xfId="39188"/>
    <cellStyle name="Comma 16 10 2 3" xfId="39189"/>
    <cellStyle name="Comma 16 10 3" xfId="39190"/>
    <cellStyle name="Comma 16 10 3 2" xfId="39191"/>
    <cellStyle name="Comma 16 10 4" xfId="39192"/>
    <cellStyle name="Comma 16 10 5" xfId="39193"/>
    <cellStyle name="Comma 16 11" xfId="39194"/>
    <cellStyle name="Comma 16 11 2" xfId="39195"/>
    <cellStyle name="Comma 16 11 3" xfId="39196"/>
    <cellStyle name="Comma 16 12" xfId="39197"/>
    <cellStyle name="Comma 16 12 2" xfId="39198"/>
    <cellStyle name="Comma 16 12 3" xfId="39199"/>
    <cellStyle name="Comma 16 13" xfId="39200"/>
    <cellStyle name="Comma 16 13 2" xfId="39201"/>
    <cellStyle name="Comma 16 14" xfId="39202"/>
    <cellStyle name="Comma 16 15" xfId="39203"/>
    <cellStyle name="Comma 16 16" xfId="39204"/>
    <cellStyle name="Comma 16 2" xfId="3244"/>
    <cellStyle name="Comma 16 2 10" xfId="39205"/>
    <cellStyle name="Comma 16 2 10 2" xfId="39206"/>
    <cellStyle name="Comma 16 2 10 3" xfId="39207"/>
    <cellStyle name="Comma 16 2 11" xfId="39208"/>
    <cellStyle name="Comma 16 2 11 2" xfId="39209"/>
    <cellStyle name="Comma 16 2 11 3" xfId="39210"/>
    <cellStyle name="Comma 16 2 12" xfId="39211"/>
    <cellStyle name="Comma 16 2 12 2" xfId="39212"/>
    <cellStyle name="Comma 16 2 13" xfId="39213"/>
    <cellStyle name="Comma 16 2 14" xfId="39214"/>
    <cellStyle name="Comma 16 2 2" xfId="39215"/>
    <cellStyle name="Comma 16 2 2 10" xfId="39216"/>
    <cellStyle name="Comma 16 2 2 10 2" xfId="39217"/>
    <cellStyle name="Comma 16 2 2 10 3" xfId="39218"/>
    <cellStyle name="Comma 16 2 2 11" xfId="39219"/>
    <cellStyle name="Comma 16 2 2 11 2" xfId="39220"/>
    <cellStyle name="Comma 16 2 2 12" xfId="39221"/>
    <cellStyle name="Comma 16 2 2 13" xfId="39222"/>
    <cellStyle name="Comma 16 2 2 2" xfId="39223"/>
    <cellStyle name="Comma 16 2 2 2 10" xfId="39224"/>
    <cellStyle name="Comma 16 2 2 2 10 2" xfId="39225"/>
    <cellStyle name="Comma 16 2 2 2 11" xfId="39226"/>
    <cellStyle name="Comma 16 2 2 2 12" xfId="39227"/>
    <cellStyle name="Comma 16 2 2 2 2" xfId="39228"/>
    <cellStyle name="Comma 16 2 2 2 2 10" xfId="39229"/>
    <cellStyle name="Comma 16 2 2 2 2 2" xfId="39230"/>
    <cellStyle name="Comma 16 2 2 2 2 2 2" xfId="39231"/>
    <cellStyle name="Comma 16 2 2 2 2 2 2 2" xfId="39232"/>
    <cellStyle name="Comma 16 2 2 2 2 2 2 2 2" xfId="39233"/>
    <cellStyle name="Comma 16 2 2 2 2 2 2 2 3" xfId="39234"/>
    <cellStyle name="Comma 16 2 2 2 2 2 2 3" xfId="39235"/>
    <cellStyle name="Comma 16 2 2 2 2 2 2 3 2" xfId="39236"/>
    <cellStyle name="Comma 16 2 2 2 2 2 2 3 3" xfId="39237"/>
    <cellStyle name="Comma 16 2 2 2 2 2 2 4" xfId="39238"/>
    <cellStyle name="Comma 16 2 2 2 2 2 2 4 2" xfId="39239"/>
    <cellStyle name="Comma 16 2 2 2 2 2 2 5" xfId="39240"/>
    <cellStyle name="Comma 16 2 2 2 2 2 2 6" xfId="39241"/>
    <cellStyle name="Comma 16 2 2 2 2 2 3" xfId="39242"/>
    <cellStyle name="Comma 16 2 2 2 2 2 3 2" xfId="39243"/>
    <cellStyle name="Comma 16 2 2 2 2 2 3 2 2" xfId="39244"/>
    <cellStyle name="Comma 16 2 2 2 2 2 3 2 3" xfId="39245"/>
    <cellStyle name="Comma 16 2 2 2 2 2 3 3" xfId="39246"/>
    <cellStyle name="Comma 16 2 2 2 2 2 3 3 2" xfId="39247"/>
    <cellStyle name="Comma 16 2 2 2 2 2 3 3 3" xfId="39248"/>
    <cellStyle name="Comma 16 2 2 2 2 2 3 4" xfId="39249"/>
    <cellStyle name="Comma 16 2 2 2 2 2 3 4 2" xfId="39250"/>
    <cellStyle name="Comma 16 2 2 2 2 2 3 5" xfId="39251"/>
    <cellStyle name="Comma 16 2 2 2 2 2 3 6" xfId="39252"/>
    <cellStyle name="Comma 16 2 2 2 2 2 4" xfId="39253"/>
    <cellStyle name="Comma 16 2 2 2 2 2 4 2" xfId="39254"/>
    <cellStyle name="Comma 16 2 2 2 2 2 4 2 2" xfId="39255"/>
    <cellStyle name="Comma 16 2 2 2 2 2 4 2 3" xfId="39256"/>
    <cellStyle name="Comma 16 2 2 2 2 2 4 3" xfId="39257"/>
    <cellStyle name="Comma 16 2 2 2 2 2 4 3 2" xfId="39258"/>
    <cellStyle name="Comma 16 2 2 2 2 2 4 4" xfId="39259"/>
    <cellStyle name="Comma 16 2 2 2 2 2 4 5" xfId="39260"/>
    <cellStyle name="Comma 16 2 2 2 2 2 5" xfId="39261"/>
    <cellStyle name="Comma 16 2 2 2 2 2 5 2" xfId="39262"/>
    <cellStyle name="Comma 16 2 2 2 2 2 5 3" xfId="39263"/>
    <cellStyle name="Comma 16 2 2 2 2 2 6" xfId="39264"/>
    <cellStyle name="Comma 16 2 2 2 2 2 6 2" xfId="39265"/>
    <cellStyle name="Comma 16 2 2 2 2 2 6 3" xfId="39266"/>
    <cellStyle name="Comma 16 2 2 2 2 2 7" xfId="39267"/>
    <cellStyle name="Comma 16 2 2 2 2 2 7 2" xfId="39268"/>
    <cellStyle name="Comma 16 2 2 2 2 2 8" xfId="39269"/>
    <cellStyle name="Comma 16 2 2 2 2 2 9" xfId="39270"/>
    <cellStyle name="Comma 16 2 2 2 2 3" xfId="39271"/>
    <cellStyle name="Comma 16 2 2 2 2 3 2" xfId="39272"/>
    <cellStyle name="Comma 16 2 2 2 2 3 2 2" xfId="39273"/>
    <cellStyle name="Comma 16 2 2 2 2 3 2 3" xfId="39274"/>
    <cellStyle name="Comma 16 2 2 2 2 3 3" xfId="39275"/>
    <cellStyle name="Comma 16 2 2 2 2 3 3 2" xfId="39276"/>
    <cellStyle name="Comma 16 2 2 2 2 3 3 3" xfId="39277"/>
    <cellStyle name="Comma 16 2 2 2 2 3 4" xfId="39278"/>
    <cellStyle name="Comma 16 2 2 2 2 3 4 2" xfId="39279"/>
    <cellStyle name="Comma 16 2 2 2 2 3 5" xfId="39280"/>
    <cellStyle name="Comma 16 2 2 2 2 3 6" xfId="39281"/>
    <cellStyle name="Comma 16 2 2 2 2 4" xfId="39282"/>
    <cellStyle name="Comma 16 2 2 2 2 4 2" xfId="39283"/>
    <cellStyle name="Comma 16 2 2 2 2 4 2 2" xfId="39284"/>
    <cellStyle name="Comma 16 2 2 2 2 4 2 3" xfId="39285"/>
    <cellStyle name="Comma 16 2 2 2 2 4 3" xfId="39286"/>
    <cellStyle name="Comma 16 2 2 2 2 4 3 2" xfId="39287"/>
    <cellStyle name="Comma 16 2 2 2 2 4 3 3" xfId="39288"/>
    <cellStyle name="Comma 16 2 2 2 2 4 4" xfId="39289"/>
    <cellStyle name="Comma 16 2 2 2 2 4 4 2" xfId="39290"/>
    <cellStyle name="Comma 16 2 2 2 2 4 5" xfId="39291"/>
    <cellStyle name="Comma 16 2 2 2 2 4 6" xfId="39292"/>
    <cellStyle name="Comma 16 2 2 2 2 5" xfId="39293"/>
    <cellStyle name="Comma 16 2 2 2 2 5 2" xfId="39294"/>
    <cellStyle name="Comma 16 2 2 2 2 5 2 2" xfId="39295"/>
    <cellStyle name="Comma 16 2 2 2 2 5 2 3" xfId="39296"/>
    <cellStyle name="Comma 16 2 2 2 2 5 3" xfId="39297"/>
    <cellStyle name="Comma 16 2 2 2 2 5 3 2" xfId="39298"/>
    <cellStyle name="Comma 16 2 2 2 2 5 4" xfId="39299"/>
    <cellStyle name="Comma 16 2 2 2 2 5 5" xfId="39300"/>
    <cellStyle name="Comma 16 2 2 2 2 6" xfId="39301"/>
    <cellStyle name="Comma 16 2 2 2 2 6 2" xfId="39302"/>
    <cellStyle name="Comma 16 2 2 2 2 6 3" xfId="39303"/>
    <cellStyle name="Comma 16 2 2 2 2 7" xfId="39304"/>
    <cellStyle name="Comma 16 2 2 2 2 7 2" xfId="39305"/>
    <cellStyle name="Comma 16 2 2 2 2 7 3" xfId="39306"/>
    <cellStyle name="Comma 16 2 2 2 2 8" xfId="39307"/>
    <cellStyle name="Comma 16 2 2 2 2 8 2" xfId="39308"/>
    <cellStyle name="Comma 16 2 2 2 2 9" xfId="39309"/>
    <cellStyle name="Comma 16 2 2 2 3" xfId="39310"/>
    <cellStyle name="Comma 16 2 2 2 3 2" xfId="39311"/>
    <cellStyle name="Comma 16 2 2 2 3 2 2" xfId="39312"/>
    <cellStyle name="Comma 16 2 2 2 3 2 2 2" xfId="39313"/>
    <cellStyle name="Comma 16 2 2 2 3 2 2 3" xfId="39314"/>
    <cellStyle name="Comma 16 2 2 2 3 2 3" xfId="39315"/>
    <cellStyle name="Comma 16 2 2 2 3 2 3 2" xfId="39316"/>
    <cellStyle name="Comma 16 2 2 2 3 2 3 3" xfId="39317"/>
    <cellStyle name="Comma 16 2 2 2 3 2 4" xfId="39318"/>
    <cellStyle name="Comma 16 2 2 2 3 2 4 2" xfId="39319"/>
    <cellStyle name="Comma 16 2 2 2 3 2 5" xfId="39320"/>
    <cellStyle name="Comma 16 2 2 2 3 2 6" xfId="39321"/>
    <cellStyle name="Comma 16 2 2 2 3 3" xfId="39322"/>
    <cellStyle name="Comma 16 2 2 2 3 3 2" xfId="39323"/>
    <cellStyle name="Comma 16 2 2 2 3 3 2 2" xfId="39324"/>
    <cellStyle name="Comma 16 2 2 2 3 3 2 3" xfId="39325"/>
    <cellStyle name="Comma 16 2 2 2 3 3 3" xfId="39326"/>
    <cellStyle name="Comma 16 2 2 2 3 3 3 2" xfId="39327"/>
    <cellStyle name="Comma 16 2 2 2 3 3 3 3" xfId="39328"/>
    <cellStyle name="Comma 16 2 2 2 3 3 4" xfId="39329"/>
    <cellStyle name="Comma 16 2 2 2 3 3 4 2" xfId="39330"/>
    <cellStyle name="Comma 16 2 2 2 3 3 5" xfId="39331"/>
    <cellStyle name="Comma 16 2 2 2 3 3 6" xfId="39332"/>
    <cellStyle name="Comma 16 2 2 2 3 4" xfId="39333"/>
    <cellStyle name="Comma 16 2 2 2 3 4 2" xfId="39334"/>
    <cellStyle name="Comma 16 2 2 2 3 4 2 2" xfId="39335"/>
    <cellStyle name="Comma 16 2 2 2 3 4 2 3" xfId="39336"/>
    <cellStyle name="Comma 16 2 2 2 3 4 3" xfId="39337"/>
    <cellStyle name="Comma 16 2 2 2 3 4 3 2" xfId="39338"/>
    <cellStyle name="Comma 16 2 2 2 3 4 4" xfId="39339"/>
    <cellStyle name="Comma 16 2 2 2 3 4 5" xfId="39340"/>
    <cellStyle name="Comma 16 2 2 2 3 5" xfId="39341"/>
    <cellStyle name="Comma 16 2 2 2 3 5 2" xfId="39342"/>
    <cellStyle name="Comma 16 2 2 2 3 5 3" xfId="39343"/>
    <cellStyle name="Comma 16 2 2 2 3 6" xfId="39344"/>
    <cellStyle name="Comma 16 2 2 2 3 6 2" xfId="39345"/>
    <cellStyle name="Comma 16 2 2 2 3 6 3" xfId="39346"/>
    <cellStyle name="Comma 16 2 2 2 3 7" xfId="39347"/>
    <cellStyle name="Comma 16 2 2 2 3 7 2" xfId="39348"/>
    <cellStyle name="Comma 16 2 2 2 3 8" xfId="39349"/>
    <cellStyle name="Comma 16 2 2 2 3 9" xfId="39350"/>
    <cellStyle name="Comma 16 2 2 2 4" xfId="39351"/>
    <cellStyle name="Comma 16 2 2 2 4 2" xfId="39352"/>
    <cellStyle name="Comma 16 2 2 2 4 2 2" xfId="39353"/>
    <cellStyle name="Comma 16 2 2 2 4 2 2 2" xfId="39354"/>
    <cellStyle name="Comma 16 2 2 2 4 2 2 3" xfId="39355"/>
    <cellStyle name="Comma 16 2 2 2 4 2 3" xfId="39356"/>
    <cellStyle name="Comma 16 2 2 2 4 2 3 2" xfId="39357"/>
    <cellStyle name="Comma 16 2 2 2 4 2 3 3" xfId="39358"/>
    <cellStyle name="Comma 16 2 2 2 4 2 4" xfId="39359"/>
    <cellStyle name="Comma 16 2 2 2 4 2 4 2" xfId="39360"/>
    <cellStyle name="Comma 16 2 2 2 4 2 5" xfId="39361"/>
    <cellStyle name="Comma 16 2 2 2 4 2 6" xfId="39362"/>
    <cellStyle name="Comma 16 2 2 2 4 3" xfId="39363"/>
    <cellStyle name="Comma 16 2 2 2 4 3 2" xfId="39364"/>
    <cellStyle name="Comma 16 2 2 2 4 3 2 2" xfId="39365"/>
    <cellStyle name="Comma 16 2 2 2 4 3 2 3" xfId="39366"/>
    <cellStyle name="Comma 16 2 2 2 4 3 3" xfId="39367"/>
    <cellStyle name="Comma 16 2 2 2 4 3 3 2" xfId="39368"/>
    <cellStyle name="Comma 16 2 2 2 4 3 3 3" xfId="39369"/>
    <cellStyle name="Comma 16 2 2 2 4 3 4" xfId="39370"/>
    <cellStyle name="Comma 16 2 2 2 4 3 4 2" xfId="39371"/>
    <cellStyle name="Comma 16 2 2 2 4 3 5" xfId="39372"/>
    <cellStyle name="Comma 16 2 2 2 4 3 6" xfId="39373"/>
    <cellStyle name="Comma 16 2 2 2 4 4" xfId="39374"/>
    <cellStyle name="Comma 16 2 2 2 4 4 2" xfId="39375"/>
    <cellStyle name="Comma 16 2 2 2 4 4 2 2" xfId="39376"/>
    <cellStyle name="Comma 16 2 2 2 4 4 2 3" xfId="39377"/>
    <cellStyle name="Comma 16 2 2 2 4 4 3" xfId="39378"/>
    <cellStyle name="Comma 16 2 2 2 4 4 3 2" xfId="39379"/>
    <cellStyle name="Comma 16 2 2 2 4 4 4" xfId="39380"/>
    <cellStyle name="Comma 16 2 2 2 4 4 5" xfId="39381"/>
    <cellStyle name="Comma 16 2 2 2 4 5" xfId="39382"/>
    <cellStyle name="Comma 16 2 2 2 4 5 2" xfId="39383"/>
    <cellStyle name="Comma 16 2 2 2 4 5 3" xfId="39384"/>
    <cellStyle name="Comma 16 2 2 2 4 6" xfId="39385"/>
    <cellStyle name="Comma 16 2 2 2 4 6 2" xfId="39386"/>
    <cellStyle name="Comma 16 2 2 2 4 6 3" xfId="39387"/>
    <cellStyle name="Comma 16 2 2 2 4 7" xfId="39388"/>
    <cellStyle name="Comma 16 2 2 2 4 7 2" xfId="39389"/>
    <cellStyle name="Comma 16 2 2 2 4 8" xfId="39390"/>
    <cellStyle name="Comma 16 2 2 2 4 9" xfId="39391"/>
    <cellStyle name="Comma 16 2 2 2 5" xfId="39392"/>
    <cellStyle name="Comma 16 2 2 2 5 2" xfId="39393"/>
    <cellStyle name="Comma 16 2 2 2 5 2 2" xfId="39394"/>
    <cellStyle name="Comma 16 2 2 2 5 2 3" xfId="39395"/>
    <cellStyle name="Comma 16 2 2 2 5 3" xfId="39396"/>
    <cellStyle name="Comma 16 2 2 2 5 3 2" xfId="39397"/>
    <cellStyle name="Comma 16 2 2 2 5 3 3" xfId="39398"/>
    <cellStyle name="Comma 16 2 2 2 5 4" xfId="39399"/>
    <cellStyle name="Comma 16 2 2 2 5 4 2" xfId="39400"/>
    <cellStyle name="Comma 16 2 2 2 5 5" xfId="39401"/>
    <cellStyle name="Comma 16 2 2 2 5 6" xfId="39402"/>
    <cellStyle name="Comma 16 2 2 2 6" xfId="39403"/>
    <cellStyle name="Comma 16 2 2 2 6 2" xfId="39404"/>
    <cellStyle name="Comma 16 2 2 2 6 2 2" xfId="39405"/>
    <cellStyle name="Comma 16 2 2 2 6 2 3" xfId="39406"/>
    <cellStyle name="Comma 16 2 2 2 6 3" xfId="39407"/>
    <cellStyle name="Comma 16 2 2 2 6 3 2" xfId="39408"/>
    <cellStyle name="Comma 16 2 2 2 6 3 3" xfId="39409"/>
    <cellStyle name="Comma 16 2 2 2 6 4" xfId="39410"/>
    <cellStyle name="Comma 16 2 2 2 6 4 2" xfId="39411"/>
    <cellStyle name="Comma 16 2 2 2 6 5" xfId="39412"/>
    <cellStyle name="Comma 16 2 2 2 6 6" xfId="39413"/>
    <cellStyle name="Comma 16 2 2 2 7" xfId="39414"/>
    <cellStyle name="Comma 16 2 2 2 7 2" xfId="39415"/>
    <cellStyle name="Comma 16 2 2 2 7 2 2" xfId="39416"/>
    <cellStyle name="Comma 16 2 2 2 7 2 3" xfId="39417"/>
    <cellStyle name="Comma 16 2 2 2 7 3" xfId="39418"/>
    <cellStyle name="Comma 16 2 2 2 7 3 2" xfId="39419"/>
    <cellStyle name="Comma 16 2 2 2 7 4" xfId="39420"/>
    <cellStyle name="Comma 16 2 2 2 7 5" xfId="39421"/>
    <cellStyle name="Comma 16 2 2 2 8" xfId="39422"/>
    <cellStyle name="Comma 16 2 2 2 8 2" xfId="39423"/>
    <cellStyle name="Comma 16 2 2 2 8 3" xfId="39424"/>
    <cellStyle name="Comma 16 2 2 2 9" xfId="39425"/>
    <cellStyle name="Comma 16 2 2 2 9 2" xfId="39426"/>
    <cellStyle name="Comma 16 2 2 2 9 3" xfId="39427"/>
    <cellStyle name="Comma 16 2 2 3" xfId="39428"/>
    <cellStyle name="Comma 16 2 2 3 10" xfId="39429"/>
    <cellStyle name="Comma 16 2 2 3 2" xfId="39430"/>
    <cellStyle name="Comma 16 2 2 3 2 2" xfId="39431"/>
    <cellStyle name="Comma 16 2 2 3 2 2 2" xfId="39432"/>
    <cellStyle name="Comma 16 2 2 3 2 2 2 2" xfId="39433"/>
    <cellStyle name="Comma 16 2 2 3 2 2 2 3" xfId="39434"/>
    <cellStyle name="Comma 16 2 2 3 2 2 3" xfId="39435"/>
    <cellStyle name="Comma 16 2 2 3 2 2 3 2" xfId="39436"/>
    <cellStyle name="Comma 16 2 2 3 2 2 3 3" xfId="39437"/>
    <cellStyle name="Comma 16 2 2 3 2 2 4" xfId="39438"/>
    <cellStyle name="Comma 16 2 2 3 2 2 4 2" xfId="39439"/>
    <cellStyle name="Comma 16 2 2 3 2 2 5" xfId="39440"/>
    <cellStyle name="Comma 16 2 2 3 2 2 6" xfId="39441"/>
    <cellStyle name="Comma 16 2 2 3 2 3" xfId="39442"/>
    <cellStyle name="Comma 16 2 2 3 2 3 2" xfId="39443"/>
    <cellStyle name="Comma 16 2 2 3 2 3 2 2" xfId="39444"/>
    <cellStyle name="Comma 16 2 2 3 2 3 2 3" xfId="39445"/>
    <cellStyle name="Comma 16 2 2 3 2 3 3" xfId="39446"/>
    <cellStyle name="Comma 16 2 2 3 2 3 3 2" xfId="39447"/>
    <cellStyle name="Comma 16 2 2 3 2 3 3 3" xfId="39448"/>
    <cellStyle name="Comma 16 2 2 3 2 3 4" xfId="39449"/>
    <cellStyle name="Comma 16 2 2 3 2 3 4 2" xfId="39450"/>
    <cellStyle name="Comma 16 2 2 3 2 3 5" xfId="39451"/>
    <cellStyle name="Comma 16 2 2 3 2 3 6" xfId="39452"/>
    <cellStyle name="Comma 16 2 2 3 2 4" xfId="39453"/>
    <cellStyle name="Comma 16 2 2 3 2 4 2" xfId="39454"/>
    <cellStyle name="Comma 16 2 2 3 2 4 2 2" xfId="39455"/>
    <cellStyle name="Comma 16 2 2 3 2 4 2 3" xfId="39456"/>
    <cellStyle name="Comma 16 2 2 3 2 4 3" xfId="39457"/>
    <cellStyle name="Comma 16 2 2 3 2 4 3 2" xfId="39458"/>
    <cellStyle name="Comma 16 2 2 3 2 4 4" xfId="39459"/>
    <cellStyle name="Comma 16 2 2 3 2 4 5" xfId="39460"/>
    <cellStyle name="Comma 16 2 2 3 2 5" xfId="39461"/>
    <cellStyle name="Comma 16 2 2 3 2 5 2" xfId="39462"/>
    <cellStyle name="Comma 16 2 2 3 2 5 3" xfId="39463"/>
    <cellStyle name="Comma 16 2 2 3 2 6" xfId="39464"/>
    <cellStyle name="Comma 16 2 2 3 2 6 2" xfId="39465"/>
    <cellStyle name="Comma 16 2 2 3 2 6 3" xfId="39466"/>
    <cellStyle name="Comma 16 2 2 3 2 7" xfId="39467"/>
    <cellStyle name="Comma 16 2 2 3 2 7 2" xfId="39468"/>
    <cellStyle name="Comma 16 2 2 3 2 8" xfId="39469"/>
    <cellStyle name="Comma 16 2 2 3 2 9" xfId="39470"/>
    <cellStyle name="Comma 16 2 2 3 3" xfId="39471"/>
    <cellStyle name="Comma 16 2 2 3 3 2" xfId="39472"/>
    <cellStyle name="Comma 16 2 2 3 3 2 2" xfId="39473"/>
    <cellStyle name="Comma 16 2 2 3 3 2 3" xfId="39474"/>
    <cellStyle name="Comma 16 2 2 3 3 3" xfId="39475"/>
    <cellStyle name="Comma 16 2 2 3 3 3 2" xfId="39476"/>
    <cellStyle name="Comma 16 2 2 3 3 3 3" xfId="39477"/>
    <cellStyle name="Comma 16 2 2 3 3 4" xfId="39478"/>
    <cellStyle name="Comma 16 2 2 3 3 4 2" xfId="39479"/>
    <cellStyle name="Comma 16 2 2 3 3 5" xfId="39480"/>
    <cellStyle name="Comma 16 2 2 3 3 6" xfId="39481"/>
    <cellStyle name="Comma 16 2 2 3 4" xfId="39482"/>
    <cellStyle name="Comma 16 2 2 3 4 2" xfId="39483"/>
    <cellStyle name="Comma 16 2 2 3 4 2 2" xfId="39484"/>
    <cellStyle name="Comma 16 2 2 3 4 2 3" xfId="39485"/>
    <cellStyle name="Comma 16 2 2 3 4 3" xfId="39486"/>
    <cellStyle name="Comma 16 2 2 3 4 3 2" xfId="39487"/>
    <cellStyle name="Comma 16 2 2 3 4 3 3" xfId="39488"/>
    <cellStyle name="Comma 16 2 2 3 4 4" xfId="39489"/>
    <cellStyle name="Comma 16 2 2 3 4 4 2" xfId="39490"/>
    <cellStyle name="Comma 16 2 2 3 4 5" xfId="39491"/>
    <cellStyle name="Comma 16 2 2 3 4 6" xfId="39492"/>
    <cellStyle name="Comma 16 2 2 3 5" xfId="39493"/>
    <cellStyle name="Comma 16 2 2 3 5 2" xfId="39494"/>
    <cellStyle name="Comma 16 2 2 3 5 2 2" xfId="39495"/>
    <cellStyle name="Comma 16 2 2 3 5 2 3" xfId="39496"/>
    <cellStyle name="Comma 16 2 2 3 5 3" xfId="39497"/>
    <cellStyle name="Comma 16 2 2 3 5 3 2" xfId="39498"/>
    <cellStyle name="Comma 16 2 2 3 5 4" xfId="39499"/>
    <cellStyle name="Comma 16 2 2 3 5 5" xfId="39500"/>
    <cellStyle name="Comma 16 2 2 3 6" xfId="39501"/>
    <cellStyle name="Comma 16 2 2 3 6 2" xfId="39502"/>
    <cellStyle name="Comma 16 2 2 3 6 3" xfId="39503"/>
    <cellStyle name="Comma 16 2 2 3 7" xfId="39504"/>
    <cellStyle name="Comma 16 2 2 3 7 2" xfId="39505"/>
    <cellStyle name="Comma 16 2 2 3 7 3" xfId="39506"/>
    <cellStyle name="Comma 16 2 2 3 8" xfId="39507"/>
    <cellStyle name="Comma 16 2 2 3 8 2" xfId="39508"/>
    <cellStyle name="Comma 16 2 2 3 9" xfId="39509"/>
    <cellStyle name="Comma 16 2 2 4" xfId="39510"/>
    <cellStyle name="Comma 16 2 2 4 2" xfId="39511"/>
    <cellStyle name="Comma 16 2 2 4 2 2" xfId="39512"/>
    <cellStyle name="Comma 16 2 2 4 2 2 2" xfId="39513"/>
    <cellStyle name="Comma 16 2 2 4 2 2 3" xfId="39514"/>
    <cellStyle name="Comma 16 2 2 4 2 3" xfId="39515"/>
    <cellStyle name="Comma 16 2 2 4 2 3 2" xfId="39516"/>
    <cellStyle name="Comma 16 2 2 4 2 3 3" xfId="39517"/>
    <cellStyle name="Comma 16 2 2 4 2 4" xfId="39518"/>
    <cellStyle name="Comma 16 2 2 4 2 4 2" xfId="39519"/>
    <cellStyle name="Comma 16 2 2 4 2 5" xfId="39520"/>
    <cellStyle name="Comma 16 2 2 4 2 6" xfId="39521"/>
    <cellStyle name="Comma 16 2 2 4 3" xfId="39522"/>
    <cellStyle name="Comma 16 2 2 4 3 2" xfId="39523"/>
    <cellStyle name="Comma 16 2 2 4 3 2 2" xfId="39524"/>
    <cellStyle name="Comma 16 2 2 4 3 2 3" xfId="39525"/>
    <cellStyle name="Comma 16 2 2 4 3 3" xfId="39526"/>
    <cellStyle name="Comma 16 2 2 4 3 3 2" xfId="39527"/>
    <cellStyle name="Comma 16 2 2 4 3 3 3" xfId="39528"/>
    <cellStyle name="Comma 16 2 2 4 3 4" xfId="39529"/>
    <cellStyle name="Comma 16 2 2 4 3 4 2" xfId="39530"/>
    <cellStyle name="Comma 16 2 2 4 3 5" xfId="39531"/>
    <cellStyle name="Comma 16 2 2 4 3 6" xfId="39532"/>
    <cellStyle name="Comma 16 2 2 4 4" xfId="39533"/>
    <cellStyle name="Comma 16 2 2 4 4 2" xfId="39534"/>
    <cellStyle name="Comma 16 2 2 4 4 2 2" xfId="39535"/>
    <cellStyle name="Comma 16 2 2 4 4 2 3" xfId="39536"/>
    <cellStyle name="Comma 16 2 2 4 4 3" xfId="39537"/>
    <cellStyle name="Comma 16 2 2 4 4 3 2" xfId="39538"/>
    <cellStyle name="Comma 16 2 2 4 4 4" xfId="39539"/>
    <cellStyle name="Comma 16 2 2 4 4 5" xfId="39540"/>
    <cellStyle name="Comma 16 2 2 4 5" xfId="39541"/>
    <cellStyle name="Comma 16 2 2 4 5 2" xfId="39542"/>
    <cellStyle name="Comma 16 2 2 4 5 3" xfId="39543"/>
    <cellStyle name="Comma 16 2 2 4 6" xfId="39544"/>
    <cellStyle name="Comma 16 2 2 4 6 2" xfId="39545"/>
    <cellStyle name="Comma 16 2 2 4 6 3" xfId="39546"/>
    <cellStyle name="Comma 16 2 2 4 7" xfId="39547"/>
    <cellStyle name="Comma 16 2 2 4 7 2" xfId="39548"/>
    <cellStyle name="Comma 16 2 2 4 8" xfId="39549"/>
    <cellStyle name="Comma 16 2 2 4 9" xfId="39550"/>
    <cellStyle name="Comma 16 2 2 5" xfId="39551"/>
    <cellStyle name="Comma 16 2 2 5 2" xfId="39552"/>
    <cellStyle name="Comma 16 2 2 5 2 2" xfId="39553"/>
    <cellStyle name="Comma 16 2 2 5 2 2 2" xfId="39554"/>
    <cellStyle name="Comma 16 2 2 5 2 2 3" xfId="39555"/>
    <cellStyle name="Comma 16 2 2 5 2 3" xfId="39556"/>
    <cellStyle name="Comma 16 2 2 5 2 3 2" xfId="39557"/>
    <cellStyle name="Comma 16 2 2 5 2 3 3" xfId="39558"/>
    <cellStyle name="Comma 16 2 2 5 2 4" xfId="39559"/>
    <cellStyle name="Comma 16 2 2 5 2 4 2" xfId="39560"/>
    <cellStyle name="Comma 16 2 2 5 2 5" xfId="39561"/>
    <cellStyle name="Comma 16 2 2 5 2 6" xfId="39562"/>
    <cellStyle name="Comma 16 2 2 5 3" xfId="39563"/>
    <cellStyle name="Comma 16 2 2 5 3 2" xfId="39564"/>
    <cellStyle name="Comma 16 2 2 5 3 2 2" xfId="39565"/>
    <cellStyle name="Comma 16 2 2 5 3 2 3" xfId="39566"/>
    <cellStyle name="Comma 16 2 2 5 3 3" xfId="39567"/>
    <cellStyle name="Comma 16 2 2 5 3 3 2" xfId="39568"/>
    <cellStyle name="Comma 16 2 2 5 3 3 3" xfId="39569"/>
    <cellStyle name="Comma 16 2 2 5 3 4" xfId="39570"/>
    <cellStyle name="Comma 16 2 2 5 3 4 2" xfId="39571"/>
    <cellStyle name="Comma 16 2 2 5 3 5" xfId="39572"/>
    <cellStyle name="Comma 16 2 2 5 3 6" xfId="39573"/>
    <cellStyle name="Comma 16 2 2 5 4" xfId="39574"/>
    <cellStyle name="Comma 16 2 2 5 4 2" xfId="39575"/>
    <cellStyle name="Comma 16 2 2 5 4 2 2" xfId="39576"/>
    <cellStyle name="Comma 16 2 2 5 4 2 3" xfId="39577"/>
    <cellStyle name="Comma 16 2 2 5 4 3" xfId="39578"/>
    <cellStyle name="Comma 16 2 2 5 4 3 2" xfId="39579"/>
    <cellStyle name="Comma 16 2 2 5 4 4" xfId="39580"/>
    <cellStyle name="Comma 16 2 2 5 4 5" xfId="39581"/>
    <cellStyle name="Comma 16 2 2 5 5" xfId="39582"/>
    <cellStyle name="Comma 16 2 2 5 5 2" xfId="39583"/>
    <cellStyle name="Comma 16 2 2 5 5 3" xfId="39584"/>
    <cellStyle name="Comma 16 2 2 5 6" xfId="39585"/>
    <cellStyle name="Comma 16 2 2 5 6 2" xfId="39586"/>
    <cellStyle name="Comma 16 2 2 5 6 3" xfId="39587"/>
    <cellStyle name="Comma 16 2 2 5 7" xfId="39588"/>
    <cellStyle name="Comma 16 2 2 5 7 2" xfId="39589"/>
    <cellStyle name="Comma 16 2 2 5 8" xfId="39590"/>
    <cellStyle name="Comma 16 2 2 5 9" xfId="39591"/>
    <cellStyle name="Comma 16 2 2 6" xfId="39592"/>
    <cellStyle name="Comma 16 2 2 6 2" xfId="39593"/>
    <cellStyle name="Comma 16 2 2 6 2 2" xfId="39594"/>
    <cellStyle name="Comma 16 2 2 6 2 3" xfId="39595"/>
    <cellStyle name="Comma 16 2 2 6 3" xfId="39596"/>
    <cellStyle name="Comma 16 2 2 6 3 2" xfId="39597"/>
    <cellStyle name="Comma 16 2 2 6 3 3" xfId="39598"/>
    <cellStyle name="Comma 16 2 2 6 4" xfId="39599"/>
    <cellStyle name="Comma 16 2 2 6 4 2" xfId="39600"/>
    <cellStyle name="Comma 16 2 2 6 5" xfId="39601"/>
    <cellStyle name="Comma 16 2 2 6 6" xfId="39602"/>
    <cellStyle name="Comma 16 2 2 7" xfId="39603"/>
    <cellStyle name="Comma 16 2 2 7 2" xfId="39604"/>
    <cellStyle name="Comma 16 2 2 7 2 2" xfId="39605"/>
    <cellStyle name="Comma 16 2 2 7 2 3" xfId="39606"/>
    <cellStyle name="Comma 16 2 2 7 3" xfId="39607"/>
    <cellStyle name="Comma 16 2 2 7 3 2" xfId="39608"/>
    <cellStyle name="Comma 16 2 2 7 3 3" xfId="39609"/>
    <cellStyle name="Comma 16 2 2 7 4" xfId="39610"/>
    <cellStyle name="Comma 16 2 2 7 4 2" xfId="39611"/>
    <cellStyle name="Comma 16 2 2 7 5" xfId="39612"/>
    <cellStyle name="Comma 16 2 2 7 6" xfId="39613"/>
    <cellStyle name="Comma 16 2 2 8" xfId="39614"/>
    <cellStyle name="Comma 16 2 2 8 2" xfId="39615"/>
    <cellStyle name="Comma 16 2 2 8 2 2" xfId="39616"/>
    <cellStyle name="Comma 16 2 2 8 2 3" xfId="39617"/>
    <cellStyle name="Comma 16 2 2 8 3" xfId="39618"/>
    <cellStyle name="Comma 16 2 2 8 3 2" xfId="39619"/>
    <cellStyle name="Comma 16 2 2 8 4" xfId="39620"/>
    <cellStyle name="Comma 16 2 2 8 5" xfId="39621"/>
    <cellStyle name="Comma 16 2 2 9" xfId="39622"/>
    <cellStyle name="Comma 16 2 2 9 2" xfId="39623"/>
    <cellStyle name="Comma 16 2 2 9 3" xfId="39624"/>
    <cellStyle name="Comma 16 2 3" xfId="39625"/>
    <cellStyle name="Comma 16 2 3 10" xfId="39626"/>
    <cellStyle name="Comma 16 2 3 10 2" xfId="39627"/>
    <cellStyle name="Comma 16 2 3 11" xfId="39628"/>
    <cellStyle name="Comma 16 2 3 12" xfId="39629"/>
    <cellStyle name="Comma 16 2 3 2" xfId="39630"/>
    <cellStyle name="Comma 16 2 3 2 10" xfId="39631"/>
    <cellStyle name="Comma 16 2 3 2 2" xfId="39632"/>
    <cellStyle name="Comma 16 2 3 2 2 2" xfId="39633"/>
    <cellStyle name="Comma 16 2 3 2 2 2 2" xfId="39634"/>
    <cellStyle name="Comma 16 2 3 2 2 2 2 2" xfId="39635"/>
    <cellStyle name="Comma 16 2 3 2 2 2 2 3" xfId="39636"/>
    <cellStyle name="Comma 16 2 3 2 2 2 3" xfId="39637"/>
    <cellStyle name="Comma 16 2 3 2 2 2 3 2" xfId="39638"/>
    <cellStyle name="Comma 16 2 3 2 2 2 3 3" xfId="39639"/>
    <cellStyle name="Comma 16 2 3 2 2 2 4" xfId="39640"/>
    <cellStyle name="Comma 16 2 3 2 2 2 4 2" xfId="39641"/>
    <cellStyle name="Comma 16 2 3 2 2 2 5" xfId="39642"/>
    <cellStyle name="Comma 16 2 3 2 2 2 6" xfId="39643"/>
    <cellStyle name="Comma 16 2 3 2 2 3" xfId="39644"/>
    <cellStyle name="Comma 16 2 3 2 2 3 2" xfId="39645"/>
    <cellStyle name="Comma 16 2 3 2 2 3 2 2" xfId="39646"/>
    <cellStyle name="Comma 16 2 3 2 2 3 2 3" xfId="39647"/>
    <cellStyle name="Comma 16 2 3 2 2 3 3" xfId="39648"/>
    <cellStyle name="Comma 16 2 3 2 2 3 3 2" xfId="39649"/>
    <cellStyle name="Comma 16 2 3 2 2 3 3 3" xfId="39650"/>
    <cellStyle name="Comma 16 2 3 2 2 3 4" xfId="39651"/>
    <cellStyle name="Comma 16 2 3 2 2 3 4 2" xfId="39652"/>
    <cellStyle name="Comma 16 2 3 2 2 3 5" xfId="39653"/>
    <cellStyle name="Comma 16 2 3 2 2 3 6" xfId="39654"/>
    <cellStyle name="Comma 16 2 3 2 2 4" xfId="39655"/>
    <cellStyle name="Comma 16 2 3 2 2 4 2" xfId="39656"/>
    <cellStyle name="Comma 16 2 3 2 2 4 2 2" xfId="39657"/>
    <cellStyle name="Comma 16 2 3 2 2 4 2 3" xfId="39658"/>
    <cellStyle name="Comma 16 2 3 2 2 4 3" xfId="39659"/>
    <cellStyle name="Comma 16 2 3 2 2 4 3 2" xfId="39660"/>
    <cellStyle name="Comma 16 2 3 2 2 4 4" xfId="39661"/>
    <cellStyle name="Comma 16 2 3 2 2 4 5" xfId="39662"/>
    <cellStyle name="Comma 16 2 3 2 2 5" xfId="39663"/>
    <cellStyle name="Comma 16 2 3 2 2 5 2" xfId="39664"/>
    <cellStyle name="Comma 16 2 3 2 2 5 3" xfId="39665"/>
    <cellStyle name="Comma 16 2 3 2 2 6" xfId="39666"/>
    <cellStyle name="Comma 16 2 3 2 2 6 2" xfId="39667"/>
    <cellStyle name="Comma 16 2 3 2 2 6 3" xfId="39668"/>
    <cellStyle name="Comma 16 2 3 2 2 7" xfId="39669"/>
    <cellStyle name="Comma 16 2 3 2 2 7 2" xfId="39670"/>
    <cellStyle name="Comma 16 2 3 2 2 8" xfId="39671"/>
    <cellStyle name="Comma 16 2 3 2 2 9" xfId="39672"/>
    <cellStyle name="Comma 16 2 3 2 3" xfId="39673"/>
    <cellStyle name="Comma 16 2 3 2 3 2" xfId="39674"/>
    <cellStyle name="Comma 16 2 3 2 3 2 2" xfId="39675"/>
    <cellStyle name="Comma 16 2 3 2 3 2 3" xfId="39676"/>
    <cellStyle name="Comma 16 2 3 2 3 3" xfId="39677"/>
    <cellStyle name="Comma 16 2 3 2 3 3 2" xfId="39678"/>
    <cellStyle name="Comma 16 2 3 2 3 3 3" xfId="39679"/>
    <cellStyle name="Comma 16 2 3 2 3 4" xfId="39680"/>
    <cellStyle name="Comma 16 2 3 2 3 4 2" xfId="39681"/>
    <cellStyle name="Comma 16 2 3 2 3 5" xfId="39682"/>
    <cellStyle name="Comma 16 2 3 2 3 6" xfId="39683"/>
    <cellStyle name="Comma 16 2 3 2 4" xfId="39684"/>
    <cellStyle name="Comma 16 2 3 2 4 2" xfId="39685"/>
    <cellStyle name="Comma 16 2 3 2 4 2 2" xfId="39686"/>
    <cellStyle name="Comma 16 2 3 2 4 2 3" xfId="39687"/>
    <cellStyle name="Comma 16 2 3 2 4 3" xfId="39688"/>
    <cellStyle name="Comma 16 2 3 2 4 3 2" xfId="39689"/>
    <cellStyle name="Comma 16 2 3 2 4 3 3" xfId="39690"/>
    <cellStyle name="Comma 16 2 3 2 4 4" xfId="39691"/>
    <cellStyle name="Comma 16 2 3 2 4 4 2" xfId="39692"/>
    <cellStyle name="Comma 16 2 3 2 4 5" xfId="39693"/>
    <cellStyle name="Comma 16 2 3 2 4 6" xfId="39694"/>
    <cellStyle name="Comma 16 2 3 2 5" xfId="39695"/>
    <cellStyle name="Comma 16 2 3 2 5 2" xfId="39696"/>
    <cellStyle name="Comma 16 2 3 2 5 2 2" xfId="39697"/>
    <cellStyle name="Comma 16 2 3 2 5 2 3" xfId="39698"/>
    <cellStyle name="Comma 16 2 3 2 5 3" xfId="39699"/>
    <cellStyle name="Comma 16 2 3 2 5 3 2" xfId="39700"/>
    <cellStyle name="Comma 16 2 3 2 5 4" xfId="39701"/>
    <cellStyle name="Comma 16 2 3 2 5 5" xfId="39702"/>
    <cellStyle name="Comma 16 2 3 2 6" xfId="39703"/>
    <cellStyle name="Comma 16 2 3 2 6 2" xfId="39704"/>
    <cellStyle name="Comma 16 2 3 2 6 3" xfId="39705"/>
    <cellStyle name="Comma 16 2 3 2 7" xfId="39706"/>
    <cellStyle name="Comma 16 2 3 2 7 2" xfId="39707"/>
    <cellStyle name="Comma 16 2 3 2 7 3" xfId="39708"/>
    <cellStyle name="Comma 16 2 3 2 8" xfId="39709"/>
    <cellStyle name="Comma 16 2 3 2 8 2" xfId="39710"/>
    <cellStyle name="Comma 16 2 3 2 9" xfId="39711"/>
    <cellStyle name="Comma 16 2 3 3" xfId="39712"/>
    <cellStyle name="Comma 16 2 3 3 2" xfId="39713"/>
    <cellStyle name="Comma 16 2 3 3 2 2" xfId="39714"/>
    <cellStyle name="Comma 16 2 3 3 2 2 2" xfId="39715"/>
    <cellStyle name="Comma 16 2 3 3 2 2 3" xfId="39716"/>
    <cellStyle name="Comma 16 2 3 3 2 3" xfId="39717"/>
    <cellStyle name="Comma 16 2 3 3 2 3 2" xfId="39718"/>
    <cellStyle name="Comma 16 2 3 3 2 3 3" xfId="39719"/>
    <cellStyle name="Comma 16 2 3 3 2 4" xfId="39720"/>
    <cellStyle name="Comma 16 2 3 3 2 4 2" xfId="39721"/>
    <cellStyle name="Comma 16 2 3 3 2 5" xfId="39722"/>
    <cellStyle name="Comma 16 2 3 3 2 6" xfId="39723"/>
    <cellStyle name="Comma 16 2 3 3 3" xfId="39724"/>
    <cellStyle name="Comma 16 2 3 3 3 2" xfId="39725"/>
    <cellStyle name="Comma 16 2 3 3 3 2 2" xfId="39726"/>
    <cellStyle name="Comma 16 2 3 3 3 2 3" xfId="39727"/>
    <cellStyle name="Comma 16 2 3 3 3 3" xfId="39728"/>
    <cellStyle name="Comma 16 2 3 3 3 3 2" xfId="39729"/>
    <cellStyle name="Comma 16 2 3 3 3 3 3" xfId="39730"/>
    <cellStyle name="Comma 16 2 3 3 3 4" xfId="39731"/>
    <cellStyle name="Comma 16 2 3 3 3 4 2" xfId="39732"/>
    <cellStyle name="Comma 16 2 3 3 3 5" xfId="39733"/>
    <cellStyle name="Comma 16 2 3 3 3 6" xfId="39734"/>
    <cellStyle name="Comma 16 2 3 3 4" xfId="39735"/>
    <cellStyle name="Comma 16 2 3 3 4 2" xfId="39736"/>
    <cellStyle name="Comma 16 2 3 3 4 2 2" xfId="39737"/>
    <cellStyle name="Comma 16 2 3 3 4 2 3" xfId="39738"/>
    <cellStyle name="Comma 16 2 3 3 4 3" xfId="39739"/>
    <cellStyle name="Comma 16 2 3 3 4 3 2" xfId="39740"/>
    <cellStyle name="Comma 16 2 3 3 4 4" xfId="39741"/>
    <cellStyle name="Comma 16 2 3 3 4 5" xfId="39742"/>
    <cellStyle name="Comma 16 2 3 3 5" xfId="39743"/>
    <cellStyle name="Comma 16 2 3 3 5 2" xfId="39744"/>
    <cellStyle name="Comma 16 2 3 3 5 3" xfId="39745"/>
    <cellStyle name="Comma 16 2 3 3 6" xfId="39746"/>
    <cellStyle name="Comma 16 2 3 3 6 2" xfId="39747"/>
    <cellStyle name="Comma 16 2 3 3 6 3" xfId="39748"/>
    <cellStyle name="Comma 16 2 3 3 7" xfId="39749"/>
    <cellStyle name="Comma 16 2 3 3 7 2" xfId="39750"/>
    <cellStyle name="Comma 16 2 3 3 8" xfId="39751"/>
    <cellStyle name="Comma 16 2 3 3 9" xfId="39752"/>
    <cellStyle name="Comma 16 2 3 4" xfId="39753"/>
    <cellStyle name="Comma 16 2 3 4 2" xfId="39754"/>
    <cellStyle name="Comma 16 2 3 4 2 2" xfId="39755"/>
    <cellStyle name="Comma 16 2 3 4 2 2 2" xfId="39756"/>
    <cellStyle name="Comma 16 2 3 4 2 2 3" xfId="39757"/>
    <cellStyle name="Comma 16 2 3 4 2 3" xfId="39758"/>
    <cellStyle name="Comma 16 2 3 4 2 3 2" xfId="39759"/>
    <cellStyle name="Comma 16 2 3 4 2 3 3" xfId="39760"/>
    <cellStyle name="Comma 16 2 3 4 2 4" xfId="39761"/>
    <cellStyle name="Comma 16 2 3 4 2 4 2" xfId="39762"/>
    <cellStyle name="Comma 16 2 3 4 2 5" xfId="39763"/>
    <cellStyle name="Comma 16 2 3 4 2 6" xfId="39764"/>
    <cellStyle name="Comma 16 2 3 4 3" xfId="39765"/>
    <cellStyle name="Comma 16 2 3 4 3 2" xfId="39766"/>
    <cellStyle name="Comma 16 2 3 4 3 2 2" xfId="39767"/>
    <cellStyle name="Comma 16 2 3 4 3 2 3" xfId="39768"/>
    <cellStyle name="Comma 16 2 3 4 3 3" xfId="39769"/>
    <cellStyle name="Comma 16 2 3 4 3 3 2" xfId="39770"/>
    <cellStyle name="Comma 16 2 3 4 3 3 3" xfId="39771"/>
    <cellStyle name="Comma 16 2 3 4 3 4" xfId="39772"/>
    <cellStyle name="Comma 16 2 3 4 3 4 2" xfId="39773"/>
    <cellStyle name="Comma 16 2 3 4 3 5" xfId="39774"/>
    <cellStyle name="Comma 16 2 3 4 3 6" xfId="39775"/>
    <cellStyle name="Comma 16 2 3 4 4" xfId="39776"/>
    <cellStyle name="Comma 16 2 3 4 4 2" xfId="39777"/>
    <cellStyle name="Comma 16 2 3 4 4 2 2" xfId="39778"/>
    <cellStyle name="Comma 16 2 3 4 4 2 3" xfId="39779"/>
    <cellStyle name="Comma 16 2 3 4 4 3" xfId="39780"/>
    <cellStyle name="Comma 16 2 3 4 4 3 2" xfId="39781"/>
    <cellStyle name="Comma 16 2 3 4 4 4" xfId="39782"/>
    <cellStyle name="Comma 16 2 3 4 4 5" xfId="39783"/>
    <cellStyle name="Comma 16 2 3 4 5" xfId="39784"/>
    <cellStyle name="Comma 16 2 3 4 5 2" xfId="39785"/>
    <cellStyle name="Comma 16 2 3 4 5 3" xfId="39786"/>
    <cellStyle name="Comma 16 2 3 4 6" xfId="39787"/>
    <cellStyle name="Comma 16 2 3 4 6 2" xfId="39788"/>
    <cellStyle name="Comma 16 2 3 4 6 3" xfId="39789"/>
    <cellStyle name="Comma 16 2 3 4 7" xfId="39790"/>
    <cellStyle name="Comma 16 2 3 4 7 2" xfId="39791"/>
    <cellStyle name="Comma 16 2 3 4 8" xfId="39792"/>
    <cellStyle name="Comma 16 2 3 4 9" xfId="39793"/>
    <cellStyle name="Comma 16 2 3 5" xfId="39794"/>
    <cellStyle name="Comma 16 2 3 5 2" xfId="39795"/>
    <cellStyle name="Comma 16 2 3 5 2 2" xfId="39796"/>
    <cellStyle name="Comma 16 2 3 5 2 3" xfId="39797"/>
    <cellStyle name="Comma 16 2 3 5 3" xfId="39798"/>
    <cellStyle name="Comma 16 2 3 5 3 2" xfId="39799"/>
    <cellStyle name="Comma 16 2 3 5 3 3" xfId="39800"/>
    <cellStyle name="Comma 16 2 3 5 4" xfId="39801"/>
    <cellStyle name="Comma 16 2 3 5 4 2" xfId="39802"/>
    <cellStyle name="Comma 16 2 3 5 5" xfId="39803"/>
    <cellStyle name="Comma 16 2 3 5 6" xfId="39804"/>
    <cellStyle name="Comma 16 2 3 6" xfId="39805"/>
    <cellStyle name="Comma 16 2 3 6 2" xfId="39806"/>
    <cellStyle name="Comma 16 2 3 6 2 2" xfId="39807"/>
    <cellStyle name="Comma 16 2 3 6 2 3" xfId="39808"/>
    <cellStyle name="Comma 16 2 3 6 3" xfId="39809"/>
    <cellStyle name="Comma 16 2 3 6 3 2" xfId="39810"/>
    <cellStyle name="Comma 16 2 3 6 3 3" xfId="39811"/>
    <cellStyle name="Comma 16 2 3 6 4" xfId="39812"/>
    <cellStyle name="Comma 16 2 3 6 4 2" xfId="39813"/>
    <cellStyle name="Comma 16 2 3 6 5" xfId="39814"/>
    <cellStyle name="Comma 16 2 3 6 6" xfId="39815"/>
    <cellStyle name="Comma 16 2 3 7" xfId="39816"/>
    <cellStyle name="Comma 16 2 3 7 2" xfId="39817"/>
    <cellStyle name="Comma 16 2 3 7 2 2" xfId="39818"/>
    <cellStyle name="Comma 16 2 3 7 2 3" xfId="39819"/>
    <cellStyle name="Comma 16 2 3 7 3" xfId="39820"/>
    <cellStyle name="Comma 16 2 3 7 3 2" xfId="39821"/>
    <cellStyle name="Comma 16 2 3 7 4" xfId="39822"/>
    <cellStyle name="Comma 16 2 3 7 5" xfId="39823"/>
    <cellStyle name="Comma 16 2 3 8" xfId="39824"/>
    <cellStyle name="Comma 16 2 3 8 2" xfId="39825"/>
    <cellStyle name="Comma 16 2 3 8 3" xfId="39826"/>
    <cellStyle name="Comma 16 2 3 9" xfId="39827"/>
    <cellStyle name="Comma 16 2 3 9 2" xfId="39828"/>
    <cellStyle name="Comma 16 2 3 9 3" xfId="39829"/>
    <cellStyle name="Comma 16 2 4" xfId="39830"/>
    <cellStyle name="Comma 16 2 4 10" xfId="39831"/>
    <cellStyle name="Comma 16 2 4 2" xfId="39832"/>
    <cellStyle name="Comma 16 2 4 2 2" xfId="39833"/>
    <cellStyle name="Comma 16 2 4 2 2 2" xfId="39834"/>
    <cellStyle name="Comma 16 2 4 2 2 2 2" xfId="39835"/>
    <cellStyle name="Comma 16 2 4 2 2 2 3" xfId="39836"/>
    <cellStyle name="Comma 16 2 4 2 2 3" xfId="39837"/>
    <cellStyle name="Comma 16 2 4 2 2 3 2" xfId="39838"/>
    <cellStyle name="Comma 16 2 4 2 2 3 3" xfId="39839"/>
    <cellStyle name="Comma 16 2 4 2 2 4" xfId="39840"/>
    <cellStyle name="Comma 16 2 4 2 2 4 2" xfId="39841"/>
    <cellStyle name="Comma 16 2 4 2 2 5" xfId="39842"/>
    <cellStyle name="Comma 16 2 4 2 2 6" xfId="39843"/>
    <cellStyle name="Comma 16 2 4 2 3" xfId="39844"/>
    <cellStyle name="Comma 16 2 4 2 3 2" xfId="39845"/>
    <cellStyle name="Comma 16 2 4 2 3 2 2" xfId="39846"/>
    <cellStyle name="Comma 16 2 4 2 3 2 3" xfId="39847"/>
    <cellStyle name="Comma 16 2 4 2 3 3" xfId="39848"/>
    <cellStyle name="Comma 16 2 4 2 3 3 2" xfId="39849"/>
    <cellStyle name="Comma 16 2 4 2 3 3 3" xfId="39850"/>
    <cellStyle name="Comma 16 2 4 2 3 4" xfId="39851"/>
    <cellStyle name="Comma 16 2 4 2 3 4 2" xfId="39852"/>
    <cellStyle name="Comma 16 2 4 2 3 5" xfId="39853"/>
    <cellStyle name="Comma 16 2 4 2 3 6" xfId="39854"/>
    <cellStyle name="Comma 16 2 4 2 4" xfId="39855"/>
    <cellStyle name="Comma 16 2 4 2 4 2" xfId="39856"/>
    <cellStyle name="Comma 16 2 4 2 4 2 2" xfId="39857"/>
    <cellStyle name="Comma 16 2 4 2 4 2 3" xfId="39858"/>
    <cellStyle name="Comma 16 2 4 2 4 3" xfId="39859"/>
    <cellStyle name="Comma 16 2 4 2 4 3 2" xfId="39860"/>
    <cellStyle name="Comma 16 2 4 2 4 4" xfId="39861"/>
    <cellStyle name="Comma 16 2 4 2 4 5" xfId="39862"/>
    <cellStyle name="Comma 16 2 4 2 5" xfId="39863"/>
    <cellStyle name="Comma 16 2 4 2 5 2" xfId="39864"/>
    <cellStyle name="Comma 16 2 4 2 5 3" xfId="39865"/>
    <cellStyle name="Comma 16 2 4 2 6" xfId="39866"/>
    <cellStyle name="Comma 16 2 4 2 6 2" xfId="39867"/>
    <cellStyle name="Comma 16 2 4 2 6 3" xfId="39868"/>
    <cellStyle name="Comma 16 2 4 2 7" xfId="39869"/>
    <cellStyle name="Comma 16 2 4 2 7 2" xfId="39870"/>
    <cellStyle name="Comma 16 2 4 2 8" xfId="39871"/>
    <cellStyle name="Comma 16 2 4 2 9" xfId="39872"/>
    <cellStyle name="Comma 16 2 4 3" xfId="39873"/>
    <cellStyle name="Comma 16 2 4 3 2" xfId="39874"/>
    <cellStyle name="Comma 16 2 4 3 2 2" xfId="39875"/>
    <cellStyle name="Comma 16 2 4 3 2 3" xfId="39876"/>
    <cellStyle name="Comma 16 2 4 3 3" xfId="39877"/>
    <cellStyle name="Comma 16 2 4 3 3 2" xfId="39878"/>
    <cellStyle name="Comma 16 2 4 3 3 3" xfId="39879"/>
    <cellStyle name="Comma 16 2 4 3 4" xfId="39880"/>
    <cellStyle name="Comma 16 2 4 3 4 2" xfId="39881"/>
    <cellStyle name="Comma 16 2 4 3 5" xfId="39882"/>
    <cellStyle name="Comma 16 2 4 3 6" xfId="39883"/>
    <cellStyle name="Comma 16 2 4 4" xfId="39884"/>
    <cellStyle name="Comma 16 2 4 4 2" xfId="39885"/>
    <cellStyle name="Comma 16 2 4 4 2 2" xfId="39886"/>
    <cellStyle name="Comma 16 2 4 4 2 3" xfId="39887"/>
    <cellStyle name="Comma 16 2 4 4 3" xfId="39888"/>
    <cellStyle name="Comma 16 2 4 4 3 2" xfId="39889"/>
    <cellStyle name="Comma 16 2 4 4 3 3" xfId="39890"/>
    <cellStyle name="Comma 16 2 4 4 4" xfId="39891"/>
    <cellStyle name="Comma 16 2 4 4 4 2" xfId="39892"/>
    <cellStyle name="Comma 16 2 4 4 5" xfId="39893"/>
    <cellStyle name="Comma 16 2 4 4 6" xfId="39894"/>
    <cellStyle name="Comma 16 2 4 5" xfId="39895"/>
    <cellStyle name="Comma 16 2 4 5 2" xfId="39896"/>
    <cellStyle name="Comma 16 2 4 5 2 2" xfId="39897"/>
    <cellStyle name="Comma 16 2 4 5 2 3" xfId="39898"/>
    <cellStyle name="Comma 16 2 4 5 3" xfId="39899"/>
    <cellStyle name="Comma 16 2 4 5 3 2" xfId="39900"/>
    <cellStyle name="Comma 16 2 4 5 4" xfId="39901"/>
    <cellStyle name="Comma 16 2 4 5 5" xfId="39902"/>
    <cellStyle name="Comma 16 2 4 6" xfId="39903"/>
    <cellStyle name="Comma 16 2 4 6 2" xfId="39904"/>
    <cellStyle name="Comma 16 2 4 6 3" xfId="39905"/>
    <cellStyle name="Comma 16 2 4 7" xfId="39906"/>
    <cellStyle name="Comma 16 2 4 7 2" xfId="39907"/>
    <cellStyle name="Comma 16 2 4 7 3" xfId="39908"/>
    <cellStyle name="Comma 16 2 4 8" xfId="39909"/>
    <cellStyle name="Comma 16 2 4 8 2" xfId="39910"/>
    <cellStyle name="Comma 16 2 4 9" xfId="39911"/>
    <cellStyle name="Comma 16 2 5" xfId="39912"/>
    <cellStyle name="Comma 16 2 5 2" xfId="39913"/>
    <cellStyle name="Comma 16 2 5 2 2" xfId="39914"/>
    <cellStyle name="Comma 16 2 5 2 2 2" xfId="39915"/>
    <cellStyle name="Comma 16 2 5 2 2 3" xfId="39916"/>
    <cellStyle name="Comma 16 2 5 2 3" xfId="39917"/>
    <cellStyle name="Comma 16 2 5 2 3 2" xfId="39918"/>
    <cellStyle name="Comma 16 2 5 2 3 3" xfId="39919"/>
    <cellStyle name="Comma 16 2 5 2 4" xfId="39920"/>
    <cellStyle name="Comma 16 2 5 2 4 2" xfId="39921"/>
    <cellStyle name="Comma 16 2 5 2 5" xfId="39922"/>
    <cellStyle name="Comma 16 2 5 2 6" xfId="39923"/>
    <cellStyle name="Comma 16 2 5 3" xfId="39924"/>
    <cellStyle name="Comma 16 2 5 3 2" xfId="39925"/>
    <cellStyle name="Comma 16 2 5 3 2 2" xfId="39926"/>
    <cellStyle name="Comma 16 2 5 3 2 3" xfId="39927"/>
    <cellStyle name="Comma 16 2 5 3 3" xfId="39928"/>
    <cellStyle name="Comma 16 2 5 3 3 2" xfId="39929"/>
    <cellStyle name="Comma 16 2 5 3 3 3" xfId="39930"/>
    <cellStyle name="Comma 16 2 5 3 4" xfId="39931"/>
    <cellStyle name="Comma 16 2 5 3 4 2" xfId="39932"/>
    <cellStyle name="Comma 16 2 5 3 5" xfId="39933"/>
    <cellStyle name="Comma 16 2 5 3 6" xfId="39934"/>
    <cellStyle name="Comma 16 2 5 4" xfId="39935"/>
    <cellStyle name="Comma 16 2 5 4 2" xfId="39936"/>
    <cellStyle name="Comma 16 2 5 4 2 2" xfId="39937"/>
    <cellStyle name="Comma 16 2 5 4 2 3" xfId="39938"/>
    <cellStyle name="Comma 16 2 5 4 3" xfId="39939"/>
    <cellStyle name="Comma 16 2 5 4 3 2" xfId="39940"/>
    <cellStyle name="Comma 16 2 5 4 4" xfId="39941"/>
    <cellStyle name="Comma 16 2 5 4 5" xfId="39942"/>
    <cellStyle name="Comma 16 2 5 5" xfId="39943"/>
    <cellStyle name="Comma 16 2 5 5 2" xfId="39944"/>
    <cellStyle name="Comma 16 2 5 5 3" xfId="39945"/>
    <cellStyle name="Comma 16 2 5 6" xfId="39946"/>
    <cellStyle name="Comma 16 2 5 6 2" xfId="39947"/>
    <cellStyle name="Comma 16 2 5 6 3" xfId="39948"/>
    <cellStyle name="Comma 16 2 5 7" xfId="39949"/>
    <cellStyle name="Comma 16 2 5 7 2" xfId="39950"/>
    <cellStyle name="Comma 16 2 5 8" xfId="39951"/>
    <cellStyle name="Comma 16 2 5 9" xfId="39952"/>
    <cellStyle name="Comma 16 2 6" xfId="39953"/>
    <cellStyle name="Comma 16 2 6 2" xfId="39954"/>
    <cellStyle name="Comma 16 2 6 2 2" xfId="39955"/>
    <cellStyle name="Comma 16 2 6 2 2 2" xfId="39956"/>
    <cellStyle name="Comma 16 2 6 2 2 3" xfId="39957"/>
    <cellStyle name="Comma 16 2 6 2 3" xfId="39958"/>
    <cellStyle name="Comma 16 2 6 2 3 2" xfId="39959"/>
    <cellStyle name="Comma 16 2 6 2 3 3" xfId="39960"/>
    <cellStyle name="Comma 16 2 6 2 4" xfId="39961"/>
    <cellStyle name="Comma 16 2 6 2 4 2" xfId="39962"/>
    <cellStyle name="Comma 16 2 6 2 5" xfId="39963"/>
    <cellStyle name="Comma 16 2 6 2 6" xfId="39964"/>
    <cellStyle name="Comma 16 2 6 3" xfId="39965"/>
    <cellStyle name="Comma 16 2 6 3 2" xfId="39966"/>
    <cellStyle name="Comma 16 2 6 3 2 2" xfId="39967"/>
    <cellStyle name="Comma 16 2 6 3 2 3" xfId="39968"/>
    <cellStyle name="Comma 16 2 6 3 3" xfId="39969"/>
    <cellStyle name="Comma 16 2 6 3 3 2" xfId="39970"/>
    <cellStyle name="Comma 16 2 6 3 3 3" xfId="39971"/>
    <cellStyle name="Comma 16 2 6 3 4" xfId="39972"/>
    <cellStyle name="Comma 16 2 6 3 4 2" xfId="39973"/>
    <cellStyle name="Comma 16 2 6 3 5" xfId="39974"/>
    <cellStyle name="Comma 16 2 6 3 6" xfId="39975"/>
    <cellStyle name="Comma 16 2 6 4" xfId="39976"/>
    <cellStyle name="Comma 16 2 6 4 2" xfId="39977"/>
    <cellStyle name="Comma 16 2 6 4 2 2" xfId="39978"/>
    <cellStyle name="Comma 16 2 6 4 2 3" xfId="39979"/>
    <cellStyle name="Comma 16 2 6 4 3" xfId="39980"/>
    <cellStyle name="Comma 16 2 6 4 3 2" xfId="39981"/>
    <cellStyle name="Comma 16 2 6 4 4" xfId="39982"/>
    <cellStyle name="Comma 16 2 6 4 5" xfId="39983"/>
    <cellStyle name="Comma 16 2 6 5" xfId="39984"/>
    <cellStyle name="Comma 16 2 6 5 2" xfId="39985"/>
    <cellStyle name="Comma 16 2 6 5 3" xfId="39986"/>
    <cellStyle name="Comma 16 2 6 6" xfId="39987"/>
    <cellStyle name="Comma 16 2 6 6 2" xfId="39988"/>
    <cellStyle name="Comma 16 2 6 6 3" xfId="39989"/>
    <cellStyle name="Comma 16 2 6 7" xfId="39990"/>
    <cellStyle name="Comma 16 2 6 7 2" xfId="39991"/>
    <cellStyle name="Comma 16 2 6 8" xfId="39992"/>
    <cellStyle name="Comma 16 2 6 9" xfId="39993"/>
    <cellStyle name="Comma 16 2 7" xfId="39994"/>
    <cellStyle name="Comma 16 2 7 2" xfId="39995"/>
    <cellStyle name="Comma 16 2 7 2 2" xfId="39996"/>
    <cellStyle name="Comma 16 2 7 2 3" xfId="39997"/>
    <cellStyle name="Comma 16 2 7 3" xfId="39998"/>
    <cellStyle name="Comma 16 2 7 3 2" xfId="39999"/>
    <cellStyle name="Comma 16 2 7 3 3" xfId="40000"/>
    <cellStyle name="Comma 16 2 7 4" xfId="40001"/>
    <cellStyle name="Comma 16 2 7 4 2" xfId="40002"/>
    <cellStyle name="Comma 16 2 7 5" xfId="40003"/>
    <cellStyle name="Comma 16 2 7 6" xfId="40004"/>
    <cellStyle name="Comma 16 2 8" xfId="40005"/>
    <cellStyle name="Comma 16 2 8 2" xfId="40006"/>
    <cellStyle name="Comma 16 2 8 2 2" xfId="40007"/>
    <cellStyle name="Comma 16 2 8 2 3" xfId="40008"/>
    <cellStyle name="Comma 16 2 8 3" xfId="40009"/>
    <cellStyle name="Comma 16 2 8 3 2" xfId="40010"/>
    <cellStyle name="Comma 16 2 8 3 3" xfId="40011"/>
    <cellStyle name="Comma 16 2 8 4" xfId="40012"/>
    <cellStyle name="Comma 16 2 8 4 2" xfId="40013"/>
    <cellStyle name="Comma 16 2 8 5" xfId="40014"/>
    <cellStyle name="Comma 16 2 8 6" xfId="40015"/>
    <cellStyle name="Comma 16 2 9" xfId="40016"/>
    <cellStyle name="Comma 16 2 9 2" xfId="40017"/>
    <cellStyle name="Comma 16 2 9 2 2" xfId="40018"/>
    <cellStyle name="Comma 16 2 9 2 3" xfId="40019"/>
    <cellStyle name="Comma 16 2 9 3" xfId="40020"/>
    <cellStyle name="Comma 16 2 9 3 2" xfId="40021"/>
    <cellStyle name="Comma 16 2 9 4" xfId="40022"/>
    <cellStyle name="Comma 16 2 9 5" xfId="40023"/>
    <cellStyle name="Comma 16 3" xfId="40024"/>
    <cellStyle name="Comma 16 3 10" xfId="40025"/>
    <cellStyle name="Comma 16 3 10 2" xfId="40026"/>
    <cellStyle name="Comma 16 3 10 3" xfId="40027"/>
    <cellStyle name="Comma 16 3 11" xfId="40028"/>
    <cellStyle name="Comma 16 3 11 2" xfId="40029"/>
    <cellStyle name="Comma 16 3 12" xfId="40030"/>
    <cellStyle name="Comma 16 3 13" xfId="40031"/>
    <cellStyle name="Comma 16 3 2" xfId="40032"/>
    <cellStyle name="Comma 16 3 2 10" xfId="40033"/>
    <cellStyle name="Comma 16 3 2 10 2" xfId="40034"/>
    <cellStyle name="Comma 16 3 2 11" xfId="40035"/>
    <cellStyle name="Comma 16 3 2 12" xfId="40036"/>
    <cellStyle name="Comma 16 3 2 2" xfId="40037"/>
    <cellStyle name="Comma 16 3 2 2 10" xfId="40038"/>
    <cellStyle name="Comma 16 3 2 2 2" xfId="40039"/>
    <cellStyle name="Comma 16 3 2 2 2 2" xfId="40040"/>
    <cellStyle name="Comma 16 3 2 2 2 2 2" xfId="40041"/>
    <cellStyle name="Comma 16 3 2 2 2 2 2 2" xfId="40042"/>
    <cellStyle name="Comma 16 3 2 2 2 2 2 3" xfId="40043"/>
    <cellStyle name="Comma 16 3 2 2 2 2 3" xfId="40044"/>
    <cellStyle name="Comma 16 3 2 2 2 2 3 2" xfId="40045"/>
    <cellStyle name="Comma 16 3 2 2 2 2 3 3" xfId="40046"/>
    <cellStyle name="Comma 16 3 2 2 2 2 4" xfId="40047"/>
    <cellStyle name="Comma 16 3 2 2 2 2 4 2" xfId="40048"/>
    <cellStyle name="Comma 16 3 2 2 2 2 5" xfId="40049"/>
    <cellStyle name="Comma 16 3 2 2 2 2 6" xfId="40050"/>
    <cellStyle name="Comma 16 3 2 2 2 3" xfId="40051"/>
    <cellStyle name="Comma 16 3 2 2 2 3 2" xfId="40052"/>
    <cellStyle name="Comma 16 3 2 2 2 3 2 2" xfId="40053"/>
    <cellStyle name="Comma 16 3 2 2 2 3 2 3" xfId="40054"/>
    <cellStyle name="Comma 16 3 2 2 2 3 3" xfId="40055"/>
    <cellStyle name="Comma 16 3 2 2 2 3 3 2" xfId="40056"/>
    <cellStyle name="Comma 16 3 2 2 2 3 3 3" xfId="40057"/>
    <cellStyle name="Comma 16 3 2 2 2 3 4" xfId="40058"/>
    <cellStyle name="Comma 16 3 2 2 2 3 4 2" xfId="40059"/>
    <cellStyle name="Comma 16 3 2 2 2 3 5" xfId="40060"/>
    <cellStyle name="Comma 16 3 2 2 2 3 6" xfId="40061"/>
    <cellStyle name="Comma 16 3 2 2 2 4" xfId="40062"/>
    <cellStyle name="Comma 16 3 2 2 2 4 2" xfId="40063"/>
    <cellStyle name="Comma 16 3 2 2 2 4 2 2" xfId="40064"/>
    <cellStyle name="Comma 16 3 2 2 2 4 2 3" xfId="40065"/>
    <cellStyle name="Comma 16 3 2 2 2 4 3" xfId="40066"/>
    <cellStyle name="Comma 16 3 2 2 2 4 3 2" xfId="40067"/>
    <cellStyle name="Comma 16 3 2 2 2 4 4" xfId="40068"/>
    <cellStyle name="Comma 16 3 2 2 2 4 5" xfId="40069"/>
    <cellStyle name="Comma 16 3 2 2 2 5" xfId="40070"/>
    <cellStyle name="Comma 16 3 2 2 2 5 2" xfId="40071"/>
    <cellStyle name="Comma 16 3 2 2 2 5 3" xfId="40072"/>
    <cellStyle name="Comma 16 3 2 2 2 6" xfId="40073"/>
    <cellStyle name="Comma 16 3 2 2 2 6 2" xfId="40074"/>
    <cellStyle name="Comma 16 3 2 2 2 6 3" xfId="40075"/>
    <cellStyle name="Comma 16 3 2 2 2 7" xfId="40076"/>
    <cellStyle name="Comma 16 3 2 2 2 7 2" xfId="40077"/>
    <cellStyle name="Comma 16 3 2 2 2 8" xfId="40078"/>
    <cellStyle name="Comma 16 3 2 2 2 9" xfId="40079"/>
    <cellStyle name="Comma 16 3 2 2 3" xfId="40080"/>
    <cellStyle name="Comma 16 3 2 2 3 2" xfId="40081"/>
    <cellStyle name="Comma 16 3 2 2 3 2 2" xfId="40082"/>
    <cellStyle name="Comma 16 3 2 2 3 2 3" xfId="40083"/>
    <cellStyle name="Comma 16 3 2 2 3 3" xfId="40084"/>
    <cellStyle name="Comma 16 3 2 2 3 3 2" xfId="40085"/>
    <cellStyle name="Comma 16 3 2 2 3 3 3" xfId="40086"/>
    <cellStyle name="Comma 16 3 2 2 3 4" xfId="40087"/>
    <cellStyle name="Comma 16 3 2 2 3 4 2" xfId="40088"/>
    <cellStyle name="Comma 16 3 2 2 3 5" xfId="40089"/>
    <cellStyle name="Comma 16 3 2 2 3 6" xfId="40090"/>
    <cellStyle name="Comma 16 3 2 2 4" xfId="40091"/>
    <cellStyle name="Comma 16 3 2 2 4 2" xfId="40092"/>
    <cellStyle name="Comma 16 3 2 2 4 2 2" xfId="40093"/>
    <cellStyle name="Comma 16 3 2 2 4 2 3" xfId="40094"/>
    <cellStyle name="Comma 16 3 2 2 4 3" xfId="40095"/>
    <cellStyle name="Comma 16 3 2 2 4 3 2" xfId="40096"/>
    <cellStyle name="Comma 16 3 2 2 4 3 3" xfId="40097"/>
    <cellStyle name="Comma 16 3 2 2 4 4" xfId="40098"/>
    <cellStyle name="Comma 16 3 2 2 4 4 2" xfId="40099"/>
    <cellStyle name="Comma 16 3 2 2 4 5" xfId="40100"/>
    <cellStyle name="Comma 16 3 2 2 4 6" xfId="40101"/>
    <cellStyle name="Comma 16 3 2 2 5" xfId="40102"/>
    <cellStyle name="Comma 16 3 2 2 5 2" xfId="40103"/>
    <cellStyle name="Comma 16 3 2 2 5 2 2" xfId="40104"/>
    <cellStyle name="Comma 16 3 2 2 5 2 3" xfId="40105"/>
    <cellStyle name="Comma 16 3 2 2 5 3" xfId="40106"/>
    <cellStyle name="Comma 16 3 2 2 5 3 2" xfId="40107"/>
    <cellStyle name="Comma 16 3 2 2 5 4" xfId="40108"/>
    <cellStyle name="Comma 16 3 2 2 5 5" xfId="40109"/>
    <cellStyle name="Comma 16 3 2 2 6" xfId="40110"/>
    <cellStyle name="Comma 16 3 2 2 6 2" xfId="40111"/>
    <cellStyle name="Comma 16 3 2 2 6 3" xfId="40112"/>
    <cellStyle name="Comma 16 3 2 2 7" xfId="40113"/>
    <cellStyle name="Comma 16 3 2 2 7 2" xfId="40114"/>
    <cellStyle name="Comma 16 3 2 2 7 3" xfId="40115"/>
    <cellStyle name="Comma 16 3 2 2 8" xfId="40116"/>
    <cellStyle name="Comma 16 3 2 2 8 2" xfId="40117"/>
    <cellStyle name="Comma 16 3 2 2 9" xfId="40118"/>
    <cellStyle name="Comma 16 3 2 3" xfId="40119"/>
    <cellStyle name="Comma 16 3 2 3 2" xfId="40120"/>
    <cellStyle name="Comma 16 3 2 3 2 2" xfId="40121"/>
    <cellStyle name="Comma 16 3 2 3 2 2 2" xfId="40122"/>
    <cellStyle name="Comma 16 3 2 3 2 2 3" xfId="40123"/>
    <cellStyle name="Comma 16 3 2 3 2 3" xfId="40124"/>
    <cellStyle name="Comma 16 3 2 3 2 3 2" xfId="40125"/>
    <cellStyle name="Comma 16 3 2 3 2 3 3" xfId="40126"/>
    <cellStyle name="Comma 16 3 2 3 2 4" xfId="40127"/>
    <cellStyle name="Comma 16 3 2 3 2 4 2" xfId="40128"/>
    <cellStyle name="Comma 16 3 2 3 2 5" xfId="40129"/>
    <cellStyle name="Comma 16 3 2 3 2 6" xfId="40130"/>
    <cellStyle name="Comma 16 3 2 3 3" xfId="40131"/>
    <cellStyle name="Comma 16 3 2 3 3 2" xfId="40132"/>
    <cellStyle name="Comma 16 3 2 3 3 2 2" xfId="40133"/>
    <cellStyle name="Comma 16 3 2 3 3 2 3" xfId="40134"/>
    <cellStyle name="Comma 16 3 2 3 3 3" xfId="40135"/>
    <cellStyle name="Comma 16 3 2 3 3 3 2" xfId="40136"/>
    <cellStyle name="Comma 16 3 2 3 3 3 3" xfId="40137"/>
    <cellStyle name="Comma 16 3 2 3 3 4" xfId="40138"/>
    <cellStyle name="Comma 16 3 2 3 3 4 2" xfId="40139"/>
    <cellStyle name="Comma 16 3 2 3 3 5" xfId="40140"/>
    <cellStyle name="Comma 16 3 2 3 3 6" xfId="40141"/>
    <cellStyle name="Comma 16 3 2 3 4" xfId="40142"/>
    <cellStyle name="Comma 16 3 2 3 4 2" xfId="40143"/>
    <cellStyle name="Comma 16 3 2 3 4 2 2" xfId="40144"/>
    <cellStyle name="Comma 16 3 2 3 4 2 3" xfId="40145"/>
    <cellStyle name="Comma 16 3 2 3 4 3" xfId="40146"/>
    <cellStyle name="Comma 16 3 2 3 4 3 2" xfId="40147"/>
    <cellStyle name="Comma 16 3 2 3 4 4" xfId="40148"/>
    <cellStyle name="Comma 16 3 2 3 4 5" xfId="40149"/>
    <cellStyle name="Comma 16 3 2 3 5" xfId="40150"/>
    <cellStyle name="Comma 16 3 2 3 5 2" xfId="40151"/>
    <cellStyle name="Comma 16 3 2 3 5 3" xfId="40152"/>
    <cellStyle name="Comma 16 3 2 3 6" xfId="40153"/>
    <cellStyle name="Comma 16 3 2 3 6 2" xfId="40154"/>
    <cellStyle name="Comma 16 3 2 3 6 3" xfId="40155"/>
    <cellStyle name="Comma 16 3 2 3 7" xfId="40156"/>
    <cellStyle name="Comma 16 3 2 3 7 2" xfId="40157"/>
    <cellStyle name="Comma 16 3 2 3 8" xfId="40158"/>
    <cellStyle name="Comma 16 3 2 3 9" xfId="40159"/>
    <cellStyle name="Comma 16 3 2 4" xfId="40160"/>
    <cellStyle name="Comma 16 3 2 4 2" xfId="40161"/>
    <cellStyle name="Comma 16 3 2 4 2 2" xfId="40162"/>
    <cellStyle name="Comma 16 3 2 4 2 2 2" xfId="40163"/>
    <cellStyle name="Comma 16 3 2 4 2 2 3" xfId="40164"/>
    <cellStyle name="Comma 16 3 2 4 2 3" xfId="40165"/>
    <cellStyle name="Comma 16 3 2 4 2 3 2" xfId="40166"/>
    <cellStyle name="Comma 16 3 2 4 2 3 3" xfId="40167"/>
    <cellStyle name="Comma 16 3 2 4 2 4" xfId="40168"/>
    <cellStyle name="Comma 16 3 2 4 2 4 2" xfId="40169"/>
    <cellStyle name="Comma 16 3 2 4 2 5" xfId="40170"/>
    <cellStyle name="Comma 16 3 2 4 2 6" xfId="40171"/>
    <cellStyle name="Comma 16 3 2 4 3" xfId="40172"/>
    <cellStyle name="Comma 16 3 2 4 3 2" xfId="40173"/>
    <cellStyle name="Comma 16 3 2 4 3 2 2" xfId="40174"/>
    <cellStyle name="Comma 16 3 2 4 3 2 3" xfId="40175"/>
    <cellStyle name="Comma 16 3 2 4 3 3" xfId="40176"/>
    <cellStyle name="Comma 16 3 2 4 3 3 2" xfId="40177"/>
    <cellStyle name="Comma 16 3 2 4 3 3 3" xfId="40178"/>
    <cellStyle name="Comma 16 3 2 4 3 4" xfId="40179"/>
    <cellStyle name="Comma 16 3 2 4 3 4 2" xfId="40180"/>
    <cellStyle name="Comma 16 3 2 4 3 5" xfId="40181"/>
    <cellStyle name="Comma 16 3 2 4 3 6" xfId="40182"/>
    <cellStyle name="Comma 16 3 2 4 4" xfId="40183"/>
    <cellStyle name="Comma 16 3 2 4 4 2" xfId="40184"/>
    <cellStyle name="Comma 16 3 2 4 4 2 2" xfId="40185"/>
    <cellStyle name="Comma 16 3 2 4 4 2 3" xfId="40186"/>
    <cellStyle name="Comma 16 3 2 4 4 3" xfId="40187"/>
    <cellStyle name="Comma 16 3 2 4 4 3 2" xfId="40188"/>
    <cellStyle name="Comma 16 3 2 4 4 4" xfId="40189"/>
    <cellStyle name="Comma 16 3 2 4 4 5" xfId="40190"/>
    <cellStyle name="Comma 16 3 2 4 5" xfId="40191"/>
    <cellStyle name="Comma 16 3 2 4 5 2" xfId="40192"/>
    <cellStyle name="Comma 16 3 2 4 5 3" xfId="40193"/>
    <cellStyle name="Comma 16 3 2 4 6" xfId="40194"/>
    <cellStyle name="Comma 16 3 2 4 6 2" xfId="40195"/>
    <cellStyle name="Comma 16 3 2 4 6 3" xfId="40196"/>
    <cellStyle name="Comma 16 3 2 4 7" xfId="40197"/>
    <cellStyle name="Comma 16 3 2 4 7 2" xfId="40198"/>
    <cellStyle name="Comma 16 3 2 4 8" xfId="40199"/>
    <cellStyle name="Comma 16 3 2 4 9" xfId="40200"/>
    <cellStyle name="Comma 16 3 2 5" xfId="40201"/>
    <cellStyle name="Comma 16 3 2 5 2" xfId="40202"/>
    <cellStyle name="Comma 16 3 2 5 2 2" xfId="40203"/>
    <cellStyle name="Comma 16 3 2 5 2 3" xfId="40204"/>
    <cellStyle name="Comma 16 3 2 5 3" xfId="40205"/>
    <cellStyle name="Comma 16 3 2 5 3 2" xfId="40206"/>
    <cellStyle name="Comma 16 3 2 5 3 3" xfId="40207"/>
    <cellStyle name="Comma 16 3 2 5 4" xfId="40208"/>
    <cellStyle name="Comma 16 3 2 5 4 2" xfId="40209"/>
    <cellStyle name="Comma 16 3 2 5 5" xfId="40210"/>
    <cellStyle name="Comma 16 3 2 5 6" xfId="40211"/>
    <cellStyle name="Comma 16 3 2 6" xfId="40212"/>
    <cellStyle name="Comma 16 3 2 6 2" xfId="40213"/>
    <cellStyle name="Comma 16 3 2 6 2 2" xfId="40214"/>
    <cellStyle name="Comma 16 3 2 6 2 3" xfId="40215"/>
    <cellStyle name="Comma 16 3 2 6 3" xfId="40216"/>
    <cellStyle name="Comma 16 3 2 6 3 2" xfId="40217"/>
    <cellStyle name="Comma 16 3 2 6 3 3" xfId="40218"/>
    <cellStyle name="Comma 16 3 2 6 4" xfId="40219"/>
    <cellStyle name="Comma 16 3 2 6 4 2" xfId="40220"/>
    <cellStyle name="Comma 16 3 2 6 5" xfId="40221"/>
    <cellStyle name="Comma 16 3 2 6 6" xfId="40222"/>
    <cellStyle name="Comma 16 3 2 7" xfId="40223"/>
    <cellStyle name="Comma 16 3 2 7 2" xfId="40224"/>
    <cellStyle name="Comma 16 3 2 7 2 2" xfId="40225"/>
    <cellStyle name="Comma 16 3 2 7 2 3" xfId="40226"/>
    <cellStyle name="Comma 16 3 2 7 3" xfId="40227"/>
    <cellStyle name="Comma 16 3 2 7 3 2" xfId="40228"/>
    <cellStyle name="Comma 16 3 2 7 4" xfId="40229"/>
    <cellStyle name="Comma 16 3 2 7 5" xfId="40230"/>
    <cellStyle name="Comma 16 3 2 8" xfId="40231"/>
    <cellStyle name="Comma 16 3 2 8 2" xfId="40232"/>
    <cellStyle name="Comma 16 3 2 8 3" xfId="40233"/>
    <cellStyle name="Comma 16 3 2 9" xfId="40234"/>
    <cellStyle name="Comma 16 3 2 9 2" xfId="40235"/>
    <cellStyle name="Comma 16 3 2 9 3" xfId="40236"/>
    <cellStyle name="Comma 16 3 3" xfId="40237"/>
    <cellStyle name="Comma 16 3 3 10" xfId="40238"/>
    <cellStyle name="Comma 16 3 3 2" xfId="40239"/>
    <cellStyle name="Comma 16 3 3 2 2" xfId="40240"/>
    <cellStyle name="Comma 16 3 3 2 2 2" xfId="40241"/>
    <cellStyle name="Comma 16 3 3 2 2 2 2" xfId="40242"/>
    <cellStyle name="Comma 16 3 3 2 2 2 3" xfId="40243"/>
    <cellStyle name="Comma 16 3 3 2 2 3" xfId="40244"/>
    <cellStyle name="Comma 16 3 3 2 2 3 2" xfId="40245"/>
    <cellStyle name="Comma 16 3 3 2 2 3 3" xfId="40246"/>
    <cellStyle name="Comma 16 3 3 2 2 4" xfId="40247"/>
    <cellStyle name="Comma 16 3 3 2 2 4 2" xfId="40248"/>
    <cellStyle name="Comma 16 3 3 2 2 5" xfId="40249"/>
    <cellStyle name="Comma 16 3 3 2 2 6" xfId="40250"/>
    <cellStyle name="Comma 16 3 3 2 3" xfId="40251"/>
    <cellStyle name="Comma 16 3 3 2 3 2" xfId="40252"/>
    <cellStyle name="Comma 16 3 3 2 3 2 2" xfId="40253"/>
    <cellStyle name="Comma 16 3 3 2 3 2 3" xfId="40254"/>
    <cellStyle name="Comma 16 3 3 2 3 3" xfId="40255"/>
    <cellStyle name="Comma 16 3 3 2 3 3 2" xfId="40256"/>
    <cellStyle name="Comma 16 3 3 2 3 3 3" xfId="40257"/>
    <cellStyle name="Comma 16 3 3 2 3 4" xfId="40258"/>
    <cellStyle name="Comma 16 3 3 2 3 4 2" xfId="40259"/>
    <cellStyle name="Comma 16 3 3 2 3 5" xfId="40260"/>
    <cellStyle name="Comma 16 3 3 2 3 6" xfId="40261"/>
    <cellStyle name="Comma 16 3 3 2 4" xfId="40262"/>
    <cellStyle name="Comma 16 3 3 2 4 2" xfId="40263"/>
    <cellStyle name="Comma 16 3 3 2 4 2 2" xfId="40264"/>
    <cellStyle name="Comma 16 3 3 2 4 2 3" xfId="40265"/>
    <cellStyle name="Comma 16 3 3 2 4 3" xfId="40266"/>
    <cellStyle name="Comma 16 3 3 2 4 3 2" xfId="40267"/>
    <cellStyle name="Comma 16 3 3 2 4 4" xfId="40268"/>
    <cellStyle name="Comma 16 3 3 2 4 5" xfId="40269"/>
    <cellStyle name="Comma 16 3 3 2 5" xfId="40270"/>
    <cellStyle name="Comma 16 3 3 2 5 2" xfId="40271"/>
    <cellStyle name="Comma 16 3 3 2 5 3" xfId="40272"/>
    <cellStyle name="Comma 16 3 3 2 6" xfId="40273"/>
    <cellStyle name="Comma 16 3 3 2 6 2" xfId="40274"/>
    <cellStyle name="Comma 16 3 3 2 6 3" xfId="40275"/>
    <cellStyle name="Comma 16 3 3 2 7" xfId="40276"/>
    <cellStyle name="Comma 16 3 3 2 7 2" xfId="40277"/>
    <cellStyle name="Comma 16 3 3 2 8" xfId="40278"/>
    <cellStyle name="Comma 16 3 3 2 9" xfId="40279"/>
    <cellStyle name="Comma 16 3 3 3" xfId="40280"/>
    <cellStyle name="Comma 16 3 3 3 2" xfId="40281"/>
    <cellStyle name="Comma 16 3 3 3 2 2" xfId="40282"/>
    <cellStyle name="Comma 16 3 3 3 2 3" xfId="40283"/>
    <cellStyle name="Comma 16 3 3 3 3" xfId="40284"/>
    <cellStyle name="Comma 16 3 3 3 3 2" xfId="40285"/>
    <cellStyle name="Comma 16 3 3 3 3 3" xfId="40286"/>
    <cellStyle name="Comma 16 3 3 3 4" xfId="40287"/>
    <cellStyle name="Comma 16 3 3 3 4 2" xfId="40288"/>
    <cellStyle name="Comma 16 3 3 3 5" xfId="40289"/>
    <cellStyle name="Comma 16 3 3 3 6" xfId="40290"/>
    <cellStyle name="Comma 16 3 3 4" xfId="40291"/>
    <cellStyle name="Comma 16 3 3 4 2" xfId="40292"/>
    <cellStyle name="Comma 16 3 3 4 2 2" xfId="40293"/>
    <cellStyle name="Comma 16 3 3 4 2 3" xfId="40294"/>
    <cellStyle name="Comma 16 3 3 4 3" xfId="40295"/>
    <cellStyle name="Comma 16 3 3 4 3 2" xfId="40296"/>
    <cellStyle name="Comma 16 3 3 4 3 3" xfId="40297"/>
    <cellStyle name="Comma 16 3 3 4 4" xfId="40298"/>
    <cellStyle name="Comma 16 3 3 4 4 2" xfId="40299"/>
    <cellStyle name="Comma 16 3 3 4 5" xfId="40300"/>
    <cellStyle name="Comma 16 3 3 4 6" xfId="40301"/>
    <cellStyle name="Comma 16 3 3 5" xfId="40302"/>
    <cellStyle name="Comma 16 3 3 5 2" xfId="40303"/>
    <cellStyle name="Comma 16 3 3 5 2 2" xfId="40304"/>
    <cellStyle name="Comma 16 3 3 5 2 3" xfId="40305"/>
    <cellStyle name="Comma 16 3 3 5 3" xfId="40306"/>
    <cellStyle name="Comma 16 3 3 5 3 2" xfId="40307"/>
    <cellStyle name="Comma 16 3 3 5 4" xfId="40308"/>
    <cellStyle name="Comma 16 3 3 5 5" xfId="40309"/>
    <cellStyle name="Comma 16 3 3 6" xfId="40310"/>
    <cellStyle name="Comma 16 3 3 6 2" xfId="40311"/>
    <cellStyle name="Comma 16 3 3 6 3" xfId="40312"/>
    <cellStyle name="Comma 16 3 3 7" xfId="40313"/>
    <cellStyle name="Comma 16 3 3 7 2" xfId="40314"/>
    <cellStyle name="Comma 16 3 3 7 3" xfId="40315"/>
    <cellStyle name="Comma 16 3 3 8" xfId="40316"/>
    <cellStyle name="Comma 16 3 3 8 2" xfId="40317"/>
    <cellStyle name="Comma 16 3 3 9" xfId="40318"/>
    <cellStyle name="Comma 16 3 4" xfId="40319"/>
    <cellStyle name="Comma 16 3 4 2" xfId="40320"/>
    <cellStyle name="Comma 16 3 4 2 2" xfId="40321"/>
    <cellStyle name="Comma 16 3 4 2 2 2" xfId="40322"/>
    <cellStyle name="Comma 16 3 4 2 2 3" xfId="40323"/>
    <cellStyle name="Comma 16 3 4 2 3" xfId="40324"/>
    <cellStyle name="Comma 16 3 4 2 3 2" xfId="40325"/>
    <cellStyle name="Comma 16 3 4 2 3 3" xfId="40326"/>
    <cellStyle name="Comma 16 3 4 2 4" xfId="40327"/>
    <cellStyle name="Comma 16 3 4 2 4 2" xfId="40328"/>
    <cellStyle name="Comma 16 3 4 2 5" xfId="40329"/>
    <cellStyle name="Comma 16 3 4 2 6" xfId="40330"/>
    <cellStyle name="Comma 16 3 4 3" xfId="40331"/>
    <cellStyle name="Comma 16 3 4 3 2" xfId="40332"/>
    <cellStyle name="Comma 16 3 4 3 2 2" xfId="40333"/>
    <cellStyle name="Comma 16 3 4 3 2 3" xfId="40334"/>
    <cellStyle name="Comma 16 3 4 3 3" xfId="40335"/>
    <cellStyle name="Comma 16 3 4 3 3 2" xfId="40336"/>
    <cellStyle name="Comma 16 3 4 3 3 3" xfId="40337"/>
    <cellStyle name="Comma 16 3 4 3 4" xfId="40338"/>
    <cellStyle name="Comma 16 3 4 3 4 2" xfId="40339"/>
    <cellStyle name="Comma 16 3 4 3 5" xfId="40340"/>
    <cellStyle name="Comma 16 3 4 3 6" xfId="40341"/>
    <cellStyle name="Comma 16 3 4 4" xfId="40342"/>
    <cellStyle name="Comma 16 3 4 4 2" xfId="40343"/>
    <cellStyle name="Comma 16 3 4 4 2 2" xfId="40344"/>
    <cellStyle name="Comma 16 3 4 4 2 3" xfId="40345"/>
    <cellStyle name="Comma 16 3 4 4 3" xfId="40346"/>
    <cellStyle name="Comma 16 3 4 4 3 2" xfId="40347"/>
    <cellStyle name="Comma 16 3 4 4 4" xfId="40348"/>
    <cellStyle name="Comma 16 3 4 4 5" xfId="40349"/>
    <cellStyle name="Comma 16 3 4 5" xfId="40350"/>
    <cellStyle name="Comma 16 3 4 5 2" xfId="40351"/>
    <cellStyle name="Comma 16 3 4 5 3" xfId="40352"/>
    <cellStyle name="Comma 16 3 4 6" xfId="40353"/>
    <cellStyle name="Comma 16 3 4 6 2" xfId="40354"/>
    <cellStyle name="Comma 16 3 4 6 3" xfId="40355"/>
    <cellStyle name="Comma 16 3 4 7" xfId="40356"/>
    <cellStyle name="Comma 16 3 4 7 2" xfId="40357"/>
    <cellStyle name="Comma 16 3 4 8" xfId="40358"/>
    <cellStyle name="Comma 16 3 4 9" xfId="40359"/>
    <cellStyle name="Comma 16 3 5" xfId="40360"/>
    <cellStyle name="Comma 16 3 5 2" xfId="40361"/>
    <cellStyle name="Comma 16 3 5 2 2" xfId="40362"/>
    <cellStyle name="Comma 16 3 5 2 2 2" xfId="40363"/>
    <cellStyle name="Comma 16 3 5 2 2 3" xfId="40364"/>
    <cellStyle name="Comma 16 3 5 2 3" xfId="40365"/>
    <cellStyle name="Comma 16 3 5 2 3 2" xfId="40366"/>
    <cellStyle name="Comma 16 3 5 2 3 3" xfId="40367"/>
    <cellStyle name="Comma 16 3 5 2 4" xfId="40368"/>
    <cellStyle name="Comma 16 3 5 2 4 2" xfId="40369"/>
    <cellStyle name="Comma 16 3 5 2 5" xfId="40370"/>
    <cellStyle name="Comma 16 3 5 2 6" xfId="40371"/>
    <cellStyle name="Comma 16 3 5 3" xfId="40372"/>
    <cellStyle name="Comma 16 3 5 3 2" xfId="40373"/>
    <cellStyle name="Comma 16 3 5 3 2 2" xfId="40374"/>
    <cellStyle name="Comma 16 3 5 3 2 3" xfId="40375"/>
    <cellStyle name="Comma 16 3 5 3 3" xfId="40376"/>
    <cellStyle name="Comma 16 3 5 3 3 2" xfId="40377"/>
    <cellStyle name="Comma 16 3 5 3 3 3" xfId="40378"/>
    <cellStyle name="Comma 16 3 5 3 4" xfId="40379"/>
    <cellStyle name="Comma 16 3 5 3 4 2" xfId="40380"/>
    <cellStyle name="Comma 16 3 5 3 5" xfId="40381"/>
    <cellStyle name="Comma 16 3 5 3 6" xfId="40382"/>
    <cellStyle name="Comma 16 3 5 4" xfId="40383"/>
    <cellStyle name="Comma 16 3 5 4 2" xfId="40384"/>
    <cellStyle name="Comma 16 3 5 4 2 2" xfId="40385"/>
    <cellStyle name="Comma 16 3 5 4 2 3" xfId="40386"/>
    <cellStyle name="Comma 16 3 5 4 3" xfId="40387"/>
    <cellStyle name="Comma 16 3 5 4 3 2" xfId="40388"/>
    <cellStyle name="Comma 16 3 5 4 4" xfId="40389"/>
    <cellStyle name="Comma 16 3 5 4 5" xfId="40390"/>
    <cellStyle name="Comma 16 3 5 5" xfId="40391"/>
    <cellStyle name="Comma 16 3 5 5 2" xfId="40392"/>
    <cellStyle name="Comma 16 3 5 5 3" xfId="40393"/>
    <cellStyle name="Comma 16 3 5 6" xfId="40394"/>
    <cellStyle name="Comma 16 3 5 6 2" xfId="40395"/>
    <cellStyle name="Comma 16 3 5 6 3" xfId="40396"/>
    <cellStyle name="Comma 16 3 5 7" xfId="40397"/>
    <cellStyle name="Comma 16 3 5 7 2" xfId="40398"/>
    <cellStyle name="Comma 16 3 5 8" xfId="40399"/>
    <cellStyle name="Comma 16 3 5 9" xfId="40400"/>
    <cellStyle name="Comma 16 3 6" xfId="40401"/>
    <cellStyle name="Comma 16 3 6 2" xfId="40402"/>
    <cellStyle name="Comma 16 3 6 2 2" xfId="40403"/>
    <cellStyle name="Comma 16 3 6 2 3" xfId="40404"/>
    <cellStyle name="Comma 16 3 6 3" xfId="40405"/>
    <cellStyle name="Comma 16 3 6 3 2" xfId="40406"/>
    <cellStyle name="Comma 16 3 6 3 3" xfId="40407"/>
    <cellStyle name="Comma 16 3 6 4" xfId="40408"/>
    <cellStyle name="Comma 16 3 6 4 2" xfId="40409"/>
    <cellStyle name="Comma 16 3 6 5" xfId="40410"/>
    <cellStyle name="Comma 16 3 6 6" xfId="40411"/>
    <cellStyle name="Comma 16 3 7" xfId="40412"/>
    <cellStyle name="Comma 16 3 7 2" xfId="40413"/>
    <cellStyle name="Comma 16 3 7 2 2" xfId="40414"/>
    <cellStyle name="Comma 16 3 7 2 3" xfId="40415"/>
    <cellStyle name="Comma 16 3 7 3" xfId="40416"/>
    <cellStyle name="Comma 16 3 7 3 2" xfId="40417"/>
    <cellStyle name="Comma 16 3 7 3 3" xfId="40418"/>
    <cellStyle name="Comma 16 3 7 4" xfId="40419"/>
    <cellStyle name="Comma 16 3 7 4 2" xfId="40420"/>
    <cellStyle name="Comma 16 3 7 5" xfId="40421"/>
    <cellStyle name="Comma 16 3 7 6" xfId="40422"/>
    <cellStyle name="Comma 16 3 8" xfId="40423"/>
    <cellStyle name="Comma 16 3 8 2" xfId="40424"/>
    <cellStyle name="Comma 16 3 8 2 2" xfId="40425"/>
    <cellStyle name="Comma 16 3 8 2 3" xfId="40426"/>
    <cellStyle name="Comma 16 3 8 3" xfId="40427"/>
    <cellStyle name="Comma 16 3 8 3 2" xfId="40428"/>
    <cellStyle name="Comma 16 3 8 4" xfId="40429"/>
    <cellStyle name="Comma 16 3 8 5" xfId="40430"/>
    <cellStyle name="Comma 16 3 9" xfId="40431"/>
    <cellStyle name="Comma 16 3 9 2" xfId="40432"/>
    <cellStyle name="Comma 16 3 9 3" xfId="40433"/>
    <cellStyle name="Comma 16 4" xfId="40434"/>
    <cellStyle name="Comma 16 4 10" xfId="40435"/>
    <cellStyle name="Comma 16 4 10 2" xfId="40436"/>
    <cellStyle name="Comma 16 4 11" xfId="40437"/>
    <cellStyle name="Comma 16 4 12" xfId="40438"/>
    <cellStyle name="Comma 16 4 2" xfId="40439"/>
    <cellStyle name="Comma 16 4 2 10" xfId="40440"/>
    <cellStyle name="Comma 16 4 2 2" xfId="40441"/>
    <cellStyle name="Comma 16 4 2 2 2" xfId="40442"/>
    <cellStyle name="Comma 16 4 2 2 2 2" xfId="40443"/>
    <cellStyle name="Comma 16 4 2 2 2 2 2" xfId="40444"/>
    <cellStyle name="Comma 16 4 2 2 2 2 3" xfId="40445"/>
    <cellStyle name="Comma 16 4 2 2 2 3" xfId="40446"/>
    <cellStyle name="Comma 16 4 2 2 2 3 2" xfId="40447"/>
    <cellStyle name="Comma 16 4 2 2 2 3 3" xfId="40448"/>
    <cellStyle name="Comma 16 4 2 2 2 4" xfId="40449"/>
    <cellStyle name="Comma 16 4 2 2 2 4 2" xfId="40450"/>
    <cellStyle name="Comma 16 4 2 2 2 5" xfId="40451"/>
    <cellStyle name="Comma 16 4 2 2 2 6" xfId="40452"/>
    <cellStyle name="Comma 16 4 2 2 3" xfId="40453"/>
    <cellStyle name="Comma 16 4 2 2 3 2" xfId="40454"/>
    <cellStyle name="Comma 16 4 2 2 3 2 2" xfId="40455"/>
    <cellStyle name="Comma 16 4 2 2 3 2 3" xfId="40456"/>
    <cellStyle name="Comma 16 4 2 2 3 3" xfId="40457"/>
    <cellStyle name="Comma 16 4 2 2 3 3 2" xfId="40458"/>
    <cellStyle name="Comma 16 4 2 2 3 3 3" xfId="40459"/>
    <cellStyle name="Comma 16 4 2 2 3 4" xfId="40460"/>
    <cellStyle name="Comma 16 4 2 2 3 4 2" xfId="40461"/>
    <cellStyle name="Comma 16 4 2 2 3 5" xfId="40462"/>
    <cellStyle name="Comma 16 4 2 2 3 6" xfId="40463"/>
    <cellStyle name="Comma 16 4 2 2 4" xfId="40464"/>
    <cellStyle name="Comma 16 4 2 2 4 2" xfId="40465"/>
    <cellStyle name="Comma 16 4 2 2 4 2 2" xfId="40466"/>
    <cellStyle name="Comma 16 4 2 2 4 2 3" xfId="40467"/>
    <cellStyle name="Comma 16 4 2 2 4 3" xfId="40468"/>
    <cellStyle name="Comma 16 4 2 2 4 3 2" xfId="40469"/>
    <cellStyle name="Comma 16 4 2 2 4 4" xfId="40470"/>
    <cellStyle name="Comma 16 4 2 2 4 5" xfId="40471"/>
    <cellStyle name="Comma 16 4 2 2 5" xfId="40472"/>
    <cellStyle name="Comma 16 4 2 2 5 2" xfId="40473"/>
    <cellStyle name="Comma 16 4 2 2 5 3" xfId="40474"/>
    <cellStyle name="Comma 16 4 2 2 6" xfId="40475"/>
    <cellStyle name="Comma 16 4 2 2 6 2" xfId="40476"/>
    <cellStyle name="Comma 16 4 2 2 6 3" xfId="40477"/>
    <cellStyle name="Comma 16 4 2 2 7" xfId="40478"/>
    <cellStyle name="Comma 16 4 2 2 7 2" xfId="40479"/>
    <cellStyle name="Comma 16 4 2 2 8" xfId="40480"/>
    <cellStyle name="Comma 16 4 2 2 9" xfId="40481"/>
    <cellStyle name="Comma 16 4 2 3" xfId="40482"/>
    <cellStyle name="Comma 16 4 2 3 2" xfId="40483"/>
    <cellStyle name="Comma 16 4 2 3 2 2" xfId="40484"/>
    <cellStyle name="Comma 16 4 2 3 2 3" xfId="40485"/>
    <cellStyle name="Comma 16 4 2 3 3" xfId="40486"/>
    <cellStyle name="Comma 16 4 2 3 3 2" xfId="40487"/>
    <cellStyle name="Comma 16 4 2 3 3 3" xfId="40488"/>
    <cellStyle name="Comma 16 4 2 3 4" xfId="40489"/>
    <cellStyle name="Comma 16 4 2 3 4 2" xfId="40490"/>
    <cellStyle name="Comma 16 4 2 3 5" xfId="40491"/>
    <cellStyle name="Comma 16 4 2 3 6" xfId="40492"/>
    <cellStyle name="Comma 16 4 2 4" xfId="40493"/>
    <cellStyle name="Comma 16 4 2 4 2" xfId="40494"/>
    <cellStyle name="Comma 16 4 2 4 2 2" xfId="40495"/>
    <cellStyle name="Comma 16 4 2 4 2 3" xfId="40496"/>
    <cellStyle name="Comma 16 4 2 4 3" xfId="40497"/>
    <cellStyle name="Comma 16 4 2 4 3 2" xfId="40498"/>
    <cellStyle name="Comma 16 4 2 4 3 3" xfId="40499"/>
    <cellStyle name="Comma 16 4 2 4 4" xfId="40500"/>
    <cellStyle name="Comma 16 4 2 4 4 2" xfId="40501"/>
    <cellStyle name="Comma 16 4 2 4 5" xfId="40502"/>
    <cellStyle name="Comma 16 4 2 4 6" xfId="40503"/>
    <cellStyle name="Comma 16 4 2 5" xfId="40504"/>
    <cellStyle name="Comma 16 4 2 5 2" xfId="40505"/>
    <cellStyle name="Comma 16 4 2 5 2 2" xfId="40506"/>
    <cellStyle name="Comma 16 4 2 5 2 3" xfId="40507"/>
    <cellStyle name="Comma 16 4 2 5 3" xfId="40508"/>
    <cellStyle name="Comma 16 4 2 5 3 2" xfId="40509"/>
    <cellStyle name="Comma 16 4 2 5 4" xfId="40510"/>
    <cellStyle name="Comma 16 4 2 5 5" xfId="40511"/>
    <cellStyle name="Comma 16 4 2 6" xfId="40512"/>
    <cellStyle name="Comma 16 4 2 6 2" xfId="40513"/>
    <cellStyle name="Comma 16 4 2 6 3" xfId="40514"/>
    <cellStyle name="Comma 16 4 2 7" xfId="40515"/>
    <cellStyle name="Comma 16 4 2 7 2" xfId="40516"/>
    <cellStyle name="Comma 16 4 2 7 3" xfId="40517"/>
    <cellStyle name="Comma 16 4 2 8" xfId="40518"/>
    <cellStyle name="Comma 16 4 2 8 2" xfId="40519"/>
    <cellStyle name="Comma 16 4 2 9" xfId="40520"/>
    <cellStyle name="Comma 16 4 3" xfId="40521"/>
    <cellStyle name="Comma 16 4 3 2" xfId="40522"/>
    <cellStyle name="Comma 16 4 3 2 2" xfId="40523"/>
    <cellStyle name="Comma 16 4 3 2 2 2" xfId="40524"/>
    <cellStyle name="Comma 16 4 3 2 2 3" xfId="40525"/>
    <cellStyle name="Comma 16 4 3 2 3" xfId="40526"/>
    <cellStyle name="Comma 16 4 3 2 3 2" xfId="40527"/>
    <cellStyle name="Comma 16 4 3 2 3 3" xfId="40528"/>
    <cellStyle name="Comma 16 4 3 2 4" xfId="40529"/>
    <cellStyle name="Comma 16 4 3 2 4 2" xfId="40530"/>
    <cellStyle name="Comma 16 4 3 2 5" xfId="40531"/>
    <cellStyle name="Comma 16 4 3 2 6" xfId="40532"/>
    <cellStyle name="Comma 16 4 3 3" xfId="40533"/>
    <cellStyle name="Comma 16 4 3 3 2" xfId="40534"/>
    <cellStyle name="Comma 16 4 3 3 2 2" xfId="40535"/>
    <cellStyle name="Comma 16 4 3 3 2 3" xfId="40536"/>
    <cellStyle name="Comma 16 4 3 3 3" xfId="40537"/>
    <cellStyle name="Comma 16 4 3 3 3 2" xfId="40538"/>
    <cellStyle name="Comma 16 4 3 3 3 3" xfId="40539"/>
    <cellStyle name="Comma 16 4 3 3 4" xfId="40540"/>
    <cellStyle name="Comma 16 4 3 3 4 2" xfId="40541"/>
    <cellStyle name="Comma 16 4 3 3 5" xfId="40542"/>
    <cellStyle name="Comma 16 4 3 3 6" xfId="40543"/>
    <cellStyle name="Comma 16 4 3 4" xfId="40544"/>
    <cellStyle name="Comma 16 4 3 4 2" xfId="40545"/>
    <cellStyle name="Comma 16 4 3 4 2 2" xfId="40546"/>
    <cellStyle name="Comma 16 4 3 4 2 3" xfId="40547"/>
    <cellStyle name="Comma 16 4 3 4 3" xfId="40548"/>
    <cellStyle name="Comma 16 4 3 4 3 2" xfId="40549"/>
    <cellStyle name="Comma 16 4 3 4 4" xfId="40550"/>
    <cellStyle name="Comma 16 4 3 4 5" xfId="40551"/>
    <cellStyle name="Comma 16 4 3 5" xfId="40552"/>
    <cellStyle name="Comma 16 4 3 5 2" xfId="40553"/>
    <cellStyle name="Comma 16 4 3 5 3" xfId="40554"/>
    <cellStyle name="Comma 16 4 3 6" xfId="40555"/>
    <cellStyle name="Comma 16 4 3 6 2" xfId="40556"/>
    <cellStyle name="Comma 16 4 3 6 3" xfId="40557"/>
    <cellStyle name="Comma 16 4 3 7" xfId="40558"/>
    <cellStyle name="Comma 16 4 3 7 2" xfId="40559"/>
    <cellStyle name="Comma 16 4 3 8" xfId="40560"/>
    <cellStyle name="Comma 16 4 3 9" xfId="40561"/>
    <cellStyle name="Comma 16 4 4" xfId="40562"/>
    <cellStyle name="Comma 16 4 4 2" xfId="40563"/>
    <cellStyle name="Comma 16 4 4 2 2" xfId="40564"/>
    <cellStyle name="Comma 16 4 4 2 2 2" xfId="40565"/>
    <cellStyle name="Comma 16 4 4 2 2 3" xfId="40566"/>
    <cellStyle name="Comma 16 4 4 2 3" xfId="40567"/>
    <cellStyle name="Comma 16 4 4 2 3 2" xfId="40568"/>
    <cellStyle name="Comma 16 4 4 2 3 3" xfId="40569"/>
    <cellStyle name="Comma 16 4 4 2 4" xfId="40570"/>
    <cellStyle name="Comma 16 4 4 2 4 2" xfId="40571"/>
    <cellStyle name="Comma 16 4 4 2 5" xfId="40572"/>
    <cellStyle name="Comma 16 4 4 2 6" xfId="40573"/>
    <cellStyle name="Comma 16 4 4 3" xfId="40574"/>
    <cellStyle name="Comma 16 4 4 3 2" xfId="40575"/>
    <cellStyle name="Comma 16 4 4 3 2 2" xfId="40576"/>
    <cellStyle name="Comma 16 4 4 3 2 3" xfId="40577"/>
    <cellStyle name="Comma 16 4 4 3 3" xfId="40578"/>
    <cellStyle name="Comma 16 4 4 3 3 2" xfId="40579"/>
    <cellStyle name="Comma 16 4 4 3 3 3" xfId="40580"/>
    <cellStyle name="Comma 16 4 4 3 4" xfId="40581"/>
    <cellStyle name="Comma 16 4 4 3 4 2" xfId="40582"/>
    <cellStyle name="Comma 16 4 4 3 5" xfId="40583"/>
    <cellStyle name="Comma 16 4 4 3 6" xfId="40584"/>
    <cellStyle name="Comma 16 4 4 4" xfId="40585"/>
    <cellStyle name="Comma 16 4 4 4 2" xfId="40586"/>
    <cellStyle name="Comma 16 4 4 4 2 2" xfId="40587"/>
    <cellStyle name="Comma 16 4 4 4 2 3" xfId="40588"/>
    <cellStyle name="Comma 16 4 4 4 3" xfId="40589"/>
    <cellStyle name="Comma 16 4 4 4 3 2" xfId="40590"/>
    <cellStyle name="Comma 16 4 4 4 4" xfId="40591"/>
    <cellStyle name="Comma 16 4 4 4 5" xfId="40592"/>
    <cellStyle name="Comma 16 4 4 5" xfId="40593"/>
    <cellStyle name="Comma 16 4 4 5 2" xfId="40594"/>
    <cellStyle name="Comma 16 4 4 5 3" xfId="40595"/>
    <cellStyle name="Comma 16 4 4 6" xfId="40596"/>
    <cellStyle name="Comma 16 4 4 6 2" xfId="40597"/>
    <cellStyle name="Comma 16 4 4 6 3" xfId="40598"/>
    <cellStyle name="Comma 16 4 4 7" xfId="40599"/>
    <cellStyle name="Comma 16 4 4 7 2" xfId="40600"/>
    <cellStyle name="Comma 16 4 4 8" xfId="40601"/>
    <cellStyle name="Comma 16 4 4 9" xfId="40602"/>
    <cellStyle name="Comma 16 4 5" xfId="40603"/>
    <cellStyle name="Comma 16 4 5 2" xfId="40604"/>
    <cellStyle name="Comma 16 4 5 2 2" xfId="40605"/>
    <cellStyle name="Comma 16 4 5 2 3" xfId="40606"/>
    <cellStyle name="Comma 16 4 5 3" xfId="40607"/>
    <cellStyle name="Comma 16 4 5 3 2" xfId="40608"/>
    <cellStyle name="Comma 16 4 5 3 3" xfId="40609"/>
    <cellStyle name="Comma 16 4 5 4" xfId="40610"/>
    <cellStyle name="Comma 16 4 5 4 2" xfId="40611"/>
    <cellStyle name="Comma 16 4 5 5" xfId="40612"/>
    <cellStyle name="Comma 16 4 5 6" xfId="40613"/>
    <cellStyle name="Comma 16 4 6" xfId="40614"/>
    <cellStyle name="Comma 16 4 6 2" xfId="40615"/>
    <cellStyle name="Comma 16 4 6 2 2" xfId="40616"/>
    <cellStyle name="Comma 16 4 6 2 3" xfId="40617"/>
    <cellStyle name="Comma 16 4 6 3" xfId="40618"/>
    <cellStyle name="Comma 16 4 6 3 2" xfId="40619"/>
    <cellStyle name="Comma 16 4 6 3 3" xfId="40620"/>
    <cellStyle name="Comma 16 4 6 4" xfId="40621"/>
    <cellStyle name="Comma 16 4 6 4 2" xfId="40622"/>
    <cellStyle name="Comma 16 4 6 5" xfId="40623"/>
    <cellStyle name="Comma 16 4 6 6" xfId="40624"/>
    <cellStyle name="Comma 16 4 7" xfId="40625"/>
    <cellStyle name="Comma 16 4 7 2" xfId="40626"/>
    <cellStyle name="Comma 16 4 7 2 2" xfId="40627"/>
    <cellStyle name="Comma 16 4 7 2 3" xfId="40628"/>
    <cellStyle name="Comma 16 4 7 3" xfId="40629"/>
    <cellStyle name="Comma 16 4 7 3 2" xfId="40630"/>
    <cellStyle name="Comma 16 4 7 4" xfId="40631"/>
    <cellStyle name="Comma 16 4 7 5" xfId="40632"/>
    <cellStyle name="Comma 16 4 8" xfId="40633"/>
    <cellStyle name="Comma 16 4 8 2" xfId="40634"/>
    <cellStyle name="Comma 16 4 8 3" xfId="40635"/>
    <cellStyle name="Comma 16 4 9" xfId="40636"/>
    <cellStyle name="Comma 16 4 9 2" xfId="40637"/>
    <cellStyle name="Comma 16 4 9 3" xfId="40638"/>
    <cellStyle name="Comma 16 5" xfId="40639"/>
    <cellStyle name="Comma 16 5 10" xfId="40640"/>
    <cellStyle name="Comma 16 5 2" xfId="40641"/>
    <cellStyle name="Comma 16 5 2 2" xfId="40642"/>
    <cellStyle name="Comma 16 5 2 2 2" xfId="40643"/>
    <cellStyle name="Comma 16 5 2 2 2 2" xfId="40644"/>
    <cellStyle name="Comma 16 5 2 2 2 3" xfId="40645"/>
    <cellStyle name="Comma 16 5 2 2 3" xfId="40646"/>
    <cellStyle name="Comma 16 5 2 2 3 2" xfId="40647"/>
    <cellStyle name="Comma 16 5 2 2 3 3" xfId="40648"/>
    <cellStyle name="Comma 16 5 2 2 4" xfId="40649"/>
    <cellStyle name="Comma 16 5 2 2 4 2" xfId="40650"/>
    <cellStyle name="Comma 16 5 2 2 5" xfId="40651"/>
    <cellStyle name="Comma 16 5 2 2 6" xfId="40652"/>
    <cellStyle name="Comma 16 5 2 3" xfId="40653"/>
    <cellStyle name="Comma 16 5 2 3 2" xfId="40654"/>
    <cellStyle name="Comma 16 5 2 3 2 2" xfId="40655"/>
    <cellStyle name="Comma 16 5 2 3 2 3" xfId="40656"/>
    <cellStyle name="Comma 16 5 2 3 3" xfId="40657"/>
    <cellStyle name="Comma 16 5 2 3 3 2" xfId="40658"/>
    <cellStyle name="Comma 16 5 2 3 3 3" xfId="40659"/>
    <cellStyle name="Comma 16 5 2 3 4" xfId="40660"/>
    <cellStyle name="Comma 16 5 2 3 4 2" xfId="40661"/>
    <cellStyle name="Comma 16 5 2 3 5" xfId="40662"/>
    <cellStyle name="Comma 16 5 2 3 6" xfId="40663"/>
    <cellStyle name="Comma 16 5 2 4" xfId="40664"/>
    <cellStyle name="Comma 16 5 2 4 2" xfId="40665"/>
    <cellStyle name="Comma 16 5 2 4 2 2" xfId="40666"/>
    <cellStyle name="Comma 16 5 2 4 2 3" xfId="40667"/>
    <cellStyle name="Comma 16 5 2 4 3" xfId="40668"/>
    <cellStyle name="Comma 16 5 2 4 3 2" xfId="40669"/>
    <cellStyle name="Comma 16 5 2 4 4" xfId="40670"/>
    <cellStyle name="Comma 16 5 2 4 5" xfId="40671"/>
    <cellStyle name="Comma 16 5 2 5" xfId="40672"/>
    <cellStyle name="Comma 16 5 2 5 2" xfId="40673"/>
    <cellStyle name="Comma 16 5 2 5 3" xfId="40674"/>
    <cellStyle name="Comma 16 5 2 6" xfId="40675"/>
    <cellStyle name="Comma 16 5 2 6 2" xfId="40676"/>
    <cellStyle name="Comma 16 5 2 6 3" xfId="40677"/>
    <cellStyle name="Comma 16 5 2 7" xfId="40678"/>
    <cellStyle name="Comma 16 5 2 7 2" xfId="40679"/>
    <cellStyle name="Comma 16 5 2 8" xfId="40680"/>
    <cellStyle name="Comma 16 5 2 9" xfId="40681"/>
    <cellStyle name="Comma 16 5 3" xfId="40682"/>
    <cellStyle name="Comma 16 5 3 2" xfId="40683"/>
    <cellStyle name="Comma 16 5 3 2 2" xfId="40684"/>
    <cellStyle name="Comma 16 5 3 2 3" xfId="40685"/>
    <cellStyle name="Comma 16 5 3 3" xfId="40686"/>
    <cellStyle name="Comma 16 5 3 3 2" xfId="40687"/>
    <cellStyle name="Comma 16 5 3 3 3" xfId="40688"/>
    <cellStyle name="Comma 16 5 3 4" xfId="40689"/>
    <cellStyle name="Comma 16 5 3 4 2" xfId="40690"/>
    <cellStyle name="Comma 16 5 3 5" xfId="40691"/>
    <cellStyle name="Comma 16 5 3 6" xfId="40692"/>
    <cellStyle name="Comma 16 5 4" xfId="40693"/>
    <cellStyle name="Comma 16 5 4 2" xfId="40694"/>
    <cellStyle name="Comma 16 5 4 2 2" xfId="40695"/>
    <cellStyle name="Comma 16 5 4 2 3" xfId="40696"/>
    <cellStyle name="Comma 16 5 4 3" xfId="40697"/>
    <cellStyle name="Comma 16 5 4 3 2" xfId="40698"/>
    <cellStyle name="Comma 16 5 4 3 3" xfId="40699"/>
    <cellStyle name="Comma 16 5 4 4" xfId="40700"/>
    <cellStyle name="Comma 16 5 4 4 2" xfId="40701"/>
    <cellStyle name="Comma 16 5 4 5" xfId="40702"/>
    <cellStyle name="Comma 16 5 4 6" xfId="40703"/>
    <cellStyle name="Comma 16 5 5" xfId="40704"/>
    <cellStyle name="Comma 16 5 5 2" xfId="40705"/>
    <cellStyle name="Comma 16 5 5 2 2" xfId="40706"/>
    <cellStyle name="Comma 16 5 5 2 3" xfId="40707"/>
    <cellStyle name="Comma 16 5 5 3" xfId="40708"/>
    <cellStyle name="Comma 16 5 5 3 2" xfId="40709"/>
    <cellStyle name="Comma 16 5 5 4" xfId="40710"/>
    <cellStyle name="Comma 16 5 5 5" xfId="40711"/>
    <cellStyle name="Comma 16 5 6" xfId="40712"/>
    <cellStyle name="Comma 16 5 6 2" xfId="40713"/>
    <cellStyle name="Comma 16 5 6 3" xfId="40714"/>
    <cellStyle name="Comma 16 5 7" xfId="40715"/>
    <cellStyle name="Comma 16 5 7 2" xfId="40716"/>
    <cellStyle name="Comma 16 5 7 3" xfId="40717"/>
    <cellStyle name="Comma 16 5 8" xfId="40718"/>
    <cellStyle name="Comma 16 5 8 2" xfId="40719"/>
    <cellStyle name="Comma 16 5 9" xfId="40720"/>
    <cellStyle name="Comma 16 6" xfId="40721"/>
    <cellStyle name="Comma 16 6 2" xfId="40722"/>
    <cellStyle name="Comma 16 6 2 2" xfId="40723"/>
    <cellStyle name="Comma 16 6 2 2 2" xfId="40724"/>
    <cellStyle name="Comma 16 6 2 2 3" xfId="40725"/>
    <cellStyle name="Comma 16 6 2 3" xfId="40726"/>
    <cellStyle name="Comma 16 6 2 3 2" xfId="40727"/>
    <cellStyle name="Comma 16 6 2 3 3" xfId="40728"/>
    <cellStyle name="Comma 16 6 2 4" xfId="40729"/>
    <cellStyle name="Comma 16 6 2 4 2" xfId="40730"/>
    <cellStyle name="Comma 16 6 2 5" xfId="40731"/>
    <cellStyle name="Comma 16 6 2 6" xfId="40732"/>
    <cellStyle name="Comma 16 6 3" xfId="40733"/>
    <cellStyle name="Comma 16 6 3 2" xfId="40734"/>
    <cellStyle name="Comma 16 6 3 2 2" xfId="40735"/>
    <cellStyle name="Comma 16 6 3 2 3" xfId="40736"/>
    <cellStyle name="Comma 16 6 3 3" xfId="40737"/>
    <cellStyle name="Comma 16 6 3 3 2" xfId="40738"/>
    <cellStyle name="Comma 16 6 3 3 3" xfId="40739"/>
    <cellStyle name="Comma 16 6 3 4" xfId="40740"/>
    <cellStyle name="Comma 16 6 3 4 2" xfId="40741"/>
    <cellStyle name="Comma 16 6 3 5" xfId="40742"/>
    <cellStyle name="Comma 16 6 3 6" xfId="40743"/>
    <cellStyle name="Comma 16 6 4" xfId="40744"/>
    <cellStyle name="Comma 16 6 4 2" xfId="40745"/>
    <cellStyle name="Comma 16 6 4 2 2" xfId="40746"/>
    <cellStyle name="Comma 16 6 4 2 3" xfId="40747"/>
    <cellStyle name="Comma 16 6 4 3" xfId="40748"/>
    <cellStyle name="Comma 16 6 4 3 2" xfId="40749"/>
    <cellStyle name="Comma 16 6 4 4" xfId="40750"/>
    <cellStyle name="Comma 16 6 4 5" xfId="40751"/>
    <cellStyle name="Comma 16 6 5" xfId="40752"/>
    <cellStyle name="Comma 16 6 5 2" xfId="40753"/>
    <cellStyle name="Comma 16 6 5 3" xfId="40754"/>
    <cellStyle name="Comma 16 6 6" xfId="40755"/>
    <cellStyle name="Comma 16 6 6 2" xfId="40756"/>
    <cellStyle name="Comma 16 6 6 3" xfId="40757"/>
    <cellStyle name="Comma 16 6 7" xfId="40758"/>
    <cellStyle name="Comma 16 6 7 2" xfId="40759"/>
    <cellStyle name="Comma 16 6 8" xfId="40760"/>
    <cellStyle name="Comma 16 6 9" xfId="40761"/>
    <cellStyle name="Comma 16 7" xfId="40762"/>
    <cellStyle name="Comma 16 7 2" xfId="40763"/>
    <cellStyle name="Comma 16 7 2 2" xfId="40764"/>
    <cellStyle name="Comma 16 7 2 2 2" xfId="40765"/>
    <cellStyle name="Comma 16 7 2 2 3" xfId="40766"/>
    <cellStyle name="Comma 16 7 2 3" xfId="40767"/>
    <cellStyle name="Comma 16 7 2 3 2" xfId="40768"/>
    <cellStyle name="Comma 16 7 2 3 3" xfId="40769"/>
    <cellStyle name="Comma 16 7 2 4" xfId="40770"/>
    <cellStyle name="Comma 16 7 2 4 2" xfId="40771"/>
    <cellStyle name="Comma 16 7 2 5" xfId="40772"/>
    <cellStyle name="Comma 16 7 2 6" xfId="40773"/>
    <cellStyle name="Comma 16 7 3" xfId="40774"/>
    <cellStyle name="Comma 16 7 3 2" xfId="40775"/>
    <cellStyle name="Comma 16 7 3 2 2" xfId="40776"/>
    <cellStyle name="Comma 16 7 3 2 3" xfId="40777"/>
    <cellStyle name="Comma 16 7 3 3" xfId="40778"/>
    <cellStyle name="Comma 16 7 3 3 2" xfId="40779"/>
    <cellStyle name="Comma 16 7 3 3 3" xfId="40780"/>
    <cellStyle name="Comma 16 7 3 4" xfId="40781"/>
    <cellStyle name="Comma 16 7 3 4 2" xfId="40782"/>
    <cellStyle name="Comma 16 7 3 5" xfId="40783"/>
    <cellStyle name="Comma 16 7 3 6" xfId="40784"/>
    <cellStyle name="Comma 16 7 4" xfId="40785"/>
    <cellStyle name="Comma 16 7 4 2" xfId="40786"/>
    <cellStyle name="Comma 16 7 4 2 2" xfId="40787"/>
    <cellStyle name="Comma 16 7 4 2 3" xfId="40788"/>
    <cellStyle name="Comma 16 7 4 3" xfId="40789"/>
    <cellStyle name="Comma 16 7 4 3 2" xfId="40790"/>
    <cellStyle name="Comma 16 7 4 4" xfId="40791"/>
    <cellStyle name="Comma 16 7 4 5" xfId="40792"/>
    <cellStyle name="Comma 16 7 5" xfId="40793"/>
    <cellStyle name="Comma 16 7 5 2" xfId="40794"/>
    <cellStyle name="Comma 16 7 5 3" xfId="40795"/>
    <cellStyle name="Comma 16 7 6" xfId="40796"/>
    <cellStyle name="Comma 16 7 6 2" xfId="40797"/>
    <cellStyle name="Comma 16 7 6 3" xfId="40798"/>
    <cellStyle name="Comma 16 7 7" xfId="40799"/>
    <cellStyle name="Comma 16 7 7 2" xfId="40800"/>
    <cellStyle name="Comma 16 7 8" xfId="40801"/>
    <cellStyle name="Comma 16 7 9" xfId="40802"/>
    <cellStyle name="Comma 16 8" xfId="40803"/>
    <cellStyle name="Comma 16 8 2" xfId="40804"/>
    <cellStyle name="Comma 16 8 2 2" xfId="40805"/>
    <cellStyle name="Comma 16 8 2 3" xfId="40806"/>
    <cellStyle name="Comma 16 8 3" xfId="40807"/>
    <cellStyle name="Comma 16 8 3 2" xfId="40808"/>
    <cellStyle name="Comma 16 8 3 3" xfId="40809"/>
    <cellStyle name="Comma 16 8 4" xfId="40810"/>
    <cellStyle name="Comma 16 8 4 2" xfId="40811"/>
    <cellStyle name="Comma 16 8 5" xfId="40812"/>
    <cellStyle name="Comma 16 8 6" xfId="40813"/>
    <cellStyle name="Comma 16 9" xfId="40814"/>
    <cellStyle name="Comma 16 9 2" xfId="40815"/>
    <cellStyle name="Comma 16 9 2 2" xfId="40816"/>
    <cellStyle name="Comma 16 9 2 3" xfId="40817"/>
    <cellStyle name="Comma 16 9 3" xfId="40818"/>
    <cellStyle name="Comma 16 9 3 2" xfId="40819"/>
    <cellStyle name="Comma 16 9 3 3" xfId="40820"/>
    <cellStyle name="Comma 16 9 4" xfId="40821"/>
    <cellStyle name="Comma 16 9 4 2" xfId="40822"/>
    <cellStyle name="Comma 16 9 5" xfId="40823"/>
    <cellStyle name="Comma 16 9 6" xfId="40824"/>
    <cellStyle name="Comma 17" xfId="3245"/>
    <cellStyle name="Comma 17 10" xfId="40825"/>
    <cellStyle name="Comma 17 10 2" xfId="40826"/>
    <cellStyle name="Comma 17 10 2 2" xfId="40827"/>
    <cellStyle name="Comma 17 10 2 3" xfId="40828"/>
    <cellStyle name="Comma 17 10 3" xfId="40829"/>
    <cellStyle name="Comma 17 10 3 2" xfId="40830"/>
    <cellStyle name="Comma 17 10 4" xfId="40831"/>
    <cellStyle name="Comma 17 10 5" xfId="40832"/>
    <cellStyle name="Comma 17 11" xfId="40833"/>
    <cellStyle name="Comma 17 11 2" xfId="40834"/>
    <cellStyle name="Comma 17 11 3" xfId="40835"/>
    <cellStyle name="Comma 17 12" xfId="40836"/>
    <cellStyle name="Comma 17 12 2" xfId="40837"/>
    <cellStyle name="Comma 17 12 3" xfId="40838"/>
    <cellStyle name="Comma 17 13" xfId="40839"/>
    <cellStyle name="Comma 17 13 2" xfId="40840"/>
    <cellStyle name="Comma 17 14" xfId="40841"/>
    <cellStyle name="Comma 17 15" xfId="40842"/>
    <cellStyle name="Comma 17 16" xfId="40843"/>
    <cellStyle name="Comma 17 2" xfId="3246"/>
    <cellStyle name="Comma 17 2 10" xfId="40844"/>
    <cellStyle name="Comma 17 2 10 2" xfId="40845"/>
    <cellStyle name="Comma 17 2 10 3" xfId="40846"/>
    <cellStyle name="Comma 17 2 11" xfId="40847"/>
    <cellStyle name="Comma 17 2 11 2" xfId="40848"/>
    <cellStyle name="Comma 17 2 11 3" xfId="40849"/>
    <cellStyle name="Comma 17 2 12" xfId="40850"/>
    <cellStyle name="Comma 17 2 12 2" xfId="40851"/>
    <cellStyle name="Comma 17 2 13" xfId="40852"/>
    <cellStyle name="Comma 17 2 14" xfId="40853"/>
    <cellStyle name="Comma 17 2 2" xfId="40854"/>
    <cellStyle name="Comma 17 2 2 10" xfId="40855"/>
    <cellStyle name="Comma 17 2 2 10 2" xfId="40856"/>
    <cellStyle name="Comma 17 2 2 10 3" xfId="40857"/>
    <cellStyle name="Comma 17 2 2 11" xfId="40858"/>
    <cellStyle name="Comma 17 2 2 11 2" xfId="40859"/>
    <cellStyle name="Comma 17 2 2 12" xfId="40860"/>
    <cellStyle name="Comma 17 2 2 13" xfId="40861"/>
    <cellStyle name="Comma 17 2 2 2" xfId="40862"/>
    <cellStyle name="Comma 17 2 2 2 10" xfId="40863"/>
    <cellStyle name="Comma 17 2 2 2 10 2" xfId="40864"/>
    <cellStyle name="Comma 17 2 2 2 11" xfId="40865"/>
    <cellStyle name="Comma 17 2 2 2 12" xfId="40866"/>
    <cellStyle name="Comma 17 2 2 2 2" xfId="40867"/>
    <cellStyle name="Comma 17 2 2 2 2 10" xfId="40868"/>
    <cellStyle name="Comma 17 2 2 2 2 2" xfId="40869"/>
    <cellStyle name="Comma 17 2 2 2 2 2 2" xfId="40870"/>
    <cellStyle name="Comma 17 2 2 2 2 2 2 2" xfId="40871"/>
    <cellStyle name="Comma 17 2 2 2 2 2 2 2 2" xfId="40872"/>
    <cellStyle name="Comma 17 2 2 2 2 2 2 2 3" xfId="40873"/>
    <cellStyle name="Comma 17 2 2 2 2 2 2 3" xfId="40874"/>
    <cellStyle name="Comma 17 2 2 2 2 2 2 3 2" xfId="40875"/>
    <cellStyle name="Comma 17 2 2 2 2 2 2 3 3" xfId="40876"/>
    <cellStyle name="Comma 17 2 2 2 2 2 2 4" xfId="40877"/>
    <cellStyle name="Comma 17 2 2 2 2 2 2 4 2" xfId="40878"/>
    <cellStyle name="Comma 17 2 2 2 2 2 2 5" xfId="40879"/>
    <cellStyle name="Comma 17 2 2 2 2 2 2 6" xfId="40880"/>
    <cellStyle name="Comma 17 2 2 2 2 2 3" xfId="40881"/>
    <cellStyle name="Comma 17 2 2 2 2 2 3 2" xfId="40882"/>
    <cellStyle name="Comma 17 2 2 2 2 2 3 2 2" xfId="40883"/>
    <cellStyle name="Comma 17 2 2 2 2 2 3 2 3" xfId="40884"/>
    <cellStyle name="Comma 17 2 2 2 2 2 3 3" xfId="40885"/>
    <cellStyle name="Comma 17 2 2 2 2 2 3 3 2" xfId="40886"/>
    <cellStyle name="Comma 17 2 2 2 2 2 3 3 3" xfId="40887"/>
    <cellStyle name="Comma 17 2 2 2 2 2 3 4" xfId="40888"/>
    <cellStyle name="Comma 17 2 2 2 2 2 3 4 2" xfId="40889"/>
    <cellStyle name="Comma 17 2 2 2 2 2 3 5" xfId="40890"/>
    <cellStyle name="Comma 17 2 2 2 2 2 3 6" xfId="40891"/>
    <cellStyle name="Comma 17 2 2 2 2 2 4" xfId="40892"/>
    <cellStyle name="Comma 17 2 2 2 2 2 4 2" xfId="40893"/>
    <cellStyle name="Comma 17 2 2 2 2 2 4 2 2" xfId="40894"/>
    <cellStyle name="Comma 17 2 2 2 2 2 4 2 3" xfId="40895"/>
    <cellStyle name="Comma 17 2 2 2 2 2 4 3" xfId="40896"/>
    <cellStyle name="Comma 17 2 2 2 2 2 4 3 2" xfId="40897"/>
    <cellStyle name="Comma 17 2 2 2 2 2 4 4" xfId="40898"/>
    <cellStyle name="Comma 17 2 2 2 2 2 4 5" xfId="40899"/>
    <cellStyle name="Comma 17 2 2 2 2 2 5" xfId="40900"/>
    <cellStyle name="Comma 17 2 2 2 2 2 5 2" xfId="40901"/>
    <cellStyle name="Comma 17 2 2 2 2 2 5 3" xfId="40902"/>
    <cellStyle name="Comma 17 2 2 2 2 2 6" xfId="40903"/>
    <cellStyle name="Comma 17 2 2 2 2 2 6 2" xfId="40904"/>
    <cellStyle name="Comma 17 2 2 2 2 2 6 3" xfId="40905"/>
    <cellStyle name="Comma 17 2 2 2 2 2 7" xfId="40906"/>
    <cellStyle name="Comma 17 2 2 2 2 2 7 2" xfId="40907"/>
    <cellStyle name="Comma 17 2 2 2 2 2 8" xfId="40908"/>
    <cellStyle name="Comma 17 2 2 2 2 2 9" xfId="40909"/>
    <cellStyle name="Comma 17 2 2 2 2 3" xfId="40910"/>
    <cellStyle name="Comma 17 2 2 2 2 3 2" xfId="40911"/>
    <cellStyle name="Comma 17 2 2 2 2 3 2 2" xfId="40912"/>
    <cellStyle name="Comma 17 2 2 2 2 3 2 3" xfId="40913"/>
    <cellStyle name="Comma 17 2 2 2 2 3 3" xfId="40914"/>
    <cellStyle name="Comma 17 2 2 2 2 3 3 2" xfId="40915"/>
    <cellStyle name="Comma 17 2 2 2 2 3 3 3" xfId="40916"/>
    <cellStyle name="Comma 17 2 2 2 2 3 4" xfId="40917"/>
    <cellStyle name="Comma 17 2 2 2 2 3 4 2" xfId="40918"/>
    <cellStyle name="Comma 17 2 2 2 2 3 5" xfId="40919"/>
    <cellStyle name="Comma 17 2 2 2 2 3 6" xfId="40920"/>
    <cellStyle name="Comma 17 2 2 2 2 4" xfId="40921"/>
    <cellStyle name="Comma 17 2 2 2 2 4 2" xfId="40922"/>
    <cellStyle name="Comma 17 2 2 2 2 4 2 2" xfId="40923"/>
    <cellStyle name="Comma 17 2 2 2 2 4 2 3" xfId="40924"/>
    <cellStyle name="Comma 17 2 2 2 2 4 3" xfId="40925"/>
    <cellStyle name="Comma 17 2 2 2 2 4 3 2" xfId="40926"/>
    <cellStyle name="Comma 17 2 2 2 2 4 3 3" xfId="40927"/>
    <cellStyle name="Comma 17 2 2 2 2 4 4" xfId="40928"/>
    <cellStyle name="Comma 17 2 2 2 2 4 4 2" xfId="40929"/>
    <cellStyle name="Comma 17 2 2 2 2 4 5" xfId="40930"/>
    <cellStyle name="Comma 17 2 2 2 2 4 6" xfId="40931"/>
    <cellStyle name="Comma 17 2 2 2 2 5" xfId="40932"/>
    <cellStyle name="Comma 17 2 2 2 2 5 2" xfId="40933"/>
    <cellStyle name="Comma 17 2 2 2 2 5 2 2" xfId="40934"/>
    <cellStyle name="Comma 17 2 2 2 2 5 2 3" xfId="40935"/>
    <cellStyle name="Comma 17 2 2 2 2 5 3" xfId="40936"/>
    <cellStyle name="Comma 17 2 2 2 2 5 3 2" xfId="40937"/>
    <cellStyle name="Comma 17 2 2 2 2 5 4" xfId="40938"/>
    <cellStyle name="Comma 17 2 2 2 2 5 5" xfId="40939"/>
    <cellStyle name="Comma 17 2 2 2 2 6" xfId="40940"/>
    <cellStyle name="Comma 17 2 2 2 2 6 2" xfId="40941"/>
    <cellStyle name="Comma 17 2 2 2 2 6 3" xfId="40942"/>
    <cellStyle name="Comma 17 2 2 2 2 7" xfId="40943"/>
    <cellStyle name="Comma 17 2 2 2 2 7 2" xfId="40944"/>
    <cellStyle name="Comma 17 2 2 2 2 7 3" xfId="40945"/>
    <cellStyle name="Comma 17 2 2 2 2 8" xfId="40946"/>
    <cellStyle name="Comma 17 2 2 2 2 8 2" xfId="40947"/>
    <cellStyle name="Comma 17 2 2 2 2 9" xfId="40948"/>
    <cellStyle name="Comma 17 2 2 2 3" xfId="40949"/>
    <cellStyle name="Comma 17 2 2 2 3 2" xfId="40950"/>
    <cellStyle name="Comma 17 2 2 2 3 2 2" xfId="40951"/>
    <cellStyle name="Comma 17 2 2 2 3 2 2 2" xfId="40952"/>
    <cellStyle name="Comma 17 2 2 2 3 2 2 3" xfId="40953"/>
    <cellStyle name="Comma 17 2 2 2 3 2 3" xfId="40954"/>
    <cellStyle name="Comma 17 2 2 2 3 2 3 2" xfId="40955"/>
    <cellStyle name="Comma 17 2 2 2 3 2 3 3" xfId="40956"/>
    <cellStyle name="Comma 17 2 2 2 3 2 4" xfId="40957"/>
    <cellStyle name="Comma 17 2 2 2 3 2 4 2" xfId="40958"/>
    <cellStyle name="Comma 17 2 2 2 3 2 5" xfId="40959"/>
    <cellStyle name="Comma 17 2 2 2 3 2 6" xfId="40960"/>
    <cellStyle name="Comma 17 2 2 2 3 3" xfId="40961"/>
    <cellStyle name="Comma 17 2 2 2 3 3 2" xfId="40962"/>
    <cellStyle name="Comma 17 2 2 2 3 3 2 2" xfId="40963"/>
    <cellStyle name="Comma 17 2 2 2 3 3 2 3" xfId="40964"/>
    <cellStyle name="Comma 17 2 2 2 3 3 3" xfId="40965"/>
    <cellStyle name="Comma 17 2 2 2 3 3 3 2" xfId="40966"/>
    <cellStyle name="Comma 17 2 2 2 3 3 3 3" xfId="40967"/>
    <cellStyle name="Comma 17 2 2 2 3 3 4" xfId="40968"/>
    <cellStyle name="Comma 17 2 2 2 3 3 4 2" xfId="40969"/>
    <cellStyle name="Comma 17 2 2 2 3 3 5" xfId="40970"/>
    <cellStyle name="Comma 17 2 2 2 3 3 6" xfId="40971"/>
    <cellStyle name="Comma 17 2 2 2 3 4" xfId="40972"/>
    <cellStyle name="Comma 17 2 2 2 3 4 2" xfId="40973"/>
    <cellStyle name="Comma 17 2 2 2 3 4 2 2" xfId="40974"/>
    <cellStyle name="Comma 17 2 2 2 3 4 2 3" xfId="40975"/>
    <cellStyle name="Comma 17 2 2 2 3 4 3" xfId="40976"/>
    <cellStyle name="Comma 17 2 2 2 3 4 3 2" xfId="40977"/>
    <cellStyle name="Comma 17 2 2 2 3 4 4" xfId="40978"/>
    <cellStyle name="Comma 17 2 2 2 3 4 5" xfId="40979"/>
    <cellStyle name="Comma 17 2 2 2 3 5" xfId="40980"/>
    <cellStyle name="Comma 17 2 2 2 3 5 2" xfId="40981"/>
    <cellStyle name="Comma 17 2 2 2 3 5 3" xfId="40982"/>
    <cellStyle name="Comma 17 2 2 2 3 6" xfId="40983"/>
    <cellStyle name="Comma 17 2 2 2 3 6 2" xfId="40984"/>
    <cellStyle name="Comma 17 2 2 2 3 6 3" xfId="40985"/>
    <cellStyle name="Comma 17 2 2 2 3 7" xfId="40986"/>
    <cellStyle name="Comma 17 2 2 2 3 7 2" xfId="40987"/>
    <cellStyle name="Comma 17 2 2 2 3 8" xfId="40988"/>
    <cellStyle name="Comma 17 2 2 2 3 9" xfId="40989"/>
    <cellStyle name="Comma 17 2 2 2 4" xfId="40990"/>
    <cellStyle name="Comma 17 2 2 2 4 2" xfId="40991"/>
    <cellStyle name="Comma 17 2 2 2 4 2 2" xfId="40992"/>
    <cellStyle name="Comma 17 2 2 2 4 2 2 2" xfId="40993"/>
    <cellStyle name="Comma 17 2 2 2 4 2 2 3" xfId="40994"/>
    <cellStyle name="Comma 17 2 2 2 4 2 3" xfId="40995"/>
    <cellStyle name="Comma 17 2 2 2 4 2 3 2" xfId="40996"/>
    <cellStyle name="Comma 17 2 2 2 4 2 3 3" xfId="40997"/>
    <cellStyle name="Comma 17 2 2 2 4 2 4" xfId="40998"/>
    <cellStyle name="Comma 17 2 2 2 4 2 4 2" xfId="40999"/>
    <cellStyle name="Comma 17 2 2 2 4 2 5" xfId="41000"/>
    <cellStyle name="Comma 17 2 2 2 4 2 6" xfId="41001"/>
    <cellStyle name="Comma 17 2 2 2 4 3" xfId="41002"/>
    <cellStyle name="Comma 17 2 2 2 4 3 2" xfId="41003"/>
    <cellStyle name="Comma 17 2 2 2 4 3 2 2" xfId="41004"/>
    <cellStyle name="Comma 17 2 2 2 4 3 2 3" xfId="41005"/>
    <cellStyle name="Comma 17 2 2 2 4 3 3" xfId="41006"/>
    <cellStyle name="Comma 17 2 2 2 4 3 3 2" xfId="41007"/>
    <cellStyle name="Comma 17 2 2 2 4 3 3 3" xfId="41008"/>
    <cellStyle name="Comma 17 2 2 2 4 3 4" xfId="41009"/>
    <cellStyle name="Comma 17 2 2 2 4 3 4 2" xfId="41010"/>
    <cellStyle name="Comma 17 2 2 2 4 3 5" xfId="41011"/>
    <cellStyle name="Comma 17 2 2 2 4 3 6" xfId="41012"/>
    <cellStyle name="Comma 17 2 2 2 4 4" xfId="41013"/>
    <cellStyle name="Comma 17 2 2 2 4 4 2" xfId="41014"/>
    <cellStyle name="Comma 17 2 2 2 4 4 2 2" xfId="41015"/>
    <cellStyle name="Comma 17 2 2 2 4 4 2 3" xfId="41016"/>
    <cellStyle name="Comma 17 2 2 2 4 4 3" xfId="41017"/>
    <cellStyle name="Comma 17 2 2 2 4 4 3 2" xfId="41018"/>
    <cellStyle name="Comma 17 2 2 2 4 4 4" xfId="41019"/>
    <cellStyle name="Comma 17 2 2 2 4 4 5" xfId="41020"/>
    <cellStyle name="Comma 17 2 2 2 4 5" xfId="41021"/>
    <cellStyle name="Comma 17 2 2 2 4 5 2" xfId="41022"/>
    <cellStyle name="Comma 17 2 2 2 4 5 3" xfId="41023"/>
    <cellStyle name="Comma 17 2 2 2 4 6" xfId="41024"/>
    <cellStyle name="Comma 17 2 2 2 4 6 2" xfId="41025"/>
    <cellStyle name="Comma 17 2 2 2 4 6 3" xfId="41026"/>
    <cellStyle name="Comma 17 2 2 2 4 7" xfId="41027"/>
    <cellStyle name="Comma 17 2 2 2 4 7 2" xfId="41028"/>
    <cellStyle name="Comma 17 2 2 2 4 8" xfId="41029"/>
    <cellStyle name="Comma 17 2 2 2 4 9" xfId="41030"/>
    <cellStyle name="Comma 17 2 2 2 5" xfId="41031"/>
    <cellStyle name="Comma 17 2 2 2 5 2" xfId="41032"/>
    <cellStyle name="Comma 17 2 2 2 5 2 2" xfId="41033"/>
    <cellStyle name="Comma 17 2 2 2 5 2 3" xfId="41034"/>
    <cellStyle name="Comma 17 2 2 2 5 3" xfId="41035"/>
    <cellStyle name="Comma 17 2 2 2 5 3 2" xfId="41036"/>
    <cellStyle name="Comma 17 2 2 2 5 3 3" xfId="41037"/>
    <cellStyle name="Comma 17 2 2 2 5 4" xfId="41038"/>
    <cellStyle name="Comma 17 2 2 2 5 4 2" xfId="41039"/>
    <cellStyle name="Comma 17 2 2 2 5 5" xfId="41040"/>
    <cellStyle name="Comma 17 2 2 2 5 6" xfId="41041"/>
    <cellStyle name="Comma 17 2 2 2 6" xfId="41042"/>
    <cellStyle name="Comma 17 2 2 2 6 2" xfId="41043"/>
    <cellStyle name="Comma 17 2 2 2 6 2 2" xfId="41044"/>
    <cellStyle name="Comma 17 2 2 2 6 2 3" xfId="41045"/>
    <cellStyle name="Comma 17 2 2 2 6 3" xfId="41046"/>
    <cellStyle name="Comma 17 2 2 2 6 3 2" xfId="41047"/>
    <cellStyle name="Comma 17 2 2 2 6 3 3" xfId="41048"/>
    <cellStyle name="Comma 17 2 2 2 6 4" xfId="41049"/>
    <cellStyle name="Comma 17 2 2 2 6 4 2" xfId="41050"/>
    <cellStyle name="Comma 17 2 2 2 6 5" xfId="41051"/>
    <cellStyle name="Comma 17 2 2 2 6 6" xfId="41052"/>
    <cellStyle name="Comma 17 2 2 2 7" xfId="41053"/>
    <cellStyle name="Comma 17 2 2 2 7 2" xfId="41054"/>
    <cellStyle name="Comma 17 2 2 2 7 2 2" xfId="41055"/>
    <cellStyle name="Comma 17 2 2 2 7 2 3" xfId="41056"/>
    <cellStyle name="Comma 17 2 2 2 7 3" xfId="41057"/>
    <cellStyle name="Comma 17 2 2 2 7 3 2" xfId="41058"/>
    <cellStyle name="Comma 17 2 2 2 7 4" xfId="41059"/>
    <cellStyle name="Comma 17 2 2 2 7 5" xfId="41060"/>
    <cellStyle name="Comma 17 2 2 2 8" xfId="41061"/>
    <cellStyle name="Comma 17 2 2 2 8 2" xfId="41062"/>
    <cellStyle name="Comma 17 2 2 2 8 3" xfId="41063"/>
    <cellStyle name="Comma 17 2 2 2 9" xfId="41064"/>
    <cellStyle name="Comma 17 2 2 2 9 2" xfId="41065"/>
    <cellStyle name="Comma 17 2 2 2 9 3" xfId="41066"/>
    <cellStyle name="Comma 17 2 2 3" xfId="41067"/>
    <cellStyle name="Comma 17 2 2 3 10" xfId="41068"/>
    <cellStyle name="Comma 17 2 2 3 2" xfId="41069"/>
    <cellStyle name="Comma 17 2 2 3 2 2" xfId="41070"/>
    <cellStyle name="Comma 17 2 2 3 2 2 2" xfId="41071"/>
    <cellStyle name="Comma 17 2 2 3 2 2 2 2" xfId="41072"/>
    <cellStyle name="Comma 17 2 2 3 2 2 2 3" xfId="41073"/>
    <cellStyle name="Comma 17 2 2 3 2 2 3" xfId="41074"/>
    <cellStyle name="Comma 17 2 2 3 2 2 3 2" xfId="41075"/>
    <cellStyle name="Comma 17 2 2 3 2 2 3 3" xfId="41076"/>
    <cellStyle name="Comma 17 2 2 3 2 2 4" xfId="41077"/>
    <cellStyle name="Comma 17 2 2 3 2 2 4 2" xfId="41078"/>
    <cellStyle name="Comma 17 2 2 3 2 2 5" xfId="41079"/>
    <cellStyle name="Comma 17 2 2 3 2 2 6" xfId="41080"/>
    <cellStyle name="Comma 17 2 2 3 2 3" xfId="41081"/>
    <cellStyle name="Comma 17 2 2 3 2 3 2" xfId="41082"/>
    <cellStyle name="Comma 17 2 2 3 2 3 2 2" xfId="41083"/>
    <cellStyle name="Comma 17 2 2 3 2 3 2 3" xfId="41084"/>
    <cellStyle name="Comma 17 2 2 3 2 3 3" xfId="41085"/>
    <cellStyle name="Comma 17 2 2 3 2 3 3 2" xfId="41086"/>
    <cellStyle name="Comma 17 2 2 3 2 3 3 3" xfId="41087"/>
    <cellStyle name="Comma 17 2 2 3 2 3 4" xfId="41088"/>
    <cellStyle name="Comma 17 2 2 3 2 3 4 2" xfId="41089"/>
    <cellStyle name="Comma 17 2 2 3 2 3 5" xfId="41090"/>
    <cellStyle name="Comma 17 2 2 3 2 3 6" xfId="41091"/>
    <cellStyle name="Comma 17 2 2 3 2 4" xfId="41092"/>
    <cellStyle name="Comma 17 2 2 3 2 4 2" xfId="41093"/>
    <cellStyle name="Comma 17 2 2 3 2 4 2 2" xfId="41094"/>
    <cellStyle name="Comma 17 2 2 3 2 4 2 3" xfId="41095"/>
    <cellStyle name="Comma 17 2 2 3 2 4 3" xfId="41096"/>
    <cellStyle name="Comma 17 2 2 3 2 4 3 2" xfId="41097"/>
    <cellStyle name="Comma 17 2 2 3 2 4 4" xfId="41098"/>
    <cellStyle name="Comma 17 2 2 3 2 4 5" xfId="41099"/>
    <cellStyle name="Comma 17 2 2 3 2 5" xfId="41100"/>
    <cellStyle name="Comma 17 2 2 3 2 5 2" xfId="41101"/>
    <cellStyle name="Comma 17 2 2 3 2 5 3" xfId="41102"/>
    <cellStyle name="Comma 17 2 2 3 2 6" xfId="41103"/>
    <cellStyle name="Comma 17 2 2 3 2 6 2" xfId="41104"/>
    <cellStyle name="Comma 17 2 2 3 2 6 3" xfId="41105"/>
    <cellStyle name="Comma 17 2 2 3 2 7" xfId="41106"/>
    <cellStyle name="Comma 17 2 2 3 2 7 2" xfId="41107"/>
    <cellStyle name="Comma 17 2 2 3 2 8" xfId="41108"/>
    <cellStyle name="Comma 17 2 2 3 2 9" xfId="41109"/>
    <cellStyle name="Comma 17 2 2 3 3" xfId="41110"/>
    <cellStyle name="Comma 17 2 2 3 3 2" xfId="41111"/>
    <cellStyle name="Comma 17 2 2 3 3 2 2" xfId="41112"/>
    <cellStyle name="Comma 17 2 2 3 3 2 3" xfId="41113"/>
    <cellStyle name="Comma 17 2 2 3 3 3" xfId="41114"/>
    <cellStyle name="Comma 17 2 2 3 3 3 2" xfId="41115"/>
    <cellStyle name="Comma 17 2 2 3 3 3 3" xfId="41116"/>
    <cellStyle name="Comma 17 2 2 3 3 4" xfId="41117"/>
    <cellStyle name="Comma 17 2 2 3 3 4 2" xfId="41118"/>
    <cellStyle name="Comma 17 2 2 3 3 5" xfId="41119"/>
    <cellStyle name="Comma 17 2 2 3 3 6" xfId="41120"/>
    <cellStyle name="Comma 17 2 2 3 4" xfId="41121"/>
    <cellStyle name="Comma 17 2 2 3 4 2" xfId="41122"/>
    <cellStyle name="Comma 17 2 2 3 4 2 2" xfId="41123"/>
    <cellStyle name="Comma 17 2 2 3 4 2 3" xfId="41124"/>
    <cellStyle name="Comma 17 2 2 3 4 3" xfId="41125"/>
    <cellStyle name="Comma 17 2 2 3 4 3 2" xfId="41126"/>
    <cellStyle name="Comma 17 2 2 3 4 3 3" xfId="41127"/>
    <cellStyle name="Comma 17 2 2 3 4 4" xfId="41128"/>
    <cellStyle name="Comma 17 2 2 3 4 4 2" xfId="41129"/>
    <cellStyle name="Comma 17 2 2 3 4 5" xfId="41130"/>
    <cellStyle name="Comma 17 2 2 3 4 6" xfId="41131"/>
    <cellStyle name="Comma 17 2 2 3 5" xfId="41132"/>
    <cellStyle name="Comma 17 2 2 3 5 2" xfId="41133"/>
    <cellStyle name="Comma 17 2 2 3 5 2 2" xfId="41134"/>
    <cellStyle name="Comma 17 2 2 3 5 2 3" xfId="41135"/>
    <cellStyle name="Comma 17 2 2 3 5 3" xfId="41136"/>
    <cellStyle name="Comma 17 2 2 3 5 3 2" xfId="41137"/>
    <cellStyle name="Comma 17 2 2 3 5 4" xfId="41138"/>
    <cellStyle name="Comma 17 2 2 3 5 5" xfId="41139"/>
    <cellStyle name="Comma 17 2 2 3 6" xfId="41140"/>
    <cellStyle name="Comma 17 2 2 3 6 2" xfId="41141"/>
    <cellStyle name="Comma 17 2 2 3 6 3" xfId="41142"/>
    <cellStyle name="Comma 17 2 2 3 7" xfId="41143"/>
    <cellStyle name="Comma 17 2 2 3 7 2" xfId="41144"/>
    <cellStyle name="Comma 17 2 2 3 7 3" xfId="41145"/>
    <cellStyle name="Comma 17 2 2 3 8" xfId="41146"/>
    <cellStyle name="Comma 17 2 2 3 8 2" xfId="41147"/>
    <cellStyle name="Comma 17 2 2 3 9" xfId="41148"/>
    <cellStyle name="Comma 17 2 2 4" xfId="41149"/>
    <cellStyle name="Comma 17 2 2 4 2" xfId="41150"/>
    <cellStyle name="Comma 17 2 2 4 2 2" xfId="41151"/>
    <cellStyle name="Comma 17 2 2 4 2 2 2" xfId="41152"/>
    <cellStyle name="Comma 17 2 2 4 2 2 3" xfId="41153"/>
    <cellStyle name="Comma 17 2 2 4 2 3" xfId="41154"/>
    <cellStyle name="Comma 17 2 2 4 2 3 2" xfId="41155"/>
    <cellStyle name="Comma 17 2 2 4 2 3 3" xfId="41156"/>
    <cellStyle name="Comma 17 2 2 4 2 4" xfId="41157"/>
    <cellStyle name="Comma 17 2 2 4 2 4 2" xfId="41158"/>
    <cellStyle name="Comma 17 2 2 4 2 5" xfId="41159"/>
    <cellStyle name="Comma 17 2 2 4 2 6" xfId="41160"/>
    <cellStyle name="Comma 17 2 2 4 3" xfId="41161"/>
    <cellStyle name="Comma 17 2 2 4 3 2" xfId="41162"/>
    <cellStyle name="Comma 17 2 2 4 3 2 2" xfId="41163"/>
    <cellStyle name="Comma 17 2 2 4 3 2 3" xfId="41164"/>
    <cellStyle name="Comma 17 2 2 4 3 3" xfId="41165"/>
    <cellStyle name="Comma 17 2 2 4 3 3 2" xfId="41166"/>
    <cellStyle name="Comma 17 2 2 4 3 3 3" xfId="41167"/>
    <cellStyle name="Comma 17 2 2 4 3 4" xfId="41168"/>
    <cellStyle name="Comma 17 2 2 4 3 4 2" xfId="41169"/>
    <cellStyle name="Comma 17 2 2 4 3 5" xfId="41170"/>
    <cellStyle name="Comma 17 2 2 4 3 6" xfId="41171"/>
    <cellStyle name="Comma 17 2 2 4 4" xfId="41172"/>
    <cellStyle name="Comma 17 2 2 4 4 2" xfId="41173"/>
    <cellStyle name="Comma 17 2 2 4 4 2 2" xfId="41174"/>
    <cellStyle name="Comma 17 2 2 4 4 2 3" xfId="41175"/>
    <cellStyle name="Comma 17 2 2 4 4 3" xfId="41176"/>
    <cellStyle name="Comma 17 2 2 4 4 3 2" xfId="41177"/>
    <cellStyle name="Comma 17 2 2 4 4 4" xfId="41178"/>
    <cellStyle name="Comma 17 2 2 4 4 5" xfId="41179"/>
    <cellStyle name="Comma 17 2 2 4 5" xfId="41180"/>
    <cellStyle name="Comma 17 2 2 4 5 2" xfId="41181"/>
    <cellStyle name="Comma 17 2 2 4 5 3" xfId="41182"/>
    <cellStyle name="Comma 17 2 2 4 6" xfId="41183"/>
    <cellStyle name="Comma 17 2 2 4 6 2" xfId="41184"/>
    <cellStyle name="Comma 17 2 2 4 6 3" xfId="41185"/>
    <cellStyle name="Comma 17 2 2 4 7" xfId="41186"/>
    <cellStyle name="Comma 17 2 2 4 7 2" xfId="41187"/>
    <cellStyle name="Comma 17 2 2 4 8" xfId="41188"/>
    <cellStyle name="Comma 17 2 2 4 9" xfId="41189"/>
    <cellStyle name="Comma 17 2 2 5" xfId="41190"/>
    <cellStyle name="Comma 17 2 2 5 2" xfId="41191"/>
    <cellStyle name="Comma 17 2 2 5 2 2" xfId="41192"/>
    <cellStyle name="Comma 17 2 2 5 2 2 2" xfId="41193"/>
    <cellStyle name="Comma 17 2 2 5 2 2 3" xfId="41194"/>
    <cellStyle name="Comma 17 2 2 5 2 3" xfId="41195"/>
    <cellStyle name="Comma 17 2 2 5 2 3 2" xfId="41196"/>
    <cellStyle name="Comma 17 2 2 5 2 3 3" xfId="41197"/>
    <cellStyle name="Comma 17 2 2 5 2 4" xfId="41198"/>
    <cellStyle name="Comma 17 2 2 5 2 4 2" xfId="41199"/>
    <cellStyle name="Comma 17 2 2 5 2 5" xfId="41200"/>
    <cellStyle name="Comma 17 2 2 5 2 6" xfId="41201"/>
    <cellStyle name="Comma 17 2 2 5 3" xfId="41202"/>
    <cellStyle name="Comma 17 2 2 5 3 2" xfId="41203"/>
    <cellStyle name="Comma 17 2 2 5 3 2 2" xfId="41204"/>
    <cellStyle name="Comma 17 2 2 5 3 2 3" xfId="41205"/>
    <cellStyle name="Comma 17 2 2 5 3 3" xfId="41206"/>
    <cellStyle name="Comma 17 2 2 5 3 3 2" xfId="41207"/>
    <cellStyle name="Comma 17 2 2 5 3 3 3" xfId="41208"/>
    <cellStyle name="Comma 17 2 2 5 3 4" xfId="41209"/>
    <cellStyle name="Comma 17 2 2 5 3 4 2" xfId="41210"/>
    <cellStyle name="Comma 17 2 2 5 3 5" xfId="41211"/>
    <cellStyle name="Comma 17 2 2 5 3 6" xfId="41212"/>
    <cellStyle name="Comma 17 2 2 5 4" xfId="41213"/>
    <cellStyle name="Comma 17 2 2 5 4 2" xfId="41214"/>
    <cellStyle name="Comma 17 2 2 5 4 2 2" xfId="41215"/>
    <cellStyle name="Comma 17 2 2 5 4 2 3" xfId="41216"/>
    <cellStyle name="Comma 17 2 2 5 4 3" xfId="41217"/>
    <cellStyle name="Comma 17 2 2 5 4 3 2" xfId="41218"/>
    <cellStyle name="Comma 17 2 2 5 4 4" xfId="41219"/>
    <cellStyle name="Comma 17 2 2 5 4 5" xfId="41220"/>
    <cellStyle name="Comma 17 2 2 5 5" xfId="41221"/>
    <cellStyle name="Comma 17 2 2 5 5 2" xfId="41222"/>
    <cellStyle name="Comma 17 2 2 5 5 3" xfId="41223"/>
    <cellStyle name="Comma 17 2 2 5 6" xfId="41224"/>
    <cellStyle name="Comma 17 2 2 5 6 2" xfId="41225"/>
    <cellStyle name="Comma 17 2 2 5 6 3" xfId="41226"/>
    <cellStyle name="Comma 17 2 2 5 7" xfId="41227"/>
    <cellStyle name="Comma 17 2 2 5 7 2" xfId="41228"/>
    <cellStyle name="Comma 17 2 2 5 8" xfId="41229"/>
    <cellStyle name="Comma 17 2 2 5 9" xfId="41230"/>
    <cellStyle name="Comma 17 2 2 6" xfId="41231"/>
    <cellStyle name="Comma 17 2 2 6 2" xfId="41232"/>
    <cellStyle name="Comma 17 2 2 6 2 2" xfId="41233"/>
    <cellStyle name="Comma 17 2 2 6 2 3" xfId="41234"/>
    <cellStyle name="Comma 17 2 2 6 3" xfId="41235"/>
    <cellStyle name="Comma 17 2 2 6 3 2" xfId="41236"/>
    <cellStyle name="Comma 17 2 2 6 3 3" xfId="41237"/>
    <cellStyle name="Comma 17 2 2 6 4" xfId="41238"/>
    <cellStyle name="Comma 17 2 2 6 4 2" xfId="41239"/>
    <cellStyle name="Comma 17 2 2 6 5" xfId="41240"/>
    <cellStyle name="Comma 17 2 2 6 6" xfId="41241"/>
    <cellStyle name="Comma 17 2 2 7" xfId="41242"/>
    <cellStyle name="Comma 17 2 2 7 2" xfId="41243"/>
    <cellStyle name="Comma 17 2 2 7 2 2" xfId="41244"/>
    <cellStyle name="Comma 17 2 2 7 2 3" xfId="41245"/>
    <cellStyle name="Comma 17 2 2 7 3" xfId="41246"/>
    <cellStyle name="Comma 17 2 2 7 3 2" xfId="41247"/>
    <cellStyle name="Comma 17 2 2 7 3 3" xfId="41248"/>
    <cellStyle name="Comma 17 2 2 7 4" xfId="41249"/>
    <cellStyle name="Comma 17 2 2 7 4 2" xfId="41250"/>
    <cellStyle name="Comma 17 2 2 7 5" xfId="41251"/>
    <cellStyle name="Comma 17 2 2 7 6" xfId="41252"/>
    <cellStyle name="Comma 17 2 2 8" xfId="41253"/>
    <cellStyle name="Comma 17 2 2 8 2" xfId="41254"/>
    <cellStyle name="Comma 17 2 2 8 2 2" xfId="41255"/>
    <cellStyle name="Comma 17 2 2 8 2 3" xfId="41256"/>
    <cellStyle name="Comma 17 2 2 8 3" xfId="41257"/>
    <cellStyle name="Comma 17 2 2 8 3 2" xfId="41258"/>
    <cellStyle name="Comma 17 2 2 8 4" xfId="41259"/>
    <cellStyle name="Comma 17 2 2 8 5" xfId="41260"/>
    <cellStyle name="Comma 17 2 2 9" xfId="41261"/>
    <cellStyle name="Comma 17 2 2 9 2" xfId="41262"/>
    <cellStyle name="Comma 17 2 2 9 3" xfId="41263"/>
    <cellStyle name="Comma 17 2 3" xfId="41264"/>
    <cellStyle name="Comma 17 2 3 10" xfId="41265"/>
    <cellStyle name="Comma 17 2 3 10 2" xfId="41266"/>
    <cellStyle name="Comma 17 2 3 11" xfId="41267"/>
    <cellStyle name="Comma 17 2 3 12" xfId="41268"/>
    <cellStyle name="Comma 17 2 3 2" xfId="41269"/>
    <cellStyle name="Comma 17 2 3 2 10" xfId="41270"/>
    <cellStyle name="Comma 17 2 3 2 2" xfId="41271"/>
    <cellStyle name="Comma 17 2 3 2 2 2" xfId="41272"/>
    <cellStyle name="Comma 17 2 3 2 2 2 2" xfId="41273"/>
    <cellStyle name="Comma 17 2 3 2 2 2 2 2" xfId="41274"/>
    <cellStyle name="Comma 17 2 3 2 2 2 2 3" xfId="41275"/>
    <cellStyle name="Comma 17 2 3 2 2 2 3" xfId="41276"/>
    <cellStyle name="Comma 17 2 3 2 2 2 3 2" xfId="41277"/>
    <cellStyle name="Comma 17 2 3 2 2 2 3 3" xfId="41278"/>
    <cellStyle name="Comma 17 2 3 2 2 2 4" xfId="41279"/>
    <cellStyle name="Comma 17 2 3 2 2 2 4 2" xfId="41280"/>
    <cellStyle name="Comma 17 2 3 2 2 2 5" xfId="41281"/>
    <cellStyle name="Comma 17 2 3 2 2 2 6" xfId="41282"/>
    <cellStyle name="Comma 17 2 3 2 2 3" xfId="41283"/>
    <cellStyle name="Comma 17 2 3 2 2 3 2" xfId="41284"/>
    <cellStyle name="Comma 17 2 3 2 2 3 2 2" xfId="41285"/>
    <cellStyle name="Comma 17 2 3 2 2 3 2 3" xfId="41286"/>
    <cellStyle name="Comma 17 2 3 2 2 3 3" xfId="41287"/>
    <cellStyle name="Comma 17 2 3 2 2 3 3 2" xfId="41288"/>
    <cellStyle name="Comma 17 2 3 2 2 3 3 3" xfId="41289"/>
    <cellStyle name="Comma 17 2 3 2 2 3 4" xfId="41290"/>
    <cellStyle name="Comma 17 2 3 2 2 3 4 2" xfId="41291"/>
    <cellStyle name="Comma 17 2 3 2 2 3 5" xfId="41292"/>
    <cellStyle name="Comma 17 2 3 2 2 3 6" xfId="41293"/>
    <cellStyle name="Comma 17 2 3 2 2 4" xfId="41294"/>
    <cellStyle name="Comma 17 2 3 2 2 4 2" xfId="41295"/>
    <cellStyle name="Comma 17 2 3 2 2 4 2 2" xfId="41296"/>
    <cellStyle name="Comma 17 2 3 2 2 4 2 3" xfId="41297"/>
    <cellStyle name="Comma 17 2 3 2 2 4 3" xfId="41298"/>
    <cellStyle name="Comma 17 2 3 2 2 4 3 2" xfId="41299"/>
    <cellStyle name="Comma 17 2 3 2 2 4 4" xfId="41300"/>
    <cellStyle name="Comma 17 2 3 2 2 4 5" xfId="41301"/>
    <cellStyle name="Comma 17 2 3 2 2 5" xfId="41302"/>
    <cellStyle name="Comma 17 2 3 2 2 5 2" xfId="41303"/>
    <cellStyle name="Comma 17 2 3 2 2 5 3" xfId="41304"/>
    <cellStyle name="Comma 17 2 3 2 2 6" xfId="41305"/>
    <cellStyle name="Comma 17 2 3 2 2 6 2" xfId="41306"/>
    <cellStyle name="Comma 17 2 3 2 2 6 3" xfId="41307"/>
    <cellStyle name="Comma 17 2 3 2 2 7" xfId="41308"/>
    <cellStyle name="Comma 17 2 3 2 2 7 2" xfId="41309"/>
    <cellStyle name="Comma 17 2 3 2 2 8" xfId="41310"/>
    <cellStyle name="Comma 17 2 3 2 2 9" xfId="41311"/>
    <cellStyle name="Comma 17 2 3 2 3" xfId="41312"/>
    <cellStyle name="Comma 17 2 3 2 3 2" xfId="41313"/>
    <cellStyle name="Comma 17 2 3 2 3 2 2" xfId="41314"/>
    <cellStyle name="Comma 17 2 3 2 3 2 3" xfId="41315"/>
    <cellStyle name="Comma 17 2 3 2 3 3" xfId="41316"/>
    <cellStyle name="Comma 17 2 3 2 3 3 2" xfId="41317"/>
    <cellStyle name="Comma 17 2 3 2 3 3 3" xfId="41318"/>
    <cellStyle name="Comma 17 2 3 2 3 4" xfId="41319"/>
    <cellStyle name="Comma 17 2 3 2 3 4 2" xfId="41320"/>
    <cellStyle name="Comma 17 2 3 2 3 5" xfId="41321"/>
    <cellStyle name="Comma 17 2 3 2 3 6" xfId="41322"/>
    <cellStyle name="Comma 17 2 3 2 4" xfId="41323"/>
    <cellStyle name="Comma 17 2 3 2 4 2" xfId="41324"/>
    <cellStyle name="Comma 17 2 3 2 4 2 2" xfId="41325"/>
    <cellStyle name="Comma 17 2 3 2 4 2 3" xfId="41326"/>
    <cellStyle name="Comma 17 2 3 2 4 3" xfId="41327"/>
    <cellStyle name="Comma 17 2 3 2 4 3 2" xfId="41328"/>
    <cellStyle name="Comma 17 2 3 2 4 3 3" xfId="41329"/>
    <cellStyle name="Comma 17 2 3 2 4 4" xfId="41330"/>
    <cellStyle name="Comma 17 2 3 2 4 4 2" xfId="41331"/>
    <cellStyle name="Comma 17 2 3 2 4 5" xfId="41332"/>
    <cellStyle name="Comma 17 2 3 2 4 6" xfId="41333"/>
    <cellStyle name="Comma 17 2 3 2 5" xfId="41334"/>
    <cellStyle name="Comma 17 2 3 2 5 2" xfId="41335"/>
    <cellStyle name="Comma 17 2 3 2 5 2 2" xfId="41336"/>
    <cellStyle name="Comma 17 2 3 2 5 2 3" xfId="41337"/>
    <cellStyle name="Comma 17 2 3 2 5 3" xfId="41338"/>
    <cellStyle name="Comma 17 2 3 2 5 3 2" xfId="41339"/>
    <cellStyle name="Comma 17 2 3 2 5 4" xfId="41340"/>
    <cellStyle name="Comma 17 2 3 2 5 5" xfId="41341"/>
    <cellStyle name="Comma 17 2 3 2 6" xfId="41342"/>
    <cellStyle name="Comma 17 2 3 2 6 2" xfId="41343"/>
    <cellStyle name="Comma 17 2 3 2 6 3" xfId="41344"/>
    <cellStyle name="Comma 17 2 3 2 7" xfId="41345"/>
    <cellStyle name="Comma 17 2 3 2 7 2" xfId="41346"/>
    <cellStyle name="Comma 17 2 3 2 7 3" xfId="41347"/>
    <cellStyle name="Comma 17 2 3 2 8" xfId="41348"/>
    <cellStyle name="Comma 17 2 3 2 8 2" xfId="41349"/>
    <cellStyle name="Comma 17 2 3 2 9" xfId="41350"/>
    <cellStyle name="Comma 17 2 3 3" xfId="41351"/>
    <cellStyle name="Comma 17 2 3 3 2" xfId="41352"/>
    <cellStyle name="Comma 17 2 3 3 2 2" xfId="41353"/>
    <cellStyle name="Comma 17 2 3 3 2 2 2" xfId="41354"/>
    <cellStyle name="Comma 17 2 3 3 2 2 3" xfId="41355"/>
    <cellStyle name="Comma 17 2 3 3 2 3" xfId="41356"/>
    <cellStyle name="Comma 17 2 3 3 2 3 2" xfId="41357"/>
    <cellStyle name="Comma 17 2 3 3 2 3 3" xfId="41358"/>
    <cellStyle name="Comma 17 2 3 3 2 4" xfId="41359"/>
    <cellStyle name="Comma 17 2 3 3 2 4 2" xfId="41360"/>
    <cellStyle name="Comma 17 2 3 3 2 5" xfId="41361"/>
    <cellStyle name="Comma 17 2 3 3 2 6" xfId="41362"/>
    <cellStyle name="Comma 17 2 3 3 3" xfId="41363"/>
    <cellStyle name="Comma 17 2 3 3 3 2" xfId="41364"/>
    <cellStyle name="Comma 17 2 3 3 3 2 2" xfId="41365"/>
    <cellStyle name="Comma 17 2 3 3 3 2 3" xfId="41366"/>
    <cellStyle name="Comma 17 2 3 3 3 3" xfId="41367"/>
    <cellStyle name="Comma 17 2 3 3 3 3 2" xfId="41368"/>
    <cellStyle name="Comma 17 2 3 3 3 3 3" xfId="41369"/>
    <cellStyle name="Comma 17 2 3 3 3 4" xfId="41370"/>
    <cellStyle name="Comma 17 2 3 3 3 4 2" xfId="41371"/>
    <cellStyle name="Comma 17 2 3 3 3 5" xfId="41372"/>
    <cellStyle name="Comma 17 2 3 3 3 6" xfId="41373"/>
    <cellStyle name="Comma 17 2 3 3 4" xfId="41374"/>
    <cellStyle name="Comma 17 2 3 3 4 2" xfId="41375"/>
    <cellStyle name="Comma 17 2 3 3 4 2 2" xfId="41376"/>
    <cellStyle name="Comma 17 2 3 3 4 2 3" xfId="41377"/>
    <cellStyle name="Comma 17 2 3 3 4 3" xfId="41378"/>
    <cellStyle name="Comma 17 2 3 3 4 3 2" xfId="41379"/>
    <cellStyle name="Comma 17 2 3 3 4 4" xfId="41380"/>
    <cellStyle name="Comma 17 2 3 3 4 5" xfId="41381"/>
    <cellStyle name="Comma 17 2 3 3 5" xfId="41382"/>
    <cellStyle name="Comma 17 2 3 3 5 2" xfId="41383"/>
    <cellStyle name="Comma 17 2 3 3 5 3" xfId="41384"/>
    <cellStyle name="Comma 17 2 3 3 6" xfId="41385"/>
    <cellStyle name="Comma 17 2 3 3 6 2" xfId="41386"/>
    <cellStyle name="Comma 17 2 3 3 6 3" xfId="41387"/>
    <cellStyle name="Comma 17 2 3 3 7" xfId="41388"/>
    <cellStyle name="Comma 17 2 3 3 7 2" xfId="41389"/>
    <cellStyle name="Comma 17 2 3 3 8" xfId="41390"/>
    <cellStyle name="Comma 17 2 3 3 9" xfId="41391"/>
    <cellStyle name="Comma 17 2 3 4" xfId="41392"/>
    <cellStyle name="Comma 17 2 3 4 2" xfId="41393"/>
    <cellStyle name="Comma 17 2 3 4 2 2" xfId="41394"/>
    <cellStyle name="Comma 17 2 3 4 2 2 2" xfId="41395"/>
    <cellStyle name="Comma 17 2 3 4 2 2 3" xfId="41396"/>
    <cellStyle name="Comma 17 2 3 4 2 3" xfId="41397"/>
    <cellStyle name="Comma 17 2 3 4 2 3 2" xfId="41398"/>
    <cellStyle name="Comma 17 2 3 4 2 3 3" xfId="41399"/>
    <cellStyle name="Comma 17 2 3 4 2 4" xfId="41400"/>
    <cellStyle name="Comma 17 2 3 4 2 4 2" xfId="41401"/>
    <cellStyle name="Comma 17 2 3 4 2 5" xfId="41402"/>
    <cellStyle name="Comma 17 2 3 4 2 6" xfId="41403"/>
    <cellStyle name="Comma 17 2 3 4 3" xfId="41404"/>
    <cellStyle name="Comma 17 2 3 4 3 2" xfId="41405"/>
    <cellStyle name="Comma 17 2 3 4 3 2 2" xfId="41406"/>
    <cellStyle name="Comma 17 2 3 4 3 2 3" xfId="41407"/>
    <cellStyle name="Comma 17 2 3 4 3 3" xfId="41408"/>
    <cellStyle name="Comma 17 2 3 4 3 3 2" xfId="41409"/>
    <cellStyle name="Comma 17 2 3 4 3 3 3" xfId="41410"/>
    <cellStyle name="Comma 17 2 3 4 3 4" xfId="41411"/>
    <cellStyle name="Comma 17 2 3 4 3 4 2" xfId="41412"/>
    <cellStyle name="Comma 17 2 3 4 3 5" xfId="41413"/>
    <cellStyle name="Comma 17 2 3 4 3 6" xfId="41414"/>
    <cellStyle name="Comma 17 2 3 4 4" xfId="41415"/>
    <cellStyle name="Comma 17 2 3 4 4 2" xfId="41416"/>
    <cellStyle name="Comma 17 2 3 4 4 2 2" xfId="41417"/>
    <cellStyle name="Comma 17 2 3 4 4 2 3" xfId="41418"/>
    <cellStyle name="Comma 17 2 3 4 4 3" xfId="41419"/>
    <cellStyle name="Comma 17 2 3 4 4 3 2" xfId="41420"/>
    <cellStyle name="Comma 17 2 3 4 4 4" xfId="41421"/>
    <cellStyle name="Comma 17 2 3 4 4 5" xfId="41422"/>
    <cellStyle name="Comma 17 2 3 4 5" xfId="41423"/>
    <cellStyle name="Comma 17 2 3 4 5 2" xfId="41424"/>
    <cellStyle name="Comma 17 2 3 4 5 3" xfId="41425"/>
    <cellStyle name="Comma 17 2 3 4 6" xfId="41426"/>
    <cellStyle name="Comma 17 2 3 4 6 2" xfId="41427"/>
    <cellStyle name="Comma 17 2 3 4 6 3" xfId="41428"/>
    <cellStyle name="Comma 17 2 3 4 7" xfId="41429"/>
    <cellStyle name="Comma 17 2 3 4 7 2" xfId="41430"/>
    <cellStyle name="Comma 17 2 3 4 8" xfId="41431"/>
    <cellStyle name="Comma 17 2 3 4 9" xfId="41432"/>
    <cellStyle name="Comma 17 2 3 5" xfId="41433"/>
    <cellStyle name="Comma 17 2 3 5 2" xfId="41434"/>
    <cellStyle name="Comma 17 2 3 5 2 2" xfId="41435"/>
    <cellStyle name="Comma 17 2 3 5 2 3" xfId="41436"/>
    <cellStyle name="Comma 17 2 3 5 3" xfId="41437"/>
    <cellStyle name="Comma 17 2 3 5 3 2" xfId="41438"/>
    <cellStyle name="Comma 17 2 3 5 3 3" xfId="41439"/>
    <cellStyle name="Comma 17 2 3 5 4" xfId="41440"/>
    <cellStyle name="Comma 17 2 3 5 4 2" xfId="41441"/>
    <cellStyle name="Comma 17 2 3 5 5" xfId="41442"/>
    <cellStyle name="Comma 17 2 3 5 6" xfId="41443"/>
    <cellStyle name="Comma 17 2 3 6" xfId="41444"/>
    <cellStyle name="Comma 17 2 3 6 2" xfId="41445"/>
    <cellStyle name="Comma 17 2 3 6 2 2" xfId="41446"/>
    <cellStyle name="Comma 17 2 3 6 2 3" xfId="41447"/>
    <cellStyle name="Comma 17 2 3 6 3" xfId="41448"/>
    <cellStyle name="Comma 17 2 3 6 3 2" xfId="41449"/>
    <cellStyle name="Comma 17 2 3 6 3 3" xfId="41450"/>
    <cellStyle name="Comma 17 2 3 6 4" xfId="41451"/>
    <cellStyle name="Comma 17 2 3 6 4 2" xfId="41452"/>
    <cellStyle name="Comma 17 2 3 6 5" xfId="41453"/>
    <cellStyle name="Comma 17 2 3 6 6" xfId="41454"/>
    <cellStyle name="Comma 17 2 3 7" xfId="41455"/>
    <cellStyle name="Comma 17 2 3 7 2" xfId="41456"/>
    <cellStyle name="Comma 17 2 3 7 2 2" xfId="41457"/>
    <cellStyle name="Comma 17 2 3 7 2 3" xfId="41458"/>
    <cellStyle name="Comma 17 2 3 7 3" xfId="41459"/>
    <cellStyle name="Comma 17 2 3 7 3 2" xfId="41460"/>
    <cellStyle name="Comma 17 2 3 7 4" xfId="41461"/>
    <cellStyle name="Comma 17 2 3 7 5" xfId="41462"/>
    <cellStyle name="Comma 17 2 3 8" xfId="41463"/>
    <cellStyle name="Comma 17 2 3 8 2" xfId="41464"/>
    <cellStyle name="Comma 17 2 3 8 3" xfId="41465"/>
    <cellStyle name="Comma 17 2 3 9" xfId="41466"/>
    <cellStyle name="Comma 17 2 3 9 2" xfId="41467"/>
    <cellStyle name="Comma 17 2 3 9 3" xfId="41468"/>
    <cellStyle name="Comma 17 2 4" xfId="41469"/>
    <cellStyle name="Comma 17 2 4 10" xfId="41470"/>
    <cellStyle name="Comma 17 2 4 2" xfId="41471"/>
    <cellStyle name="Comma 17 2 4 2 2" xfId="41472"/>
    <cellStyle name="Comma 17 2 4 2 2 2" xfId="41473"/>
    <cellStyle name="Comma 17 2 4 2 2 2 2" xfId="41474"/>
    <cellStyle name="Comma 17 2 4 2 2 2 3" xfId="41475"/>
    <cellStyle name="Comma 17 2 4 2 2 3" xfId="41476"/>
    <cellStyle name="Comma 17 2 4 2 2 3 2" xfId="41477"/>
    <cellStyle name="Comma 17 2 4 2 2 3 3" xfId="41478"/>
    <cellStyle name="Comma 17 2 4 2 2 4" xfId="41479"/>
    <cellStyle name="Comma 17 2 4 2 2 4 2" xfId="41480"/>
    <cellStyle name="Comma 17 2 4 2 2 5" xfId="41481"/>
    <cellStyle name="Comma 17 2 4 2 2 6" xfId="41482"/>
    <cellStyle name="Comma 17 2 4 2 3" xfId="41483"/>
    <cellStyle name="Comma 17 2 4 2 3 2" xfId="41484"/>
    <cellStyle name="Comma 17 2 4 2 3 2 2" xfId="41485"/>
    <cellStyle name="Comma 17 2 4 2 3 2 3" xfId="41486"/>
    <cellStyle name="Comma 17 2 4 2 3 3" xfId="41487"/>
    <cellStyle name="Comma 17 2 4 2 3 3 2" xfId="41488"/>
    <cellStyle name="Comma 17 2 4 2 3 3 3" xfId="41489"/>
    <cellStyle name="Comma 17 2 4 2 3 4" xfId="41490"/>
    <cellStyle name="Comma 17 2 4 2 3 4 2" xfId="41491"/>
    <cellStyle name="Comma 17 2 4 2 3 5" xfId="41492"/>
    <cellStyle name="Comma 17 2 4 2 3 6" xfId="41493"/>
    <cellStyle name="Comma 17 2 4 2 4" xfId="41494"/>
    <cellStyle name="Comma 17 2 4 2 4 2" xfId="41495"/>
    <cellStyle name="Comma 17 2 4 2 4 2 2" xfId="41496"/>
    <cellStyle name="Comma 17 2 4 2 4 2 3" xfId="41497"/>
    <cellStyle name="Comma 17 2 4 2 4 3" xfId="41498"/>
    <cellStyle name="Comma 17 2 4 2 4 3 2" xfId="41499"/>
    <cellStyle name="Comma 17 2 4 2 4 4" xfId="41500"/>
    <cellStyle name="Comma 17 2 4 2 4 5" xfId="41501"/>
    <cellStyle name="Comma 17 2 4 2 5" xfId="41502"/>
    <cellStyle name="Comma 17 2 4 2 5 2" xfId="41503"/>
    <cellStyle name="Comma 17 2 4 2 5 3" xfId="41504"/>
    <cellStyle name="Comma 17 2 4 2 6" xfId="41505"/>
    <cellStyle name="Comma 17 2 4 2 6 2" xfId="41506"/>
    <cellStyle name="Comma 17 2 4 2 6 3" xfId="41507"/>
    <cellStyle name="Comma 17 2 4 2 7" xfId="41508"/>
    <cellStyle name="Comma 17 2 4 2 7 2" xfId="41509"/>
    <cellStyle name="Comma 17 2 4 2 8" xfId="41510"/>
    <cellStyle name="Comma 17 2 4 2 9" xfId="41511"/>
    <cellStyle name="Comma 17 2 4 3" xfId="41512"/>
    <cellStyle name="Comma 17 2 4 3 2" xfId="41513"/>
    <cellStyle name="Comma 17 2 4 3 2 2" xfId="41514"/>
    <cellStyle name="Comma 17 2 4 3 2 3" xfId="41515"/>
    <cellStyle name="Comma 17 2 4 3 3" xfId="41516"/>
    <cellStyle name="Comma 17 2 4 3 3 2" xfId="41517"/>
    <cellStyle name="Comma 17 2 4 3 3 3" xfId="41518"/>
    <cellStyle name="Comma 17 2 4 3 4" xfId="41519"/>
    <cellStyle name="Comma 17 2 4 3 4 2" xfId="41520"/>
    <cellStyle name="Comma 17 2 4 3 5" xfId="41521"/>
    <cellStyle name="Comma 17 2 4 3 6" xfId="41522"/>
    <cellStyle name="Comma 17 2 4 4" xfId="41523"/>
    <cellStyle name="Comma 17 2 4 4 2" xfId="41524"/>
    <cellStyle name="Comma 17 2 4 4 2 2" xfId="41525"/>
    <cellStyle name="Comma 17 2 4 4 2 3" xfId="41526"/>
    <cellStyle name="Comma 17 2 4 4 3" xfId="41527"/>
    <cellStyle name="Comma 17 2 4 4 3 2" xfId="41528"/>
    <cellStyle name="Comma 17 2 4 4 3 3" xfId="41529"/>
    <cellStyle name="Comma 17 2 4 4 4" xfId="41530"/>
    <cellStyle name="Comma 17 2 4 4 4 2" xfId="41531"/>
    <cellStyle name="Comma 17 2 4 4 5" xfId="41532"/>
    <cellStyle name="Comma 17 2 4 4 6" xfId="41533"/>
    <cellStyle name="Comma 17 2 4 5" xfId="41534"/>
    <cellStyle name="Comma 17 2 4 5 2" xfId="41535"/>
    <cellStyle name="Comma 17 2 4 5 2 2" xfId="41536"/>
    <cellStyle name="Comma 17 2 4 5 2 3" xfId="41537"/>
    <cellStyle name="Comma 17 2 4 5 3" xfId="41538"/>
    <cellStyle name="Comma 17 2 4 5 3 2" xfId="41539"/>
    <cellStyle name="Comma 17 2 4 5 4" xfId="41540"/>
    <cellStyle name="Comma 17 2 4 5 5" xfId="41541"/>
    <cellStyle name="Comma 17 2 4 6" xfId="41542"/>
    <cellStyle name="Comma 17 2 4 6 2" xfId="41543"/>
    <cellStyle name="Comma 17 2 4 6 3" xfId="41544"/>
    <cellStyle name="Comma 17 2 4 7" xfId="41545"/>
    <cellStyle name="Comma 17 2 4 7 2" xfId="41546"/>
    <cellStyle name="Comma 17 2 4 7 3" xfId="41547"/>
    <cellStyle name="Comma 17 2 4 8" xfId="41548"/>
    <cellStyle name="Comma 17 2 4 8 2" xfId="41549"/>
    <cellStyle name="Comma 17 2 4 9" xfId="41550"/>
    <cellStyle name="Comma 17 2 5" xfId="41551"/>
    <cellStyle name="Comma 17 2 5 2" xfId="41552"/>
    <cellStyle name="Comma 17 2 5 2 2" xfId="41553"/>
    <cellStyle name="Comma 17 2 5 2 2 2" xfId="41554"/>
    <cellStyle name="Comma 17 2 5 2 2 3" xfId="41555"/>
    <cellStyle name="Comma 17 2 5 2 3" xfId="41556"/>
    <cellStyle name="Comma 17 2 5 2 3 2" xfId="41557"/>
    <cellStyle name="Comma 17 2 5 2 3 3" xfId="41558"/>
    <cellStyle name="Comma 17 2 5 2 4" xfId="41559"/>
    <cellStyle name="Comma 17 2 5 2 4 2" xfId="41560"/>
    <cellStyle name="Comma 17 2 5 2 5" xfId="41561"/>
    <cellStyle name="Comma 17 2 5 2 6" xfId="41562"/>
    <cellStyle name="Comma 17 2 5 3" xfId="41563"/>
    <cellStyle name="Comma 17 2 5 3 2" xfId="41564"/>
    <cellStyle name="Comma 17 2 5 3 2 2" xfId="41565"/>
    <cellStyle name="Comma 17 2 5 3 2 3" xfId="41566"/>
    <cellStyle name="Comma 17 2 5 3 3" xfId="41567"/>
    <cellStyle name="Comma 17 2 5 3 3 2" xfId="41568"/>
    <cellStyle name="Comma 17 2 5 3 3 3" xfId="41569"/>
    <cellStyle name="Comma 17 2 5 3 4" xfId="41570"/>
    <cellStyle name="Comma 17 2 5 3 4 2" xfId="41571"/>
    <cellStyle name="Comma 17 2 5 3 5" xfId="41572"/>
    <cellStyle name="Comma 17 2 5 3 6" xfId="41573"/>
    <cellStyle name="Comma 17 2 5 4" xfId="41574"/>
    <cellStyle name="Comma 17 2 5 4 2" xfId="41575"/>
    <cellStyle name="Comma 17 2 5 4 2 2" xfId="41576"/>
    <cellStyle name="Comma 17 2 5 4 2 3" xfId="41577"/>
    <cellStyle name="Comma 17 2 5 4 3" xfId="41578"/>
    <cellStyle name="Comma 17 2 5 4 3 2" xfId="41579"/>
    <cellStyle name="Comma 17 2 5 4 4" xfId="41580"/>
    <cellStyle name="Comma 17 2 5 4 5" xfId="41581"/>
    <cellStyle name="Comma 17 2 5 5" xfId="41582"/>
    <cellStyle name="Comma 17 2 5 5 2" xfId="41583"/>
    <cellStyle name="Comma 17 2 5 5 3" xfId="41584"/>
    <cellStyle name="Comma 17 2 5 6" xfId="41585"/>
    <cellStyle name="Comma 17 2 5 6 2" xfId="41586"/>
    <cellStyle name="Comma 17 2 5 6 3" xfId="41587"/>
    <cellStyle name="Comma 17 2 5 7" xfId="41588"/>
    <cellStyle name="Comma 17 2 5 7 2" xfId="41589"/>
    <cellStyle name="Comma 17 2 5 8" xfId="41590"/>
    <cellStyle name="Comma 17 2 5 9" xfId="41591"/>
    <cellStyle name="Comma 17 2 6" xfId="41592"/>
    <cellStyle name="Comma 17 2 6 2" xfId="41593"/>
    <cellStyle name="Comma 17 2 6 2 2" xfId="41594"/>
    <cellStyle name="Comma 17 2 6 2 2 2" xfId="41595"/>
    <cellStyle name="Comma 17 2 6 2 2 3" xfId="41596"/>
    <cellStyle name="Comma 17 2 6 2 3" xfId="41597"/>
    <cellStyle name="Comma 17 2 6 2 3 2" xfId="41598"/>
    <cellStyle name="Comma 17 2 6 2 3 3" xfId="41599"/>
    <cellStyle name="Comma 17 2 6 2 4" xfId="41600"/>
    <cellStyle name="Comma 17 2 6 2 4 2" xfId="41601"/>
    <cellStyle name="Comma 17 2 6 2 5" xfId="41602"/>
    <cellStyle name="Comma 17 2 6 2 6" xfId="41603"/>
    <cellStyle name="Comma 17 2 6 3" xfId="41604"/>
    <cellStyle name="Comma 17 2 6 3 2" xfId="41605"/>
    <cellStyle name="Comma 17 2 6 3 2 2" xfId="41606"/>
    <cellStyle name="Comma 17 2 6 3 2 3" xfId="41607"/>
    <cellStyle name="Comma 17 2 6 3 3" xfId="41608"/>
    <cellStyle name="Comma 17 2 6 3 3 2" xfId="41609"/>
    <cellStyle name="Comma 17 2 6 3 3 3" xfId="41610"/>
    <cellStyle name="Comma 17 2 6 3 4" xfId="41611"/>
    <cellStyle name="Comma 17 2 6 3 4 2" xfId="41612"/>
    <cellStyle name="Comma 17 2 6 3 5" xfId="41613"/>
    <cellStyle name="Comma 17 2 6 3 6" xfId="41614"/>
    <cellStyle name="Comma 17 2 6 4" xfId="41615"/>
    <cellStyle name="Comma 17 2 6 4 2" xfId="41616"/>
    <cellStyle name="Comma 17 2 6 4 2 2" xfId="41617"/>
    <cellStyle name="Comma 17 2 6 4 2 3" xfId="41618"/>
    <cellStyle name="Comma 17 2 6 4 3" xfId="41619"/>
    <cellStyle name="Comma 17 2 6 4 3 2" xfId="41620"/>
    <cellStyle name="Comma 17 2 6 4 4" xfId="41621"/>
    <cellStyle name="Comma 17 2 6 4 5" xfId="41622"/>
    <cellStyle name="Comma 17 2 6 5" xfId="41623"/>
    <cellStyle name="Comma 17 2 6 5 2" xfId="41624"/>
    <cellStyle name="Comma 17 2 6 5 3" xfId="41625"/>
    <cellStyle name="Comma 17 2 6 6" xfId="41626"/>
    <cellStyle name="Comma 17 2 6 6 2" xfId="41627"/>
    <cellStyle name="Comma 17 2 6 6 3" xfId="41628"/>
    <cellStyle name="Comma 17 2 6 7" xfId="41629"/>
    <cellStyle name="Comma 17 2 6 7 2" xfId="41630"/>
    <cellStyle name="Comma 17 2 6 8" xfId="41631"/>
    <cellStyle name="Comma 17 2 6 9" xfId="41632"/>
    <cellStyle name="Comma 17 2 7" xfId="41633"/>
    <cellStyle name="Comma 17 2 7 2" xfId="41634"/>
    <cellStyle name="Comma 17 2 7 2 2" xfId="41635"/>
    <cellStyle name="Comma 17 2 7 2 3" xfId="41636"/>
    <cellStyle name="Comma 17 2 7 3" xfId="41637"/>
    <cellStyle name="Comma 17 2 7 3 2" xfId="41638"/>
    <cellStyle name="Comma 17 2 7 3 3" xfId="41639"/>
    <cellStyle name="Comma 17 2 7 4" xfId="41640"/>
    <cellStyle name="Comma 17 2 7 4 2" xfId="41641"/>
    <cellStyle name="Comma 17 2 7 5" xfId="41642"/>
    <cellStyle name="Comma 17 2 7 6" xfId="41643"/>
    <cellStyle name="Comma 17 2 8" xfId="41644"/>
    <cellStyle name="Comma 17 2 8 2" xfId="41645"/>
    <cellStyle name="Comma 17 2 8 2 2" xfId="41646"/>
    <cellStyle name="Comma 17 2 8 2 3" xfId="41647"/>
    <cellStyle name="Comma 17 2 8 3" xfId="41648"/>
    <cellStyle name="Comma 17 2 8 3 2" xfId="41649"/>
    <cellStyle name="Comma 17 2 8 3 3" xfId="41650"/>
    <cellStyle name="Comma 17 2 8 4" xfId="41651"/>
    <cellStyle name="Comma 17 2 8 4 2" xfId="41652"/>
    <cellStyle name="Comma 17 2 8 5" xfId="41653"/>
    <cellStyle name="Comma 17 2 8 6" xfId="41654"/>
    <cellStyle name="Comma 17 2 9" xfId="41655"/>
    <cellStyle name="Comma 17 2 9 2" xfId="41656"/>
    <cellStyle name="Comma 17 2 9 2 2" xfId="41657"/>
    <cellStyle name="Comma 17 2 9 2 3" xfId="41658"/>
    <cellStyle name="Comma 17 2 9 3" xfId="41659"/>
    <cellStyle name="Comma 17 2 9 3 2" xfId="41660"/>
    <cellStyle name="Comma 17 2 9 4" xfId="41661"/>
    <cellStyle name="Comma 17 2 9 5" xfId="41662"/>
    <cellStyle name="Comma 17 3" xfId="8809"/>
    <cellStyle name="Comma 17 3 10" xfId="41663"/>
    <cellStyle name="Comma 17 3 10 2" xfId="41664"/>
    <cellStyle name="Comma 17 3 10 3" xfId="41665"/>
    <cellStyle name="Comma 17 3 11" xfId="41666"/>
    <cellStyle name="Comma 17 3 11 2" xfId="41667"/>
    <cellStyle name="Comma 17 3 12" xfId="41668"/>
    <cellStyle name="Comma 17 3 13" xfId="41669"/>
    <cellStyle name="Comma 17 3 2" xfId="41670"/>
    <cellStyle name="Comma 17 3 2 10" xfId="41671"/>
    <cellStyle name="Comma 17 3 2 10 2" xfId="41672"/>
    <cellStyle name="Comma 17 3 2 11" xfId="41673"/>
    <cellStyle name="Comma 17 3 2 12" xfId="41674"/>
    <cellStyle name="Comma 17 3 2 2" xfId="41675"/>
    <cellStyle name="Comma 17 3 2 2 10" xfId="41676"/>
    <cellStyle name="Comma 17 3 2 2 2" xfId="41677"/>
    <cellStyle name="Comma 17 3 2 2 2 2" xfId="41678"/>
    <cellStyle name="Comma 17 3 2 2 2 2 2" xfId="41679"/>
    <cellStyle name="Comma 17 3 2 2 2 2 2 2" xfId="41680"/>
    <cellStyle name="Comma 17 3 2 2 2 2 2 3" xfId="41681"/>
    <cellStyle name="Comma 17 3 2 2 2 2 3" xfId="41682"/>
    <cellStyle name="Comma 17 3 2 2 2 2 3 2" xfId="41683"/>
    <cellStyle name="Comma 17 3 2 2 2 2 3 3" xfId="41684"/>
    <cellStyle name="Comma 17 3 2 2 2 2 4" xfId="41685"/>
    <cellStyle name="Comma 17 3 2 2 2 2 4 2" xfId="41686"/>
    <cellStyle name="Comma 17 3 2 2 2 2 5" xfId="41687"/>
    <cellStyle name="Comma 17 3 2 2 2 2 6" xfId="41688"/>
    <cellStyle name="Comma 17 3 2 2 2 3" xfId="41689"/>
    <cellStyle name="Comma 17 3 2 2 2 3 2" xfId="41690"/>
    <cellStyle name="Comma 17 3 2 2 2 3 2 2" xfId="41691"/>
    <cellStyle name="Comma 17 3 2 2 2 3 2 3" xfId="41692"/>
    <cellStyle name="Comma 17 3 2 2 2 3 3" xfId="41693"/>
    <cellStyle name="Comma 17 3 2 2 2 3 3 2" xfId="41694"/>
    <cellStyle name="Comma 17 3 2 2 2 3 3 3" xfId="41695"/>
    <cellStyle name="Comma 17 3 2 2 2 3 4" xfId="41696"/>
    <cellStyle name="Comma 17 3 2 2 2 3 4 2" xfId="41697"/>
    <cellStyle name="Comma 17 3 2 2 2 3 5" xfId="41698"/>
    <cellStyle name="Comma 17 3 2 2 2 3 6" xfId="41699"/>
    <cellStyle name="Comma 17 3 2 2 2 4" xfId="41700"/>
    <cellStyle name="Comma 17 3 2 2 2 4 2" xfId="41701"/>
    <cellStyle name="Comma 17 3 2 2 2 4 2 2" xfId="41702"/>
    <cellStyle name="Comma 17 3 2 2 2 4 2 3" xfId="41703"/>
    <cellStyle name="Comma 17 3 2 2 2 4 3" xfId="41704"/>
    <cellStyle name="Comma 17 3 2 2 2 4 3 2" xfId="41705"/>
    <cellStyle name="Comma 17 3 2 2 2 4 4" xfId="41706"/>
    <cellStyle name="Comma 17 3 2 2 2 4 5" xfId="41707"/>
    <cellStyle name="Comma 17 3 2 2 2 5" xfId="41708"/>
    <cellStyle name="Comma 17 3 2 2 2 5 2" xfId="41709"/>
    <cellStyle name="Comma 17 3 2 2 2 5 3" xfId="41710"/>
    <cellStyle name="Comma 17 3 2 2 2 6" xfId="41711"/>
    <cellStyle name="Comma 17 3 2 2 2 6 2" xfId="41712"/>
    <cellStyle name="Comma 17 3 2 2 2 6 3" xfId="41713"/>
    <cellStyle name="Comma 17 3 2 2 2 7" xfId="41714"/>
    <cellStyle name="Comma 17 3 2 2 2 7 2" xfId="41715"/>
    <cellStyle name="Comma 17 3 2 2 2 8" xfId="41716"/>
    <cellStyle name="Comma 17 3 2 2 2 9" xfId="41717"/>
    <cellStyle name="Comma 17 3 2 2 3" xfId="41718"/>
    <cellStyle name="Comma 17 3 2 2 3 2" xfId="41719"/>
    <cellStyle name="Comma 17 3 2 2 3 2 2" xfId="41720"/>
    <cellStyle name="Comma 17 3 2 2 3 2 3" xfId="41721"/>
    <cellStyle name="Comma 17 3 2 2 3 3" xfId="41722"/>
    <cellStyle name="Comma 17 3 2 2 3 3 2" xfId="41723"/>
    <cellStyle name="Comma 17 3 2 2 3 3 3" xfId="41724"/>
    <cellStyle name="Comma 17 3 2 2 3 4" xfId="41725"/>
    <cellStyle name="Comma 17 3 2 2 3 4 2" xfId="41726"/>
    <cellStyle name="Comma 17 3 2 2 3 5" xfId="41727"/>
    <cellStyle name="Comma 17 3 2 2 3 6" xfId="41728"/>
    <cellStyle name="Comma 17 3 2 2 4" xfId="41729"/>
    <cellStyle name="Comma 17 3 2 2 4 2" xfId="41730"/>
    <cellStyle name="Comma 17 3 2 2 4 2 2" xfId="41731"/>
    <cellStyle name="Comma 17 3 2 2 4 2 3" xfId="41732"/>
    <cellStyle name="Comma 17 3 2 2 4 3" xfId="41733"/>
    <cellStyle name="Comma 17 3 2 2 4 3 2" xfId="41734"/>
    <cellStyle name="Comma 17 3 2 2 4 3 3" xfId="41735"/>
    <cellStyle name="Comma 17 3 2 2 4 4" xfId="41736"/>
    <cellStyle name="Comma 17 3 2 2 4 4 2" xfId="41737"/>
    <cellStyle name="Comma 17 3 2 2 4 5" xfId="41738"/>
    <cellStyle name="Comma 17 3 2 2 4 6" xfId="41739"/>
    <cellStyle name="Comma 17 3 2 2 5" xfId="41740"/>
    <cellStyle name="Comma 17 3 2 2 5 2" xfId="41741"/>
    <cellStyle name="Comma 17 3 2 2 5 2 2" xfId="41742"/>
    <cellStyle name="Comma 17 3 2 2 5 2 3" xfId="41743"/>
    <cellStyle name="Comma 17 3 2 2 5 3" xfId="41744"/>
    <cellStyle name="Comma 17 3 2 2 5 3 2" xfId="41745"/>
    <cellStyle name="Comma 17 3 2 2 5 4" xfId="41746"/>
    <cellStyle name="Comma 17 3 2 2 5 5" xfId="41747"/>
    <cellStyle name="Comma 17 3 2 2 6" xfId="41748"/>
    <cellStyle name="Comma 17 3 2 2 6 2" xfId="41749"/>
    <cellStyle name="Comma 17 3 2 2 6 3" xfId="41750"/>
    <cellStyle name="Comma 17 3 2 2 7" xfId="41751"/>
    <cellStyle name="Comma 17 3 2 2 7 2" xfId="41752"/>
    <cellStyle name="Comma 17 3 2 2 7 3" xfId="41753"/>
    <cellStyle name="Comma 17 3 2 2 8" xfId="41754"/>
    <cellStyle name="Comma 17 3 2 2 8 2" xfId="41755"/>
    <cellStyle name="Comma 17 3 2 2 9" xfId="41756"/>
    <cellStyle name="Comma 17 3 2 3" xfId="41757"/>
    <cellStyle name="Comma 17 3 2 3 2" xfId="41758"/>
    <cellStyle name="Comma 17 3 2 3 2 2" xfId="41759"/>
    <cellStyle name="Comma 17 3 2 3 2 2 2" xfId="41760"/>
    <cellStyle name="Comma 17 3 2 3 2 2 3" xfId="41761"/>
    <cellStyle name="Comma 17 3 2 3 2 3" xfId="41762"/>
    <cellStyle name="Comma 17 3 2 3 2 3 2" xfId="41763"/>
    <cellStyle name="Comma 17 3 2 3 2 3 3" xfId="41764"/>
    <cellStyle name="Comma 17 3 2 3 2 4" xfId="41765"/>
    <cellStyle name="Comma 17 3 2 3 2 4 2" xfId="41766"/>
    <cellStyle name="Comma 17 3 2 3 2 5" xfId="41767"/>
    <cellStyle name="Comma 17 3 2 3 2 6" xfId="41768"/>
    <cellStyle name="Comma 17 3 2 3 3" xfId="41769"/>
    <cellStyle name="Comma 17 3 2 3 3 2" xfId="41770"/>
    <cellStyle name="Comma 17 3 2 3 3 2 2" xfId="41771"/>
    <cellStyle name="Comma 17 3 2 3 3 2 3" xfId="41772"/>
    <cellStyle name="Comma 17 3 2 3 3 3" xfId="41773"/>
    <cellStyle name="Comma 17 3 2 3 3 3 2" xfId="41774"/>
    <cellStyle name="Comma 17 3 2 3 3 3 3" xfId="41775"/>
    <cellStyle name="Comma 17 3 2 3 3 4" xfId="41776"/>
    <cellStyle name="Comma 17 3 2 3 3 4 2" xfId="41777"/>
    <cellStyle name="Comma 17 3 2 3 3 5" xfId="41778"/>
    <cellStyle name="Comma 17 3 2 3 3 6" xfId="41779"/>
    <cellStyle name="Comma 17 3 2 3 4" xfId="41780"/>
    <cellStyle name="Comma 17 3 2 3 4 2" xfId="41781"/>
    <cellStyle name="Comma 17 3 2 3 4 2 2" xfId="41782"/>
    <cellStyle name="Comma 17 3 2 3 4 2 3" xfId="41783"/>
    <cellStyle name="Comma 17 3 2 3 4 3" xfId="41784"/>
    <cellStyle name="Comma 17 3 2 3 4 3 2" xfId="41785"/>
    <cellStyle name="Comma 17 3 2 3 4 4" xfId="41786"/>
    <cellStyle name="Comma 17 3 2 3 4 5" xfId="41787"/>
    <cellStyle name="Comma 17 3 2 3 5" xfId="41788"/>
    <cellStyle name="Comma 17 3 2 3 5 2" xfId="41789"/>
    <cellStyle name="Comma 17 3 2 3 5 3" xfId="41790"/>
    <cellStyle name="Comma 17 3 2 3 6" xfId="41791"/>
    <cellStyle name="Comma 17 3 2 3 6 2" xfId="41792"/>
    <cellStyle name="Comma 17 3 2 3 6 3" xfId="41793"/>
    <cellStyle name="Comma 17 3 2 3 7" xfId="41794"/>
    <cellStyle name="Comma 17 3 2 3 7 2" xfId="41795"/>
    <cellStyle name="Comma 17 3 2 3 8" xfId="41796"/>
    <cellStyle name="Comma 17 3 2 3 9" xfId="41797"/>
    <cellStyle name="Comma 17 3 2 4" xfId="41798"/>
    <cellStyle name="Comma 17 3 2 4 2" xfId="41799"/>
    <cellStyle name="Comma 17 3 2 4 2 2" xfId="41800"/>
    <cellStyle name="Comma 17 3 2 4 2 2 2" xfId="41801"/>
    <cellStyle name="Comma 17 3 2 4 2 2 3" xfId="41802"/>
    <cellStyle name="Comma 17 3 2 4 2 3" xfId="41803"/>
    <cellStyle name="Comma 17 3 2 4 2 3 2" xfId="41804"/>
    <cellStyle name="Comma 17 3 2 4 2 3 3" xfId="41805"/>
    <cellStyle name="Comma 17 3 2 4 2 4" xfId="41806"/>
    <cellStyle name="Comma 17 3 2 4 2 4 2" xfId="41807"/>
    <cellStyle name="Comma 17 3 2 4 2 5" xfId="41808"/>
    <cellStyle name="Comma 17 3 2 4 2 6" xfId="41809"/>
    <cellStyle name="Comma 17 3 2 4 3" xfId="41810"/>
    <cellStyle name="Comma 17 3 2 4 3 2" xfId="41811"/>
    <cellStyle name="Comma 17 3 2 4 3 2 2" xfId="41812"/>
    <cellStyle name="Comma 17 3 2 4 3 2 3" xfId="41813"/>
    <cellStyle name="Comma 17 3 2 4 3 3" xfId="41814"/>
    <cellStyle name="Comma 17 3 2 4 3 3 2" xfId="41815"/>
    <cellStyle name="Comma 17 3 2 4 3 3 3" xfId="41816"/>
    <cellStyle name="Comma 17 3 2 4 3 4" xfId="41817"/>
    <cellStyle name="Comma 17 3 2 4 3 4 2" xfId="41818"/>
    <cellStyle name="Comma 17 3 2 4 3 5" xfId="41819"/>
    <cellStyle name="Comma 17 3 2 4 3 6" xfId="41820"/>
    <cellStyle name="Comma 17 3 2 4 4" xfId="41821"/>
    <cellStyle name="Comma 17 3 2 4 4 2" xfId="41822"/>
    <cellStyle name="Comma 17 3 2 4 4 2 2" xfId="41823"/>
    <cellStyle name="Comma 17 3 2 4 4 2 3" xfId="41824"/>
    <cellStyle name="Comma 17 3 2 4 4 3" xfId="41825"/>
    <cellStyle name="Comma 17 3 2 4 4 3 2" xfId="41826"/>
    <cellStyle name="Comma 17 3 2 4 4 4" xfId="41827"/>
    <cellStyle name="Comma 17 3 2 4 4 5" xfId="41828"/>
    <cellStyle name="Comma 17 3 2 4 5" xfId="41829"/>
    <cellStyle name="Comma 17 3 2 4 5 2" xfId="41830"/>
    <cellStyle name="Comma 17 3 2 4 5 3" xfId="41831"/>
    <cellStyle name="Comma 17 3 2 4 6" xfId="41832"/>
    <cellStyle name="Comma 17 3 2 4 6 2" xfId="41833"/>
    <cellStyle name="Comma 17 3 2 4 6 3" xfId="41834"/>
    <cellStyle name="Comma 17 3 2 4 7" xfId="41835"/>
    <cellStyle name="Comma 17 3 2 4 7 2" xfId="41836"/>
    <cellStyle name="Comma 17 3 2 4 8" xfId="41837"/>
    <cellStyle name="Comma 17 3 2 4 9" xfId="41838"/>
    <cellStyle name="Comma 17 3 2 5" xfId="41839"/>
    <cellStyle name="Comma 17 3 2 5 2" xfId="41840"/>
    <cellStyle name="Comma 17 3 2 5 2 2" xfId="41841"/>
    <cellStyle name="Comma 17 3 2 5 2 3" xfId="41842"/>
    <cellStyle name="Comma 17 3 2 5 3" xfId="41843"/>
    <cellStyle name="Comma 17 3 2 5 3 2" xfId="41844"/>
    <cellStyle name="Comma 17 3 2 5 3 3" xfId="41845"/>
    <cellStyle name="Comma 17 3 2 5 4" xfId="41846"/>
    <cellStyle name="Comma 17 3 2 5 4 2" xfId="41847"/>
    <cellStyle name="Comma 17 3 2 5 5" xfId="41848"/>
    <cellStyle name="Comma 17 3 2 5 6" xfId="41849"/>
    <cellStyle name="Comma 17 3 2 6" xfId="41850"/>
    <cellStyle name="Comma 17 3 2 6 2" xfId="41851"/>
    <cellStyle name="Comma 17 3 2 6 2 2" xfId="41852"/>
    <cellStyle name="Comma 17 3 2 6 2 3" xfId="41853"/>
    <cellStyle name="Comma 17 3 2 6 3" xfId="41854"/>
    <cellStyle name="Comma 17 3 2 6 3 2" xfId="41855"/>
    <cellStyle name="Comma 17 3 2 6 3 3" xfId="41856"/>
    <cellStyle name="Comma 17 3 2 6 4" xfId="41857"/>
    <cellStyle name="Comma 17 3 2 6 4 2" xfId="41858"/>
    <cellStyle name="Comma 17 3 2 6 5" xfId="41859"/>
    <cellStyle name="Comma 17 3 2 6 6" xfId="41860"/>
    <cellStyle name="Comma 17 3 2 7" xfId="41861"/>
    <cellStyle name="Comma 17 3 2 7 2" xfId="41862"/>
    <cellStyle name="Comma 17 3 2 7 2 2" xfId="41863"/>
    <cellStyle name="Comma 17 3 2 7 2 3" xfId="41864"/>
    <cellStyle name="Comma 17 3 2 7 3" xfId="41865"/>
    <cellStyle name="Comma 17 3 2 7 3 2" xfId="41866"/>
    <cellStyle name="Comma 17 3 2 7 4" xfId="41867"/>
    <cellStyle name="Comma 17 3 2 7 5" xfId="41868"/>
    <cellStyle name="Comma 17 3 2 8" xfId="41869"/>
    <cellStyle name="Comma 17 3 2 8 2" xfId="41870"/>
    <cellStyle name="Comma 17 3 2 8 3" xfId="41871"/>
    <cellStyle name="Comma 17 3 2 9" xfId="41872"/>
    <cellStyle name="Comma 17 3 2 9 2" xfId="41873"/>
    <cellStyle name="Comma 17 3 2 9 3" xfId="41874"/>
    <cellStyle name="Comma 17 3 3" xfId="41875"/>
    <cellStyle name="Comma 17 3 3 10" xfId="41876"/>
    <cellStyle name="Comma 17 3 3 2" xfId="41877"/>
    <cellStyle name="Comma 17 3 3 2 2" xfId="41878"/>
    <cellStyle name="Comma 17 3 3 2 2 2" xfId="41879"/>
    <cellStyle name="Comma 17 3 3 2 2 2 2" xfId="41880"/>
    <cellStyle name="Comma 17 3 3 2 2 2 3" xfId="41881"/>
    <cellStyle name="Comma 17 3 3 2 2 3" xfId="41882"/>
    <cellStyle name="Comma 17 3 3 2 2 3 2" xfId="41883"/>
    <cellStyle name="Comma 17 3 3 2 2 3 3" xfId="41884"/>
    <cellStyle name="Comma 17 3 3 2 2 4" xfId="41885"/>
    <cellStyle name="Comma 17 3 3 2 2 4 2" xfId="41886"/>
    <cellStyle name="Comma 17 3 3 2 2 5" xfId="41887"/>
    <cellStyle name="Comma 17 3 3 2 2 6" xfId="41888"/>
    <cellStyle name="Comma 17 3 3 2 3" xfId="41889"/>
    <cellStyle name="Comma 17 3 3 2 3 2" xfId="41890"/>
    <cellStyle name="Comma 17 3 3 2 3 2 2" xfId="41891"/>
    <cellStyle name="Comma 17 3 3 2 3 2 3" xfId="41892"/>
    <cellStyle name="Comma 17 3 3 2 3 3" xfId="41893"/>
    <cellStyle name="Comma 17 3 3 2 3 3 2" xfId="41894"/>
    <cellStyle name="Comma 17 3 3 2 3 3 3" xfId="41895"/>
    <cellStyle name="Comma 17 3 3 2 3 4" xfId="41896"/>
    <cellStyle name="Comma 17 3 3 2 3 4 2" xfId="41897"/>
    <cellStyle name="Comma 17 3 3 2 3 5" xfId="41898"/>
    <cellStyle name="Comma 17 3 3 2 3 6" xfId="41899"/>
    <cellStyle name="Comma 17 3 3 2 4" xfId="41900"/>
    <cellStyle name="Comma 17 3 3 2 4 2" xfId="41901"/>
    <cellStyle name="Comma 17 3 3 2 4 2 2" xfId="41902"/>
    <cellStyle name="Comma 17 3 3 2 4 2 3" xfId="41903"/>
    <cellStyle name="Comma 17 3 3 2 4 3" xfId="41904"/>
    <cellStyle name="Comma 17 3 3 2 4 3 2" xfId="41905"/>
    <cellStyle name="Comma 17 3 3 2 4 4" xfId="41906"/>
    <cellStyle name="Comma 17 3 3 2 4 5" xfId="41907"/>
    <cellStyle name="Comma 17 3 3 2 5" xfId="41908"/>
    <cellStyle name="Comma 17 3 3 2 5 2" xfId="41909"/>
    <cellStyle name="Comma 17 3 3 2 5 3" xfId="41910"/>
    <cellStyle name="Comma 17 3 3 2 6" xfId="41911"/>
    <cellStyle name="Comma 17 3 3 2 6 2" xfId="41912"/>
    <cellStyle name="Comma 17 3 3 2 6 3" xfId="41913"/>
    <cellStyle name="Comma 17 3 3 2 7" xfId="41914"/>
    <cellStyle name="Comma 17 3 3 2 7 2" xfId="41915"/>
    <cellStyle name="Comma 17 3 3 2 8" xfId="41916"/>
    <cellStyle name="Comma 17 3 3 2 9" xfId="41917"/>
    <cellStyle name="Comma 17 3 3 3" xfId="41918"/>
    <cellStyle name="Comma 17 3 3 3 2" xfId="41919"/>
    <cellStyle name="Comma 17 3 3 3 2 2" xfId="41920"/>
    <cellStyle name="Comma 17 3 3 3 2 3" xfId="41921"/>
    <cellStyle name="Comma 17 3 3 3 3" xfId="41922"/>
    <cellStyle name="Comma 17 3 3 3 3 2" xfId="41923"/>
    <cellStyle name="Comma 17 3 3 3 3 3" xfId="41924"/>
    <cellStyle name="Comma 17 3 3 3 4" xfId="41925"/>
    <cellStyle name="Comma 17 3 3 3 4 2" xfId="41926"/>
    <cellStyle name="Comma 17 3 3 3 5" xfId="41927"/>
    <cellStyle name="Comma 17 3 3 3 6" xfId="41928"/>
    <cellStyle name="Comma 17 3 3 4" xfId="41929"/>
    <cellStyle name="Comma 17 3 3 4 2" xfId="41930"/>
    <cellStyle name="Comma 17 3 3 4 2 2" xfId="41931"/>
    <cellStyle name="Comma 17 3 3 4 2 3" xfId="41932"/>
    <cellStyle name="Comma 17 3 3 4 3" xfId="41933"/>
    <cellStyle name="Comma 17 3 3 4 3 2" xfId="41934"/>
    <cellStyle name="Comma 17 3 3 4 3 3" xfId="41935"/>
    <cellStyle name="Comma 17 3 3 4 4" xfId="41936"/>
    <cellStyle name="Comma 17 3 3 4 4 2" xfId="41937"/>
    <cellStyle name="Comma 17 3 3 4 5" xfId="41938"/>
    <cellStyle name="Comma 17 3 3 4 6" xfId="41939"/>
    <cellStyle name="Comma 17 3 3 5" xfId="41940"/>
    <cellStyle name="Comma 17 3 3 5 2" xfId="41941"/>
    <cellStyle name="Comma 17 3 3 5 2 2" xfId="41942"/>
    <cellStyle name="Comma 17 3 3 5 2 3" xfId="41943"/>
    <cellStyle name="Comma 17 3 3 5 3" xfId="41944"/>
    <cellStyle name="Comma 17 3 3 5 3 2" xfId="41945"/>
    <cellStyle name="Comma 17 3 3 5 4" xfId="41946"/>
    <cellStyle name="Comma 17 3 3 5 5" xfId="41947"/>
    <cellStyle name="Comma 17 3 3 6" xfId="41948"/>
    <cellStyle name="Comma 17 3 3 6 2" xfId="41949"/>
    <cellStyle name="Comma 17 3 3 6 3" xfId="41950"/>
    <cellStyle name="Comma 17 3 3 7" xfId="41951"/>
    <cellStyle name="Comma 17 3 3 7 2" xfId="41952"/>
    <cellStyle name="Comma 17 3 3 7 3" xfId="41953"/>
    <cellStyle name="Comma 17 3 3 8" xfId="41954"/>
    <cellStyle name="Comma 17 3 3 8 2" xfId="41955"/>
    <cellStyle name="Comma 17 3 3 9" xfId="41956"/>
    <cellStyle name="Comma 17 3 4" xfId="41957"/>
    <cellStyle name="Comma 17 3 4 2" xfId="41958"/>
    <cellStyle name="Comma 17 3 4 2 2" xfId="41959"/>
    <cellStyle name="Comma 17 3 4 2 2 2" xfId="41960"/>
    <cellStyle name="Comma 17 3 4 2 2 3" xfId="41961"/>
    <cellStyle name="Comma 17 3 4 2 3" xfId="41962"/>
    <cellStyle name="Comma 17 3 4 2 3 2" xfId="41963"/>
    <cellStyle name="Comma 17 3 4 2 3 3" xfId="41964"/>
    <cellStyle name="Comma 17 3 4 2 4" xfId="41965"/>
    <cellStyle name="Comma 17 3 4 2 4 2" xfId="41966"/>
    <cellStyle name="Comma 17 3 4 2 5" xfId="41967"/>
    <cellStyle name="Comma 17 3 4 2 6" xfId="41968"/>
    <cellStyle name="Comma 17 3 4 3" xfId="41969"/>
    <cellStyle name="Comma 17 3 4 3 2" xfId="41970"/>
    <cellStyle name="Comma 17 3 4 3 2 2" xfId="41971"/>
    <cellStyle name="Comma 17 3 4 3 2 3" xfId="41972"/>
    <cellStyle name="Comma 17 3 4 3 3" xfId="41973"/>
    <cellStyle name="Comma 17 3 4 3 3 2" xfId="41974"/>
    <cellStyle name="Comma 17 3 4 3 3 3" xfId="41975"/>
    <cellStyle name="Comma 17 3 4 3 4" xfId="41976"/>
    <cellStyle name="Comma 17 3 4 3 4 2" xfId="41977"/>
    <cellStyle name="Comma 17 3 4 3 5" xfId="41978"/>
    <cellStyle name="Comma 17 3 4 3 6" xfId="41979"/>
    <cellStyle name="Comma 17 3 4 4" xfId="41980"/>
    <cellStyle name="Comma 17 3 4 4 2" xfId="41981"/>
    <cellStyle name="Comma 17 3 4 4 2 2" xfId="41982"/>
    <cellStyle name="Comma 17 3 4 4 2 3" xfId="41983"/>
    <cellStyle name="Comma 17 3 4 4 3" xfId="41984"/>
    <cellStyle name="Comma 17 3 4 4 3 2" xfId="41985"/>
    <cellStyle name="Comma 17 3 4 4 4" xfId="41986"/>
    <cellStyle name="Comma 17 3 4 4 5" xfId="41987"/>
    <cellStyle name="Comma 17 3 4 5" xfId="41988"/>
    <cellStyle name="Comma 17 3 4 5 2" xfId="41989"/>
    <cellStyle name="Comma 17 3 4 5 3" xfId="41990"/>
    <cellStyle name="Comma 17 3 4 6" xfId="41991"/>
    <cellStyle name="Comma 17 3 4 6 2" xfId="41992"/>
    <cellStyle name="Comma 17 3 4 6 3" xfId="41993"/>
    <cellStyle name="Comma 17 3 4 7" xfId="41994"/>
    <cellStyle name="Comma 17 3 4 7 2" xfId="41995"/>
    <cellStyle name="Comma 17 3 4 8" xfId="41996"/>
    <cellStyle name="Comma 17 3 4 9" xfId="41997"/>
    <cellStyle name="Comma 17 3 5" xfId="41998"/>
    <cellStyle name="Comma 17 3 5 2" xfId="41999"/>
    <cellStyle name="Comma 17 3 5 2 2" xfId="42000"/>
    <cellStyle name="Comma 17 3 5 2 2 2" xfId="42001"/>
    <cellStyle name="Comma 17 3 5 2 2 3" xfId="42002"/>
    <cellStyle name="Comma 17 3 5 2 3" xfId="42003"/>
    <cellStyle name="Comma 17 3 5 2 3 2" xfId="42004"/>
    <cellStyle name="Comma 17 3 5 2 3 3" xfId="42005"/>
    <cellStyle name="Comma 17 3 5 2 4" xfId="42006"/>
    <cellStyle name="Comma 17 3 5 2 4 2" xfId="42007"/>
    <cellStyle name="Comma 17 3 5 2 5" xfId="42008"/>
    <cellStyle name="Comma 17 3 5 2 6" xfId="42009"/>
    <cellStyle name="Comma 17 3 5 3" xfId="42010"/>
    <cellStyle name="Comma 17 3 5 3 2" xfId="42011"/>
    <cellStyle name="Comma 17 3 5 3 2 2" xfId="42012"/>
    <cellStyle name="Comma 17 3 5 3 2 3" xfId="42013"/>
    <cellStyle name="Comma 17 3 5 3 3" xfId="42014"/>
    <cellStyle name="Comma 17 3 5 3 3 2" xfId="42015"/>
    <cellStyle name="Comma 17 3 5 3 3 3" xfId="42016"/>
    <cellStyle name="Comma 17 3 5 3 4" xfId="42017"/>
    <cellStyle name="Comma 17 3 5 3 4 2" xfId="42018"/>
    <cellStyle name="Comma 17 3 5 3 5" xfId="42019"/>
    <cellStyle name="Comma 17 3 5 3 6" xfId="42020"/>
    <cellStyle name="Comma 17 3 5 4" xfId="42021"/>
    <cellStyle name="Comma 17 3 5 4 2" xfId="42022"/>
    <cellStyle name="Comma 17 3 5 4 2 2" xfId="42023"/>
    <cellStyle name="Comma 17 3 5 4 2 3" xfId="42024"/>
    <cellStyle name="Comma 17 3 5 4 3" xfId="42025"/>
    <cellStyle name="Comma 17 3 5 4 3 2" xfId="42026"/>
    <cellStyle name="Comma 17 3 5 4 4" xfId="42027"/>
    <cellStyle name="Comma 17 3 5 4 5" xfId="42028"/>
    <cellStyle name="Comma 17 3 5 5" xfId="42029"/>
    <cellStyle name="Comma 17 3 5 5 2" xfId="42030"/>
    <cellStyle name="Comma 17 3 5 5 3" xfId="42031"/>
    <cellStyle name="Comma 17 3 5 6" xfId="42032"/>
    <cellStyle name="Comma 17 3 5 6 2" xfId="42033"/>
    <cellStyle name="Comma 17 3 5 6 3" xfId="42034"/>
    <cellStyle name="Comma 17 3 5 7" xfId="42035"/>
    <cellStyle name="Comma 17 3 5 7 2" xfId="42036"/>
    <cellStyle name="Comma 17 3 5 8" xfId="42037"/>
    <cellStyle name="Comma 17 3 5 9" xfId="42038"/>
    <cellStyle name="Comma 17 3 6" xfId="42039"/>
    <cellStyle name="Comma 17 3 6 2" xfId="42040"/>
    <cellStyle name="Comma 17 3 6 2 2" xfId="42041"/>
    <cellStyle name="Comma 17 3 6 2 3" xfId="42042"/>
    <cellStyle name="Comma 17 3 6 3" xfId="42043"/>
    <cellStyle name="Comma 17 3 6 3 2" xfId="42044"/>
    <cellStyle name="Comma 17 3 6 3 3" xfId="42045"/>
    <cellStyle name="Comma 17 3 6 4" xfId="42046"/>
    <cellStyle name="Comma 17 3 6 4 2" xfId="42047"/>
    <cellStyle name="Comma 17 3 6 5" xfId="42048"/>
    <cellStyle name="Comma 17 3 6 6" xfId="42049"/>
    <cellStyle name="Comma 17 3 7" xfId="42050"/>
    <cellStyle name="Comma 17 3 7 2" xfId="42051"/>
    <cellStyle name="Comma 17 3 7 2 2" xfId="42052"/>
    <cellStyle name="Comma 17 3 7 2 3" xfId="42053"/>
    <cellStyle name="Comma 17 3 7 3" xfId="42054"/>
    <cellStyle name="Comma 17 3 7 3 2" xfId="42055"/>
    <cellStyle name="Comma 17 3 7 3 3" xfId="42056"/>
    <cellStyle name="Comma 17 3 7 4" xfId="42057"/>
    <cellStyle name="Comma 17 3 7 4 2" xfId="42058"/>
    <cellStyle name="Comma 17 3 7 5" xfId="42059"/>
    <cellStyle name="Comma 17 3 7 6" xfId="42060"/>
    <cellStyle name="Comma 17 3 8" xfId="42061"/>
    <cellStyle name="Comma 17 3 8 2" xfId="42062"/>
    <cellStyle name="Comma 17 3 8 2 2" xfId="42063"/>
    <cellStyle name="Comma 17 3 8 2 3" xfId="42064"/>
    <cellStyle name="Comma 17 3 8 3" xfId="42065"/>
    <cellStyle name="Comma 17 3 8 3 2" xfId="42066"/>
    <cellStyle name="Comma 17 3 8 4" xfId="42067"/>
    <cellStyle name="Comma 17 3 8 5" xfId="42068"/>
    <cellStyle name="Comma 17 3 9" xfId="42069"/>
    <cellStyle name="Comma 17 3 9 2" xfId="42070"/>
    <cellStyle name="Comma 17 3 9 3" xfId="42071"/>
    <cellStyle name="Comma 17 4" xfId="42072"/>
    <cellStyle name="Comma 17 4 10" xfId="42073"/>
    <cellStyle name="Comma 17 4 10 2" xfId="42074"/>
    <cellStyle name="Comma 17 4 11" xfId="42075"/>
    <cellStyle name="Comma 17 4 12" xfId="42076"/>
    <cellStyle name="Comma 17 4 2" xfId="42077"/>
    <cellStyle name="Comma 17 4 2 10" xfId="42078"/>
    <cellStyle name="Comma 17 4 2 2" xfId="42079"/>
    <cellStyle name="Comma 17 4 2 2 2" xfId="42080"/>
    <cellStyle name="Comma 17 4 2 2 2 2" xfId="42081"/>
    <cellStyle name="Comma 17 4 2 2 2 2 2" xfId="42082"/>
    <cellStyle name="Comma 17 4 2 2 2 2 3" xfId="42083"/>
    <cellStyle name="Comma 17 4 2 2 2 3" xfId="42084"/>
    <cellStyle name="Comma 17 4 2 2 2 3 2" xfId="42085"/>
    <cellStyle name="Comma 17 4 2 2 2 3 3" xfId="42086"/>
    <cellStyle name="Comma 17 4 2 2 2 4" xfId="42087"/>
    <cellStyle name="Comma 17 4 2 2 2 4 2" xfId="42088"/>
    <cellStyle name="Comma 17 4 2 2 2 5" xfId="42089"/>
    <cellStyle name="Comma 17 4 2 2 2 6" xfId="42090"/>
    <cellStyle name="Comma 17 4 2 2 3" xfId="42091"/>
    <cellStyle name="Comma 17 4 2 2 3 2" xfId="42092"/>
    <cellStyle name="Comma 17 4 2 2 3 2 2" xfId="42093"/>
    <cellStyle name="Comma 17 4 2 2 3 2 3" xfId="42094"/>
    <cellStyle name="Comma 17 4 2 2 3 3" xfId="42095"/>
    <cellStyle name="Comma 17 4 2 2 3 3 2" xfId="42096"/>
    <cellStyle name="Comma 17 4 2 2 3 3 3" xfId="42097"/>
    <cellStyle name="Comma 17 4 2 2 3 4" xfId="42098"/>
    <cellStyle name="Comma 17 4 2 2 3 4 2" xfId="42099"/>
    <cellStyle name="Comma 17 4 2 2 3 5" xfId="42100"/>
    <cellStyle name="Comma 17 4 2 2 3 6" xfId="42101"/>
    <cellStyle name="Comma 17 4 2 2 4" xfId="42102"/>
    <cellStyle name="Comma 17 4 2 2 4 2" xfId="42103"/>
    <cellStyle name="Comma 17 4 2 2 4 2 2" xfId="42104"/>
    <cellStyle name="Comma 17 4 2 2 4 2 3" xfId="42105"/>
    <cellStyle name="Comma 17 4 2 2 4 3" xfId="42106"/>
    <cellStyle name="Comma 17 4 2 2 4 3 2" xfId="42107"/>
    <cellStyle name="Comma 17 4 2 2 4 4" xfId="42108"/>
    <cellStyle name="Comma 17 4 2 2 4 5" xfId="42109"/>
    <cellStyle name="Comma 17 4 2 2 5" xfId="42110"/>
    <cellStyle name="Comma 17 4 2 2 5 2" xfId="42111"/>
    <cellStyle name="Comma 17 4 2 2 5 3" xfId="42112"/>
    <cellStyle name="Comma 17 4 2 2 6" xfId="42113"/>
    <cellStyle name="Comma 17 4 2 2 6 2" xfId="42114"/>
    <cellStyle name="Comma 17 4 2 2 6 3" xfId="42115"/>
    <cellStyle name="Comma 17 4 2 2 7" xfId="42116"/>
    <cellStyle name="Comma 17 4 2 2 7 2" xfId="42117"/>
    <cellStyle name="Comma 17 4 2 2 8" xfId="42118"/>
    <cellStyle name="Comma 17 4 2 2 9" xfId="42119"/>
    <cellStyle name="Comma 17 4 2 3" xfId="42120"/>
    <cellStyle name="Comma 17 4 2 3 2" xfId="42121"/>
    <cellStyle name="Comma 17 4 2 3 2 2" xfId="42122"/>
    <cellStyle name="Comma 17 4 2 3 2 3" xfId="42123"/>
    <cellStyle name="Comma 17 4 2 3 3" xfId="42124"/>
    <cellStyle name="Comma 17 4 2 3 3 2" xfId="42125"/>
    <cellStyle name="Comma 17 4 2 3 3 3" xfId="42126"/>
    <cellStyle name="Comma 17 4 2 3 4" xfId="42127"/>
    <cellStyle name="Comma 17 4 2 3 4 2" xfId="42128"/>
    <cellStyle name="Comma 17 4 2 3 5" xfId="42129"/>
    <cellStyle name="Comma 17 4 2 3 6" xfId="42130"/>
    <cellStyle name="Comma 17 4 2 4" xfId="42131"/>
    <cellStyle name="Comma 17 4 2 4 2" xfId="42132"/>
    <cellStyle name="Comma 17 4 2 4 2 2" xfId="42133"/>
    <cellStyle name="Comma 17 4 2 4 2 3" xfId="42134"/>
    <cellStyle name="Comma 17 4 2 4 3" xfId="42135"/>
    <cellStyle name="Comma 17 4 2 4 3 2" xfId="42136"/>
    <cellStyle name="Comma 17 4 2 4 3 3" xfId="42137"/>
    <cellStyle name="Comma 17 4 2 4 4" xfId="42138"/>
    <cellStyle name="Comma 17 4 2 4 4 2" xfId="42139"/>
    <cellStyle name="Comma 17 4 2 4 5" xfId="42140"/>
    <cellStyle name="Comma 17 4 2 4 6" xfId="42141"/>
    <cellStyle name="Comma 17 4 2 5" xfId="42142"/>
    <cellStyle name="Comma 17 4 2 5 2" xfId="42143"/>
    <cellStyle name="Comma 17 4 2 5 2 2" xfId="42144"/>
    <cellStyle name="Comma 17 4 2 5 2 3" xfId="42145"/>
    <cellStyle name="Comma 17 4 2 5 3" xfId="42146"/>
    <cellStyle name="Comma 17 4 2 5 3 2" xfId="42147"/>
    <cellStyle name="Comma 17 4 2 5 4" xfId="42148"/>
    <cellStyle name="Comma 17 4 2 5 5" xfId="42149"/>
    <cellStyle name="Comma 17 4 2 6" xfId="42150"/>
    <cellStyle name="Comma 17 4 2 6 2" xfId="42151"/>
    <cellStyle name="Comma 17 4 2 6 3" xfId="42152"/>
    <cellStyle name="Comma 17 4 2 7" xfId="42153"/>
    <cellStyle name="Comma 17 4 2 7 2" xfId="42154"/>
    <cellStyle name="Comma 17 4 2 7 3" xfId="42155"/>
    <cellStyle name="Comma 17 4 2 8" xfId="42156"/>
    <cellStyle name="Comma 17 4 2 8 2" xfId="42157"/>
    <cellStyle name="Comma 17 4 2 9" xfId="42158"/>
    <cellStyle name="Comma 17 4 3" xfId="42159"/>
    <cellStyle name="Comma 17 4 3 2" xfId="42160"/>
    <cellStyle name="Comma 17 4 3 2 2" xfId="42161"/>
    <cellStyle name="Comma 17 4 3 2 2 2" xfId="42162"/>
    <cellStyle name="Comma 17 4 3 2 2 3" xfId="42163"/>
    <cellStyle name="Comma 17 4 3 2 3" xfId="42164"/>
    <cellStyle name="Comma 17 4 3 2 3 2" xfId="42165"/>
    <cellStyle name="Comma 17 4 3 2 3 3" xfId="42166"/>
    <cellStyle name="Comma 17 4 3 2 4" xfId="42167"/>
    <cellStyle name="Comma 17 4 3 2 4 2" xfId="42168"/>
    <cellStyle name="Comma 17 4 3 2 5" xfId="42169"/>
    <cellStyle name="Comma 17 4 3 2 6" xfId="42170"/>
    <cellStyle name="Comma 17 4 3 3" xfId="42171"/>
    <cellStyle name="Comma 17 4 3 3 2" xfId="42172"/>
    <cellStyle name="Comma 17 4 3 3 2 2" xfId="42173"/>
    <cellStyle name="Comma 17 4 3 3 2 3" xfId="42174"/>
    <cellStyle name="Comma 17 4 3 3 3" xfId="42175"/>
    <cellStyle name="Comma 17 4 3 3 3 2" xfId="42176"/>
    <cellStyle name="Comma 17 4 3 3 3 3" xfId="42177"/>
    <cellStyle name="Comma 17 4 3 3 4" xfId="42178"/>
    <cellStyle name="Comma 17 4 3 3 4 2" xfId="42179"/>
    <cellStyle name="Comma 17 4 3 3 5" xfId="42180"/>
    <cellStyle name="Comma 17 4 3 3 6" xfId="42181"/>
    <cellStyle name="Comma 17 4 3 4" xfId="42182"/>
    <cellStyle name="Comma 17 4 3 4 2" xfId="42183"/>
    <cellStyle name="Comma 17 4 3 4 2 2" xfId="42184"/>
    <cellStyle name="Comma 17 4 3 4 2 3" xfId="42185"/>
    <cellStyle name="Comma 17 4 3 4 3" xfId="42186"/>
    <cellStyle name="Comma 17 4 3 4 3 2" xfId="42187"/>
    <cellStyle name="Comma 17 4 3 4 4" xfId="42188"/>
    <cellStyle name="Comma 17 4 3 4 5" xfId="42189"/>
    <cellStyle name="Comma 17 4 3 5" xfId="42190"/>
    <cellStyle name="Comma 17 4 3 5 2" xfId="42191"/>
    <cellStyle name="Comma 17 4 3 5 3" xfId="42192"/>
    <cellStyle name="Comma 17 4 3 6" xfId="42193"/>
    <cellStyle name="Comma 17 4 3 6 2" xfId="42194"/>
    <cellStyle name="Comma 17 4 3 6 3" xfId="42195"/>
    <cellStyle name="Comma 17 4 3 7" xfId="42196"/>
    <cellStyle name="Comma 17 4 3 7 2" xfId="42197"/>
    <cellStyle name="Comma 17 4 3 8" xfId="42198"/>
    <cellStyle name="Comma 17 4 3 9" xfId="42199"/>
    <cellStyle name="Comma 17 4 4" xfId="42200"/>
    <cellStyle name="Comma 17 4 4 2" xfId="42201"/>
    <cellStyle name="Comma 17 4 4 2 2" xfId="42202"/>
    <cellStyle name="Comma 17 4 4 2 2 2" xfId="42203"/>
    <cellStyle name="Comma 17 4 4 2 2 3" xfId="42204"/>
    <cellStyle name="Comma 17 4 4 2 3" xfId="42205"/>
    <cellStyle name="Comma 17 4 4 2 3 2" xfId="42206"/>
    <cellStyle name="Comma 17 4 4 2 3 3" xfId="42207"/>
    <cellStyle name="Comma 17 4 4 2 4" xfId="42208"/>
    <cellStyle name="Comma 17 4 4 2 4 2" xfId="42209"/>
    <cellStyle name="Comma 17 4 4 2 5" xfId="42210"/>
    <cellStyle name="Comma 17 4 4 2 6" xfId="42211"/>
    <cellStyle name="Comma 17 4 4 3" xfId="42212"/>
    <cellStyle name="Comma 17 4 4 3 2" xfId="42213"/>
    <cellStyle name="Comma 17 4 4 3 2 2" xfId="42214"/>
    <cellStyle name="Comma 17 4 4 3 2 3" xfId="42215"/>
    <cellStyle name="Comma 17 4 4 3 3" xfId="42216"/>
    <cellStyle name="Comma 17 4 4 3 3 2" xfId="42217"/>
    <cellStyle name="Comma 17 4 4 3 3 3" xfId="42218"/>
    <cellStyle name="Comma 17 4 4 3 4" xfId="42219"/>
    <cellStyle name="Comma 17 4 4 3 4 2" xfId="42220"/>
    <cellStyle name="Comma 17 4 4 3 5" xfId="42221"/>
    <cellStyle name="Comma 17 4 4 3 6" xfId="42222"/>
    <cellStyle name="Comma 17 4 4 4" xfId="42223"/>
    <cellStyle name="Comma 17 4 4 4 2" xfId="42224"/>
    <cellStyle name="Comma 17 4 4 4 2 2" xfId="42225"/>
    <cellStyle name="Comma 17 4 4 4 2 3" xfId="42226"/>
    <cellStyle name="Comma 17 4 4 4 3" xfId="42227"/>
    <cellStyle name="Comma 17 4 4 4 3 2" xfId="42228"/>
    <cellStyle name="Comma 17 4 4 4 4" xfId="42229"/>
    <cellStyle name="Comma 17 4 4 4 5" xfId="42230"/>
    <cellStyle name="Comma 17 4 4 5" xfId="42231"/>
    <cellStyle name="Comma 17 4 4 5 2" xfId="42232"/>
    <cellStyle name="Comma 17 4 4 5 3" xfId="42233"/>
    <cellStyle name="Comma 17 4 4 6" xfId="42234"/>
    <cellStyle name="Comma 17 4 4 6 2" xfId="42235"/>
    <cellStyle name="Comma 17 4 4 6 3" xfId="42236"/>
    <cellStyle name="Comma 17 4 4 7" xfId="42237"/>
    <cellStyle name="Comma 17 4 4 7 2" xfId="42238"/>
    <cellStyle name="Comma 17 4 4 8" xfId="42239"/>
    <cellStyle name="Comma 17 4 4 9" xfId="42240"/>
    <cellStyle name="Comma 17 4 5" xfId="42241"/>
    <cellStyle name="Comma 17 4 5 2" xfId="42242"/>
    <cellStyle name="Comma 17 4 5 2 2" xfId="42243"/>
    <cellStyle name="Comma 17 4 5 2 3" xfId="42244"/>
    <cellStyle name="Comma 17 4 5 3" xfId="42245"/>
    <cellStyle name="Comma 17 4 5 3 2" xfId="42246"/>
    <cellStyle name="Comma 17 4 5 3 3" xfId="42247"/>
    <cellStyle name="Comma 17 4 5 4" xfId="42248"/>
    <cellStyle name="Comma 17 4 5 4 2" xfId="42249"/>
    <cellStyle name="Comma 17 4 5 5" xfId="42250"/>
    <cellStyle name="Comma 17 4 5 6" xfId="42251"/>
    <cellStyle name="Comma 17 4 6" xfId="42252"/>
    <cellStyle name="Comma 17 4 6 2" xfId="42253"/>
    <cellStyle name="Comma 17 4 6 2 2" xfId="42254"/>
    <cellStyle name="Comma 17 4 6 2 3" xfId="42255"/>
    <cellStyle name="Comma 17 4 6 3" xfId="42256"/>
    <cellStyle name="Comma 17 4 6 3 2" xfId="42257"/>
    <cellStyle name="Comma 17 4 6 3 3" xfId="42258"/>
    <cellStyle name="Comma 17 4 6 4" xfId="42259"/>
    <cellStyle name="Comma 17 4 6 4 2" xfId="42260"/>
    <cellStyle name="Comma 17 4 6 5" xfId="42261"/>
    <cellStyle name="Comma 17 4 6 6" xfId="42262"/>
    <cellStyle name="Comma 17 4 7" xfId="42263"/>
    <cellStyle name="Comma 17 4 7 2" xfId="42264"/>
    <cellStyle name="Comma 17 4 7 2 2" xfId="42265"/>
    <cellStyle name="Comma 17 4 7 2 3" xfId="42266"/>
    <cellStyle name="Comma 17 4 7 3" xfId="42267"/>
    <cellStyle name="Comma 17 4 7 3 2" xfId="42268"/>
    <cellStyle name="Comma 17 4 7 4" xfId="42269"/>
    <cellStyle name="Comma 17 4 7 5" xfId="42270"/>
    <cellStyle name="Comma 17 4 8" xfId="42271"/>
    <cellStyle name="Comma 17 4 8 2" xfId="42272"/>
    <cellStyle name="Comma 17 4 8 3" xfId="42273"/>
    <cellStyle name="Comma 17 4 9" xfId="42274"/>
    <cellStyle name="Comma 17 4 9 2" xfId="42275"/>
    <cellStyle name="Comma 17 4 9 3" xfId="42276"/>
    <cellStyle name="Comma 17 5" xfId="42277"/>
    <cellStyle name="Comma 17 5 10" xfId="42278"/>
    <cellStyle name="Comma 17 5 2" xfId="42279"/>
    <cellStyle name="Comma 17 5 2 2" xfId="42280"/>
    <cellStyle name="Comma 17 5 2 2 2" xfId="42281"/>
    <cellStyle name="Comma 17 5 2 2 2 2" xfId="42282"/>
    <cellStyle name="Comma 17 5 2 2 2 3" xfId="42283"/>
    <cellStyle name="Comma 17 5 2 2 3" xfId="42284"/>
    <cellStyle name="Comma 17 5 2 2 3 2" xfId="42285"/>
    <cellStyle name="Comma 17 5 2 2 3 3" xfId="42286"/>
    <cellStyle name="Comma 17 5 2 2 4" xfId="42287"/>
    <cellStyle name="Comma 17 5 2 2 4 2" xfId="42288"/>
    <cellStyle name="Comma 17 5 2 2 5" xfId="42289"/>
    <cellStyle name="Comma 17 5 2 2 6" xfId="42290"/>
    <cellStyle name="Comma 17 5 2 3" xfId="42291"/>
    <cellStyle name="Comma 17 5 2 3 2" xfId="42292"/>
    <cellStyle name="Comma 17 5 2 3 2 2" xfId="42293"/>
    <cellStyle name="Comma 17 5 2 3 2 3" xfId="42294"/>
    <cellStyle name="Comma 17 5 2 3 3" xfId="42295"/>
    <cellStyle name="Comma 17 5 2 3 3 2" xfId="42296"/>
    <cellStyle name="Comma 17 5 2 3 3 3" xfId="42297"/>
    <cellStyle name="Comma 17 5 2 3 4" xfId="42298"/>
    <cellStyle name="Comma 17 5 2 3 4 2" xfId="42299"/>
    <cellStyle name="Comma 17 5 2 3 5" xfId="42300"/>
    <cellStyle name="Comma 17 5 2 3 6" xfId="42301"/>
    <cellStyle name="Comma 17 5 2 4" xfId="42302"/>
    <cellStyle name="Comma 17 5 2 4 2" xfId="42303"/>
    <cellStyle name="Comma 17 5 2 4 2 2" xfId="42304"/>
    <cellStyle name="Comma 17 5 2 4 2 3" xfId="42305"/>
    <cellStyle name="Comma 17 5 2 4 3" xfId="42306"/>
    <cellStyle name="Comma 17 5 2 4 3 2" xfId="42307"/>
    <cellStyle name="Comma 17 5 2 4 4" xfId="42308"/>
    <cellStyle name="Comma 17 5 2 4 5" xfId="42309"/>
    <cellStyle name="Comma 17 5 2 5" xfId="42310"/>
    <cellStyle name="Comma 17 5 2 5 2" xfId="42311"/>
    <cellStyle name="Comma 17 5 2 5 3" xfId="42312"/>
    <cellStyle name="Comma 17 5 2 6" xfId="42313"/>
    <cellStyle name="Comma 17 5 2 6 2" xfId="42314"/>
    <cellStyle name="Comma 17 5 2 6 3" xfId="42315"/>
    <cellStyle name="Comma 17 5 2 7" xfId="42316"/>
    <cellStyle name="Comma 17 5 2 7 2" xfId="42317"/>
    <cellStyle name="Comma 17 5 2 8" xfId="42318"/>
    <cellStyle name="Comma 17 5 2 9" xfId="42319"/>
    <cellStyle name="Comma 17 5 3" xfId="42320"/>
    <cellStyle name="Comma 17 5 3 2" xfId="42321"/>
    <cellStyle name="Comma 17 5 3 2 2" xfId="42322"/>
    <cellStyle name="Comma 17 5 3 2 3" xfId="42323"/>
    <cellStyle name="Comma 17 5 3 3" xfId="42324"/>
    <cellStyle name="Comma 17 5 3 3 2" xfId="42325"/>
    <cellStyle name="Comma 17 5 3 3 3" xfId="42326"/>
    <cellStyle name="Comma 17 5 3 4" xfId="42327"/>
    <cellStyle name="Comma 17 5 3 4 2" xfId="42328"/>
    <cellStyle name="Comma 17 5 3 5" xfId="42329"/>
    <cellStyle name="Comma 17 5 3 6" xfId="42330"/>
    <cellStyle name="Comma 17 5 4" xfId="42331"/>
    <cellStyle name="Comma 17 5 4 2" xfId="42332"/>
    <cellStyle name="Comma 17 5 4 2 2" xfId="42333"/>
    <cellStyle name="Comma 17 5 4 2 3" xfId="42334"/>
    <cellStyle name="Comma 17 5 4 3" xfId="42335"/>
    <cellStyle name="Comma 17 5 4 3 2" xfId="42336"/>
    <cellStyle name="Comma 17 5 4 3 3" xfId="42337"/>
    <cellStyle name="Comma 17 5 4 4" xfId="42338"/>
    <cellStyle name="Comma 17 5 4 4 2" xfId="42339"/>
    <cellStyle name="Comma 17 5 4 5" xfId="42340"/>
    <cellStyle name="Comma 17 5 4 6" xfId="42341"/>
    <cellStyle name="Comma 17 5 5" xfId="42342"/>
    <cellStyle name="Comma 17 5 5 2" xfId="42343"/>
    <cellStyle name="Comma 17 5 5 2 2" xfId="42344"/>
    <cellStyle name="Comma 17 5 5 2 3" xfId="42345"/>
    <cellStyle name="Comma 17 5 5 3" xfId="42346"/>
    <cellStyle name="Comma 17 5 5 3 2" xfId="42347"/>
    <cellStyle name="Comma 17 5 5 4" xfId="42348"/>
    <cellStyle name="Comma 17 5 5 5" xfId="42349"/>
    <cellStyle name="Comma 17 5 6" xfId="42350"/>
    <cellStyle name="Comma 17 5 6 2" xfId="42351"/>
    <cellStyle name="Comma 17 5 6 3" xfId="42352"/>
    <cellStyle name="Comma 17 5 7" xfId="42353"/>
    <cellStyle name="Comma 17 5 7 2" xfId="42354"/>
    <cellStyle name="Comma 17 5 7 3" xfId="42355"/>
    <cellStyle name="Comma 17 5 8" xfId="42356"/>
    <cellStyle name="Comma 17 5 8 2" xfId="42357"/>
    <cellStyle name="Comma 17 5 9" xfId="42358"/>
    <cellStyle name="Comma 17 6" xfId="42359"/>
    <cellStyle name="Comma 17 6 2" xfId="42360"/>
    <cellStyle name="Comma 17 6 2 2" xfId="42361"/>
    <cellStyle name="Comma 17 6 2 2 2" xfId="42362"/>
    <cellStyle name="Comma 17 6 2 2 3" xfId="42363"/>
    <cellStyle name="Comma 17 6 2 3" xfId="42364"/>
    <cellStyle name="Comma 17 6 2 3 2" xfId="42365"/>
    <cellStyle name="Comma 17 6 2 3 3" xfId="42366"/>
    <cellStyle name="Comma 17 6 2 4" xfId="42367"/>
    <cellStyle name="Comma 17 6 2 4 2" xfId="42368"/>
    <cellStyle name="Comma 17 6 2 5" xfId="42369"/>
    <cellStyle name="Comma 17 6 2 6" xfId="42370"/>
    <cellStyle name="Comma 17 6 3" xfId="42371"/>
    <cellStyle name="Comma 17 6 3 2" xfId="42372"/>
    <cellStyle name="Comma 17 6 3 2 2" xfId="42373"/>
    <cellStyle name="Comma 17 6 3 2 3" xfId="42374"/>
    <cellStyle name="Comma 17 6 3 3" xfId="42375"/>
    <cellStyle name="Comma 17 6 3 3 2" xfId="42376"/>
    <cellStyle name="Comma 17 6 3 3 3" xfId="42377"/>
    <cellStyle name="Comma 17 6 3 4" xfId="42378"/>
    <cellStyle name="Comma 17 6 3 4 2" xfId="42379"/>
    <cellStyle name="Comma 17 6 3 5" xfId="42380"/>
    <cellStyle name="Comma 17 6 3 6" xfId="42381"/>
    <cellStyle name="Comma 17 6 4" xfId="42382"/>
    <cellStyle name="Comma 17 6 4 2" xfId="42383"/>
    <cellStyle name="Comma 17 6 4 2 2" xfId="42384"/>
    <cellStyle name="Comma 17 6 4 2 3" xfId="42385"/>
    <cellStyle name="Comma 17 6 4 3" xfId="42386"/>
    <cellStyle name="Comma 17 6 4 3 2" xfId="42387"/>
    <cellStyle name="Comma 17 6 4 4" xfId="42388"/>
    <cellStyle name="Comma 17 6 4 5" xfId="42389"/>
    <cellStyle name="Comma 17 6 5" xfId="42390"/>
    <cellStyle name="Comma 17 6 5 2" xfId="42391"/>
    <cellStyle name="Comma 17 6 5 3" xfId="42392"/>
    <cellStyle name="Comma 17 6 6" xfId="42393"/>
    <cellStyle name="Comma 17 6 6 2" xfId="42394"/>
    <cellStyle name="Comma 17 6 6 3" xfId="42395"/>
    <cellStyle name="Comma 17 6 7" xfId="42396"/>
    <cellStyle name="Comma 17 6 7 2" xfId="42397"/>
    <cellStyle name="Comma 17 6 8" xfId="42398"/>
    <cellStyle name="Comma 17 6 9" xfId="42399"/>
    <cellStyle name="Comma 17 7" xfId="42400"/>
    <cellStyle name="Comma 17 7 2" xfId="42401"/>
    <cellStyle name="Comma 17 7 2 2" xfId="42402"/>
    <cellStyle name="Comma 17 7 2 2 2" xfId="42403"/>
    <cellStyle name="Comma 17 7 2 2 3" xfId="42404"/>
    <cellStyle name="Comma 17 7 2 3" xfId="42405"/>
    <cellStyle name="Comma 17 7 2 3 2" xfId="42406"/>
    <cellStyle name="Comma 17 7 2 3 3" xfId="42407"/>
    <cellStyle name="Comma 17 7 2 4" xfId="42408"/>
    <cellStyle name="Comma 17 7 2 4 2" xfId="42409"/>
    <cellStyle name="Comma 17 7 2 5" xfId="42410"/>
    <cellStyle name="Comma 17 7 2 6" xfId="42411"/>
    <cellStyle name="Comma 17 7 3" xfId="42412"/>
    <cellStyle name="Comma 17 7 3 2" xfId="42413"/>
    <cellStyle name="Comma 17 7 3 2 2" xfId="42414"/>
    <cellStyle name="Comma 17 7 3 2 3" xfId="42415"/>
    <cellStyle name="Comma 17 7 3 3" xfId="42416"/>
    <cellStyle name="Comma 17 7 3 3 2" xfId="42417"/>
    <cellStyle name="Comma 17 7 3 3 3" xfId="42418"/>
    <cellStyle name="Comma 17 7 3 4" xfId="42419"/>
    <cellStyle name="Comma 17 7 3 4 2" xfId="42420"/>
    <cellStyle name="Comma 17 7 3 5" xfId="42421"/>
    <cellStyle name="Comma 17 7 3 6" xfId="42422"/>
    <cellStyle name="Comma 17 7 4" xfId="42423"/>
    <cellStyle name="Comma 17 7 4 2" xfId="42424"/>
    <cellStyle name="Comma 17 7 4 2 2" xfId="42425"/>
    <cellStyle name="Comma 17 7 4 2 3" xfId="42426"/>
    <cellStyle name="Comma 17 7 4 3" xfId="42427"/>
    <cellStyle name="Comma 17 7 4 3 2" xfId="42428"/>
    <cellStyle name="Comma 17 7 4 4" xfId="42429"/>
    <cellStyle name="Comma 17 7 4 5" xfId="42430"/>
    <cellStyle name="Comma 17 7 5" xfId="42431"/>
    <cellStyle name="Comma 17 7 5 2" xfId="42432"/>
    <cellStyle name="Comma 17 7 5 3" xfId="42433"/>
    <cellStyle name="Comma 17 7 6" xfId="42434"/>
    <cellStyle name="Comma 17 7 6 2" xfId="42435"/>
    <cellStyle name="Comma 17 7 6 3" xfId="42436"/>
    <cellStyle name="Comma 17 7 7" xfId="42437"/>
    <cellStyle name="Comma 17 7 7 2" xfId="42438"/>
    <cellStyle name="Comma 17 7 8" xfId="42439"/>
    <cellStyle name="Comma 17 7 9" xfId="42440"/>
    <cellStyle name="Comma 17 8" xfId="42441"/>
    <cellStyle name="Comma 17 8 2" xfId="42442"/>
    <cellStyle name="Comma 17 8 2 2" xfId="42443"/>
    <cellStyle name="Comma 17 8 2 3" xfId="42444"/>
    <cellStyle name="Comma 17 8 3" xfId="42445"/>
    <cellStyle name="Comma 17 8 3 2" xfId="42446"/>
    <cellStyle name="Comma 17 8 3 3" xfId="42447"/>
    <cellStyle name="Comma 17 8 4" xfId="42448"/>
    <cellStyle name="Comma 17 8 4 2" xfId="42449"/>
    <cellStyle name="Comma 17 8 5" xfId="42450"/>
    <cellStyle name="Comma 17 8 6" xfId="42451"/>
    <cellStyle name="Comma 17 9" xfId="42452"/>
    <cellStyle name="Comma 17 9 2" xfId="42453"/>
    <cellStyle name="Comma 17 9 2 2" xfId="42454"/>
    <cellStyle name="Comma 17 9 2 3" xfId="42455"/>
    <cellStyle name="Comma 17 9 3" xfId="42456"/>
    <cellStyle name="Comma 17 9 3 2" xfId="42457"/>
    <cellStyle name="Comma 17 9 3 3" xfId="42458"/>
    <cellStyle name="Comma 17 9 4" xfId="42459"/>
    <cellStyle name="Comma 17 9 4 2" xfId="42460"/>
    <cellStyle name="Comma 17 9 5" xfId="42461"/>
    <cellStyle name="Comma 17 9 6" xfId="42462"/>
    <cellStyle name="Comma 18" xfId="3247"/>
    <cellStyle name="Comma 18 10" xfId="42463"/>
    <cellStyle name="Comma 18 10 2" xfId="42464"/>
    <cellStyle name="Comma 18 10 2 2" xfId="42465"/>
    <cellStyle name="Comma 18 10 2 3" xfId="42466"/>
    <cellStyle name="Comma 18 10 3" xfId="42467"/>
    <cellStyle name="Comma 18 10 3 2" xfId="42468"/>
    <cellStyle name="Comma 18 10 4" xfId="42469"/>
    <cellStyle name="Comma 18 10 5" xfId="42470"/>
    <cellStyle name="Comma 18 11" xfId="42471"/>
    <cellStyle name="Comma 18 11 2" xfId="42472"/>
    <cellStyle name="Comma 18 11 3" xfId="42473"/>
    <cellStyle name="Comma 18 12" xfId="42474"/>
    <cellStyle name="Comma 18 12 2" xfId="42475"/>
    <cellStyle name="Comma 18 12 3" xfId="42476"/>
    <cellStyle name="Comma 18 13" xfId="42477"/>
    <cellStyle name="Comma 18 13 2" xfId="42478"/>
    <cellStyle name="Comma 18 14" xfId="42479"/>
    <cellStyle name="Comma 18 15" xfId="42480"/>
    <cellStyle name="Comma 18 16" xfId="42481"/>
    <cellStyle name="Comma 18 2" xfId="3248"/>
    <cellStyle name="Comma 18 2 10" xfId="42482"/>
    <cellStyle name="Comma 18 2 10 2" xfId="42483"/>
    <cellStyle name="Comma 18 2 10 3" xfId="42484"/>
    <cellStyle name="Comma 18 2 11" xfId="42485"/>
    <cellStyle name="Comma 18 2 11 2" xfId="42486"/>
    <cellStyle name="Comma 18 2 11 3" xfId="42487"/>
    <cellStyle name="Comma 18 2 12" xfId="42488"/>
    <cellStyle name="Comma 18 2 12 2" xfId="42489"/>
    <cellStyle name="Comma 18 2 13" xfId="42490"/>
    <cellStyle name="Comma 18 2 14" xfId="42491"/>
    <cellStyle name="Comma 18 2 2" xfId="9422"/>
    <cellStyle name="Comma 18 2 2 10" xfId="42492"/>
    <cellStyle name="Comma 18 2 2 10 2" xfId="42493"/>
    <cellStyle name="Comma 18 2 2 10 3" xfId="42494"/>
    <cellStyle name="Comma 18 2 2 11" xfId="42495"/>
    <cellStyle name="Comma 18 2 2 11 2" xfId="42496"/>
    <cellStyle name="Comma 18 2 2 12" xfId="42497"/>
    <cellStyle name="Comma 18 2 2 13" xfId="42498"/>
    <cellStyle name="Comma 18 2 2 2" xfId="42499"/>
    <cellStyle name="Comma 18 2 2 2 10" xfId="42500"/>
    <cellStyle name="Comma 18 2 2 2 10 2" xfId="42501"/>
    <cellStyle name="Comma 18 2 2 2 11" xfId="42502"/>
    <cellStyle name="Comma 18 2 2 2 12" xfId="42503"/>
    <cellStyle name="Comma 18 2 2 2 2" xfId="42504"/>
    <cellStyle name="Comma 18 2 2 2 2 10" xfId="42505"/>
    <cellStyle name="Comma 18 2 2 2 2 2" xfId="42506"/>
    <cellStyle name="Comma 18 2 2 2 2 2 2" xfId="42507"/>
    <cellStyle name="Comma 18 2 2 2 2 2 2 2" xfId="42508"/>
    <cellStyle name="Comma 18 2 2 2 2 2 2 2 2" xfId="42509"/>
    <cellStyle name="Comma 18 2 2 2 2 2 2 2 3" xfId="42510"/>
    <cellStyle name="Comma 18 2 2 2 2 2 2 3" xfId="42511"/>
    <cellStyle name="Comma 18 2 2 2 2 2 2 3 2" xfId="42512"/>
    <cellStyle name="Comma 18 2 2 2 2 2 2 3 3" xfId="42513"/>
    <cellStyle name="Comma 18 2 2 2 2 2 2 4" xfId="42514"/>
    <cellStyle name="Comma 18 2 2 2 2 2 2 4 2" xfId="42515"/>
    <cellStyle name="Comma 18 2 2 2 2 2 2 5" xfId="42516"/>
    <cellStyle name="Comma 18 2 2 2 2 2 2 6" xfId="42517"/>
    <cellStyle name="Comma 18 2 2 2 2 2 3" xfId="42518"/>
    <cellStyle name="Comma 18 2 2 2 2 2 3 2" xfId="42519"/>
    <cellStyle name="Comma 18 2 2 2 2 2 3 2 2" xfId="42520"/>
    <cellStyle name="Comma 18 2 2 2 2 2 3 2 3" xfId="42521"/>
    <cellStyle name="Comma 18 2 2 2 2 2 3 3" xfId="42522"/>
    <cellStyle name="Comma 18 2 2 2 2 2 3 3 2" xfId="42523"/>
    <cellStyle name="Comma 18 2 2 2 2 2 3 3 3" xfId="42524"/>
    <cellStyle name="Comma 18 2 2 2 2 2 3 4" xfId="42525"/>
    <cellStyle name="Comma 18 2 2 2 2 2 3 4 2" xfId="42526"/>
    <cellStyle name="Comma 18 2 2 2 2 2 3 5" xfId="42527"/>
    <cellStyle name="Comma 18 2 2 2 2 2 3 6" xfId="42528"/>
    <cellStyle name="Comma 18 2 2 2 2 2 4" xfId="42529"/>
    <cellStyle name="Comma 18 2 2 2 2 2 4 2" xfId="42530"/>
    <cellStyle name="Comma 18 2 2 2 2 2 4 2 2" xfId="42531"/>
    <cellStyle name="Comma 18 2 2 2 2 2 4 2 3" xfId="42532"/>
    <cellStyle name="Comma 18 2 2 2 2 2 4 3" xfId="42533"/>
    <cellStyle name="Comma 18 2 2 2 2 2 4 3 2" xfId="42534"/>
    <cellStyle name="Comma 18 2 2 2 2 2 4 4" xfId="42535"/>
    <cellStyle name="Comma 18 2 2 2 2 2 4 5" xfId="42536"/>
    <cellStyle name="Comma 18 2 2 2 2 2 5" xfId="42537"/>
    <cellStyle name="Comma 18 2 2 2 2 2 5 2" xfId="42538"/>
    <cellStyle name="Comma 18 2 2 2 2 2 5 3" xfId="42539"/>
    <cellStyle name="Comma 18 2 2 2 2 2 6" xfId="42540"/>
    <cellStyle name="Comma 18 2 2 2 2 2 6 2" xfId="42541"/>
    <cellStyle name="Comma 18 2 2 2 2 2 6 3" xfId="42542"/>
    <cellStyle name="Comma 18 2 2 2 2 2 7" xfId="42543"/>
    <cellStyle name="Comma 18 2 2 2 2 2 7 2" xfId="42544"/>
    <cellStyle name="Comma 18 2 2 2 2 2 8" xfId="42545"/>
    <cellStyle name="Comma 18 2 2 2 2 2 9" xfId="42546"/>
    <cellStyle name="Comma 18 2 2 2 2 3" xfId="42547"/>
    <cellStyle name="Comma 18 2 2 2 2 3 2" xfId="42548"/>
    <cellStyle name="Comma 18 2 2 2 2 3 2 2" xfId="42549"/>
    <cellStyle name="Comma 18 2 2 2 2 3 2 3" xfId="42550"/>
    <cellStyle name="Comma 18 2 2 2 2 3 3" xfId="42551"/>
    <cellStyle name="Comma 18 2 2 2 2 3 3 2" xfId="42552"/>
    <cellStyle name="Comma 18 2 2 2 2 3 3 3" xfId="42553"/>
    <cellStyle name="Comma 18 2 2 2 2 3 4" xfId="42554"/>
    <cellStyle name="Comma 18 2 2 2 2 3 4 2" xfId="42555"/>
    <cellStyle name="Comma 18 2 2 2 2 3 5" xfId="42556"/>
    <cellStyle name="Comma 18 2 2 2 2 3 6" xfId="42557"/>
    <cellStyle name="Comma 18 2 2 2 2 4" xfId="42558"/>
    <cellStyle name="Comma 18 2 2 2 2 4 2" xfId="42559"/>
    <cellStyle name="Comma 18 2 2 2 2 4 2 2" xfId="42560"/>
    <cellStyle name="Comma 18 2 2 2 2 4 2 3" xfId="42561"/>
    <cellStyle name="Comma 18 2 2 2 2 4 3" xfId="42562"/>
    <cellStyle name="Comma 18 2 2 2 2 4 3 2" xfId="42563"/>
    <cellStyle name="Comma 18 2 2 2 2 4 3 3" xfId="42564"/>
    <cellStyle name="Comma 18 2 2 2 2 4 4" xfId="42565"/>
    <cellStyle name="Comma 18 2 2 2 2 4 4 2" xfId="42566"/>
    <cellStyle name="Comma 18 2 2 2 2 4 5" xfId="42567"/>
    <cellStyle name="Comma 18 2 2 2 2 4 6" xfId="42568"/>
    <cellStyle name="Comma 18 2 2 2 2 5" xfId="42569"/>
    <cellStyle name="Comma 18 2 2 2 2 5 2" xfId="42570"/>
    <cellStyle name="Comma 18 2 2 2 2 5 2 2" xfId="42571"/>
    <cellStyle name="Comma 18 2 2 2 2 5 2 3" xfId="42572"/>
    <cellStyle name="Comma 18 2 2 2 2 5 3" xfId="42573"/>
    <cellStyle name="Comma 18 2 2 2 2 5 3 2" xfId="42574"/>
    <cellStyle name="Comma 18 2 2 2 2 5 4" xfId="42575"/>
    <cellStyle name="Comma 18 2 2 2 2 5 5" xfId="42576"/>
    <cellStyle name="Comma 18 2 2 2 2 6" xfId="42577"/>
    <cellStyle name="Comma 18 2 2 2 2 6 2" xfId="42578"/>
    <cellStyle name="Comma 18 2 2 2 2 6 3" xfId="42579"/>
    <cellStyle name="Comma 18 2 2 2 2 7" xfId="42580"/>
    <cellStyle name="Comma 18 2 2 2 2 7 2" xfId="42581"/>
    <cellStyle name="Comma 18 2 2 2 2 7 3" xfId="42582"/>
    <cellStyle name="Comma 18 2 2 2 2 8" xfId="42583"/>
    <cellStyle name="Comma 18 2 2 2 2 8 2" xfId="42584"/>
    <cellStyle name="Comma 18 2 2 2 2 9" xfId="42585"/>
    <cellStyle name="Comma 18 2 2 2 3" xfId="42586"/>
    <cellStyle name="Comma 18 2 2 2 3 2" xfId="42587"/>
    <cellStyle name="Comma 18 2 2 2 3 2 2" xfId="42588"/>
    <cellStyle name="Comma 18 2 2 2 3 2 2 2" xfId="42589"/>
    <cellStyle name="Comma 18 2 2 2 3 2 2 3" xfId="42590"/>
    <cellStyle name="Comma 18 2 2 2 3 2 3" xfId="42591"/>
    <cellStyle name="Comma 18 2 2 2 3 2 3 2" xfId="42592"/>
    <cellStyle name="Comma 18 2 2 2 3 2 3 3" xfId="42593"/>
    <cellStyle name="Comma 18 2 2 2 3 2 4" xfId="42594"/>
    <cellStyle name="Comma 18 2 2 2 3 2 4 2" xfId="42595"/>
    <cellStyle name="Comma 18 2 2 2 3 2 5" xfId="42596"/>
    <cellStyle name="Comma 18 2 2 2 3 2 6" xfId="42597"/>
    <cellStyle name="Comma 18 2 2 2 3 3" xfId="42598"/>
    <cellStyle name="Comma 18 2 2 2 3 3 2" xfId="42599"/>
    <cellStyle name="Comma 18 2 2 2 3 3 2 2" xfId="42600"/>
    <cellStyle name="Comma 18 2 2 2 3 3 2 3" xfId="42601"/>
    <cellStyle name="Comma 18 2 2 2 3 3 3" xfId="42602"/>
    <cellStyle name="Comma 18 2 2 2 3 3 3 2" xfId="42603"/>
    <cellStyle name="Comma 18 2 2 2 3 3 3 3" xfId="42604"/>
    <cellStyle name="Comma 18 2 2 2 3 3 4" xfId="42605"/>
    <cellStyle name="Comma 18 2 2 2 3 3 4 2" xfId="42606"/>
    <cellStyle name="Comma 18 2 2 2 3 3 5" xfId="42607"/>
    <cellStyle name="Comma 18 2 2 2 3 3 6" xfId="42608"/>
    <cellStyle name="Comma 18 2 2 2 3 4" xfId="42609"/>
    <cellStyle name="Comma 18 2 2 2 3 4 2" xfId="42610"/>
    <cellStyle name="Comma 18 2 2 2 3 4 2 2" xfId="42611"/>
    <cellStyle name="Comma 18 2 2 2 3 4 2 3" xfId="42612"/>
    <cellStyle name="Comma 18 2 2 2 3 4 3" xfId="42613"/>
    <cellStyle name="Comma 18 2 2 2 3 4 3 2" xfId="42614"/>
    <cellStyle name="Comma 18 2 2 2 3 4 4" xfId="42615"/>
    <cellStyle name="Comma 18 2 2 2 3 4 5" xfId="42616"/>
    <cellStyle name="Comma 18 2 2 2 3 5" xfId="42617"/>
    <cellStyle name="Comma 18 2 2 2 3 5 2" xfId="42618"/>
    <cellStyle name="Comma 18 2 2 2 3 5 3" xfId="42619"/>
    <cellStyle name="Comma 18 2 2 2 3 6" xfId="42620"/>
    <cellStyle name="Comma 18 2 2 2 3 6 2" xfId="42621"/>
    <cellStyle name="Comma 18 2 2 2 3 6 3" xfId="42622"/>
    <cellStyle name="Comma 18 2 2 2 3 7" xfId="42623"/>
    <cellStyle name="Comma 18 2 2 2 3 7 2" xfId="42624"/>
    <cellStyle name="Comma 18 2 2 2 3 8" xfId="42625"/>
    <cellStyle name="Comma 18 2 2 2 3 9" xfId="42626"/>
    <cellStyle name="Comma 18 2 2 2 4" xfId="42627"/>
    <cellStyle name="Comma 18 2 2 2 4 2" xfId="42628"/>
    <cellStyle name="Comma 18 2 2 2 4 2 2" xfId="42629"/>
    <cellStyle name="Comma 18 2 2 2 4 2 2 2" xfId="42630"/>
    <cellStyle name="Comma 18 2 2 2 4 2 2 3" xfId="42631"/>
    <cellStyle name="Comma 18 2 2 2 4 2 3" xfId="42632"/>
    <cellStyle name="Comma 18 2 2 2 4 2 3 2" xfId="42633"/>
    <cellStyle name="Comma 18 2 2 2 4 2 3 3" xfId="42634"/>
    <cellStyle name="Comma 18 2 2 2 4 2 4" xfId="42635"/>
    <cellStyle name="Comma 18 2 2 2 4 2 4 2" xfId="42636"/>
    <cellStyle name="Comma 18 2 2 2 4 2 5" xfId="42637"/>
    <cellStyle name="Comma 18 2 2 2 4 2 6" xfId="42638"/>
    <cellStyle name="Comma 18 2 2 2 4 3" xfId="42639"/>
    <cellStyle name="Comma 18 2 2 2 4 3 2" xfId="42640"/>
    <cellStyle name="Comma 18 2 2 2 4 3 2 2" xfId="42641"/>
    <cellStyle name="Comma 18 2 2 2 4 3 2 3" xfId="42642"/>
    <cellStyle name="Comma 18 2 2 2 4 3 3" xfId="42643"/>
    <cellStyle name="Comma 18 2 2 2 4 3 3 2" xfId="42644"/>
    <cellStyle name="Comma 18 2 2 2 4 3 3 3" xfId="42645"/>
    <cellStyle name="Comma 18 2 2 2 4 3 4" xfId="42646"/>
    <cellStyle name="Comma 18 2 2 2 4 3 4 2" xfId="42647"/>
    <cellStyle name="Comma 18 2 2 2 4 3 5" xfId="42648"/>
    <cellStyle name="Comma 18 2 2 2 4 3 6" xfId="42649"/>
    <cellStyle name="Comma 18 2 2 2 4 4" xfId="42650"/>
    <cellStyle name="Comma 18 2 2 2 4 4 2" xfId="42651"/>
    <cellStyle name="Comma 18 2 2 2 4 4 2 2" xfId="42652"/>
    <cellStyle name="Comma 18 2 2 2 4 4 2 3" xfId="42653"/>
    <cellStyle name="Comma 18 2 2 2 4 4 3" xfId="42654"/>
    <cellStyle name="Comma 18 2 2 2 4 4 3 2" xfId="42655"/>
    <cellStyle name="Comma 18 2 2 2 4 4 4" xfId="42656"/>
    <cellStyle name="Comma 18 2 2 2 4 4 5" xfId="42657"/>
    <cellStyle name="Comma 18 2 2 2 4 5" xfId="42658"/>
    <cellStyle name="Comma 18 2 2 2 4 5 2" xfId="42659"/>
    <cellStyle name="Comma 18 2 2 2 4 5 3" xfId="42660"/>
    <cellStyle name="Comma 18 2 2 2 4 6" xfId="42661"/>
    <cellStyle name="Comma 18 2 2 2 4 6 2" xfId="42662"/>
    <cellStyle name="Comma 18 2 2 2 4 6 3" xfId="42663"/>
    <cellStyle name="Comma 18 2 2 2 4 7" xfId="42664"/>
    <cellStyle name="Comma 18 2 2 2 4 7 2" xfId="42665"/>
    <cellStyle name="Comma 18 2 2 2 4 8" xfId="42666"/>
    <cellStyle name="Comma 18 2 2 2 4 9" xfId="42667"/>
    <cellStyle name="Comma 18 2 2 2 5" xfId="42668"/>
    <cellStyle name="Comma 18 2 2 2 5 2" xfId="42669"/>
    <cellStyle name="Comma 18 2 2 2 5 2 2" xfId="42670"/>
    <cellStyle name="Comma 18 2 2 2 5 2 3" xfId="42671"/>
    <cellStyle name="Comma 18 2 2 2 5 3" xfId="42672"/>
    <cellStyle name="Comma 18 2 2 2 5 3 2" xfId="42673"/>
    <cellStyle name="Comma 18 2 2 2 5 3 3" xfId="42674"/>
    <cellStyle name="Comma 18 2 2 2 5 4" xfId="42675"/>
    <cellStyle name="Comma 18 2 2 2 5 4 2" xfId="42676"/>
    <cellStyle name="Comma 18 2 2 2 5 5" xfId="42677"/>
    <cellStyle name="Comma 18 2 2 2 5 6" xfId="42678"/>
    <cellStyle name="Comma 18 2 2 2 6" xfId="42679"/>
    <cellStyle name="Comma 18 2 2 2 6 2" xfId="42680"/>
    <cellStyle name="Comma 18 2 2 2 6 2 2" xfId="42681"/>
    <cellStyle name="Comma 18 2 2 2 6 2 3" xfId="42682"/>
    <cellStyle name="Comma 18 2 2 2 6 3" xfId="42683"/>
    <cellStyle name="Comma 18 2 2 2 6 3 2" xfId="42684"/>
    <cellStyle name="Comma 18 2 2 2 6 3 3" xfId="42685"/>
    <cellStyle name="Comma 18 2 2 2 6 4" xfId="42686"/>
    <cellStyle name="Comma 18 2 2 2 6 4 2" xfId="42687"/>
    <cellStyle name="Comma 18 2 2 2 6 5" xfId="42688"/>
    <cellStyle name="Comma 18 2 2 2 6 6" xfId="42689"/>
    <cellStyle name="Comma 18 2 2 2 7" xfId="42690"/>
    <cellStyle name="Comma 18 2 2 2 7 2" xfId="42691"/>
    <cellStyle name="Comma 18 2 2 2 7 2 2" xfId="42692"/>
    <cellStyle name="Comma 18 2 2 2 7 2 3" xfId="42693"/>
    <cellStyle name="Comma 18 2 2 2 7 3" xfId="42694"/>
    <cellStyle name="Comma 18 2 2 2 7 3 2" xfId="42695"/>
    <cellStyle name="Comma 18 2 2 2 7 4" xfId="42696"/>
    <cellStyle name="Comma 18 2 2 2 7 5" xfId="42697"/>
    <cellStyle name="Comma 18 2 2 2 8" xfId="42698"/>
    <cellStyle name="Comma 18 2 2 2 8 2" xfId="42699"/>
    <cellStyle name="Comma 18 2 2 2 8 3" xfId="42700"/>
    <cellStyle name="Comma 18 2 2 2 9" xfId="42701"/>
    <cellStyle name="Comma 18 2 2 2 9 2" xfId="42702"/>
    <cellStyle name="Comma 18 2 2 2 9 3" xfId="42703"/>
    <cellStyle name="Comma 18 2 2 3" xfId="42704"/>
    <cellStyle name="Comma 18 2 2 3 10" xfId="42705"/>
    <cellStyle name="Comma 18 2 2 3 2" xfId="42706"/>
    <cellStyle name="Comma 18 2 2 3 2 2" xfId="42707"/>
    <cellStyle name="Comma 18 2 2 3 2 2 2" xfId="42708"/>
    <cellStyle name="Comma 18 2 2 3 2 2 2 2" xfId="42709"/>
    <cellStyle name="Comma 18 2 2 3 2 2 2 3" xfId="42710"/>
    <cellStyle name="Comma 18 2 2 3 2 2 3" xfId="42711"/>
    <cellStyle name="Comma 18 2 2 3 2 2 3 2" xfId="42712"/>
    <cellStyle name="Comma 18 2 2 3 2 2 3 3" xfId="42713"/>
    <cellStyle name="Comma 18 2 2 3 2 2 4" xfId="42714"/>
    <cellStyle name="Comma 18 2 2 3 2 2 4 2" xfId="42715"/>
    <cellStyle name="Comma 18 2 2 3 2 2 5" xfId="42716"/>
    <cellStyle name="Comma 18 2 2 3 2 2 6" xfId="42717"/>
    <cellStyle name="Comma 18 2 2 3 2 3" xfId="42718"/>
    <cellStyle name="Comma 18 2 2 3 2 3 2" xfId="42719"/>
    <cellStyle name="Comma 18 2 2 3 2 3 2 2" xfId="42720"/>
    <cellStyle name="Comma 18 2 2 3 2 3 2 3" xfId="42721"/>
    <cellStyle name="Comma 18 2 2 3 2 3 3" xfId="42722"/>
    <cellStyle name="Comma 18 2 2 3 2 3 3 2" xfId="42723"/>
    <cellStyle name="Comma 18 2 2 3 2 3 3 3" xfId="42724"/>
    <cellStyle name="Comma 18 2 2 3 2 3 4" xfId="42725"/>
    <cellStyle name="Comma 18 2 2 3 2 3 4 2" xfId="42726"/>
    <cellStyle name="Comma 18 2 2 3 2 3 5" xfId="42727"/>
    <cellStyle name="Comma 18 2 2 3 2 3 6" xfId="42728"/>
    <cellStyle name="Comma 18 2 2 3 2 4" xfId="42729"/>
    <cellStyle name="Comma 18 2 2 3 2 4 2" xfId="42730"/>
    <cellStyle name="Comma 18 2 2 3 2 4 2 2" xfId="42731"/>
    <cellStyle name="Comma 18 2 2 3 2 4 2 3" xfId="42732"/>
    <cellStyle name="Comma 18 2 2 3 2 4 3" xfId="42733"/>
    <cellStyle name="Comma 18 2 2 3 2 4 3 2" xfId="42734"/>
    <cellStyle name="Comma 18 2 2 3 2 4 4" xfId="42735"/>
    <cellStyle name="Comma 18 2 2 3 2 4 5" xfId="42736"/>
    <cellStyle name="Comma 18 2 2 3 2 5" xfId="42737"/>
    <cellStyle name="Comma 18 2 2 3 2 5 2" xfId="42738"/>
    <cellStyle name="Comma 18 2 2 3 2 5 3" xfId="42739"/>
    <cellStyle name="Comma 18 2 2 3 2 6" xfId="42740"/>
    <cellStyle name="Comma 18 2 2 3 2 6 2" xfId="42741"/>
    <cellStyle name="Comma 18 2 2 3 2 6 3" xfId="42742"/>
    <cellStyle name="Comma 18 2 2 3 2 7" xfId="42743"/>
    <cellStyle name="Comma 18 2 2 3 2 7 2" xfId="42744"/>
    <cellStyle name="Comma 18 2 2 3 2 8" xfId="42745"/>
    <cellStyle name="Comma 18 2 2 3 2 9" xfId="42746"/>
    <cellStyle name="Comma 18 2 2 3 3" xfId="42747"/>
    <cellStyle name="Comma 18 2 2 3 3 2" xfId="42748"/>
    <cellStyle name="Comma 18 2 2 3 3 2 2" xfId="42749"/>
    <cellStyle name="Comma 18 2 2 3 3 2 3" xfId="42750"/>
    <cellStyle name="Comma 18 2 2 3 3 3" xfId="42751"/>
    <cellStyle name="Comma 18 2 2 3 3 3 2" xfId="42752"/>
    <cellStyle name="Comma 18 2 2 3 3 3 3" xfId="42753"/>
    <cellStyle name="Comma 18 2 2 3 3 4" xfId="42754"/>
    <cellStyle name="Comma 18 2 2 3 3 4 2" xfId="42755"/>
    <cellStyle name="Comma 18 2 2 3 3 5" xfId="42756"/>
    <cellStyle name="Comma 18 2 2 3 3 6" xfId="42757"/>
    <cellStyle name="Comma 18 2 2 3 4" xfId="42758"/>
    <cellStyle name="Comma 18 2 2 3 4 2" xfId="42759"/>
    <cellStyle name="Comma 18 2 2 3 4 2 2" xfId="42760"/>
    <cellStyle name="Comma 18 2 2 3 4 2 3" xfId="42761"/>
    <cellStyle name="Comma 18 2 2 3 4 3" xfId="42762"/>
    <cellStyle name="Comma 18 2 2 3 4 3 2" xfId="42763"/>
    <cellStyle name="Comma 18 2 2 3 4 3 3" xfId="42764"/>
    <cellStyle name="Comma 18 2 2 3 4 4" xfId="42765"/>
    <cellStyle name="Comma 18 2 2 3 4 4 2" xfId="42766"/>
    <cellStyle name="Comma 18 2 2 3 4 5" xfId="42767"/>
    <cellStyle name="Comma 18 2 2 3 4 6" xfId="42768"/>
    <cellStyle name="Comma 18 2 2 3 5" xfId="42769"/>
    <cellStyle name="Comma 18 2 2 3 5 2" xfId="42770"/>
    <cellStyle name="Comma 18 2 2 3 5 2 2" xfId="42771"/>
    <cellStyle name="Comma 18 2 2 3 5 2 3" xfId="42772"/>
    <cellStyle name="Comma 18 2 2 3 5 3" xfId="42773"/>
    <cellStyle name="Comma 18 2 2 3 5 3 2" xfId="42774"/>
    <cellStyle name="Comma 18 2 2 3 5 4" xfId="42775"/>
    <cellStyle name="Comma 18 2 2 3 5 5" xfId="42776"/>
    <cellStyle name="Comma 18 2 2 3 6" xfId="42777"/>
    <cellStyle name="Comma 18 2 2 3 6 2" xfId="42778"/>
    <cellStyle name="Comma 18 2 2 3 6 3" xfId="42779"/>
    <cellStyle name="Comma 18 2 2 3 7" xfId="42780"/>
    <cellStyle name="Comma 18 2 2 3 7 2" xfId="42781"/>
    <cellStyle name="Comma 18 2 2 3 7 3" xfId="42782"/>
    <cellStyle name="Comma 18 2 2 3 8" xfId="42783"/>
    <cellStyle name="Comma 18 2 2 3 8 2" xfId="42784"/>
    <cellStyle name="Comma 18 2 2 3 9" xfId="42785"/>
    <cellStyle name="Comma 18 2 2 4" xfId="42786"/>
    <cellStyle name="Comma 18 2 2 4 2" xfId="42787"/>
    <cellStyle name="Comma 18 2 2 4 2 2" xfId="42788"/>
    <cellStyle name="Comma 18 2 2 4 2 2 2" xfId="42789"/>
    <cellStyle name="Comma 18 2 2 4 2 2 3" xfId="42790"/>
    <cellStyle name="Comma 18 2 2 4 2 3" xfId="42791"/>
    <cellStyle name="Comma 18 2 2 4 2 3 2" xfId="42792"/>
    <cellStyle name="Comma 18 2 2 4 2 3 3" xfId="42793"/>
    <cellStyle name="Comma 18 2 2 4 2 4" xfId="42794"/>
    <cellStyle name="Comma 18 2 2 4 2 4 2" xfId="42795"/>
    <cellStyle name="Comma 18 2 2 4 2 5" xfId="42796"/>
    <cellStyle name="Comma 18 2 2 4 2 6" xfId="42797"/>
    <cellStyle name="Comma 18 2 2 4 3" xfId="42798"/>
    <cellStyle name="Comma 18 2 2 4 3 2" xfId="42799"/>
    <cellStyle name="Comma 18 2 2 4 3 2 2" xfId="42800"/>
    <cellStyle name="Comma 18 2 2 4 3 2 3" xfId="42801"/>
    <cellStyle name="Comma 18 2 2 4 3 3" xfId="42802"/>
    <cellStyle name="Comma 18 2 2 4 3 3 2" xfId="42803"/>
    <cellStyle name="Comma 18 2 2 4 3 3 3" xfId="42804"/>
    <cellStyle name="Comma 18 2 2 4 3 4" xfId="42805"/>
    <cellStyle name="Comma 18 2 2 4 3 4 2" xfId="42806"/>
    <cellStyle name="Comma 18 2 2 4 3 5" xfId="42807"/>
    <cellStyle name="Comma 18 2 2 4 3 6" xfId="42808"/>
    <cellStyle name="Comma 18 2 2 4 4" xfId="42809"/>
    <cellStyle name="Comma 18 2 2 4 4 2" xfId="42810"/>
    <cellStyle name="Comma 18 2 2 4 4 2 2" xfId="42811"/>
    <cellStyle name="Comma 18 2 2 4 4 2 3" xfId="42812"/>
    <cellStyle name="Comma 18 2 2 4 4 3" xfId="42813"/>
    <cellStyle name="Comma 18 2 2 4 4 3 2" xfId="42814"/>
    <cellStyle name="Comma 18 2 2 4 4 4" xfId="42815"/>
    <cellStyle name="Comma 18 2 2 4 4 5" xfId="42816"/>
    <cellStyle name="Comma 18 2 2 4 5" xfId="42817"/>
    <cellStyle name="Comma 18 2 2 4 5 2" xfId="42818"/>
    <cellStyle name="Comma 18 2 2 4 5 3" xfId="42819"/>
    <cellStyle name="Comma 18 2 2 4 6" xfId="42820"/>
    <cellStyle name="Comma 18 2 2 4 6 2" xfId="42821"/>
    <cellStyle name="Comma 18 2 2 4 6 3" xfId="42822"/>
    <cellStyle name="Comma 18 2 2 4 7" xfId="42823"/>
    <cellStyle name="Comma 18 2 2 4 7 2" xfId="42824"/>
    <cellStyle name="Comma 18 2 2 4 8" xfId="42825"/>
    <cellStyle name="Comma 18 2 2 4 9" xfId="42826"/>
    <cellStyle name="Comma 18 2 2 5" xfId="42827"/>
    <cellStyle name="Comma 18 2 2 5 2" xfId="42828"/>
    <cellStyle name="Comma 18 2 2 5 2 2" xfId="42829"/>
    <cellStyle name="Comma 18 2 2 5 2 2 2" xfId="42830"/>
    <cellStyle name="Comma 18 2 2 5 2 2 3" xfId="42831"/>
    <cellStyle name="Comma 18 2 2 5 2 3" xfId="42832"/>
    <cellStyle name="Comma 18 2 2 5 2 3 2" xfId="42833"/>
    <cellStyle name="Comma 18 2 2 5 2 3 3" xfId="42834"/>
    <cellStyle name="Comma 18 2 2 5 2 4" xfId="42835"/>
    <cellStyle name="Comma 18 2 2 5 2 4 2" xfId="42836"/>
    <cellStyle name="Comma 18 2 2 5 2 5" xfId="42837"/>
    <cellStyle name="Comma 18 2 2 5 2 6" xfId="42838"/>
    <cellStyle name="Comma 18 2 2 5 3" xfId="42839"/>
    <cellStyle name="Comma 18 2 2 5 3 2" xfId="42840"/>
    <cellStyle name="Comma 18 2 2 5 3 2 2" xfId="42841"/>
    <cellStyle name="Comma 18 2 2 5 3 2 3" xfId="42842"/>
    <cellStyle name="Comma 18 2 2 5 3 3" xfId="42843"/>
    <cellStyle name="Comma 18 2 2 5 3 3 2" xfId="42844"/>
    <cellStyle name="Comma 18 2 2 5 3 3 3" xfId="42845"/>
    <cellStyle name="Comma 18 2 2 5 3 4" xfId="42846"/>
    <cellStyle name="Comma 18 2 2 5 3 4 2" xfId="42847"/>
    <cellStyle name="Comma 18 2 2 5 3 5" xfId="42848"/>
    <cellStyle name="Comma 18 2 2 5 3 6" xfId="42849"/>
    <cellStyle name="Comma 18 2 2 5 4" xfId="42850"/>
    <cellStyle name="Comma 18 2 2 5 4 2" xfId="42851"/>
    <cellStyle name="Comma 18 2 2 5 4 2 2" xfId="42852"/>
    <cellStyle name="Comma 18 2 2 5 4 2 3" xfId="42853"/>
    <cellStyle name="Comma 18 2 2 5 4 3" xfId="42854"/>
    <cellStyle name="Comma 18 2 2 5 4 3 2" xfId="42855"/>
    <cellStyle name="Comma 18 2 2 5 4 4" xfId="42856"/>
    <cellStyle name="Comma 18 2 2 5 4 5" xfId="42857"/>
    <cellStyle name="Comma 18 2 2 5 5" xfId="42858"/>
    <cellStyle name="Comma 18 2 2 5 5 2" xfId="42859"/>
    <cellStyle name="Comma 18 2 2 5 5 3" xfId="42860"/>
    <cellStyle name="Comma 18 2 2 5 6" xfId="42861"/>
    <cellStyle name="Comma 18 2 2 5 6 2" xfId="42862"/>
    <cellStyle name="Comma 18 2 2 5 6 3" xfId="42863"/>
    <cellStyle name="Comma 18 2 2 5 7" xfId="42864"/>
    <cellStyle name="Comma 18 2 2 5 7 2" xfId="42865"/>
    <cellStyle name="Comma 18 2 2 5 8" xfId="42866"/>
    <cellStyle name="Comma 18 2 2 5 9" xfId="42867"/>
    <cellStyle name="Comma 18 2 2 6" xfId="42868"/>
    <cellStyle name="Comma 18 2 2 6 2" xfId="42869"/>
    <cellStyle name="Comma 18 2 2 6 2 2" xfId="42870"/>
    <cellStyle name="Comma 18 2 2 6 2 3" xfId="42871"/>
    <cellStyle name="Comma 18 2 2 6 3" xfId="42872"/>
    <cellStyle name="Comma 18 2 2 6 3 2" xfId="42873"/>
    <cellStyle name="Comma 18 2 2 6 3 3" xfId="42874"/>
    <cellStyle name="Comma 18 2 2 6 4" xfId="42875"/>
    <cellStyle name="Comma 18 2 2 6 4 2" xfId="42876"/>
    <cellStyle name="Comma 18 2 2 6 5" xfId="42877"/>
    <cellStyle name="Comma 18 2 2 6 6" xfId="42878"/>
    <cellStyle name="Comma 18 2 2 7" xfId="42879"/>
    <cellStyle name="Comma 18 2 2 7 2" xfId="42880"/>
    <cellStyle name="Comma 18 2 2 7 2 2" xfId="42881"/>
    <cellStyle name="Comma 18 2 2 7 2 3" xfId="42882"/>
    <cellStyle name="Comma 18 2 2 7 3" xfId="42883"/>
    <cellStyle name="Comma 18 2 2 7 3 2" xfId="42884"/>
    <cellStyle name="Comma 18 2 2 7 3 3" xfId="42885"/>
    <cellStyle name="Comma 18 2 2 7 4" xfId="42886"/>
    <cellStyle name="Comma 18 2 2 7 4 2" xfId="42887"/>
    <cellStyle name="Comma 18 2 2 7 5" xfId="42888"/>
    <cellStyle name="Comma 18 2 2 7 6" xfId="42889"/>
    <cellStyle name="Comma 18 2 2 8" xfId="42890"/>
    <cellStyle name="Comma 18 2 2 8 2" xfId="42891"/>
    <cellStyle name="Comma 18 2 2 8 2 2" xfId="42892"/>
    <cellStyle name="Comma 18 2 2 8 2 3" xfId="42893"/>
    <cellStyle name="Comma 18 2 2 8 3" xfId="42894"/>
    <cellStyle name="Comma 18 2 2 8 3 2" xfId="42895"/>
    <cellStyle name="Comma 18 2 2 8 4" xfId="42896"/>
    <cellStyle name="Comma 18 2 2 8 5" xfId="42897"/>
    <cellStyle name="Comma 18 2 2 9" xfId="42898"/>
    <cellStyle name="Comma 18 2 2 9 2" xfId="42899"/>
    <cellStyle name="Comma 18 2 2 9 3" xfId="42900"/>
    <cellStyle name="Comma 18 2 3" xfId="42901"/>
    <cellStyle name="Comma 18 2 3 10" xfId="42902"/>
    <cellStyle name="Comma 18 2 3 10 2" xfId="42903"/>
    <cellStyle name="Comma 18 2 3 11" xfId="42904"/>
    <cellStyle name="Comma 18 2 3 12" xfId="42905"/>
    <cellStyle name="Comma 18 2 3 2" xfId="42906"/>
    <cellStyle name="Comma 18 2 3 2 10" xfId="42907"/>
    <cellStyle name="Comma 18 2 3 2 2" xfId="42908"/>
    <cellStyle name="Comma 18 2 3 2 2 2" xfId="42909"/>
    <cellStyle name="Comma 18 2 3 2 2 2 2" xfId="42910"/>
    <cellStyle name="Comma 18 2 3 2 2 2 2 2" xfId="42911"/>
    <cellStyle name="Comma 18 2 3 2 2 2 2 3" xfId="42912"/>
    <cellStyle name="Comma 18 2 3 2 2 2 3" xfId="42913"/>
    <cellStyle name="Comma 18 2 3 2 2 2 3 2" xfId="42914"/>
    <cellStyle name="Comma 18 2 3 2 2 2 3 3" xfId="42915"/>
    <cellStyle name="Comma 18 2 3 2 2 2 4" xfId="42916"/>
    <cellStyle name="Comma 18 2 3 2 2 2 4 2" xfId="42917"/>
    <cellStyle name="Comma 18 2 3 2 2 2 5" xfId="42918"/>
    <cellStyle name="Comma 18 2 3 2 2 2 6" xfId="42919"/>
    <cellStyle name="Comma 18 2 3 2 2 3" xfId="42920"/>
    <cellStyle name="Comma 18 2 3 2 2 3 2" xfId="42921"/>
    <cellStyle name="Comma 18 2 3 2 2 3 2 2" xfId="42922"/>
    <cellStyle name="Comma 18 2 3 2 2 3 2 3" xfId="42923"/>
    <cellStyle name="Comma 18 2 3 2 2 3 3" xfId="42924"/>
    <cellStyle name="Comma 18 2 3 2 2 3 3 2" xfId="42925"/>
    <cellStyle name="Comma 18 2 3 2 2 3 3 3" xfId="42926"/>
    <cellStyle name="Comma 18 2 3 2 2 3 4" xfId="42927"/>
    <cellStyle name="Comma 18 2 3 2 2 3 4 2" xfId="42928"/>
    <cellStyle name="Comma 18 2 3 2 2 3 5" xfId="42929"/>
    <cellStyle name="Comma 18 2 3 2 2 3 6" xfId="42930"/>
    <cellStyle name="Comma 18 2 3 2 2 4" xfId="42931"/>
    <cellStyle name="Comma 18 2 3 2 2 4 2" xfId="42932"/>
    <cellStyle name="Comma 18 2 3 2 2 4 2 2" xfId="42933"/>
    <cellStyle name="Comma 18 2 3 2 2 4 2 3" xfId="42934"/>
    <cellStyle name="Comma 18 2 3 2 2 4 3" xfId="42935"/>
    <cellStyle name="Comma 18 2 3 2 2 4 3 2" xfId="42936"/>
    <cellStyle name="Comma 18 2 3 2 2 4 4" xfId="42937"/>
    <cellStyle name="Comma 18 2 3 2 2 4 5" xfId="42938"/>
    <cellStyle name="Comma 18 2 3 2 2 5" xfId="42939"/>
    <cellStyle name="Comma 18 2 3 2 2 5 2" xfId="42940"/>
    <cellStyle name="Comma 18 2 3 2 2 5 3" xfId="42941"/>
    <cellStyle name="Comma 18 2 3 2 2 6" xfId="42942"/>
    <cellStyle name="Comma 18 2 3 2 2 6 2" xfId="42943"/>
    <cellStyle name="Comma 18 2 3 2 2 6 3" xfId="42944"/>
    <cellStyle name="Comma 18 2 3 2 2 7" xfId="42945"/>
    <cellStyle name="Comma 18 2 3 2 2 7 2" xfId="42946"/>
    <cellStyle name="Comma 18 2 3 2 2 8" xfId="42947"/>
    <cellStyle name="Comma 18 2 3 2 2 9" xfId="42948"/>
    <cellStyle name="Comma 18 2 3 2 3" xfId="42949"/>
    <cellStyle name="Comma 18 2 3 2 3 2" xfId="42950"/>
    <cellStyle name="Comma 18 2 3 2 3 2 2" xfId="42951"/>
    <cellStyle name="Comma 18 2 3 2 3 2 3" xfId="42952"/>
    <cellStyle name="Comma 18 2 3 2 3 3" xfId="42953"/>
    <cellStyle name="Comma 18 2 3 2 3 3 2" xfId="42954"/>
    <cellStyle name="Comma 18 2 3 2 3 3 3" xfId="42955"/>
    <cellStyle name="Comma 18 2 3 2 3 4" xfId="42956"/>
    <cellStyle name="Comma 18 2 3 2 3 4 2" xfId="42957"/>
    <cellStyle name="Comma 18 2 3 2 3 5" xfId="42958"/>
    <cellStyle name="Comma 18 2 3 2 3 6" xfId="42959"/>
    <cellStyle name="Comma 18 2 3 2 4" xfId="42960"/>
    <cellStyle name="Comma 18 2 3 2 4 2" xfId="42961"/>
    <cellStyle name="Comma 18 2 3 2 4 2 2" xfId="42962"/>
    <cellStyle name="Comma 18 2 3 2 4 2 3" xfId="42963"/>
    <cellStyle name="Comma 18 2 3 2 4 3" xfId="42964"/>
    <cellStyle name="Comma 18 2 3 2 4 3 2" xfId="42965"/>
    <cellStyle name="Comma 18 2 3 2 4 3 3" xfId="42966"/>
    <cellStyle name="Comma 18 2 3 2 4 4" xfId="42967"/>
    <cellStyle name="Comma 18 2 3 2 4 4 2" xfId="42968"/>
    <cellStyle name="Comma 18 2 3 2 4 5" xfId="42969"/>
    <cellStyle name="Comma 18 2 3 2 4 6" xfId="42970"/>
    <cellStyle name="Comma 18 2 3 2 5" xfId="42971"/>
    <cellStyle name="Comma 18 2 3 2 5 2" xfId="42972"/>
    <cellStyle name="Comma 18 2 3 2 5 2 2" xfId="42973"/>
    <cellStyle name="Comma 18 2 3 2 5 2 3" xfId="42974"/>
    <cellStyle name="Comma 18 2 3 2 5 3" xfId="42975"/>
    <cellStyle name="Comma 18 2 3 2 5 3 2" xfId="42976"/>
    <cellStyle name="Comma 18 2 3 2 5 4" xfId="42977"/>
    <cellStyle name="Comma 18 2 3 2 5 5" xfId="42978"/>
    <cellStyle name="Comma 18 2 3 2 6" xfId="42979"/>
    <cellStyle name="Comma 18 2 3 2 6 2" xfId="42980"/>
    <cellStyle name="Comma 18 2 3 2 6 3" xfId="42981"/>
    <cellStyle name="Comma 18 2 3 2 7" xfId="42982"/>
    <cellStyle name="Comma 18 2 3 2 7 2" xfId="42983"/>
    <cellStyle name="Comma 18 2 3 2 7 3" xfId="42984"/>
    <cellStyle name="Comma 18 2 3 2 8" xfId="42985"/>
    <cellStyle name="Comma 18 2 3 2 8 2" xfId="42986"/>
    <cellStyle name="Comma 18 2 3 2 9" xfId="42987"/>
    <cellStyle name="Comma 18 2 3 3" xfId="42988"/>
    <cellStyle name="Comma 18 2 3 3 2" xfId="42989"/>
    <cellStyle name="Comma 18 2 3 3 2 2" xfId="42990"/>
    <cellStyle name="Comma 18 2 3 3 2 2 2" xfId="42991"/>
    <cellStyle name="Comma 18 2 3 3 2 2 3" xfId="42992"/>
    <cellStyle name="Comma 18 2 3 3 2 3" xfId="42993"/>
    <cellStyle name="Comma 18 2 3 3 2 3 2" xfId="42994"/>
    <cellStyle name="Comma 18 2 3 3 2 3 3" xfId="42995"/>
    <cellStyle name="Comma 18 2 3 3 2 4" xfId="42996"/>
    <cellStyle name="Comma 18 2 3 3 2 4 2" xfId="42997"/>
    <cellStyle name="Comma 18 2 3 3 2 5" xfId="42998"/>
    <cellStyle name="Comma 18 2 3 3 2 6" xfId="42999"/>
    <cellStyle name="Comma 18 2 3 3 3" xfId="43000"/>
    <cellStyle name="Comma 18 2 3 3 3 2" xfId="43001"/>
    <cellStyle name="Comma 18 2 3 3 3 2 2" xfId="43002"/>
    <cellStyle name="Comma 18 2 3 3 3 2 3" xfId="43003"/>
    <cellStyle name="Comma 18 2 3 3 3 3" xfId="43004"/>
    <cellStyle name="Comma 18 2 3 3 3 3 2" xfId="43005"/>
    <cellStyle name="Comma 18 2 3 3 3 3 3" xfId="43006"/>
    <cellStyle name="Comma 18 2 3 3 3 4" xfId="43007"/>
    <cellStyle name="Comma 18 2 3 3 3 4 2" xfId="43008"/>
    <cellStyle name="Comma 18 2 3 3 3 5" xfId="43009"/>
    <cellStyle name="Comma 18 2 3 3 3 6" xfId="43010"/>
    <cellStyle name="Comma 18 2 3 3 4" xfId="43011"/>
    <cellStyle name="Comma 18 2 3 3 4 2" xfId="43012"/>
    <cellStyle name="Comma 18 2 3 3 4 2 2" xfId="43013"/>
    <cellStyle name="Comma 18 2 3 3 4 2 3" xfId="43014"/>
    <cellStyle name="Comma 18 2 3 3 4 3" xfId="43015"/>
    <cellStyle name="Comma 18 2 3 3 4 3 2" xfId="43016"/>
    <cellStyle name="Comma 18 2 3 3 4 4" xfId="43017"/>
    <cellStyle name="Comma 18 2 3 3 4 5" xfId="43018"/>
    <cellStyle name="Comma 18 2 3 3 5" xfId="43019"/>
    <cellStyle name="Comma 18 2 3 3 5 2" xfId="43020"/>
    <cellStyle name="Comma 18 2 3 3 5 3" xfId="43021"/>
    <cellStyle name="Comma 18 2 3 3 6" xfId="43022"/>
    <cellStyle name="Comma 18 2 3 3 6 2" xfId="43023"/>
    <cellStyle name="Comma 18 2 3 3 6 3" xfId="43024"/>
    <cellStyle name="Comma 18 2 3 3 7" xfId="43025"/>
    <cellStyle name="Comma 18 2 3 3 7 2" xfId="43026"/>
    <cellStyle name="Comma 18 2 3 3 8" xfId="43027"/>
    <cellStyle name="Comma 18 2 3 3 9" xfId="43028"/>
    <cellStyle name="Comma 18 2 3 4" xfId="43029"/>
    <cellStyle name="Comma 18 2 3 4 2" xfId="43030"/>
    <cellStyle name="Comma 18 2 3 4 2 2" xfId="43031"/>
    <cellStyle name="Comma 18 2 3 4 2 2 2" xfId="43032"/>
    <cellStyle name="Comma 18 2 3 4 2 2 3" xfId="43033"/>
    <cellStyle name="Comma 18 2 3 4 2 3" xfId="43034"/>
    <cellStyle name="Comma 18 2 3 4 2 3 2" xfId="43035"/>
    <cellStyle name="Comma 18 2 3 4 2 3 3" xfId="43036"/>
    <cellStyle name="Comma 18 2 3 4 2 4" xfId="43037"/>
    <cellStyle name="Comma 18 2 3 4 2 4 2" xfId="43038"/>
    <cellStyle name="Comma 18 2 3 4 2 5" xfId="43039"/>
    <cellStyle name="Comma 18 2 3 4 2 6" xfId="43040"/>
    <cellStyle name="Comma 18 2 3 4 3" xfId="43041"/>
    <cellStyle name="Comma 18 2 3 4 3 2" xfId="43042"/>
    <cellStyle name="Comma 18 2 3 4 3 2 2" xfId="43043"/>
    <cellStyle name="Comma 18 2 3 4 3 2 3" xfId="43044"/>
    <cellStyle name="Comma 18 2 3 4 3 3" xfId="43045"/>
    <cellStyle name="Comma 18 2 3 4 3 3 2" xfId="43046"/>
    <cellStyle name="Comma 18 2 3 4 3 3 3" xfId="43047"/>
    <cellStyle name="Comma 18 2 3 4 3 4" xfId="43048"/>
    <cellStyle name="Comma 18 2 3 4 3 4 2" xfId="43049"/>
    <cellStyle name="Comma 18 2 3 4 3 5" xfId="43050"/>
    <cellStyle name="Comma 18 2 3 4 3 6" xfId="43051"/>
    <cellStyle name="Comma 18 2 3 4 4" xfId="43052"/>
    <cellStyle name="Comma 18 2 3 4 4 2" xfId="43053"/>
    <cellStyle name="Comma 18 2 3 4 4 2 2" xfId="43054"/>
    <cellStyle name="Comma 18 2 3 4 4 2 3" xfId="43055"/>
    <cellStyle name="Comma 18 2 3 4 4 3" xfId="43056"/>
    <cellStyle name="Comma 18 2 3 4 4 3 2" xfId="43057"/>
    <cellStyle name="Comma 18 2 3 4 4 4" xfId="43058"/>
    <cellStyle name="Comma 18 2 3 4 4 5" xfId="43059"/>
    <cellStyle name="Comma 18 2 3 4 5" xfId="43060"/>
    <cellStyle name="Comma 18 2 3 4 5 2" xfId="43061"/>
    <cellStyle name="Comma 18 2 3 4 5 3" xfId="43062"/>
    <cellStyle name="Comma 18 2 3 4 6" xfId="43063"/>
    <cellStyle name="Comma 18 2 3 4 6 2" xfId="43064"/>
    <cellStyle name="Comma 18 2 3 4 6 3" xfId="43065"/>
    <cellStyle name="Comma 18 2 3 4 7" xfId="43066"/>
    <cellStyle name="Comma 18 2 3 4 7 2" xfId="43067"/>
    <cellStyle name="Comma 18 2 3 4 8" xfId="43068"/>
    <cellStyle name="Comma 18 2 3 4 9" xfId="43069"/>
    <cellStyle name="Comma 18 2 3 5" xfId="43070"/>
    <cellStyle name="Comma 18 2 3 5 2" xfId="43071"/>
    <cellStyle name="Comma 18 2 3 5 2 2" xfId="43072"/>
    <cellStyle name="Comma 18 2 3 5 2 3" xfId="43073"/>
    <cellStyle name="Comma 18 2 3 5 3" xfId="43074"/>
    <cellStyle name="Comma 18 2 3 5 3 2" xfId="43075"/>
    <cellStyle name="Comma 18 2 3 5 3 3" xfId="43076"/>
    <cellStyle name="Comma 18 2 3 5 4" xfId="43077"/>
    <cellStyle name="Comma 18 2 3 5 4 2" xfId="43078"/>
    <cellStyle name="Comma 18 2 3 5 5" xfId="43079"/>
    <cellStyle name="Comma 18 2 3 5 6" xfId="43080"/>
    <cellStyle name="Comma 18 2 3 6" xfId="43081"/>
    <cellStyle name="Comma 18 2 3 6 2" xfId="43082"/>
    <cellStyle name="Comma 18 2 3 6 2 2" xfId="43083"/>
    <cellStyle name="Comma 18 2 3 6 2 3" xfId="43084"/>
    <cellStyle name="Comma 18 2 3 6 3" xfId="43085"/>
    <cellStyle name="Comma 18 2 3 6 3 2" xfId="43086"/>
    <cellStyle name="Comma 18 2 3 6 3 3" xfId="43087"/>
    <cellStyle name="Comma 18 2 3 6 4" xfId="43088"/>
    <cellStyle name="Comma 18 2 3 6 4 2" xfId="43089"/>
    <cellStyle name="Comma 18 2 3 6 5" xfId="43090"/>
    <cellStyle name="Comma 18 2 3 6 6" xfId="43091"/>
    <cellStyle name="Comma 18 2 3 7" xfId="43092"/>
    <cellStyle name="Comma 18 2 3 7 2" xfId="43093"/>
    <cellStyle name="Comma 18 2 3 7 2 2" xfId="43094"/>
    <cellStyle name="Comma 18 2 3 7 2 3" xfId="43095"/>
    <cellStyle name="Comma 18 2 3 7 3" xfId="43096"/>
    <cellStyle name="Comma 18 2 3 7 3 2" xfId="43097"/>
    <cellStyle name="Comma 18 2 3 7 4" xfId="43098"/>
    <cellStyle name="Comma 18 2 3 7 5" xfId="43099"/>
    <cellStyle name="Comma 18 2 3 8" xfId="43100"/>
    <cellStyle name="Comma 18 2 3 8 2" xfId="43101"/>
    <cellStyle name="Comma 18 2 3 8 3" xfId="43102"/>
    <cellStyle name="Comma 18 2 3 9" xfId="43103"/>
    <cellStyle name="Comma 18 2 3 9 2" xfId="43104"/>
    <cellStyle name="Comma 18 2 3 9 3" xfId="43105"/>
    <cellStyle name="Comma 18 2 4" xfId="43106"/>
    <cellStyle name="Comma 18 2 4 10" xfId="43107"/>
    <cellStyle name="Comma 18 2 4 2" xfId="43108"/>
    <cellStyle name="Comma 18 2 4 2 2" xfId="43109"/>
    <cellStyle name="Comma 18 2 4 2 2 2" xfId="43110"/>
    <cellStyle name="Comma 18 2 4 2 2 2 2" xfId="43111"/>
    <cellStyle name="Comma 18 2 4 2 2 2 3" xfId="43112"/>
    <cellStyle name="Comma 18 2 4 2 2 3" xfId="43113"/>
    <cellStyle name="Comma 18 2 4 2 2 3 2" xfId="43114"/>
    <cellStyle name="Comma 18 2 4 2 2 3 3" xfId="43115"/>
    <cellStyle name="Comma 18 2 4 2 2 4" xfId="43116"/>
    <cellStyle name="Comma 18 2 4 2 2 4 2" xfId="43117"/>
    <cellStyle name="Comma 18 2 4 2 2 5" xfId="43118"/>
    <cellStyle name="Comma 18 2 4 2 2 6" xfId="43119"/>
    <cellStyle name="Comma 18 2 4 2 3" xfId="43120"/>
    <cellStyle name="Comma 18 2 4 2 3 2" xfId="43121"/>
    <cellStyle name="Comma 18 2 4 2 3 2 2" xfId="43122"/>
    <cellStyle name="Comma 18 2 4 2 3 2 3" xfId="43123"/>
    <cellStyle name="Comma 18 2 4 2 3 3" xfId="43124"/>
    <cellStyle name="Comma 18 2 4 2 3 3 2" xfId="43125"/>
    <cellStyle name="Comma 18 2 4 2 3 3 3" xfId="43126"/>
    <cellStyle name="Comma 18 2 4 2 3 4" xfId="43127"/>
    <cellStyle name="Comma 18 2 4 2 3 4 2" xfId="43128"/>
    <cellStyle name="Comma 18 2 4 2 3 5" xfId="43129"/>
    <cellStyle name="Comma 18 2 4 2 3 6" xfId="43130"/>
    <cellStyle name="Comma 18 2 4 2 4" xfId="43131"/>
    <cellStyle name="Comma 18 2 4 2 4 2" xfId="43132"/>
    <cellStyle name="Comma 18 2 4 2 4 2 2" xfId="43133"/>
    <cellStyle name="Comma 18 2 4 2 4 2 3" xfId="43134"/>
    <cellStyle name="Comma 18 2 4 2 4 3" xfId="43135"/>
    <cellStyle name="Comma 18 2 4 2 4 3 2" xfId="43136"/>
    <cellStyle name="Comma 18 2 4 2 4 4" xfId="43137"/>
    <cellStyle name="Comma 18 2 4 2 4 5" xfId="43138"/>
    <cellStyle name="Comma 18 2 4 2 5" xfId="43139"/>
    <cellStyle name="Comma 18 2 4 2 5 2" xfId="43140"/>
    <cellStyle name="Comma 18 2 4 2 5 3" xfId="43141"/>
    <cellStyle name="Comma 18 2 4 2 6" xfId="43142"/>
    <cellStyle name="Comma 18 2 4 2 6 2" xfId="43143"/>
    <cellStyle name="Comma 18 2 4 2 6 3" xfId="43144"/>
    <cellStyle name="Comma 18 2 4 2 7" xfId="43145"/>
    <cellStyle name="Comma 18 2 4 2 7 2" xfId="43146"/>
    <cellStyle name="Comma 18 2 4 2 8" xfId="43147"/>
    <cellStyle name="Comma 18 2 4 2 9" xfId="43148"/>
    <cellStyle name="Comma 18 2 4 3" xfId="43149"/>
    <cellStyle name="Comma 18 2 4 3 2" xfId="43150"/>
    <cellStyle name="Comma 18 2 4 3 2 2" xfId="43151"/>
    <cellStyle name="Comma 18 2 4 3 2 3" xfId="43152"/>
    <cellStyle name="Comma 18 2 4 3 3" xfId="43153"/>
    <cellStyle name="Comma 18 2 4 3 3 2" xfId="43154"/>
    <cellStyle name="Comma 18 2 4 3 3 3" xfId="43155"/>
    <cellStyle name="Comma 18 2 4 3 4" xfId="43156"/>
    <cellStyle name="Comma 18 2 4 3 4 2" xfId="43157"/>
    <cellStyle name="Comma 18 2 4 3 5" xfId="43158"/>
    <cellStyle name="Comma 18 2 4 3 6" xfId="43159"/>
    <cellStyle name="Comma 18 2 4 4" xfId="43160"/>
    <cellStyle name="Comma 18 2 4 4 2" xfId="43161"/>
    <cellStyle name="Comma 18 2 4 4 2 2" xfId="43162"/>
    <cellStyle name="Comma 18 2 4 4 2 3" xfId="43163"/>
    <cellStyle name="Comma 18 2 4 4 3" xfId="43164"/>
    <cellStyle name="Comma 18 2 4 4 3 2" xfId="43165"/>
    <cellStyle name="Comma 18 2 4 4 3 3" xfId="43166"/>
    <cellStyle name="Comma 18 2 4 4 4" xfId="43167"/>
    <cellStyle name="Comma 18 2 4 4 4 2" xfId="43168"/>
    <cellStyle name="Comma 18 2 4 4 5" xfId="43169"/>
    <cellStyle name="Comma 18 2 4 4 6" xfId="43170"/>
    <cellStyle name="Comma 18 2 4 5" xfId="43171"/>
    <cellStyle name="Comma 18 2 4 5 2" xfId="43172"/>
    <cellStyle name="Comma 18 2 4 5 2 2" xfId="43173"/>
    <cellStyle name="Comma 18 2 4 5 2 3" xfId="43174"/>
    <cellStyle name="Comma 18 2 4 5 3" xfId="43175"/>
    <cellStyle name="Comma 18 2 4 5 3 2" xfId="43176"/>
    <cellStyle name="Comma 18 2 4 5 4" xfId="43177"/>
    <cellStyle name="Comma 18 2 4 5 5" xfId="43178"/>
    <cellStyle name="Comma 18 2 4 6" xfId="43179"/>
    <cellStyle name="Comma 18 2 4 6 2" xfId="43180"/>
    <cellStyle name="Comma 18 2 4 6 3" xfId="43181"/>
    <cellStyle name="Comma 18 2 4 7" xfId="43182"/>
    <cellStyle name="Comma 18 2 4 7 2" xfId="43183"/>
    <cellStyle name="Comma 18 2 4 7 3" xfId="43184"/>
    <cellStyle name="Comma 18 2 4 8" xfId="43185"/>
    <cellStyle name="Comma 18 2 4 8 2" xfId="43186"/>
    <cellStyle name="Comma 18 2 4 9" xfId="43187"/>
    <cellStyle name="Comma 18 2 5" xfId="43188"/>
    <cellStyle name="Comma 18 2 5 2" xfId="43189"/>
    <cellStyle name="Comma 18 2 5 2 2" xfId="43190"/>
    <cellStyle name="Comma 18 2 5 2 2 2" xfId="43191"/>
    <cellStyle name="Comma 18 2 5 2 2 3" xfId="43192"/>
    <cellStyle name="Comma 18 2 5 2 3" xfId="43193"/>
    <cellStyle name="Comma 18 2 5 2 3 2" xfId="43194"/>
    <cellStyle name="Comma 18 2 5 2 3 3" xfId="43195"/>
    <cellStyle name="Comma 18 2 5 2 4" xfId="43196"/>
    <cellStyle name="Comma 18 2 5 2 4 2" xfId="43197"/>
    <cellStyle name="Comma 18 2 5 2 5" xfId="43198"/>
    <cellStyle name="Comma 18 2 5 2 6" xfId="43199"/>
    <cellStyle name="Comma 18 2 5 3" xfId="43200"/>
    <cellStyle name="Comma 18 2 5 3 2" xfId="43201"/>
    <cellStyle name="Comma 18 2 5 3 2 2" xfId="43202"/>
    <cellStyle name="Comma 18 2 5 3 2 3" xfId="43203"/>
    <cellStyle name="Comma 18 2 5 3 3" xfId="43204"/>
    <cellStyle name="Comma 18 2 5 3 3 2" xfId="43205"/>
    <cellStyle name="Comma 18 2 5 3 3 3" xfId="43206"/>
    <cellStyle name="Comma 18 2 5 3 4" xfId="43207"/>
    <cellStyle name="Comma 18 2 5 3 4 2" xfId="43208"/>
    <cellStyle name="Comma 18 2 5 3 5" xfId="43209"/>
    <cellStyle name="Comma 18 2 5 3 6" xfId="43210"/>
    <cellStyle name="Comma 18 2 5 4" xfId="43211"/>
    <cellStyle name="Comma 18 2 5 4 2" xfId="43212"/>
    <cellStyle name="Comma 18 2 5 4 2 2" xfId="43213"/>
    <cellStyle name="Comma 18 2 5 4 2 3" xfId="43214"/>
    <cellStyle name="Comma 18 2 5 4 3" xfId="43215"/>
    <cellStyle name="Comma 18 2 5 4 3 2" xfId="43216"/>
    <cellStyle name="Comma 18 2 5 4 4" xfId="43217"/>
    <cellStyle name="Comma 18 2 5 4 5" xfId="43218"/>
    <cellStyle name="Comma 18 2 5 5" xfId="43219"/>
    <cellStyle name="Comma 18 2 5 5 2" xfId="43220"/>
    <cellStyle name="Comma 18 2 5 5 3" xfId="43221"/>
    <cellStyle name="Comma 18 2 5 6" xfId="43222"/>
    <cellStyle name="Comma 18 2 5 6 2" xfId="43223"/>
    <cellStyle name="Comma 18 2 5 6 3" xfId="43224"/>
    <cellStyle name="Comma 18 2 5 7" xfId="43225"/>
    <cellStyle name="Comma 18 2 5 7 2" xfId="43226"/>
    <cellStyle name="Comma 18 2 5 8" xfId="43227"/>
    <cellStyle name="Comma 18 2 5 9" xfId="43228"/>
    <cellStyle name="Comma 18 2 6" xfId="43229"/>
    <cellStyle name="Comma 18 2 6 2" xfId="43230"/>
    <cellStyle name="Comma 18 2 6 2 2" xfId="43231"/>
    <cellStyle name="Comma 18 2 6 2 2 2" xfId="43232"/>
    <cellStyle name="Comma 18 2 6 2 2 3" xfId="43233"/>
    <cellStyle name="Comma 18 2 6 2 3" xfId="43234"/>
    <cellStyle name="Comma 18 2 6 2 3 2" xfId="43235"/>
    <cellStyle name="Comma 18 2 6 2 3 3" xfId="43236"/>
    <cellStyle name="Comma 18 2 6 2 4" xfId="43237"/>
    <cellStyle name="Comma 18 2 6 2 4 2" xfId="43238"/>
    <cellStyle name="Comma 18 2 6 2 5" xfId="43239"/>
    <cellStyle name="Comma 18 2 6 2 6" xfId="43240"/>
    <cellStyle name="Comma 18 2 6 3" xfId="43241"/>
    <cellStyle name="Comma 18 2 6 3 2" xfId="43242"/>
    <cellStyle name="Comma 18 2 6 3 2 2" xfId="43243"/>
    <cellStyle name="Comma 18 2 6 3 2 3" xfId="43244"/>
    <cellStyle name="Comma 18 2 6 3 3" xfId="43245"/>
    <cellStyle name="Comma 18 2 6 3 3 2" xfId="43246"/>
    <cellStyle name="Comma 18 2 6 3 3 3" xfId="43247"/>
    <cellStyle name="Comma 18 2 6 3 4" xfId="43248"/>
    <cellStyle name="Comma 18 2 6 3 4 2" xfId="43249"/>
    <cellStyle name="Comma 18 2 6 3 5" xfId="43250"/>
    <cellStyle name="Comma 18 2 6 3 6" xfId="43251"/>
    <cellStyle name="Comma 18 2 6 4" xfId="43252"/>
    <cellStyle name="Comma 18 2 6 4 2" xfId="43253"/>
    <cellStyle name="Comma 18 2 6 4 2 2" xfId="43254"/>
    <cellStyle name="Comma 18 2 6 4 2 3" xfId="43255"/>
    <cellStyle name="Comma 18 2 6 4 3" xfId="43256"/>
    <cellStyle name="Comma 18 2 6 4 3 2" xfId="43257"/>
    <cellStyle name="Comma 18 2 6 4 4" xfId="43258"/>
    <cellStyle name="Comma 18 2 6 4 5" xfId="43259"/>
    <cellStyle name="Comma 18 2 6 5" xfId="43260"/>
    <cellStyle name="Comma 18 2 6 5 2" xfId="43261"/>
    <cellStyle name="Comma 18 2 6 5 3" xfId="43262"/>
    <cellStyle name="Comma 18 2 6 6" xfId="43263"/>
    <cellStyle name="Comma 18 2 6 6 2" xfId="43264"/>
    <cellStyle name="Comma 18 2 6 6 3" xfId="43265"/>
    <cellStyle name="Comma 18 2 6 7" xfId="43266"/>
    <cellStyle name="Comma 18 2 6 7 2" xfId="43267"/>
    <cellStyle name="Comma 18 2 6 8" xfId="43268"/>
    <cellStyle name="Comma 18 2 6 9" xfId="43269"/>
    <cellStyle name="Comma 18 2 7" xfId="43270"/>
    <cellStyle name="Comma 18 2 7 2" xfId="43271"/>
    <cellStyle name="Comma 18 2 7 2 2" xfId="43272"/>
    <cellStyle name="Comma 18 2 7 2 3" xfId="43273"/>
    <cellStyle name="Comma 18 2 7 3" xfId="43274"/>
    <cellStyle name="Comma 18 2 7 3 2" xfId="43275"/>
    <cellStyle name="Comma 18 2 7 3 3" xfId="43276"/>
    <cellStyle name="Comma 18 2 7 4" xfId="43277"/>
    <cellStyle name="Comma 18 2 7 4 2" xfId="43278"/>
    <cellStyle name="Comma 18 2 7 5" xfId="43279"/>
    <cellStyle name="Comma 18 2 7 6" xfId="43280"/>
    <cellStyle name="Comma 18 2 8" xfId="43281"/>
    <cellStyle name="Comma 18 2 8 2" xfId="43282"/>
    <cellStyle name="Comma 18 2 8 2 2" xfId="43283"/>
    <cellStyle name="Comma 18 2 8 2 3" xfId="43284"/>
    <cellStyle name="Comma 18 2 8 3" xfId="43285"/>
    <cellStyle name="Comma 18 2 8 3 2" xfId="43286"/>
    <cellStyle name="Comma 18 2 8 3 3" xfId="43287"/>
    <cellStyle name="Comma 18 2 8 4" xfId="43288"/>
    <cellStyle name="Comma 18 2 8 4 2" xfId="43289"/>
    <cellStyle name="Comma 18 2 8 5" xfId="43290"/>
    <cellStyle name="Comma 18 2 8 6" xfId="43291"/>
    <cellStyle name="Comma 18 2 9" xfId="43292"/>
    <cellStyle name="Comma 18 2 9 2" xfId="43293"/>
    <cellStyle name="Comma 18 2 9 2 2" xfId="43294"/>
    <cellStyle name="Comma 18 2 9 2 3" xfId="43295"/>
    <cellStyle name="Comma 18 2 9 3" xfId="43296"/>
    <cellStyle name="Comma 18 2 9 3 2" xfId="43297"/>
    <cellStyle name="Comma 18 2 9 4" xfId="43298"/>
    <cellStyle name="Comma 18 2 9 5" xfId="43299"/>
    <cellStyle name="Comma 18 3" xfId="9423"/>
    <cellStyle name="Comma 18 3 10" xfId="43300"/>
    <cellStyle name="Comma 18 3 10 2" xfId="43301"/>
    <cellStyle name="Comma 18 3 10 3" xfId="43302"/>
    <cellStyle name="Comma 18 3 11" xfId="43303"/>
    <cellStyle name="Comma 18 3 11 2" xfId="43304"/>
    <cellStyle name="Comma 18 3 12" xfId="43305"/>
    <cellStyle name="Comma 18 3 13" xfId="43306"/>
    <cellStyle name="Comma 18 3 2" xfId="9424"/>
    <cellStyle name="Comma 18 3 2 10" xfId="43307"/>
    <cellStyle name="Comma 18 3 2 10 2" xfId="43308"/>
    <cellStyle name="Comma 18 3 2 11" xfId="43309"/>
    <cellStyle name="Comma 18 3 2 12" xfId="43310"/>
    <cellStyle name="Comma 18 3 2 2" xfId="43311"/>
    <cellStyle name="Comma 18 3 2 2 10" xfId="43312"/>
    <cellStyle name="Comma 18 3 2 2 2" xfId="43313"/>
    <cellStyle name="Comma 18 3 2 2 2 2" xfId="43314"/>
    <cellStyle name="Comma 18 3 2 2 2 2 2" xfId="43315"/>
    <cellStyle name="Comma 18 3 2 2 2 2 2 2" xfId="43316"/>
    <cellStyle name="Comma 18 3 2 2 2 2 2 3" xfId="43317"/>
    <cellStyle name="Comma 18 3 2 2 2 2 3" xfId="43318"/>
    <cellStyle name="Comma 18 3 2 2 2 2 3 2" xfId="43319"/>
    <cellStyle name="Comma 18 3 2 2 2 2 3 3" xfId="43320"/>
    <cellStyle name="Comma 18 3 2 2 2 2 4" xfId="43321"/>
    <cellStyle name="Comma 18 3 2 2 2 2 4 2" xfId="43322"/>
    <cellStyle name="Comma 18 3 2 2 2 2 5" xfId="43323"/>
    <cellStyle name="Comma 18 3 2 2 2 2 6" xfId="43324"/>
    <cellStyle name="Comma 18 3 2 2 2 3" xfId="43325"/>
    <cellStyle name="Comma 18 3 2 2 2 3 2" xfId="43326"/>
    <cellStyle name="Comma 18 3 2 2 2 3 2 2" xfId="43327"/>
    <cellStyle name="Comma 18 3 2 2 2 3 2 3" xfId="43328"/>
    <cellStyle name="Comma 18 3 2 2 2 3 3" xfId="43329"/>
    <cellStyle name="Comma 18 3 2 2 2 3 3 2" xfId="43330"/>
    <cellStyle name="Comma 18 3 2 2 2 3 3 3" xfId="43331"/>
    <cellStyle name="Comma 18 3 2 2 2 3 4" xfId="43332"/>
    <cellStyle name="Comma 18 3 2 2 2 3 4 2" xfId="43333"/>
    <cellStyle name="Comma 18 3 2 2 2 3 5" xfId="43334"/>
    <cellStyle name="Comma 18 3 2 2 2 3 6" xfId="43335"/>
    <cellStyle name="Comma 18 3 2 2 2 4" xfId="43336"/>
    <cellStyle name="Comma 18 3 2 2 2 4 2" xfId="43337"/>
    <cellStyle name="Comma 18 3 2 2 2 4 2 2" xfId="43338"/>
    <cellStyle name="Comma 18 3 2 2 2 4 2 3" xfId="43339"/>
    <cellStyle name="Comma 18 3 2 2 2 4 3" xfId="43340"/>
    <cellStyle name="Comma 18 3 2 2 2 4 3 2" xfId="43341"/>
    <cellStyle name="Comma 18 3 2 2 2 4 4" xfId="43342"/>
    <cellStyle name="Comma 18 3 2 2 2 4 5" xfId="43343"/>
    <cellStyle name="Comma 18 3 2 2 2 5" xfId="43344"/>
    <cellStyle name="Comma 18 3 2 2 2 5 2" xfId="43345"/>
    <cellStyle name="Comma 18 3 2 2 2 5 3" xfId="43346"/>
    <cellStyle name="Comma 18 3 2 2 2 6" xfId="43347"/>
    <cellStyle name="Comma 18 3 2 2 2 6 2" xfId="43348"/>
    <cellStyle name="Comma 18 3 2 2 2 6 3" xfId="43349"/>
    <cellStyle name="Comma 18 3 2 2 2 7" xfId="43350"/>
    <cellStyle name="Comma 18 3 2 2 2 7 2" xfId="43351"/>
    <cellStyle name="Comma 18 3 2 2 2 8" xfId="43352"/>
    <cellStyle name="Comma 18 3 2 2 2 9" xfId="43353"/>
    <cellStyle name="Comma 18 3 2 2 3" xfId="43354"/>
    <cellStyle name="Comma 18 3 2 2 3 2" xfId="43355"/>
    <cellStyle name="Comma 18 3 2 2 3 2 2" xfId="43356"/>
    <cellStyle name="Comma 18 3 2 2 3 2 3" xfId="43357"/>
    <cellStyle name="Comma 18 3 2 2 3 3" xfId="43358"/>
    <cellStyle name="Comma 18 3 2 2 3 3 2" xfId="43359"/>
    <cellStyle name="Comma 18 3 2 2 3 3 3" xfId="43360"/>
    <cellStyle name="Comma 18 3 2 2 3 4" xfId="43361"/>
    <cellStyle name="Comma 18 3 2 2 3 4 2" xfId="43362"/>
    <cellStyle name="Comma 18 3 2 2 3 5" xfId="43363"/>
    <cellStyle name="Comma 18 3 2 2 3 6" xfId="43364"/>
    <cellStyle name="Comma 18 3 2 2 4" xfId="43365"/>
    <cellStyle name="Comma 18 3 2 2 4 2" xfId="43366"/>
    <cellStyle name="Comma 18 3 2 2 4 2 2" xfId="43367"/>
    <cellStyle name="Comma 18 3 2 2 4 2 3" xfId="43368"/>
    <cellStyle name="Comma 18 3 2 2 4 3" xfId="43369"/>
    <cellStyle name="Comma 18 3 2 2 4 3 2" xfId="43370"/>
    <cellStyle name="Comma 18 3 2 2 4 3 3" xfId="43371"/>
    <cellStyle name="Comma 18 3 2 2 4 4" xfId="43372"/>
    <cellStyle name="Comma 18 3 2 2 4 4 2" xfId="43373"/>
    <cellStyle name="Comma 18 3 2 2 4 5" xfId="43374"/>
    <cellStyle name="Comma 18 3 2 2 4 6" xfId="43375"/>
    <cellStyle name="Comma 18 3 2 2 5" xfId="43376"/>
    <cellStyle name="Comma 18 3 2 2 5 2" xfId="43377"/>
    <cellStyle name="Comma 18 3 2 2 5 2 2" xfId="43378"/>
    <cellStyle name="Comma 18 3 2 2 5 2 3" xfId="43379"/>
    <cellStyle name="Comma 18 3 2 2 5 3" xfId="43380"/>
    <cellStyle name="Comma 18 3 2 2 5 3 2" xfId="43381"/>
    <cellStyle name="Comma 18 3 2 2 5 4" xfId="43382"/>
    <cellStyle name="Comma 18 3 2 2 5 5" xfId="43383"/>
    <cellStyle name="Comma 18 3 2 2 6" xfId="43384"/>
    <cellStyle name="Comma 18 3 2 2 6 2" xfId="43385"/>
    <cellStyle name="Comma 18 3 2 2 6 3" xfId="43386"/>
    <cellStyle name="Comma 18 3 2 2 7" xfId="43387"/>
    <cellStyle name="Comma 18 3 2 2 7 2" xfId="43388"/>
    <cellStyle name="Comma 18 3 2 2 7 3" xfId="43389"/>
    <cellStyle name="Comma 18 3 2 2 8" xfId="43390"/>
    <cellStyle name="Comma 18 3 2 2 8 2" xfId="43391"/>
    <cellStyle name="Comma 18 3 2 2 9" xfId="43392"/>
    <cellStyle name="Comma 18 3 2 3" xfId="43393"/>
    <cellStyle name="Comma 18 3 2 3 2" xfId="43394"/>
    <cellStyle name="Comma 18 3 2 3 2 2" xfId="43395"/>
    <cellStyle name="Comma 18 3 2 3 2 2 2" xfId="43396"/>
    <cellStyle name="Comma 18 3 2 3 2 2 3" xfId="43397"/>
    <cellStyle name="Comma 18 3 2 3 2 3" xfId="43398"/>
    <cellStyle name="Comma 18 3 2 3 2 3 2" xfId="43399"/>
    <cellStyle name="Comma 18 3 2 3 2 3 3" xfId="43400"/>
    <cellStyle name="Comma 18 3 2 3 2 4" xfId="43401"/>
    <cellStyle name="Comma 18 3 2 3 2 4 2" xfId="43402"/>
    <cellStyle name="Comma 18 3 2 3 2 5" xfId="43403"/>
    <cellStyle name="Comma 18 3 2 3 2 6" xfId="43404"/>
    <cellStyle name="Comma 18 3 2 3 3" xfId="43405"/>
    <cellStyle name="Comma 18 3 2 3 3 2" xfId="43406"/>
    <cellStyle name="Comma 18 3 2 3 3 2 2" xfId="43407"/>
    <cellStyle name="Comma 18 3 2 3 3 2 3" xfId="43408"/>
    <cellStyle name="Comma 18 3 2 3 3 3" xfId="43409"/>
    <cellStyle name="Comma 18 3 2 3 3 3 2" xfId="43410"/>
    <cellStyle name="Comma 18 3 2 3 3 3 3" xfId="43411"/>
    <cellStyle name="Comma 18 3 2 3 3 4" xfId="43412"/>
    <cellStyle name="Comma 18 3 2 3 3 4 2" xfId="43413"/>
    <cellStyle name="Comma 18 3 2 3 3 5" xfId="43414"/>
    <cellStyle name="Comma 18 3 2 3 3 6" xfId="43415"/>
    <cellStyle name="Comma 18 3 2 3 4" xfId="43416"/>
    <cellStyle name="Comma 18 3 2 3 4 2" xfId="43417"/>
    <cellStyle name="Comma 18 3 2 3 4 2 2" xfId="43418"/>
    <cellStyle name="Comma 18 3 2 3 4 2 3" xfId="43419"/>
    <cellStyle name="Comma 18 3 2 3 4 3" xfId="43420"/>
    <cellStyle name="Comma 18 3 2 3 4 3 2" xfId="43421"/>
    <cellStyle name="Comma 18 3 2 3 4 4" xfId="43422"/>
    <cellStyle name="Comma 18 3 2 3 4 5" xfId="43423"/>
    <cellStyle name="Comma 18 3 2 3 5" xfId="43424"/>
    <cellStyle name="Comma 18 3 2 3 5 2" xfId="43425"/>
    <cellStyle name="Comma 18 3 2 3 5 3" xfId="43426"/>
    <cellStyle name="Comma 18 3 2 3 6" xfId="43427"/>
    <cellStyle name="Comma 18 3 2 3 6 2" xfId="43428"/>
    <cellStyle name="Comma 18 3 2 3 6 3" xfId="43429"/>
    <cellStyle name="Comma 18 3 2 3 7" xfId="43430"/>
    <cellStyle name="Comma 18 3 2 3 7 2" xfId="43431"/>
    <cellStyle name="Comma 18 3 2 3 8" xfId="43432"/>
    <cellStyle name="Comma 18 3 2 3 9" xfId="43433"/>
    <cellStyle name="Comma 18 3 2 4" xfId="43434"/>
    <cellStyle name="Comma 18 3 2 4 2" xfId="43435"/>
    <cellStyle name="Comma 18 3 2 4 2 2" xfId="43436"/>
    <cellStyle name="Comma 18 3 2 4 2 2 2" xfId="43437"/>
    <cellStyle name="Comma 18 3 2 4 2 2 3" xfId="43438"/>
    <cellStyle name="Comma 18 3 2 4 2 3" xfId="43439"/>
    <cellStyle name="Comma 18 3 2 4 2 3 2" xfId="43440"/>
    <cellStyle name="Comma 18 3 2 4 2 3 3" xfId="43441"/>
    <cellStyle name="Comma 18 3 2 4 2 4" xfId="43442"/>
    <cellStyle name="Comma 18 3 2 4 2 4 2" xfId="43443"/>
    <cellStyle name="Comma 18 3 2 4 2 5" xfId="43444"/>
    <cellStyle name="Comma 18 3 2 4 2 6" xfId="43445"/>
    <cellStyle name="Comma 18 3 2 4 3" xfId="43446"/>
    <cellStyle name="Comma 18 3 2 4 3 2" xfId="43447"/>
    <cellStyle name="Comma 18 3 2 4 3 2 2" xfId="43448"/>
    <cellStyle name="Comma 18 3 2 4 3 2 3" xfId="43449"/>
    <cellStyle name="Comma 18 3 2 4 3 3" xfId="43450"/>
    <cellStyle name="Comma 18 3 2 4 3 3 2" xfId="43451"/>
    <cellStyle name="Comma 18 3 2 4 3 3 3" xfId="43452"/>
    <cellStyle name="Comma 18 3 2 4 3 4" xfId="43453"/>
    <cellStyle name="Comma 18 3 2 4 3 4 2" xfId="43454"/>
    <cellStyle name="Comma 18 3 2 4 3 5" xfId="43455"/>
    <cellStyle name="Comma 18 3 2 4 3 6" xfId="43456"/>
    <cellStyle name="Comma 18 3 2 4 4" xfId="43457"/>
    <cellStyle name="Comma 18 3 2 4 4 2" xfId="43458"/>
    <cellStyle name="Comma 18 3 2 4 4 2 2" xfId="43459"/>
    <cellStyle name="Comma 18 3 2 4 4 2 3" xfId="43460"/>
    <cellStyle name="Comma 18 3 2 4 4 3" xfId="43461"/>
    <cellStyle name="Comma 18 3 2 4 4 3 2" xfId="43462"/>
    <cellStyle name="Comma 18 3 2 4 4 4" xfId="43463"/>
    <cellStyle name="Comma 18 3 2 4 4 5" xfId="43464"/>
    <cellStyle name="Comma 18 3 2 4 5" xfId="43465"/>
    <cellStyle name="Comma 18 3 2 4 5 2" xfId="43466"/>
    <cellStyle name="Comma 18 3 2 4 5 3" xfId="43467"/>
    <cellStyle name="Comma 18 3 2 4 6" xfId="43468"/>
    <cellStyle name="Comma 18 3 2 4 6 2" xfId="43469"/>
    <cellStyle name="Comma 18 3 2 4 6 3" xfId="43470"/>
    <cellStyle name="Comma 18 3 2 4 7" xfId="43471"/>
    <cellStyle name="Comma 18 3 2 4 7 2" xfId="43472"/>
    <cellStyle name="Comma 18 3 2 4 8" xfId="43473"/>
    <cellStyle name="Comma 18 3 2 4 9" xfId="43474"/>
    <cellStyle name="Comma 18 3 2 5" xfId="43475"/>
    <cellStyle name="Comma 18 3 2 5 2" xfId="43476"/>
    <cellStyle name="Comma 18 3 2 5 2 2" xfId="43477"/>
    <cellStyle name="Comma 18 3 2 5 2 3" xfId="43478"/>
    <cellStyle name="Comma 18 3 2 5 3" xfId="43479"/>
    <cellStyle name="Comma 18 3 2 5 3 2" xfId="43480"/>
    <cellStyle name="Comma 18 3 2 5 3 3" xfId="43481"/>
    <cellStyle name="Comma 18 3 2 5 4" xfId="43482"/>
    <cellStyle name="Comma 18 3 2 5 4 2" xfId="43483"/>
    <cellStyle name="Comma 18 3 2 5 5" xfId="43484"/>
    <cellStyle name="Comma 18 3 2 5 6" xfId="43485"/>
    <cellStyle name="Comma 18 3 2 6" xfId="43486"/>
    <cellStyle name="Comma 18 3 2 6 2" xfId="43487"/>
    <cellStyle name="Comma 18 3 2 6 2 2" xfId="43488"/>
    <cellStyle name="Comma 18 3 2 6 2 3" xfId="43489"/>
    <cellStyle name="Comma 18 3 2 6 3" xfId="43490"/>
    <cellStyle name="Comma 18 3 2 6 3 2" xfId="43491"/>
    <cellStyle name="Comma 18 3 2 6 3 3" xfId="43492"/>
    <cellStyle name="Comma 18 3 2 6 4" xfId="43493"/>
    <cellStyle name="Comma 18 3 2 6 4 2" xfId="43494"/>
    <cellStyle name="Comma 18 3 2 6 5" xfId="43495"/>
    <cellStyle name="Comma 18 3 2 6 6" xfId="43496"/>
    <cellStyle name="Comma 18 3 2 7" xfId="43497"/>
    <cellStyle name="Comma 18 3 2 7 2" xfId="43498"/>
    <cellStyle name="Comma 18 3 2 7 2 2" xfId="43499"/>
    <cellStyle name="Comma 18 3 2 7 2 3" xfId="43500"/>
    <cellStyle name="Comma 18 3 2 7 3" xfId="43501"/>
    <cellStyle name="Comma 18 3 2 7 3 2" xfId="43502"/>
    <cellStyle name="Comma 18 3 2 7 4" xfId="43503"/>
    <cellStyle name="Comma 18 3 2 7 5" xfId="43504"/>
    <cellStyle name="Comma 18 3 2 8" xfId="43505"/>
    <cellStyle name="Comma 18 3 2 8 2" xfId="43506"/>
    <cellStyle name="Comma 18 3 2 8 3" xfId="43507"/>
    <cellStyle name="Comma 18 3 2 9" xfId="43508"/>
    <cellStyle name="Comma 18 3 2 9 2" xfId="43509"/>
    <cellStyle name="Comma 18 3 2 9 3" xfId="43510"/>
    <cellStyle name="Comma 18 3 3" xfId="43511"/>
    <cellStyle name="Comma 18 3 3 10" xfId="43512"/>
    <cellStyle name="Comma 18 3 3 2" xfId="43513"/>
    <cellStyle name="Comma 18 3 3 2 2" xfId="43514"/>
    <cellStyle name="Comma 18 3 3 2 2 2" xfId="43515"/>
    <cellStyle name="Comma 18 3 3 2 2 2 2" xfId="43516"/>
    <cellStyle name="Comma 18 3 3 2 2 2 3" xfId="43517"/>
    <cellStyle name="Comma 18 3 3 2 2 3" xfId="43518"/>
    <cellStyle name="Comma 18 3 3 2 2 3 2" xfId="43519"/>
    <cellStyle name="Comma 18 3 3 2 2 3 3" xfId="43520"/>
    <cellStyle name="Comma 18 3 3 2 2 4" xfId="43521"/>
    <cellStyle name="Comma 18 3 3 2 2 4 2" xfId="43522"/>
    <cellStyle name="Comma 18 3 3 2 2 5" xfId="43523"/>
    <cellStyle name="Comma 18 3 3 2 2 6" xfId="43524"/>
    <cellStyle name="Comma 18 3 3 2 3" xfId="43525"/>
    <cellStyle name="Comma 18 3 3 2 3 2" xfId="43526"/>
    <cellStyle name="Comma 18 3 3 2 3 2 2" xfId="43527"/>
    <cellStyle name="Comma 18 3 3 2 3 2 3" xfId="43528"/>
    <cellStyle name="Comma 18 3 3 2 3 3" xfId="43529"/>
    <cellStyle name="Comma 18 3 3 2 3 3 2" xfId="43530"/>
    <cellStyle name="Comma 18 3 3 2 3 3 3" xfId="43531"/>
    <cellStyle name="Comma 18 3 3 2 3 4" xfId="43532"/>
    <cellStyle name="Comma 18 3 3 2 3 4 2" xfId="43533"/>
    <cellStyle name="Comma 18 3 3 2 3 5" xfId="43534"/>
    <cellStyle name="Comma 18 3 3 2 3 6" xfId="43535"/>
    <cellStyle name="Comma 18 3 3 2 4" xfId="43536"/>
    <cellStyle name="Comma 18 3 3 2 4 2" xfId="43537"/>
    <cellStyle name="Comma 18 3 3 2 4 2 2" xfId="43538"/>
    <cellStyle name="Comma 18 3 3 2 4 2 3" xfId="43539"/>
    <cellStyle name="Comma 18 3 3 2 4 3" xfId="43540"/>
    <cellStyle name="Comma 18 3 3 2 4 3 2" xfId="43541"/>
    <cellStyle name="Comma 18 3 3 2 4 4" xfId="43542"/>
    <cellStyle name="Comma 18 3 3 2 4 5" xfId="43543"/>
    <cellStyle name="Comma 18 3 3 2 5" xfId="43544"/>
    <cellStyle name="Comma 18 3 3 2 5 2" xfId="43545"/>
    <cellStyle name="Comma 18 3 3 2 5 3" xfId="43546"/>
    <cellStyle name="Comma 18 3 3 2 6" xfId="43547"/>
    <cellStyle name="Comma 18 3 3 2 6 2" xfId="43548"/>
    <cellStyle name="Comma 18 3 3 2 6 3" xfId="43549"/>
    <cellStyle name="Comma 18 3 3 2 7" xfId="43550"/>
    <cellStyle name="Comma 18 3 3 2 7 2" xfId="43551"/>
    <cellStyle name="Comma 18 3 3 2 8" xfId="43552"/>
    <cellStyle name="Comma 18 3 3 2 9" xfId="43553"/>
    <cellStyle name="Comma 18 3 3 3" xfId="43554"/>
    <cellStyle name="Comma 18 3 3 3 2" xfId="43555"/>
    <cellStyle name="Comma 18 3 3 3 2 2" xfId="43556"/>
    <cellStyle name="Comma 18 3 3 3 2 3" xfId="43557"/>
    <cellStyle name="Comma 18 3 3 3 3" xfId="43558"/>
    <cellStyle name="Comma 18 3 3 3 3 2" xfId="43559"/>
    <cellStyle name="Comma 18 3 3 3 3 3" xfId="43560"/>
    <cellStyle name="Comma 18 3 3 3 4" xfId="43561"/>
    <cellStyle name="Comma 18 3 3 3 4 2" xfId="43562"/>
    <cellStyle name="Comma 18 3 3 3 5" xfId="43563"/>
    <cellStyle name="Comma 18 3 3 3 6" xfId="43564"/>
    <cellStyle name="Comma 18 3 3 4" xfId="43565"/>
    <cellStyle name="Comma 18 3 3 4 2" xfId="43566"/>
    <cellStyle name="Comma 18 3 3 4 2 2" xfId="43567"/>
    <cellStyle name="Comma 18 3 3 4 2 3" xfId="43568"/>
    <cellStyle name="Comma 18 3 3 4 3" xfId="43569"/>
    <cellStyle name="Comma 18 3 3 4 3 2" xfId="43570"/>
    <cellStyle name="Comma 18 3 3 4 3 3" xfId="43571"/>
    <cellStyle name="Comma 18 3 3 4 4" xfId="43572"/>
    <cellStyle name="Comma 18 3 3 4 4 2" xfId="43573"/>
    <cellStyle name="Comma 18 3 3 4 5" xfId="43574"/>
    <cellStyle name="Comma 18 3 3 4 6" xfId="43575"/>
    <cellStyle name="Comma 18 3 3 5" xfId="43576"/>
    <cellStyle name="Comma 18 3 3 5 2" xfId="43577"/>
    <cellStyle name="Comma 18 3 3 5 2 2" xfId="43578"/>
    <cellStyle name="Comma 18 3 3 5 2 3" xfId="43579"/>
    <cellStyle name="Comma 18 3 3 5 3" xfId="43580"/>
    <cellStyle name="Comma 18 3 3 5 3 2" xfId="43581"/>
    <cellStyle name="Comma 18 3 3 5 4" xfId="43582"/>
    <cellStyle name="Comma 18 3 3 5 5" xfId="43583"/>
    <cellStyle name="Comma 18 3 3 6" xfId="43584"/>
    <cellStyle name="Comma 18 3 3 6 2" xfId="43585"/>
    <cellStyle name="Comma 18 3 3 6 3" xfId="43586"/>
    <cellStyle name="Comma 18 3 3 7" xfId="43587"/>
    <cellStyle name="Comma 18 3 3 7 2" xfId="43588"/>
    <cellStyle name="Comma 18 3 3 7 3" xfId="43589"/>
    <cellStyle name="Comma 18 3 3 8" xfId="43590"/>
    <cellStyle name="Comma 18 3 3 8 2" xfId="43591"/>
    <cellStyle name="Comma 18 3 3 9" xfId="43592"/>
    <cellStyle name="Comma 18 3 4" xfId="43593"/>
    <cellStyle name="Comma 18 3 4 2" xfId="43594"/>
    <cellStyle name="Comma 18 3 4 2 2" xfId="43595"/>
    <cellStyle name="Comma 18 3 4 2 2 2" xfId="43596"/>
    <cellStyle name="Comma 18 3 4 2 2 3" xfId="43597"/>
    <cellStyle name="Comma 18 3 4 2 3" xfId="43598"/>
    <cellStyle name="Comma 18 3 4 2 3 2" xfId="43599"/>
    <cellStyle name="Comma 18 3 4 2 3 3" xfId="43600"/>
    <cellStyle name="Comma 18 3 4 2 4" xfId="43601"/>
    <cellStyle name="Comma 18 3 4 2 4 2" xfId="43602"/>
    <cellStyle name="Comma 18 3 4 2 5" xfId="43603"/>
    <cellStyle name="Comma 18 3 4 2 6" xfId="43604"/>
    <cellStyle name="Comma 18 3 4 3" xfId="43605"/>
    <cellStyle name="Comma 18 3 4 3 2" xfId="43606"/>
    <cellStyle name="Comma 18 3 4 3 2 2" xfId="43607"/>
    <cellStyle name="Comma 18 3 4 3 2 3" xfId="43608"/>
    <cellStyle name="Comma 18 3 4 3 3" xfId="43609"/>
    <cellStyle name="Comma 18 3 4 3 3 2" xfId="43610"/>
    <cellStyle name="Comma 18 3 4 3 3 3" xfId="43611"/>
    <cellStyle name="Comma 18 3 4 3 4" xfId="43612"/>
    <cellStyle name="Comma 18 3 4 3 4 2" xfId="43613"/>
    <cellStyle name="Comma 18 3 4 3 5" xfId="43614"/>
    <cellStyle name="Comma 18 3 4 3 6" xfId="43615"/>
    <cellStyle name="Comma 18 3 4 4" xfId="43616"/>
    <cellStyle name="Comma 18 3 4 4 2" xfId="43617"/>
    <cellStyle name="Comma 18 3 4 4 2 2" xfId="43618"/>
    <cellStyle name="Comma 18 3 4 4 2 3" xfId="43619"/>
    <cellStyle name="Comma 18 3 4 4 3" xfId="43620"/>
    <cellStyle name="Comma 18 3 4 4 3 2" xfId="43621"/>
    <cellStyle name="Comma 18 3 4 4 4" xfId="43622"/>
    <cellStyle name="Comma 18 3 4 4 5" xfId="43623"/>
    <cellStyle name="Comma 18 3 4 5" xfId="43624"/>
    <cellStyle name="Comma 18 3 4 5 2" xfId="43625"/>
    <cellStyle name="Comma 18 3 4 5 3" xfId="43626"/>
    <cellStyle name="Comma 18 3 4 6" xfId="43627"/>
    <cellStyle name="Comma 18 3 4 6 2" xfId="43628"/>
    <cellStyle name="Comma 18 3 4 6 3" xfId="43629"/>
    <cellStyle name="Comma 18 3 4 7" xfId="43630"/>
    <cellStyle name="Comma 18 3 4 7 2" xfId="43631"/>
    <cellStyle name="Comma 18 3 4 8" xfId="43632"/>
    <cellStyle name="Comma 18 3 4 9" xfId="43633"/>
    <cellStyle name="Comma 18 3 5" xfId="43634"/>
    <cellStyle name="Comma 18 3 5 2" xfId="43635"/>
    <cellStyle name="Comma 18 3 5 2 2" xfId="43636"/>
    <cellStyle name="Comma 18 3 5 2 2 2" xfId="43637"/>
    <cellStyle name="Comma 18 3 5 2 2 3" xfId="43638"/>
    <cellStyle name="Comma 18 3 5 2 3" xfId="43639"/>
    <cellStyle name="Comma 18 3 5 2 3 2" xfId="43640"/>
    <cellStyle name="Comma 18 3 5 2 3 3" xfId="43641"/>
    <cellStyle name="Comma 18 3 5 2 4" xfId="43642"/>
    <cellStyle name="Comma 18 3 5 2 4 2" xfId="43643"/>
    <cellStyle name="Comma 18 3 5 2 5" xfId="43644"/>
    <cellStyle name="Comma 18 3 5 2 6" xfId="43645"/>
    <cellStyle name="Comma 18 3 5 3" xfId="43646"/>
    <cellStyle name="Comma 18 3 5 3 2" xfId="43647"/>
    <cellStyle name="Comma 18 3 5 3 2 2" xfId="43648"/>
    <cellStyle name="Comma 18 3 5 3 2 3" xfId="43649"/>
    <cellStyle name="Comma 18 3 5 3 3" xfId="43650"/>
    <cellStyle name="Comma 18 3 5 3 3 2" xfId="43651"/>
    <cellStyle name="Comma 18 3 5 3 3 3" xfId="43652"/>
    <cellStyle name="Comma 18 3 5 3 4" xfId="43653"/>
    <cellStyle name="Comma 18 3 5 3 4 2" xfId="43654"/>
    <cellStyle name="Comma 18 3 5 3 5" xfId="43655"/>
    <cellStyle name="Comma 18 3 5 3 6" xfId="43656"/>
    <cellStyle name="Comma 18 3 5 4" xfId="43657"/>
    <cellStyle name="Comma 18 3 5 4 2" xfId="43658"/>
    <cellStyle name="Comma 18 3 5 4 2 2" xfId="43659"/>
    <cellStyle name="Comma 18 3 5 4 2 3" xfId="43660"/>
    <cellStyle name="Comma 18 3 5 4 3" xfId="43661"/>
    <cellStyle name="Comma 18 3 5 4 3 2" xfId="43662"/>
    <cellStyle name="Comma 18 3 5 4 4" xfId="43663"/>
    <cellStyle name="Comma 18 3 5 4 5" xfId="43664"/>
    <cellStyle name="Comma 18 3 5 5" xfId="43665"/>
    <cellStyle name="Comma 18 3 5 5 2" xfId="43666"/>
    <cellStyle name="Comma 18 3 5 5 3" xfId="43667"/>
    <cellStyle name="Comma 18 3 5 6" xfId="43668"/>
    <cellStyle name="Comma 18 3 5 6 2" xfId="43669"/>
    <cellStyle name="Comma 18 3 5 6 3" xfId="43670"/>
    <cellStyle name="Comma 18 3 5 7" xfId="43671"/>
    <cellStyle name="Comma 18 3 5 7 2" xfId="43672"/>
    <cellStyle name="Comma 18 3 5 8" xfId="43673"/>
    <cellStyle name="Comma 18 3 5 9" xfId="43674"/>
    <cellStyle name="Comma 18 3 6" xfId="43675"/>
    <cellStyle name="Comma 18 3 6 2" xfId="43676"/>
    <cellStyle name="Comma 18 3 6 2 2" xfId="43677"/>
    <cellStyle name="Comma 18 3 6 2 3" xfId="43678"/>
    <cellStyle name="Comma 18 3 6 3" xfId="43679"/>
    <cellStyle name="Comma 18 3 6 3 2" xfId="43680"/>
    <cellStyle name="Comma 18 3 6 3 3" xfId="43681"/>
    <cellStyle name="Comma 18 3 6 4" xfId="43682"/>
    <cellStyle name="Comma 18 3 6 4 2" xfId="43683"/>
    <cellStyle name="Comma 18 3 6 5" xfId="43684"/>
    <cellStyle name="Comma 18 3 6 6" xfId="43685"/>
    <cellStyle name="Comma 18 3 7" xfId="43686"/>
    <cellStyle name="Comma 18 3 7 2" xfId="43687"/>
    <cellStyle name="Comma 18 3 7 2 2" xfId="43688"/>
    <cellStyle name="Comma 18 3 7 2 3" xfId="43689"/>
    <cellStyle name="Comma 18 3 7 3" xfId="43690"/>
    <cellStyle name="Comma 18 3 7 3 2" xfId="43691"/>
    <cellStyle name="Comma 18 3 7 3 3" xfId="43692"/>
    <cellStyle name="Comma 18 3 7 4" xfId="43693"/>
    <cellStyle name="Comma 18 3 7 4 2" xfId="43694"/>
    <cellStyle name="Comma 18 3 7 5" xfId="43695"/>
    <cellStyle name="Comma 18 3 7 6" xfId="43696"/>
    <cellStyle name="Comma 18 3 8" xfId="43697"/>
    <cellStyle name="Comma 18 3 8 2" xfId="43698"/>
    <cellStyle name="Comma 18 3 8 2 2" xfId="43699"/>
    <cellStyle name="Comma 18 3 8 2 3" xfId="43700"/>
    <cellStyle name="Comma 18 3 8 3" xfId="43701"/>
    <cellStyle name="Comma 18 3 8 3 2" xfId="43702"/>
    <cellStyle name="Comma 18 3 8 4" xfId="43703"/>
    <cellStyle name="Comma 18 3 8 5" xfId="43704"/>
    <cellStyle name="Comma 18 3 9" xfId="43705"/>
    <cellStyle name="Comma 18 3 9 2" xfId="43706"/>
    <cellStyle name="Comma 18 3 9 3" xfId="43707"/>
    <cellStyle name="Comma 18 4" xfId="9425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9426"/>
    <cellStyle name="Comma 18 5 10" xfId="43912"/>
    <cellStyle name="Comma 18 5 2" xfId="43913"/>
    <cellStyle name="Comma 18 5 2 2" xfId="43914"/>
    <cellStyle name="Comma 18 5 2 2 2" xfId="43915"/>
    <cellStyle name="Comma 18 5 2 2 2 2" xfId="43916"/>
    <cellStyle name="Comma 18 5 2 2 2 3" xfId="43917"/>
    <cellStyle name="Comma 18 5 2 2 3" xfId="43918"/>
    <cellStyle name="Comma 18 5 2 2 3 2" xfId="43919"/>
    <cellStyle name="Comma 18 5 2 2 3 3" xfId="43920"/>
    <cellStyle name="Comma 18 5 2 2 4" xfId="43921"/>
    <cellStyle name="Comma 18 5 2 2 4 2" xfId="43922"/>
    <cellStyle name="Comma 18 5 2 2 5" xfId="43923"/>
    <cellStyle name="Comma 18 5 2 2 6" xfId="43924"/>
    <cellStyle name="Comma 18 5 2 3" xfId="43925"/>
    <cellStyle name="Comma 18 5 2 3 2" xfId="43926"/>
    <cellStyle name="Comma 18 5 2 3 2 2" xfId="43927"/>
    <cellStyle name="Comma 18 5 2 3 2 3" xfId="43928"/>
    <cellStyle name="Comma 18 5 2 3 3" xfId="43929"/>
    <cellStyle name="Comma 18 5 2 3 3 2" xfId="43930"/>
    <cellStyle name="Comma 18 5 2 3 3 3" xfId="43931"/>
    <cellStyle name="Comma 18 5 2 3 4" xfId="43932"/>
    <cellStyle name="Comma 18 5 2 3 4 2" xfId="43933"/>
    <cellStyle name="Comma 18 5 2 3 5" xfId="43934"/>
    <cellStyle name="Comma 18 5 2 3 6" xfId="43935"/>
    <cellStyle name="Comma 18 5 2 4" xfId="43936"/>
    <cellStyle name="Comma 18 5 2 4 2" xfId="43937"/>
    <cellStyle name="Comma 18 5 2 4 2 2" xfId="43938"/>
    <cellStyle name="Comma 18 5 2 4 2 3" xfId="43939"/>
    <cellStyle name="Comma 18 5 2 4 3" xfId="43940"/>
    <cellStyle name="Comma 18 5 2 4 3 2" xfId="43941"/>
    <cellStyle name="Comma 18 5 2 4 4" xfId="43942"/>
    <cellStyle name="Comma 18 5 2 4 5" xfId="43943"/>
    <cellStyle name="Comma 18 5 2 5" xfId="43944"/>
    <cellStyle name="Comma 18 5 2 5 2" xfId="43945"/>
    <cellStyle name="Comma 18 5 2 5 3" xfId="43946"/>
    <cellStyle name="Comma 18 5 2 6" xfId="43947"/>
    <cellStyle name="Comma 18 5 2 6 2" xfId="43948"/>
    <cellStyle name="Comma 18 5 2 6 3" xfId="43949"/>
    <cellStyle name="Comma 18 5 2 7" xfId="43950"/>
    <cellStyle name="Comma 18 5 2 7 2" xfId="43951"/>
    <cellStyle name="Comma 18 5 2 8" xfId="43952"/>
    <cellStyle name="Comma 18 5 2 9" xfId="43953"/>
    <cellStyle name="Comma 18 5 3" xfId="43954"/>
    <cellStyle name="Comma 18 5 3 2" xfId="43955"/>
    <cellStyle name="Comma 18 5 3 2 2" xfId="43956"/>
    <cellStyle name="Comma 18 5 3 2 3" xfId="43957"/>
    <cellStyle name="Comma 18 5 3 3" xfId="43958"/>
    <cellStyle name="Comma 18 5 3 3 2" xfId="43959"/>
    <cellStyle name="Comma 18 5 3 3 3" xfId="43960"/>
    <cellStyle name="Comma 18 5 3 4" xfId="43961"/>
    <cellStyle name="Comma 18 5 3 4 2" xfId="43962"/>
    <cellStyle name="Comma 18 5 3 5" xfId="43963"/>
    <cellStyle name="Comma 18 5 3 6" xfId="43964"/>
    <cellStyle name="Comma 18 5 4" xfId="43965"/>
    <cellStyle name="Comma 18 5 4 2" xfId="43966"/>
    <cellStyle name="Comma 18 5 4 2 2" xfId="43967"/>
    <cellStyle name="Comma 18 5 4 2 3" xfId="43968"/>
    <cellStyle name="Comma 18 5 4 3" xfId="43969"/>
    <cellStyle name="Comma 18 5 4 3 2" xfId="43970"/>
    <cellStyle name="Comma 18 5 4 3 3" xfId="43971"/>
    <cellStyle name="Comma 18 5 4 4" xfId="43972"/>
    <cellStyle name="Comma 18 5 4 4 2" xfId="43973"/>
    <cellStyle name="Comma 18 5 4 5" xfId="43974"/>
    <cellStyle name="Comma 18 5 4 6" xfId="43975"/>
    <cellStyle name="Comma 18 5 5" xfId="43976"/>
    <cellStyle name="Comma 18 5 5 2" xfId="43977"/>
    <cellStyle name="Comma 18 5 5 2 2" xfId="43978"/>
    <cellStyle name="Comma 18 5 5 2 3" xfId="43979"/>
    <cellStyle name="Comma 18 5 5 3" xfId="43980"/>
    <cellStyle name="Comma 18 5 5 3 2" xfId="43981"/>
    <cellStyle name="Comma 18 5 5 4" xfId="43982"/>
    <cellStyle name="Comma 18 5 5 5" xfId="43983"/>
    <cellStyle name="Comma 18 5 6" xfId="43984"/>
    <cellStyle name="Comma 18 5 6 2" xfId="43985"/>
    <cellStyle name="Comma 18 5 6 3" xfId="43986"/>
    <cellStyle name="Comma 18 5 7" xfId="43987"/>
    <cellStyle name="Comma 18 5 7 2" xfId="43988"/>
    <cellStyle name="Comma 18 5 7 3" xfId="43989"/>
    <cellStyle name="Comma 18 5 8" xfId="43990"/>
    <cellStyle name="Comma 18 5 8 2" xfId="43991"/>
    <cellStyle name="Comma 18 5 9" xfId="43992"/>
    <cellStyle name="Comma 18 6" xfId="43993"/>
    <cellStyle name="Comma 18 6 2" xfId="43994"/>
    <cellStyle name="Comma 18 6 2 2" xfId="43995"/>
    <cellStyle name="Comma 18 6 2 2 2" xfId="43996"/>
    <cellStyle name="Comma 18 6 2 2 3" xfId="43997"/>
    <cellStyle name="Comma 18 6 2 3" xfId="43998"/>
    <cellStyle name="Comma 18 6 2 3 2" xfId="43999"/>
    <cellStyle name="Comma 18 6 2 3 3" xfId="44000"/>
    <cellStyle name="Comma 18 6 2 4" xfId="44001"/>
    <cellStyle name="Comma 18 6 2 4 2" xfId="44002"/>
    <cellStyle name="Comma 18 6 2 5" xfId="44003"/>
    <cellStyle name="Comma 18 6 2 6" xfId="44004"/>
    <cellStyle name="Comma 18 6 3" xfId="44005"/>
    <cellStyle name="Comma 18 6 3 2" xfId="44006"/>
    <cellStyle name="Comma 18 6 3 2 2" xfId="44007"/>
    <cellStyle name="Comma 18 6 3 2 3" xfId="44008"/>
    <cellStyle name="Comma 18 6 3 3" xfId="44009"/>
    <cellStyle name="Comma 18 6 3 3 2" xfId="44010"/>
    <cellStyle name="Comma 18 6 3 3 3" xfId="44011"/>
    <cellStyle name="Comma 18 6 3 4" xfId="44012"/>
    <cellStyle name="Comma 18 6 3 4 2" xfId="44013"/>
    <cellStyle name="Comma 18 6 3 5" xfId="44014"/>
    <cellStyle name="Comma 18 6 3 6" xfId="44015"/>
    <cellStyle name="Comma 18 6 4" xfId="44016"/>
    <cellStyle name="Comma 18 6 4 2" xfId="44017"/>
    <cellStyle name="Comma 18 6 4 2 2" xfId="44018"/>
    <cellStyle name="Comma 18 6 4 2 3" xfId="44019"/>
    <cellStyle name="Comma 18 6 4 3" xfId="44020"/>
    <cellStyle name="Comma 18 6 4 3 2" xfId="44021"/>
    <cellStyle name="Comma 18 6 4 4" xfId="44022"/>
    <cellStyle name="Comma 18 6 4 5" xfId="44023"/>
    <cellStyle name="Comma 18 6 5" xfId="44024"/>
    <cellStyle name="Comma 18 6 5 2" xfId="44025"/>
    <cellStyle name="Comma 18 6 5 3" xfId="44026"/>
    <cellStyle name="Comma 18 6 6" xfId="44027"/>
    <cellStyle name="Comma 18 6 6 2" xfId="44028"/>
    <cellStyle name="Comma 18 6 6 3" xfId="44029"/>
    <cellStyle name="Comma 18 6 7" xfId="44030"/>
    <cellStyle name="Comma 18 6 7 2" xfId="44031"/>
    <cellStyle name="Comma 18 6 8" xfId="44032"/>
    <cellStyle name="Comma 18 6 9" xfId="44033"/>
    <cellStyle name="Comma 18 7" xfId="44034"/>
    <cellStyle name="Comma 18 7 2" xfId="44035"/>
    <cellStyle name="Comma 18 7 2 2" xfId="44036"/>
    <cellStyle name="Comma 18 7 2 2 2" xfId="44037"/>
    <cellStyle name="Comma 18 7 2 2 3" xfId="44038"/>
    <cellStyle name="Comma 18 7 2 3" xfId="44039"/>
    <cellStyle name="Comma 18 7 2 3 2" xfId="44040"/>
    <cellStyle name="Comma 18 7 2 3 3" xfId="44041"/>
    <cellStyle name="Comma 18 7 2 4" xfId="44042"/>
    <cellStyle name="Comma 18 7 2 4 2" xfId="44043"/>
    <cellStyle name="Comma 18 7 2 5" xfId="44044"/>
    <cellStyle name="Comma 18 7 2 6" xfId="44045"/>
    <cellStyle name="Comma 18 7 3" xfId="44046"/>
    <cellStyle name="Comma 18 7 3 2" xfId="44047"/>
    <cellStyle name="Comma 18 7 3 2 2" xfId="44048"/>
    <cellStyle name="Comma 18 7 3 2 3" xfId="44049"/>
    <cellStyle name="Comma 18 7 3 3" xfId="44050"/>
    <cellStyle name="Comma 18 7 3 3 2" xfId="44051"/>
    <cellStyle name="Comma 18 7 3 3 3" xfId="44052"/>
    <cellStyle name="Comma 18 7 3 4" xfId="44053"/>
    <cellStyle name="Comma 18 7 3 4 2" xfId="44054"/>
    <cellStyle name="Comma 18 7 3 5" xfId="44055"/>
    <cellStyle name="Comma 18 7 3 6" xfId="44056"/>
    <cellStyle name="Comma 18 7 4" xfId="44057"/>
    <cellStyle name="Comma 18 7 4 2" xfId="44058"/>
    <cellStyle name="Comma 18 7 4 2 2" xfId="44059"/>
    <cellStyle name="Comma 18 7 4 2 3" xfId="44060"/>
    <cellStyle name="Comma 18 7 4 3" xfId="44061"/>
    <cellStyle name="Comma 18 7 4 3 2" xfId="44062"/>
    <cellStyle name="Comma 18 7 4 4" xfId="44063"/>
    <cellStyle name="Comma 18 7 4 5" xfId="44064"/>
    <cellStyle name="Comma 18 7 5" xfId="44065"/>
    <cellStyle name="Comma 18 7 5 2" xfId="44066"/>
    <cellStyle name="Comma 18 7 5 3" xfId="44067"/>
    <cellStyle name="Comma 18 7 6" xfId="44068"/>
    <cellStyle name="Comma 18 7 6 2" xfId="44069"/>
    <cellStyle name="Comma 18 7 6 3" xfId="44070"/>
    <cellStyle name="Comma 18 7 7" xfId="44071"/>
    <cellStyle name="Comma 18 7 7 2" xfId="44072"/>
    <cellStyle name="Comma 18 7 8" xfId="44073"/>
    <cellStyle name="Comma 18 7 9" xfId="44074"/>
    <cellStyle name="Comma 18 8" xfId="44075"/>
    <cellStyle name="Comma 18 8 2" xfId="44076"/>
    <cellStyle name="Comma 18 8 2 2" xfId="44077"/>
    <cellStyle name="Comma 18 8 2 3" xfId="44078"/>
    <cellStyle name="Comma 18 8 3" xfId="44079"/>
    <cellStyle name="Comma 18 8 3 2" xfId="44080"/>
    <cellStyle name="Comma 18 8 3 3" xfId="44081"/>
    <cellStyle name="Comma 18 8 4" xfId="44082"/>
    <cellStyle name="Comma 18 8 4 2" xfId="44083"/>
    <cellStyle name="Comma 18 8 5" xfId="44084"/>
    <cellStyle name="Comma 18 8 6" xfId="44085"/>
    <cellStyle name="Comma 18 9" xfId="44086"/>
    <cellStyle name="Comma 18 9 2" xfId="44087"/>
    <cellStyle name="Comma 18 9 2 2" xfId="44088"/>
    <cellStyle name="Comma 18 9 2 3" xfId="44089"/>
    <cellStyle name="Comma 18 9 3" xfId="44090"/>
    <cellStyle name="Comma 18 9 3 2" xfId="44091"/>
    <cellStyle name="Comma 18 9 3 3" xfId="44092"/>
    <cellStyle name="Comma 18 9 4" xfId="44093"/>
    <cellStyle name="Comma 18 9 4 2" xfId="44094"/>
    <cellStyle name="Comma 18 9 5" xfId="44095"/>
    <cellStyle name="Comma 18 9 6" xfId="44096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9436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9437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9438"/>
    <cellStyle name="Comma 2 2 2 5 2" xfId="58661"/>
    <cellStyle name="Comma 2 2 2 6" xfId="57875"/>
    <cellStyle name="Comma 2 2 2 7" xfId="58662"/>
    <cellStyle name="Comma 2 2 2 8" xfId="58663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6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9450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9451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9452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9454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9457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7"/>
    <cellStyle name="Comma 24 10 2" xfId="44098"/>
    <cellStyle name="Comma 24 11" xfId="44099"/>
    <cellStyle name="Comma 24 12" xfId="44100"/>
    <cellStyle name="Comma 24 13" xfId="44101"/>
    <cellStyle name="Comma 24 2" xfId="9480"/>
    <cellStyle name="Comma 24 2 10" xfId="44102"/>
    <cellStyle name="Comma 24 2 2" xfId="44103"/>
    <cellStyle name="Comma 24 2 2 2" xfId="44104"/>
    <cellStyle name="Comma 24 2 2 2 2" xfId="44105"/>
    <cellStyle name="Comma 24 2 2 2 2 2" xfId="44106"/>
    <cellStyle name="Comma 24 2 2 2 2 3" xfId="44107"/>
    <cellStyle name="Comma 24 2 2 2 3" xfId="44108"/>
    <cellStyle name="Comma 24 2 2 2 3 2" xfId="44109"/>
    <cellStyle name="Comma 24 2 2 2 3 3" xfId="44110"/>
    <cellStyle name="Comma 24 2 2 2 4" xfId="44111"/>
    <cellStyle name="Comma 24 2 2 2 4 2" xfId="44112"/>
    <cellStyle name="Comma 24 2 2 2 5" xfId="44113"/>
    <cellStyle name="Comma 24 2 2 2 6" xfId="44114"/>
    <cellStyle name="Comma 24 2 2 3" xfId="44115"/>
    <cellStyle name="Comma 24 2 2 3 2" xfId="44116"/>
    <cellStyle name="Comma 24 2 2 3 2 2" xfId="44117"/>
    <cellStyle name="Comma 24 2 2 3 2 3" xfId="44118"/>
    <cellStyle name="Comma 24 2 2 3 3" xfId="44119"/>
    <cellStyle name="Comma 24 2 2 3 3 2" xfId="44120"/>
    <cellStyle name="Comma 24 2 2 3 3 3" xfId="44121"/>
    <cellStyle name="Comma 24 2 2 3 4" xfId="44122"/>
    <cellStyle name="Comma 24 2 2 3 4 2" xfId="44123"/>
    <cellStyle name="Comma 24 2 2 3 5" xfId="44124"/>
    <cellStyle name="Comma 24 2 2 3 6" xfId="44125"/>
    <cellStyle name="Comma 24 2 2 4" xfId="44126"/>
    <cellStyle name="Comma 24 2 2 4 2" xfId="44127"/>
    <cellStyle name="Comma 24 2 2 4 2 2" xfId="44128"/>
    <cellStyle name="Comma 24 2 2 4 2 3" xfId="44129"/>
    <cellStyle name="Comma 24 2 2 4 3" xfId="44130"/>
    <cellStyle name="Comma 24 2 2 4 3 2" xfId="44131"/>
    <cellStyle name="Comma 24 2 2 4 4" xfId="44132"/>
    <cellStyle name="Comma 24 2 2 4 5" xfId="44133"/>
    <cellStyle name="Comma 24 2 2 5" xfId="44134"/>
    <cellStyle name="Comma 24 2 2 5 2" xfId="44135"/>
    <cellStyle name="Comma 24 2 2 5 3" xfId="44136"/>
    <cellStyle name="Comma 24 2 2 6" xfId="44137"/>
    <cellStyle name="Comma 24 2 2 6 2" xfId="44138"/>
    <cellStyle name="Comma 24 2 2 6 3" xfId="44139"/>
    <cellStyle name="Comma 24 2 2 7" xfId="44140"/>
    <cellStyle name="Comma 24 2 2 7 2" xfId="44141"/>
    <cellStyle name="Comma 24 2 2 8" xfId="44142"/>
    <cellStyle name="Comma 24 2 2 9" xfId="44143"/>
    <cellStyle name="Comma 24 2 3" xfId="44144"/>
    <cellStyle name="Comma 24 2 3 2" xfId="44145"/>
    <cellStyle name="Comma 24 2 3 2 2" xfId="44146"/>
    <cellStyle name="Comma 24 2 3 2 3" xfId="44147"/>
    <cellStyle name="Comma 24 2 3 3" xfId="44148"/>
    <cellStyle name="Comma 24 2 3 3 2" xfId="44149"/>
    <cellStyle name="Comma 24 2 3 3 3" xfId="44150"/>
    <cellStyle name="Comma 24 2 3 4" xfId="44151"/>
    <cellStyle name="Comma 24 2 3 4 2" xfId="44152"/>
    <cellStyle name="Comma 24 2 3 5" xfId="44153"/>
    <cellStyle name="Comma 24 2 3 6" xfId="44154"/>
    <cellStyle name="Comma 24 2 4" xfId="44155"/>
    <cellStyle name="Comma 24 2 4 2" xfId="44156"/>
    <cellStyle name="Comma 24 2 4 2 2" xfId="44157"/>
    <cellStyle name="Comma 24 2 4 2 3" xfId="44158"/>
    <cellStyle name="Comma 24 2 4 3" xfId="44159"/>
    <cellStyle name="Comma 24 2 4 3 2" xfId="44160"/>
    <cellStyle name="Comma 24 2 4 3 3" xfId="44161"/>
    <cellStyle name="Comma 24 2 4 4" xfId="44162"/>
    <cellStyle name="Comma 24 2 4 4 2" xfId="44163"/>
    <cellStyle name="Comma 24 2 4 5" xfId="44164"/>
    <cellStyle name="Comma 24 2 4 6" xfId="44165"/>
    <cellStyle name="Comma 24 2 5" xfId="44166"/>
    <cellStyle name="Comma 24 2 5 2" xfId="44167"/>
    <cellStyle name="Comma 24 2 5 2 2" xfId="44168"/>
    <cellStyle name="Comma 24 2 5 2 3" xfId="44169"/>
    <cellStyle name="Comma 24 2 5 3" xfId="44170"/>
    <cellStyle name="Comma 24 2 5 3 2" xfId="44171"/>
    <cellStyle name="Comma 24 2 5 4" xfId="44172"/>
    <cellStyle name="Comma 24 2 5 5" xfId="44173"/>
    <cellStyle name="Comma 24 2 6" xfId="44174"/>
    <cellStyle name="Comma 24 2 6 2" xfId="44175"/>
    <cellStyle name="Comma 24 2 6 3" xfId="44176"/>
    <cellStyle name="Comma 24 2 7" xfId="44177"/>
    <cellStyle name="Comma 24 2 7 2" xfId="44178"/>
    <cellStyle name="Comma 24 2 7 3" xfId="44179"/>
    <cellStyle name="Comma 24 2 8" xfId="44180"/>
    <cellStyle name="Comma 24 2 8 2" xfId="44181"/>
    <cellStyle name="Comma 24 2 9" xfId="44182"/>
    <cellStyle name="Comma 24 3" xfId="9481"/>
    <cellStyle name="Comma 24 3 2" xfId="44183"/>
    <cellStyle name="Comma 24 3 2 2" xfId="44184"/>
    <cellStyle name="Comma 24 3 2 2 2" xfId="44185"/>
    <cellStyle name="Comma 24 3 2 2 3" xfId="44186"/>
    <cellStyle name="Comma 24 3 2 3" xfId="44187"/>
    <cellStyle name="Comma 24 3 2 3 2" xfId="44188"/>
    <cellStyle name="Comma 24 3 2 3 3" xfId="44189"/>
    <cellStyle name="Comma 24 3 2 4" xfId="44190"/>
    <cellStyle name="Comma 24 3 2 4 2" xfId="44191"/>
    <cellStyle name="Comma 24 3 2 5" xfId="44192"/>
    <cellStyle name="Comma 24 3 2 6" xfId="44193"/>
    <cellStyle name="Comma 24 3 3" xfId="44194"/>
    <cellStyle name="Comma 24 3 3 2" xfId="44195"/>
    <cellStyle name="Comma 24 3 3 2 2" xfId="44196"/>
    <cellStyle name="Comma 24 3 3 2 3" xfId="44197"/>
    <cellStyle name="Comma 24 3 3 3" xfId="44198"/>
    <cellStyle name="Comma 24 3 3 3 2" xfId="44199"/>
    <cellStyle name="Comma 24 3 3 3 3" xfId="44200"/>
    <cellStyle name="Comma 24 3 3 4" xfId="44201"/>
    <cellStyle name="Comma 24 3 3 4 2" xfId="44202"/>
    <cellStyle name="Comma 24 3 3 5" xfId="44203"/>
    <cellStyle name="Comma 24 3 3 6" xfId="44204"/>
    <cellStyle name="Comma 24 3 4" xfId="44205"/>
    <cellStyle name="Comma 24 3 4 2" xfId="44206"/>
    <cellStyle name="Comma 24 3 4 2 2" xfId="44207"/>
    <cellStyle name="Comma 24 3 4 2 3" xfId="44208"/>
    <cellStyle name="Comma 24 3 4 3" xfId="44209"/>
    <cellStyle name="Comma 24 3 4 3 2" xfId="44210"/>
    <cellStyle name="Comma 24 3 4 4" xfId="44211"/>
    <cellStyle name="Comma 24 3 4 5" xfId="44212"/>
    <cellStyle name="Comma 24 3 5" xfId="44213"/>
    <cellStyle name="Comma 24 3 5 2" xfId="44214"/>
    <cellStyle name="Comma 24 3 5 3" xfId="44215"/>
    <cellStyle name="Comma 24 3 6" xfId="44216"/>
    <cellStyle name="Comma 24 3 6 2" xfId="44217"/>
    <cellStyle name="Comma 24 3 6 3" xfId="44218"/>
    <cellStyle name="Comma 24 3 7" xfId="44219"/>
    <cellStyle name="Comma 24 3 7 2" xfId="44220"/>
    <cellStyle name="Comma 24 3 8" xfId="44221"/>
    <cellStyle name="Comma 24 3 9" xfId="44222"/>
    <cellStyle name="Comma 24 4" xfId="44223"/>
    <cellStyle name="Comma 24 4 2" xfId="44224"/>
    <cellStyle name="Comma 24 4 2 2" xfId="44225"/>
    <cellStyle name="Comma 24 4 2 2 2" xfId="44226"/>
    <cellStyle name="Comma 24 4 2 2 3" xfId="44227"/>
    <cellStyle name="Comma 24 4 2 3" xfId="44228"/>
    <cellStyle name="Comma 24 4 2 3 2" xfId="44229"/>
    <cellStyle name="Comma 24 4 2 3 3" xfId="44230"/>
    <cellStyle name="Comma 24 4 2 4" xfId="44231"/>
    <cellStyle name="Comma 24 4 2 4 2" xfId="44232"/>
    <cellStyle name="Comma 24 4 2 5" xfId="44233"/>
    <cellStyle name="Comma 24 4 2 6" xfId="44234"/>
    <cellStyle name="Comma 24 4 3" xfId="44235"/>
    <cellStyle name="Comma 24 4 3 2" xfId="44236"/>
    <cellStyle name="Comma 24 4 3 2 2" xfId="44237"/>
    <cellStyle name="Comma 24 4 3 2 3" xfId="44238"/>
    <cellStyle name="Comma 24 4 3 3" xfId="44239"/>
    <cellStyle name="Comma 24 4 3 3 2" xfId="44240"/>
    <cellStyle name="Comma 24 4 3 3 3" xfId="44241"/>
    <cellStyle name="Comma 24 4 3 4" xfId="44242"/>
    <cellStyle name="Comma 24 4 3 4 2" xfId="44243"/>
    <cellStyle name="Comma 24 4 3 5" xfId="44244"/>
    <cellStyle name="Comma 24 4 3 6" xfId="44245"/>
    <cellStyle name="Comma 24 4 4" xfId="44246"/>
    <cellStyle name="Comma 24 4 4 2" xfId="44247"/>
    <cellStyle name="Comma 24 4 4 2 2" xfId="44248"/>
    <cellStyle name="Comma 24 4 4 2 3" xfId="44249"/>
    <cellStyle name="Comma 24 4 4 3" xfId="44250"/>
    <cellStyle name="Comma 24 4 4 3 2" xfId="44251"/>
    <cellStyle name="Comma 24 4 4 4" xfId="44252"/>
    <cellStyle name="Comma 24 4 4 5" xfId="44253"/>
    <cellStyle name="Comma 24 4 5" xfId="44254"/>
    <cellStyle name="Comma 24 4 5 2" xfId="44255"/>
    <cellStyle name="Comma 24 4 5 3" xfId="44256"/>
    <cellStyle name="Comma 24 4 6" xfId="44257"/>
    <cellStyle name="Comma 24 4 6 2" xfId="44258"/>
    <cellStyle name="Comma 24 4 6 3" xfId="44259"/>
    <cellStyle name="Comma 24 4 7" xfId="44260"/>
    <cellStyle name="Comma 24 4 7 2" xfId="44261"/>
    <cellStyle name="Comma 24 4 8" xfId="44262"/>
    <cellStyle name="Comma 24 4 9" xfId="44263"/>
    <cellStyle name="Comma 24 5" xfId="44264"/>
    <cellStyle name="Comma 24 5 2" xfId="44265"/>
    <cellStyle name="Comma 24 5 2 2" xfId="44266"/>
    <cellStyle name="Comma 24 5 2 3" xfId="44267"/>
    <cellStyle name="Comma 24 5 3" xfId="44268"/>
    <cellStyle name="Comma 24 5 3 2" xfId="44269"/>
    <cellStyle name="Comma 24 5 3 3" xfId="44270"/>
    <cellStyle name="Comma 24 5 4" xfId="44271"/>
    <cellStyle name="Comma 24 5 4 2" xfId="44272"/>
    <cellStyle name="Comma 24 5 5" xfId="44273"/>
    <cellStyle name="Comma 24 5 6" xfId="44274"/>
    <cellStyle name="Comma 24 6" xfId="44275"/>
    <cellStyle name="Comma 24 6 2" xfId="44276"/>
    <cellStyle name="Comma 24 6 2 2" xfId="44277"/>
    <cellStyle name="Comma 24 6 2 3" xfId="44278"/>
    <cellStyle name="Comma 24 6 3" xfId="44279"/>
    <cellStyle name="Comma 24 6 3 2" xfId="44280"/>
    <cellStyle name="Comma 24 6 3 3" xfId="44281"/>
    <cellStyle name="Comma 24 6 4" xfId="44282"/>
    <cellStyle name="Comma 24 6 4 2" xfId="44283"/>
    <cellStyle name="Comma 24 6 5" xfId="44284"/>
    <cellStyle name="Comma 24 6 6" xfId="44285"/>
    <cellStyle name="Comma 24 7" xfId="44286"/>
    <cellStyle name="Comma 24 7 2" xfId="44287"/>
    <cellStyle name="Comma 24 7 2 2" xfId="44288"/>
    <cellStyle name="Comma 24 7 2 3" xfId="44289"/>
    <cellStyle name="Comma 24 7 3" xfId="44290"/>
    <cellStyle name="Comma 24 7 3 2" xfId="44291"/>
    <cellStyle name="Comma 24 7 4" xfId="44292"/>
    <cellStyle name="Comma 24 7 5" xfId="44293"/>
    <cellStyle name="Comma 24 8" xfId="44294"/>
    <cellStyle name="Comma 24 8 2" xfId="44295"/>
    <cellStyle name="Comma 24 8 3" xfId="44296"/>
    <cellStyle name="Comma 24 9" xfId="44297"/>
    <cellStyle name="Comma 24 9 2" xfId="44298"/>
    <cellStyle name="Comma 24 9 3" xfId="44299"/>
    <cellStyle name="Comma 25" xfId="3388"/>
    <cellStyle name="Comma 25 2" xfId="9482"/>
    <cellStyle name="Comma 25 3" xfId="9483"/>
    <cellStyle name="Comma 26" xfId="3389"/>
    <cellStyle name="Comma 26 10" xfId="44300"/>
    <cellStyle name="Comma 26 10 2" xfId="44301"/>
    <cellStyle name="Comma 26 11" xfId="44302"/>
    <cellStyle name="Comma 26 12" xfId="44303"/>
    <cellStyle name="Comma 26 13" xfId="44304"/>
    <cellStyle name="Comma 26 2" xfId="9484"/>
    <cellStyle name="Comma 26 2 10" xfId="44305"/>
    <cellStyle name="Comma 26 2 2" xfId="44306"/>
    <cellStyle name="Comma 26 2 2 2" xfId="44307"/>
    <cellStyle name="Comma 26 2 2 2 2" xfId="44308"/>
    <cellStyle name="Comma 26 2 2 2 2 2" xfId="44309"/>
    <cellStyle name="Comma 26 2 2 2 2 3" xfId="44310"/>
    <cellStyle name="Comma 26 2 2 2 3" xfId="44311"/>
    <cellStyle name="Comma 26 2 2 2 3 2" xfId="44312"/>
    <cellStyle name="Comma 26 2 2 2 3 3" xfId="44313"/>
    <cellStyle name="Comma 26 2 2 2 4" xfId="44314"/>
    <cellStyle name="Comma 26 2 2 2 4 2" xfId="44315"/>
    <cellStyle name="Comma 26 2 2 2 5" xfId="44316"/>
    <cellStyle name="Comma 26 2 2 2 6" xfId="44317"/>
    <cellStyle name="Comma 26 2 2 3" xfId="44318"/>
    <cellStyle name="Comma 26 2 2 3 2" xfId="44319"/>
    <cellStyle name="Comma 26 2 2 3 2 2" xfId="44320"/>
    <cellStyle name="Comma 26 2 2 3 2 3" xfId="44321"/>
    <cellStyle name="Comma 26 2 2 3 3" xfId="44322"/>
    <cellStyle name="Comma 26 2 2 3 3 2" xfId="44323"/>
    <cellStyle name="Comma 26 2 2 3 3 3" xfId="44324"/>
    <cellStyle name="Comma 26 2 2 3 4" xfId="44325"/>
    <cellStyle name="Comma 26 2 2 3 4 2" xfId="44326"/>
    <cellStyle name="Comma 26 2 2 3 5" xfId="44327"/>
    <cellStyle name="Comma 26 2 2 3 6" xfId="44328"/>
    <cellStyle name="Comma 26 2 2 4" xfId="44329"/>
    <cellStyle name="Comma 26 2 2 4 2" xfId="44330"/>
    <cellStyle name="Comma 26 2 2 4 2 2" xfId="44331"/>
    <cellStyle name="Comma 26 2 2 4 2 3" xfId="44332"/>
    <cellStyle name="Comma 26 2 2 4 3" xfId="44333"/>
    <cellStyle name="Comma 26 2 2 4 3 2" xfId="44334"/>
    <cellStyle name="Comma 26 2 2 4 4" xfId="44335"/>
    <cellStyle name="Comma 26 2 2 4 5" xfId="44336"/>
    <cellStyle name="Comma 26 2 2 5" xfId="44337"/>
    <cellStyle name="Comma 26 2 2 5 2" xfId="44338"/>
    <cellStyle name="Comma 26 2 2 5 3" xfId="44339"/>
    <cellStyle name="Comma 26 2 2 6" xfId="44340"/>
    <cellStyle name="Comma 26 2 2 6 2" xfId="44341"/>
    <cellStyle name="Comma 26 2 2 6 3" xfId="44342"/>
    <cellStyle name="Comma 26 2 2 7" xfId="44343"/>
    <cellStyle name="Comma 26 2 2 7 2" xfId="44344"/>
    <cellStyle name="Comma 26 2 2 8" xfId="44345"/>
    <cellStyle name="Comma 26 2 2 9" xfId="44346"/>
    <cellStyle name="Comma 26 2 3" xfId="44347"/>
    <cellStyle name="Comma 26 2 3 2" xfId="44348"/>
    <cellStyle name="Comma 26 2 3 2 2" xfId="44349"/>
    <cellStyle name="Comma 26 2 3 2 3" xfId="44350"/>
    <cellStyle name="Comma 26 2 3 3" xfId="44351"/>
    <cellStyle name="Comma 26 2 3 3 2" xfId="44352"/>
    <cellStyle name="Comma 26 2 3 3 3" xfId="44353"/>
    <cellStyle name="Comma 26 2 3 4" xfId="44354"/>
    <cellStyle name="Comma 26 2 3 4 2" xfId="44355"/>
    <cellStyle name="Comma 26 2 3 5" xfId="44356"/>
    <cellStyle name="Comma 26 2 3 6" xfId="44357"/>
    <cellStyle name="Comma 26 2 4" xfId="44358"/>
    <cellStyle name="Comma 26 2 4 2" xfId="44359"/>
    <cellStyle name="Comma 26 2 4 2 2" xfId="44360"/>
    <cellStyle name="Comma 26 2 4 2 3" xfId="44361"/>
    <cellStyle name="Comma 26 2 4 3" xfId="44362"/>
    <cellStyle name="Comma 26 2 4 3 2" xfId="44363"/>
    <cellStyle name="Comma 26 2 4 3 3" xfId="44364"/>
    <cellStyle name="Comma 26 2 4 4" xfId="44365"/>
    <cellStyle name="Comma 26 2 4 4 2" xfId="44366"/>
    <cellStyle name="Comma 26 2 4 5" xfId="44367"/>
    <cellStyle name="Comma 26 2 4 6" xfId="44368"/>
    <cellStyle name="Comma 26 2 5" xfId="44369"/>
    <cellStyle name="Comma 26 2 5 2" xfId="44370"/>
    <cellStyle name="Comma 26 2 5 2 2" xfId="44371"/>
    <cellStyle name="Comma 26 2 5 2 3" xfId="44372"/>
    <cellStyle name="Comma 26 2 5 3" xfId="44373"/>
    <cellStyle name="Comma 26 2 5 3 2" xfId="44374"/>
    <cellStyle name="Comma 26 2 5 4" xfId="44375"/>
    <cellStyle name="Comma 26 2 5 5" xfId="44376"/>
    <cellStyle name="Comma 26 2 6" xfId="44377"/>
    <cellStyle name="Comma 26 2 6 2" xfId="44378"/>
    <cellStyle name="Comma 26 2 6 3" xfId="44379"/>
    <cellStyle name="Comma 26 2 7" xfId="44380"/>
    <cellStyle name="Comma 26 2 7 2" xfId="44381"/>
    <cellStyle name="Comma 26 2 7 3" xfId="44382"/>
    <cellStyle name="Comma 26 2 8" xfId="44383"/>
    <cellStyle name="Comma 26 2 8 2" xfId="44384"/>
    <cellStyle name="Comma 26 2 9" xfId="44385"/>
    <cellStyle name="Comma 26 3" xfId="44386"/>
    <cellStyle name="Comma 26 3 2" xfId="44387"/>
    <cellStyle name="Comma 26 3 2 2" xfId="44388"/>
    <cellStyle name="Comma 26 3 2 2 2" xfId="44389"/>
    <cellStyle name="Comma 26 3 2 2 3" xfId="44390"/>
    <cellStyle name="Comma 26 3 2 3" xfId="44391"/>
    <cellStyle name="Comma 26 3 2 3 2" xfId="44392"/>
    <cellStyle name="Comma 26 3 2 3 3" xfId="44393"/>
    <cellStyle name="Comma 26 3 2 4" xfId="44394"/>
    <cellStyle name="Comma 26 3 2 4 2" xfId="44395"/>
    <cellStyle name="Comma 26 3 2 5" xfId="44396"/>
    <cellStyle name="Comma 26 3 2 6" xfId="44397"/>
    <cellStyle name="Comma 26 3 3" xfId="44398"/>
    <cellStyle name="Comma 26 3 3 2" xfId="44399"/>
    <cellStyle name="Comma 26 3 3 2 2" xfId="44400"/>
    <cellStyle name="Comma 26 3 3 2 3" xfId="44401"/>
    <cellStyle name="Comma 26 3 3 3" xfId="44402"/>
    <cellStyle name="Comma 26 3 3 3 2" xfId="44403"/>
    <cellStyle name="Comma 26 3 3 3 3" xfId="44404"/>
    <cellStyle name="Comma 26 3 3 4" xfId="44405"/>
    <cellStyle name="Comma 26 3 3 4 2" xfId="44406"/>
    <cellStyle name="Comma 26 3 3 5" xfId="44407"/>
    <cellStyle name="Comma 26 3 3 6" xfId="44408"/>
    <cellStyle name="Comma 26 3 4" xfId="44409"/>
    <cellStyle name="Comma 26 3 4 2" xfId="44410"/>
    <cellStyle name="Comma 26 3 4 2 2" xfId="44411"/>
    <cellStyle name="Comma 26 3 4 2 3" xfId="44412"/>
    <cellStyle name="Comma 26 3 4 3" xfId="44413"/>
    <cellStyle name="Comma 26 3 4 3 2" xfId="44414"/>
    <cellStyle name="Comma 26 3 4 4" xfId="44415"/>
    <cellStyle name="Comma 26 3 4 5" xfId="44416"/>
    <cellStyle name="Comma 26 3 5" xfId="44417"/>
    <cellStyle name="Comma 26 3 5 2" xfId="44418"/>
    <cellStyle name="Comma 26 3 5 3" xfId="44419"/>
    <cellStyle name="Comma 26 3 6" xfId="44420"/>
    <cellStyle name="Comma 26 3 6 2" xfId="44421"/>
    <cellStyle name="Comma 26 3 6 3" xfId="44422"/>
    <cellStyle name="Comma 26 3 7" xfId="44423"/>
    <cellStyle name="Comma 26 3 7 2" xfId="44424"/>
    <cellStyle name="Comma 26 3 8" xfId="44425"/>
    <cellStyle name="Comma 26 3 9" xfId="44426"/>
    <cellStyle name="Comma 26 4" xfId="44427"/>
    <cellStyle name="Comma 26 4 2" xfId="44428"/>
    <cellStyle name="Comma 26 4 2 2" xfId="44429"/>
    <cellStyle name="Comma 26 4 2 2 2" xfId="44430"/>
    <cellStyle name="Comma 26 4 2 2 3" xfId="44431"/>
    <cellStyle name="Comma 26 4 2 3" xfId="44432"/>
    <cellStyle name="Comma 26 4 2 3 2" xfId="44433"/>
    <cellStyle name="Comma 26 4 2 3 3" xfId="44434"/>
    <cellStyle name="Comma 26 4 2 4" xfId="44435"/>
    <cellStyle name="Comma 26 4 2 4 2" xfId="44436"/>
    <cellStyle name="Comma 26 4 2 5" xfId="44437"/>
    <cellStyle name="Comma 26 4 2 6" xfId="44438"/>
    <cellStyle name="Comma 26 4 3" xfId="44439"/>
    <cellStyle name="Comma 26 4 3 2" xfId="44440"/>
    <cellStyle name="Comma 26 4 3 2 2" xfId="44441"/>
    <cellStyle name="Comma 26 4 3 2 3" xfId="44442"/>
    <cellStyle name="Comma 26 4 3 3" xfId="44443"/>
    <cellStyle name="Comma 26 4 3 3 2" xfId="44444"/>
    <cellStyle name="Comma 26 4 3 3 3" xfId="44445"/>
    <cellStyle name="Comma 26 4 3 4" xfId="44446"/>
    <cellStyle name="Comma 26 4 3 4 2" xfId="44447"/>
    <cellStyle name="Comma 26 4 3 5" xfId="44448"/>
    <cellStyle name="Comma 26 4 3 6" xfId="44449"/>
    <cellStyle name="Comma 26 4 4" xfId="44450"/>
    <cellStyle name="Comma 26 4 4 2" xfId="44451"/>
    <cellStyle name="Comma 26 4 4 2 2" xfId="44452"/>
    <cellStyle name="Comma 26 4 4 2 3" xfId="44453"/>
    <cellStyle name="Comma 26 4 4 3" xfId="44454"/>
    <cellStyle name="Comma 26 4 4 3 2" xfId="44455"/>
    <cellStyle name="Comma 26 4 4 4" xfId="44456"/>
    <cellStyle name="Comma 26 4 4 5" xfId="44457"/>
    <cellStyle name="Comma 26 4 5" xfId="44458"/>
    <cellStyle name="Comma 26 4 5 2" xfId="44459"/>
    <cellStyle name="Comma 26 4 5 3" xfId="44460"/>
    <cellStyle name="Comma 26 4 6" xfId="44461"/>
    <cellStyle name="Comma 26 4 6 2" xfId="44462"/>
    <cellStyle name="Comma 26 4 6 3" xfId="44463"/>
    <cellStyle name="Comma 26 4 7" xfId="44464"/>
    <cellStyle name="Comma 26 4 7 2" xfId="44465"/>
    <cellStyle name="Comma 26 4 8" xfId="44466"/>
    <cellStyle name="Comma 26 4 9" xfId="44467"/>
    <cellStyle name="Comma 26 5" xfId="44468"/>
    <cellStyle name="Comma 26 5 2" xfId="44469"/>
    <cellStyle name="Comma 26 5 2 2" xfId="44470"/>
    <cellStyle name="Comma 26 5 2 3" xfId="44471"/>
    <cellStyle name="Comma 26 5 3" xfId="44472"/>
    <cellStyle name="Comma 26 5 3 2" xfId="44473"/>
    <cellStyle name="Comma 26 5 3 3" xfId="44474"/>
    <cellStyle name="Comma 26 5 4" xfId="44475"/>
    <cellStyle name="Comma 26 5 4 2" xfId="44476"/>
    <cellStyle name="Comma 26 5 5" xfId="44477"/>
    <cellStyle name="Comma 26 5 6" xfId="44478"/>
    <cellStyle name="Comma 26 6" xfId="44479"/>
    <cellStyle name="Comma 26 6 2" xfId="44480"/>
    <cellStyle name="Comma 26 6 2 2" xfId="44481"/>
    <cellStyle name="Comma 26 6 2 3" xfId="44482"/>
    <cellStyle name="Comma 26 6 3" xfId="44483"/>
    <cellStyle name="Comma 26 6 3 2" xfId="44484"/>
    <cellStyle name="Comma 26 6 3 3" xfId="44485"/>
    <cellStyle name="Comma 26 6 4" xfId="44486"/>
    <cellStyle name="Comma 26 6 4 2" xfId="44487"/>
    <cellStyle name="Comma 26 6 5" xfId="44488"/>
    <cellStyle name="Comma 26 6 6" xfId="44489"/>
    <cellStyle name="Comma 26 7" xfId="44490"/>
    <cellStyle name="Comma 26 7 2" xfId="44491"/>
    <cellStyle name="Comma 26 7 2 2" xfId="44492"/>
    <cellStyle name="Comma 26 7 2 3" xfId="44493"/>
    <cellStyle name="Comma 26 7 3" xfId="44494"/>
    <cellStyle name="Comma 26 7 3 2" xfId="44495"/>
    <cellStyle name="Comma 26 7 4" xfId="44496"/>
    <cellStyle name="Comma 26 7 5" xfId="44497"/>
    <cellStyle name="Comma 26 8" xfId="44498"/>
    <cellStyle name="Comma 26 8 2" xfId="44499"/>
    <cellStyle name="Comma 26 8 3" xfId="44500"/>
    <cellStyle name="Comma 26 9" xfId="44501"/>
    <cellStyle name="Comma 26 9 2" xfId="44502"/>
    <cellStyle name="Comma 26 9 3" xfId="44503"/>
    <cellStyle name="Comma 27" xfId="3390"/>
    <cellStyle name="Comma 27 10" xfId="44504"/>
    <cellStyle name="Comma 27 10 2" xfId="44505"/>
    <cellStyle name="Comma 27 11" xfId="44506"/>
    <cellStyle name="Comma 27 12" xfId="44507"/>
    <cellStyle name="Comma 27 13" xfId="44508"/>
    <cellStyle name="Comma 27 2" xfId="9485"/>
    <cellStyle name="Comma 27 2 10" xfId="44509"/>
    <cellStyle name="Comma 27 2 2" xfId="44510"/>
    <cellStyle name="Comma 27 2 2 2" xfId="44511"/>
    <cellStyle name="Comma 27 2 2 2 2" xfId="44512"/>
    <cellStyle name="Comma 27 2 2 2 2 2" xfId="44513"/>
    <cellStyle name="Comma 27 2 2 2 2 3" xfId="44514"/>
    <cellStyle name="Comma 27 2 2 2 3" xfId="44515"/>
    <cellStyle name="Comma 27 2 2 2 3 2" xfId="44516"/>
    <cellStyle name="Comma 27 2 2 2 3 3" xfId="44517"/>
    <cellStyle name="Comma 27 2 2 2 4" xfId="44518"/>
    <cellStyle name="Comma 27 2 2 2 4 2" xfId="44519"/>
    <cellStyle name="Comma 27 2 2 2 5" xfId="44520"/>
    <cellStyle name="Comma 27 2 2 2 6" xfId="44521"/>
    <cellStyle name="Comma 27 2 2 3" xfId="44522"/>
    <cellStyle name="Comma 27 2 2 3 2" xfId="44523"/>
    <cellStyle name="Comma 27 2 2 3 2 2" xfId="44524"/>
    <cellStyle name="Comma 27 2 2 3 2 3" xfId="44525"/>
    <cellStyle name="Comma 27 2 2 3 3" xfId="44526"/>
    <cellStyle name="Comma 27 2 2 3 3 2" xfId="44527"/>
    <cellStyle name="Comma 27 2 2 3 3 3" xfId="44528"/>
    <cellStyle name="Comma 27 2 2 3 4" xfId="44529"/>
    <cellStyle name="Comma 27 2 2 3 4 2" xfId="44530"/>
    <cellStyle name="Comma 27 2 2 3 5" xfId="44531"/>
    <cellStyle name="Comma 27 2 2 3 6" xfId="44532"/>
    <cellStyle name="Comma 27 2 2 4" xfId="44533"/>
    <cellStyle name="Comma 27 2 2 4 2" xfId="44534"/>
    <cellStyle name="Comma 27 2 2 4 2 2" xfId="44535"/>
    <cellStyle name="Comma 27 2 2 4 2 3" xfId="44536"/>
    <cellStyle name="Comma 27 2 2 4 3" xfId="44537"/>
    <cellStyle name="Comma 27 2 2 4 3 2" xfId="44538"/>
    <cellStyle name="Comma 27 2 2 4 4" xfId="44539"/>
    <cellStyle name="Comma 27 2 2 4 5" xfId="44540"/>
    <cellStyle name="Comma 27 2 2 5" xfId="44541"/>
    <cellStyle name="Comma 27 2 2 5 2" xfId="44542"/>
    <cellStyle name="Comma 27 2 2 5 3" xfId="44543"/>
    <cellStyle name="Comma 27 2 2 6" xfId="44544"/>
    <cellStyle name="Comma 27 2 2 6 2" xfId="44545"/>
    <cellStyle name="Comma 27 2 2 6 3" xfId="44546"/>
    <cellStyle name="Comma 27 2 2 7" xfId="44547"/>
    <cellStyle name="Comma 27 2 2 7 2" xfId="44548"/>
    <cellStyle name="Comma 27 2 2 8" xfId="44549"/>
    <cellStyle name="Comma 27 2 2 9" xfId="44550"/>
    <cellStyle name="Comma 27 2 3" xfId="44551"/>
    <cellStyle name="Comma 27 2 3 2" xfId="44552"/>
    <cellStyle name="Comma 27 2 3 2 2" xfId="44553"/>
    <cellStyle name="Comma 27 2 3 2 3" xfId="44554"/>
    <cellStyle name="Comma 27 2 3 3" xfId="44555"/>
    <cellStyle name="Comma 27 2 3 3 2" xfId="44556"/>
    <cellStyle name="Comma 27 2 3 3 3" xfId="44557"/>
    <cellStyle name="Comma 27 2 3 4" xfId="44558"/>
    <cellStyle name="Comma 27 2 3 4 2" xfId="44559"/>
    <cellStyle name="Comma 27 2 3 5" xfId="44560"/>
    <cellStyle name="Comma 27 2 3 6" xfId="44561"/>
    <cellStyle name="Comma 27 2 4" xfId="44562"/>
    <cellStyle name="Comma 27 2 4 2" xfId="44563"/>
    <cellStyle name="Comma 27 2 4 2 2" xfId="44564"/>
    <cellStyle name="Comma 27 2 4 2 3" xfId="44565"/>
    <cellStyle name="Comma 27 2 4 3" xfId="44566"/>
    <cellStyle name="Comma 27 2 4 3 2" xfId="44567"/>
    <cellStyle name="Comma 27 2 4 3 3" xfId="44568"/>
    <cellStyle name="Comma 27 2 4 4" xfId="44569"/>
    <cellStyle name="Comma 27 2 4 4 2" xfId="44570"/>
    <cellStyle name="Comma 27 2 4 5" xfId="44571"/>
    <cellStyle name="Comma 27 2 4 6" xfId="44572"/>
    <cellStyle name="Comma 27 2 5" xfId="44573"/>
    <cellStyle name="Comma 27 2 5 2" xfId="44574"/>
    <cellStyle name="Comma 27 2 5 2 2" xfId="44575"/>
    <cellStyle name="Comma 27 2 5 2 3" xfId="44576"/>
    <cellStyle name="Comma 27 2 5 3" xfId="44577"/>
    <cellStyle name="Comma 27 2 5 3 2" xfId="44578"/>
    <cellStyle name="Comma 27 2 5 4" xfId="44579"/>
    <cellStyle name="Comma 27 2 5 5" xfId="44580"/>
    <cellStyle name="Comma 27 2 6" xfId="44581"/>
    <cellStyle name="Comma 27 2 6 2" xfId="44582"/>
    <cellStyle name="Comma 27 2 6 3" xfId="44583"/>
    <cellStyle name="Comma 27 2 7" xfId="44584"/>
    <cellStyle name="Comma 27 2 7 2" xfId="44585"/>
    <cellStyle name="Comma 27 2 7 3" xfId="44586"/>
    <cellStyle name="Comma 27 2 8" xfId="44587"/>
    <cellStyle name="Comma 27 2 8 2" xfId="44588"/>
    <cellStyle name="Comma 27 2 9" xfId="44589"/>
    <cellStyle name="Comma 27 3" xfId="9486"/>
    <cellStyle name="Comma 27 3 2" xfId="44590"/>
    <cellStyle name="Comma 27 3 2 2" xfId="44591"/>
    <cellStyle name="Comma 27 3 2 2 2" xfId="44592"/>
    <cellStyle name="Comma 27 3 2 2 3" xfId="44593"/>
    <cellStyle name="Comma 27 3 2 3" xfId="44594"/>
    <cellStyle name="Comma 27 3 2 3 2" xfId="44595"/>
    <cellStyle name="Comma 27 3 2 3 3" xfId="44596"/>
    <cellStyle name="Comma 27 3 2 4" xfId="44597"/>
    <cellStyle name="Comma 27 3 2 4 2" xfId="44598"/>
    <cellStyle name="Comma 27 3 2 5" xfId="44599"/>
    <cellStyle name="Comma 27 3 2 6" xfId="44600"/>
    <cellStyle name="Comma 27 3 3" xfId="44601"/>
    <cellStyle name="Comma 27 3 3 2" xfId="44602"/>
    <cellStyle name="Comma 27 3 3 2 2" xfId="44603"/>
    <cellStyle name="Comma 27 3 3 2 3" xfId="44604"/>
    <cellStyle name="Comma 27 3 3 3" xfId="44605"/>
    <cellStyle name="Comma 27 3 3 3 2" xfId="44606"/>
    <cellStyle name="Comma 27 3 3 3 3" xfId="44607"/>
    <cellStyle name="Comma 27 3 3 4" xfId="44608"/>
    <cellStyle name="Comma 27 3 3 4 2" xfId="44609"/>
    <cellStyle name="Comma 27 3 3 5" xfId="44610"/>
    <cellStyle name="Comma 27 3 3 6" xfId="44611"/>
    <cellStyle name="Comma 27 3 4" xfId="44612"/>
    <cellStyle name="Comma 27 3 4 2" xfId="44613"/>
    <cellStyle name="Comma 27 3 4 2 2" xfId="44614"/>
    <cellStyle name="Comma 27 3 4 2 3" xfId="44615"/>
    <cellStyle name="Comma 27 3 4 3" xfId="44616"/>
    <cellStyle name="Comma 27 3 4 3 2" xfId="44617"/>
    <cellStyle name="Comma 27 3 4 4" xfId="44618"/>
    <cellStyle name="Comma 27 3 4 5" xfId="44619"/>
    <cellStyle name="Comma 27 3 5" xfId="44620"/>
    <cellStyle name="Comma 27 3 5 2" xfId="44621"/>
    <cellStyle name="Comma 27 3 5 3" xfId="44622"/>
    <cellStyle name="Comma 27 3 6" xfId="44623"/>
    <cellStyle name="Comma 27 3 6 2" xfId="44624"/>
    <cellStyle name="Comma 27 3 6 3" xfId="44625"/>
    <cellStyle name="Comma 27 3 7" xfId="44626"/>
    <cellStyle name="Comma 27 3 7 2" xfId="44627"/>
    <cellStyle name="Comma 27 3 8" xfId="44628"/>
    <cellStyle name="Comma 27 3 9" xfId="44629"/>
    <cellStyle name="Comma 27 4" xfId="44630"/>
    <cellStyle name="Comma 27 4 2" xfId="44631"/>
    <cellStyle name="Comma 27 4 2 2" xfId="44632"/>
    <cellStyle name="Comma 27 4 2 2 2" xfId="44633"/>
    <cellStyle name="Comma 27 4 2 2 3" xfId="44634"/>
    <cellStyle name="Comma 27 4 2 3" xfId="44635"/>
    <cellStyle name="Comma 27 4 2 3 2" xfId="44636"/>
    <cellStyle name="Comma 27 4 2 3 3" xfId="44637"/>
    <cellStyle name="Comma 27 4 2 4" xfId="44638"/>
    <cellStyle name="Comma 27 4 2 4 2" xfId="44639"/>
    <cellStyle name="Comma 27 4 2 5" xfId="44640"/>
    <cellStyle name="Comma 27 4 2 6" xfId="44641"/>
    <cellStyle name="Comma 27 4 3" xfId="44642"/>
    <cellStyle name="Comma 27 4 3 2" xfId="44643"/>
    <cellStyle name="Comma 27 4 3 2 2" xfId="44644"/>
    <cellStyle name="Comma 27 4 3 2 3" xfId="44645"/>
    <cellStyle name="Comma 27 4 3 3" xfId="44646"/>
    <cellStyle name="Comma 27 4 3 3 2" xfId="44647"/>
    <cellStyle name="Comma 27 4 3 3 3" xfId="44648"/>
    <cellStyle name="Comma 27 4 3 4" xfId="44649"/>
    <cellStyle name="Comma 27 4 3 4 2" xfId="44650"/>
    <cellStyle name="Comma 27 4 3 5" xfId="44651"/>
    <cellStyle name="Comma 27 4 3 6" xfId="44652"/>
    <cellStyle name="Comma 27 4 4" xfId="44653"/>
    <cellStyle name="Comma 27 4 4 2" xfId="44654"/>
    <cellStyle name="Comma 27 4 4 2 2" xfId="44655"/>
    <cellStyle name="Comma 27 4 4 2 3" xfId="44656"/>
    <cellStyle name="Comma 27 4 4 3" xfId="44657"/>
    <cellStyle name="Comma 27 4 4 3 2" xfId="44658"/>
    <cellStyle name="Comma 27 4 4 4" xfId="44659"/>
    <cellStyle name="Comma 27 4 4 5" xfId="44660"/>
    <cellStyle name="Comma 27 4 5" xfId="44661"/>
    <cellStyle name="Comma 27 4 5 2" xfId="44662"/>
    <cellStyle name="Comma 27 4 5 3" xfId="44663"/>
    <cellStyle name="Comma 27 4 6" xfId="44664"/>
    <cellStyle name="Comma 27 4 6 2" xfId="44665"/>
    <cellStyle name="Comma 27 4 6 3" xfId="44666"/>
    <cellStyle name="Comma 27 4 7" xfId="44667"/>
    <cellStyle name="Comma 27 4 7 2" xfId="44668"/>
    <cellStyle name="Comma 27 4 8" xfId="44669"/>
    <cellStyle name="Comma 27 4 9" xfId="44670"/>
    <cellStyle name="Comma 27 5" xfId="44671"/>
    <cellStyle name="Comma 27 5 2" xfId="44672"/>
    <cellStyle name="Comma 27 5 2 2" xfId="44673"/>
    <cellStyle name="Comma 27 5 2 3" xfId="44674"/>
    <cellStyle name="Comma 27 5 3" xfId="44675"/>
    <cellStyle name="Comma 27 5 3 2" xfId="44676"/>
    <cellStyle name="Comma 27 5 3 3" xfId="44677"/>
    <cellStyle name="Comma 27 5 4" xfId="44678"/>
    <cellStyle name="Comma 27 5 4 2" xfId="44679"/>
    <cellStyle name="Comma 27 5 5" xfId="44680"/>
    <cellStyle name="Comma 27 5 6" xfId="44681"/>
    <cellStyle name="Comma 27 6" xfId="44682"/>
    <cellStyle name="Comma 27 6 2" xfId="44683"/>
    <cellStyle name="Comma 27 6 2 2" xfId="44684"/>
    <cellStyle name="Comma 27 6 2 3" xfId="44685"/>
    <cellStyle name="Comma 27 6 3" xfId="44686"/>
    <cellStyle name="Comma 27 6 3 2" xfId="44687"/>
    <cellStyle name="Comma 27 6 3 3" xfId="44688"/>
    <cellStyle name="Comma 27 6 4" xfId="44689"/>
    <cellStyle name="Comma 27 6 4 2" xfId="44690"/>
    <cellStyle name="Comma 27 6 5" xfId="44691"/>
    <cellStyle name="Comma 27 6 6" xfId="44692"/>
    <cellStyle name="Comma 27 7" xfId="44693"/>
    <cellStyle name="Comma 27 7 2" xfId="44694"/>
    <cellStyle name="Comma 27 7 2 2" xfId="44695"/>
    <cellStyle name="Comma 27 7 2 3" xfId="44696"/>
    <cellStyle name="Comma 27 7 3" xfId="44697"/>
    <cellStyle name="Comma 27 7 3 2" xfId="44698"/>
    <cellStyle name="Comma 27 7 4" xfId="44699"/>
    <cellStyle name="Comma 27 7 5" xfId="44700"/>
    <cellStyle name="Comma 27 8" xfId="44701"/>
    <cellStyle name="Comma 27 8 2" xfId="44702"/>
    <cellStyle name="Comma 27 8 3" xfId="44703"/>
    <cellStyle name="Comma 27 9" xfId="44704"/>
    <cellStyle name="Comma 27 9 2" xfId="44705"/>
    <cellStyle name="Comma 27 9 3" xfId="44706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1"/>
    <cellStyle name="Comma 3 4 6" xfId="3533"/>
    <cellStyle name="Comma 3 4 7" xfId="9120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9490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09"/>
    <cellStyle name="Comma 4 2 2 2 3" xfId="9130"/>
    <cellStyle name="Comma 4 2 2 2 4" xfId="59010"/>
    <cellStyle name="Comma 4 2 2 2 5" xfId="59011"/>
    <cellStyle name="Comma 4 2 2 3" xfId="9131"/>
    <cellStyle name="Comma 4 2 2 3 2" xfId="59012"/>
    <cellStyle name="Comma 4 2 2 4" xfId="9132"/>
    <cellStyle name="Comma 4 2 2 4 2" xfId="59013"/>
    <cellStyle name="Comma 4 2 2 5" xfId="59014"/>
    <cellStyle name="Comma 4 2 2 6" xfId="59015"/>
    <cellStyle name="Comma 4 2 3" xfId="3594"/>
    <cellStyle name="Comma 4 2 3 2" xfId="9133"/>
    <cellStyle name="Comma 4 2 3 2 2" xfId="59016"/>
    <cellStyle name="Comma 4 2 3 3" xfId="9134"/>
    <cellStyle name="Comma 4 2 3 3 2" xfId="59017"/>
    <cellStyle name="Comma 4 2 3 4" xfId="59018"/>
    <cellStyle name="Comma 4 2 3 5" xfId="59019"/>
    <cellStyle name="Comma 4 2 4" xfId="3595"/>
    <cellStyle name="Comma 4 2 4 2" xfId="9135"/>
    <cellStyle name="Comma 4 2 4 3" xfId="59020"/>
    <cellStyle name="Comma 4 2 4 4" xfId="59021"/>
    <cellStyle name="Comma 4 2 5" xfId="8766"/>
    <cellStyle name="Comma 4 2 5 2" xfId="59022"/>
    <cellStyle name="Comma 4 2 6" xfId="57877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8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7"/>
    <cellStyle name="Comma 6 10 2" xfId="44708"/>
    <cellStyle name="Comma 6 10 2 2" xfId="44709"/>
    <cellStyle name="Comma 6 10 2 3" xfId="44710"/>
    <cellStyle name="Comma 6 10 3" xfId="44711"/>
    <cellStyle name="Comma 6 10 3 2" xfId="44712"/>
    <cellStyle name="Comma 6 10 4" xfId="44713"/>
    <cellStyle name="Comma 6 10 5" xfId="44714"/>
    <cellStyle name="Comma 6 11" xfId="44715"/>
    <cellStyle name="Comma 6 11 2" xfId="44716"/>
    <cellStyle name="Comma 6 11 3" xfId="44717"/>
    <cellStyle name="Comma 6 12" xfId="44718"/>
    <cellStyle name="Comma 6 12 2" xfId="44719"/>
    <cellStyle name="Comma 6 12 3" xfId="44720"/>
    <cellStyle name="Comma 6 13" xfId="44721"/>
    <cellStyle name="Comma 6 13 2" xfId="44722"/>
    <cellStyle name="Comma 6 14" xfId="44723"/>
    <cellStyle name="Comma 6 15" xfId="44724"/>
    <cellStyle name="Comma 6 16" xfId="44725"/>
    <cellStyle name="Comma 6 2" xfId="3688"/>
    <cellStyle name="Comma 6 2 10" xfId="44726"/>
    <cellStyle name="Comma 6 2 10 2" xfId="44727"/>
    <cellStyle name="Comma 6 2 10 3" xfId="44728"/>
    <cellStyle name="Comma 6 2 11" xfId="44729"/>
    <cellStyle name="Comma 6 2 11 2" xfId="44730"/>
    <cellStyle name="Comma 6 2 11 3" xfId="44731"/>
    <cellStyle name="Comma 6 2 12" xfId="44732"/>
    <cellStyle name="Comma 6 2 12 2" xfId="44733"/>
    <cellStyle name="Comma 6 2 13" xfId="44734"/>
    <cellStyle name="Comma 6 2 14" xfId="44735"/>
    <cellStyle name="Comma 6 2 15" xfId="44736"/>
    <cellStyle name="Comma 6 2 2" xfId="8364"/>
    <cellStyle name="Comma 6 2 2 10" xfId="44737"/>
    <cellStyle name="Comma 6 2 2 10 2" xfId="44738"/>
    <cellStyle name="Comma 6 2 2 10 3" xfId="44739"/>
    <cellStyle name="Comma 6 2 2 11" xfId="44740"/>
    <cellStyle name="Comma 6 2 2 11 2" xfId="44741"/>
    <cellStyle name="Comma 6 2 2 12" xfId="44742"/>
    <cellStyle name="Comma 6 2 2 13" xfId="44743"/>
    <cellStyle name="Comma 6 2 2 14" xfId="44744"/>
    <cellStyle name="Comma 6 2 2 2" xfId="44745"/>
    <cellStyle name="Comma 6 2 2 2 10" xfId="44746"/>
    <cellStyle name="Comma 6 2 2 2 10 2" xfId="44747"/>
    <cellStyle name="Comma 6 2 2 2 11" xfId="44748"/>
    <cellStyle name="Comma 6 2 2 2 12" xfId="44749"/>
    <cellStyle name="Comma 6 2 2 2 13" xfId="44750"/>
    <cellStyle name="Comma 6 2 2 2 2" xfId="44751"/>
    <cellStyle name="Comma 6 2 2 2 2 10" xfId="44752"/>
    <cellStyle name="Comma 6 2 2 2 2 2" xfId="44753"/>
    <cellStyle name="Comma 6 2 2 2 2 2 2" xfId="44754"/>
    <cellStyle name="Comma 6 2 2 2 2 2 2 2" xfId="44755"/>
    <cellStyle name="Comma 6 2 2 2 2 2 2 2 2" xfId="44756"/>
    <cellStyle name="Comma 6 2 2 2 2 2 2 2 3" xfId="44757"/>
    <cellStyle name="Comma 6 2 2 2 2 2 2 3" xfId="44758"/>
    <cellStyle name="Comma 6 2 2 2 2 2 2 3 2" xfId="44759"/>
    <cellStyle name="Comma 6 2 2 2 2 2 2 3 3" xfId="44760"/>
    <cellStyle name="Comma 6 2 2 2 2 2 2 4" xfId="44761"/>
    <cellStyle name="Comma 6 2 2 2 2 2 2 4 2" xfId="44762"/>
    <cellStyle name="Comma 6 2 2 2 2 2 2 5" xfId="44763"/>
    <cellStyle name="Comma 6 2 2 2 2 2 2 6" xfId="44764"/>
    <cellStyle name="Comma 6 2 2 2 2 2 3" xfId="44765"/>
    <cellStyle name="Comma 6 2 2 2 2 2 3 2" xfId="44766"/>
    <cellStyle name="Comma 6 2 2 2 2 2 3 2 2" xfId="44767"/>
    <cellStyle name="Comma 6 2 2 2 2 2 3 2 3" xfId="44768"/>
    <cellStyle name="Comma 6 2 2 2 2 2 3 3" xfId="44769"/>
    <cellStyle name="Comma 6 2 2 2 2 2 3 3 2" xfId="44770"/>
    <cellStyle name="Comma 6 2 2 2 2 2 3 3 3" xfId="44771"/>
    <cellStyle name="Comma 6 2 2 2 2 2 3 4" xfId="44772"/>
    <cellStyle name="Comma 6 2 2 2 2 2 3 4 2" xfId="44773"/>
    <cellStyle name="Comma 6 2 2 2 2 2 3 5" xfId="44774"/>
    <cellStyle name="Comma 6 2 2 2 2 2 3 6" xfId="44775"/>
    <cellStyle name="Comma 6 2 2 2 2 2 4" xfId="44776"/>
    <cellStyle name="Comma 6 2 2 2 2 2 4 2" xfId="44777"/>
    <cellStyle name="Comma 6 2 2 2 2 2 4 2 2" xfId="44778"/>
    <cellStyle name="Comma 6 2 2 2 2 2 4 2 3" xfId="44779"/>
    <cellStyle name="Comma 6 2 2 2 2 2 4 3" xfId="44780"/>
    <cellStyle name="Comma 6 2 2 2 2 2 4 3 2" xfId="44781"/>
    <cellStyle name="Comma 6 2 2 2 2 2 4 4" xfId="44782"/>
    <cellStyle name="Comma 6 2 2 2 2 2 4 5" xfId="44783"/>
    <cellStyle name="Comma 6 2 2 2 2 2 5" xfId="44784"/>
    <cellStyle name="Comma 6 2 2 2 2 2 5 2" xfId="44785"/>
    <cellStyle name="Comma 6 2 2 2 2 2 5 3" xfId="44786"/>
    <cellStyle name="Comma 6 2 2 2 2 2 6" xfId="44787"/>
    <cellStyle name="Comma 6 2 2 2 2 2 6 2" xfId="44788"/>
    <cellStyle name="Comma 6 2 2 2 2 2 6 3" xfId="44789"/>
    <cellStyle name="Comma 6 2 2 2 2 2 7" xfId="44790"/>
    <cellStyle name="Comma 6 2 2 2 2 2 7 2" xfId="44791"/>
    <cellStyle name="Comma 6 2 2 2 2 2 8" xfId="44792"/>
    <cellStyle name="Comma 6 2 2 2 2 2 9" xfId="44793"/>
    <cellStyle name="Comma 6 2 2 2 2 3" xfId="44794"/>
    <cellStyle name="Comma 6 2 2 2 2 3 2" xfId="44795"/>
    <cellStyle name="Comma 6 2 2 2 2 3 2 2" xfId="44796"/>
    <cellStyle name="Comma 6 2 2 2 2 3 2 3" xfId="44797"/>
    <cellStyle name="Comma 6 2 2 2 2 3 3" xfId="44798"/>
    <cellStyle name="Comma 6 2 2 2 2 3 3 2" xfId="44799"/>
    <cellStyle name="Comma 6 2 2 2 2 3 3 3" xfId="44800"/>
    <cellStyle name="Comma 6 2 2 2 2 3 4" xfId="44801"/>
    <cellStyle name="Comma 6 2 2 2 2 3 4 2" xfId="44802"/>
    <cellStyle name="Comma 6 2 2 2 2 3 5" xfId="44803"/>
    <cellStyle name="Comma 6 2 2 2 2 3 6" xfId="44804"/>
    <cellStyle name="Comma 6 2 2 2 2 4" xfId="44805"/>
    <cellStyle name="Comma 6 2 2 2 2 4 2" xfId="44806"/>
    <cellStyle name="Comma 6 2 2 2 2 4 2 2" xfId="44807"/>
    <cellStyle name="Comma 6 2 2 2 2 4 2 3" xfId="44808"/>
    <cellStyle name="Comma 6 2 2 2 2 4 3" xfId="44809"/>
    <cellStyle name="Comma 6 2 2 2 2 4 3 2" xfId="44810"/>
    <cellStyle name="Comma 6 2 2 2 2 4 3 3" xfId="44811"/>
    <cellStyle name="Comma 6 2 2 2 2 4 4" xfId="44812"/>
    <cellStyle name="Comma 6 2 2 2 2 4 4 2" xfId="44813"/>
    <cellStyle name="Comma 6 2 2 2 2 4 5" xfId="44814"/>
    <cellStyle name="Comma 6 2 2 2 2 4 6" xfId="44815"/>
    <cellStyle name="Comma 6 2 2 2 2 5" xfId="44816"/>
    <cellStyle name="Comma 6 2 2 2 2 5 2" xfId="44817"/>
    <cellStyle name="Comma 6 2 2 2 2 5 2 2" xfId="44818"/>
    <cellStyle name="Comma 6 2 2 2 2 5 2 3" xfId="44819"/>
    <cellStyle name="Comma 6 2 2 2 2 5 3" xfId="44820"/>
    <cellStyle name="Comma 6 2 2 2 2 5 3 2" xfId="44821"/>
    <cellStyle name="Comma 6 2 2 2 2 5 4" xfId="44822"/>
    <cellStyle name="Comma 6 2 2 2 2 5 5" xfId="44823"/>
    <cellStyle name="Comma 6 2 2 2 2 6" xfId="44824"/>
    <cellStyle name="Comma 6 2 2 2 2 6 2" xfId="44825"/>
    <cellStyle name="Comma 6 2 2 2 2 6 3" xfId="44826"/>
    <cellStyle name="Comma 6 2 2 2 2 7" xfId="44827"/>
    <cellStyle name="Comma 6 2 2 2 2 7 2" xfId="44828"/>
    <cellStyle name="Comma 6 2 2 2 2 7 3" xfId="44829"/>
    <cellStyle name="Comma 6 2 2 2 2 8" xfId="44830"/>
    <cellStyle name="Comma 6 2 2 2 2 8 2" xfId="44831"/>
    <cellStyle name="Comma 6 2 2 2 2 9" xfId="44832"/>
    <cellStyle name="Comma 6 2 2 2 3" xfId="44833"/>
    <cellStyle name="Comma 6 2 2 2 3 2" xfId="44834"/>
    <cellStyle name="Comma 6 2 2 2 3 2 2" xfId="44835"/>
    <cellStyle name="Comma 6 2 2 2 3 2 2 2" xfId="44836"/>
    <cellStyle name="Comma 6 2 2 2 3 2 2 3" xfId="44837"/>
    <cellStyle name="Comma 6 2 2 2 3 2 3" xfId="44838"/>
    <cellStyle name="Comma 6 2 2 2 3 2 3 2" xfId="44839"/>
    <cellStyle name="Comma 6 2 2 2 3 2 3 3" xfId="44840"/>
    <cellStyle name="Comma 6 2 2 2 3 2 4" xfId="44841"/>
    <cellStyle name="Comma 6 2 2 2 3 2 4 2" xfId="44842"/>
    <cellStyle name="Comma 6 2 2 2 3 2 5" xfId="44843"/>
    <cellStyle name="Comma 6 2 2 2 3 2 6" xfId="44844"/>
    <cellStyle name="Comma 6 2 2 2 3 3" xfId="44845"/>
    <cellStyle name="Comma 6 2 2 2 3 3 2" xfId="44846"/>
    <cellStyle name="Comma 6 2 2 2 3 3 2 2" xfId="44847"/>
    <cellStyle name="Comma 6 2 2 2 3 3 2 3" xfId="44848"/>
    <cellStyle name="Comma 6 2 2 2 3 3 3" xfId="44849"/>
    <cellStyle name="Comma 6 2 2 2 3 3 3 2" xfId="44850"/>
    <cellStyle name="Comma 6 2 2 2 3 3 3 3" xfId="44851"/>
    <cellStyle name="Comma 6 2 2 2 3 3 4" xfId="44852"/>
    <cellStyle name="Comma 6 2 2 2 3 3 4 2" xfId="44853"/>
    <cellStyle name="Comma 6 2 2 2 3 3 5" xfId="44854"/>
    <cellStyle name="Comma 6 2 2 2 3 3 6" xfId="44855"/>
    <cellStyle name="Comma 6 2 2 2 3 4" xfId="44856"/>
    <cellStyle name="Comma 6 2 2 2 3 4 2" xfId="44857"/>
    <cellStyle name="Comma 6 2 2 2 3 4 2 2" xfId="44858"/>
    <cellStyle name="Comma 6 2 2 2 3 4 2 3" xfId="44859"/>
    <cellStyle name="Comma 6 2 2 2 3 4 3" xfId="44860"/>
    <cellStyle name="Comma 6 2 2 2 3 4 3 2" xfId="44861"/>
    <cellStyle name="Comma 6 2 2 2 3 4 4" xfId="44862"/>
    <cellStyle name="Comma 6 2 2 2 3 4 5" xfId="44863"/>
    <cellStyle name="Comma 6 2 2 2 3 5" xfId="44864"/>
    <cellStyle name="Comma 6 2 2 2 3 5 2" xfId="44865"/>
    <cellStyle name="Comma 6 2 2 2 3 5 3" xfId="44866"/>
    <cellStyle name="Comma 6 2 2 2 3 6" xfId="44867"/>
    <cellStyle name="Comma 6 2 2 2 3 6 2" xfId="44868"/>
    <cellStyle name="Comma 6 2 2 2 3 6 3" xfId="44869"/>
    <cellStyle name="Comma 6 2 2 2 3 7" xfId="44870"/>
    <cellStyle name="Comma 6 2 2 2 3 7 2" xfId="44871"/>
    <cellStyle name="Comma 6 2 2 2 3 8" xfId="44872"/>
    <cellStyle name="Comma 6 2 2 2 3 9" xfId="44873"/>
    <cellStyle name="Comma 6 2 2 2 4" xfId="44874"/>
    <cellStyle name="Comma 6 2 2 2 4 2" xfId="44875"/>
    <cellStyle name="Comma 6 2 2 2 4 2 2" xfId="44876"/>
    <cellStyle name="Comma 6 2 2 2 4 2 2 2" xfId="44877"/>
    <cellStyle name="Comma 6 2 2 2 4 2 2 3" xfId="44878"/>
    <cellStyle name="Comma 6 2 2 2 4 2 3" xfId="44879"/>
    <cellStyle name="Comma 6 2 2 2 4 2 3 2" xfId="44880"/>
    <cellStyle name="Comma 6 2 2 2 4 2 3 3" xfId="44881"/>
    <cellStyle name="Comma 6 2 2 2 4 2 4" xfId="44882"/>
    <cellStyle name="Comma 6 2 2 2 4 2 4 2" xfId="44883"/>
    <cellStyle name="Comma 6 2 2 2 4 2 5" xfId="44884"/>
    <cellStyle name="Comma 6 2 2 2 4 2 6" xfId="44885"/>
    <cellStyle name="Comma 6 2 2 2 4 3" xfId="44886"/>
    <cellStyle name="Comma 6 2 2 2 4 3 2" xfId="44887"/>
    <cellStyle name="Comma 6 2 2 2 4 3 2 2" xfId="44888"/>
    <cellStyle name="Comma 6 2 2 2 4 3 2 3" xfId="44889"/>
    <cellStyle name="Comma 6 2 2 2 4 3 3" xfId="44890"/>
    <cellStyle name="Comma 6 2 2 2 4 3 3 2" xfId="44891"/>
    <cellStyle name="Comma 6 2 2 2 4 3 3 3" xfId="44892"/>
    <cellStyle name="Comma 6 2 2 2 4 3 4" xfId="44893"/>
    <cellStyle name="Comma 6 2 2 2 4 3 4 2" xfId="44894"/>
    <cellStyle name="Comma 6 2 2 2 4 3 5" xfId="44895"/>
    <cellStyle name="Comma 6 2 2 2 4 3 6" xfId="44896"/>
    <cellStyle name="Comma 6 2 2 2 4 4" xfId="44897"/>
    <cellStyle name="Comma 6 2 2 2 4 4 2" xfId="44898"/>
    <cellStyle name="Comma 6 2 2 2 4 4 2 2" xfId="44899"/>
    <cellStyle name="Comma 6 2 2 2 4 4 2 3" xfId="44900"/>
    <cellStyle name="Comma 6 2 2 2 4 4 3" xfId="44901"/>
    <cellStyle name="Comma 6 2 2 2 4 4 3 2" xfId="44902"/>
    <cellStyle name="Comma 6 2 2 2 4 4 4" xfId="44903"/>
    <cellStyle name="Comma 6 2 2 2 4 4 5" xfId="44904"/>
    <cellStyle name="Comma 6 2 2 2 4 5" xfId="44905"/>
    <cellStyle name="Comma 6 2 2 2 4 5 2" xfId="44906"/>
    <cellStyle name="Comma 6 2 2 2 4 5 3" xfId="44907"/>
    <cellStyle name="Comma 6 2 2 2 4 6" xfId="44908"/>
    <cellStyle name="Comma 6 2 2 2 4 6 2" xfId="44909"/>
    <cellStyle name="Comma 6 2 2 2 4 6 3" xfId="44910"/>
    <cellStyle name="Comma 6 2 2 2 4 7" xfId="44911"/>
    <cellStyle name="Comma 6 2 2 2 4 7 2" xfId="44912"/>
    <cellStyle name="Comma 6 2 2 2 4 8" xfId="44913"/>
    <cellStyle name="Comma 6 2 2 2 4 9" xfId="44914"/>
    <cellStyle name="Comma 6 2 2 2 5" xfId="44915"/>
    <cellStyle name="Comma 6 2 2 2 5 2" xfId="44916"/>
    <cellStyle name="Comma 6 2 2 2 5 2 2" xfId="44917"/>
    <cellStyle name="Comma 6 2 2 2 5 2 3" xfId="44918"/>
    <cellStyle name="Comma 6 2 2 2 5 3" xfId="44919"/>
    <cellStyle name="Comma 6 2 2 2 5 3 2" xfId="44920"/>
    <cellStyle name="Comma 6 2 2 2 5 3 3" xfId="44921"/>
    <cellStyle name="Comma 6 2 2 2 5 4" xfId="44922"/>
    <cellStyle name="Comma 6 2 2 2 5 4 2" xfId="44923"/>
    <cellStyle name="Comma 6 2 2 2 5 5" xfId="44924"/>
    <cellStyle name="Comma 6 2 2 2 5 6" xfId="44925"/>
    <cellStyle name="Comma 6 2 2 2 6" xfId="44926"/>
    <cellStyle name="Comma 6 2 2 2 6 2" xfId="44927"/>
    <cellStyle name="Comma 6 2 2 2 6 2 2" xfId="44928"/>
    <cellStyle name="Comma 6 2 2 2 6 2 3" xfId="44929"/>
    <cellStyle name="Comma 6 2 2 2 6 3" xfId="44930"/>
    <cellStyle name="Comma 6 2 2 2 6 3 2" xfId="44931"/>
    <cellStyle name="Comma 6 2 2 2 6 3 3" xfId="44932"/>
    <cellStyle name="Comma 6 2 2 2 6 4" xfId="44933"/>
    <cellStyle name="Comma 6 2 2 2 6 4 2" xfId="44934"/>
    <cellStyle name="Comma 6 2 2 2 6 5" xfId="44935"/>
    <cellStyle name="Comma 6 2 2 2 6 6" xfId="44936"/>
    <cellStyle name="Comma 6 2 2 2 7" xfId="44937"/>
    <cellStyle name="Comma 6 2 2 2 7 2" xfId="44938"/>
    <cellStyle name="Comma 6 2 2 2 7 2 2" xfId="44939"/>
    <cellStyle name="Comma 6 2 2 2 7 2 3" xfId="44940"/>
    <cellStyle name="Comma 6 2 2 2 7 3" xfId="44941"/>
    <cellStyle name="Comma 6 2 2 2 7 3 2" xfId="44942"/>
    <cellStyle name="Comma 6 2 2 2 7 4" xfId="44943"/>
    <cellStyle name="Comma 6 2 2 2 7 5" xfId="44944"/>
    <cellStyle name="Comma 6 2 2 2 8" xfId="44945"/>
    <cellStyle name="Comma 6 2 2 2 8 2" xfId="44946"/>
    <cellStyle name="Comma 6 2 2 2 8 3" xfId="44947"/>
    <cellStyle name="Comma 6 2 2 2 9" xfId="44948"/>
    <cellStyle name="Comma 6 2 2 2 9 2" xfId="44949"/>
    <cellStyle name="Comma 6 2 2 2 9 3" xfId="44950"/>
    <cellStyle name="Comma 6 2 2 3" xfId="44951"/>
    <cellStyle name="Comma 6 2 2 3 10" xfId="44952"/>
    <cellStyle name="Comma 6 2 2 3 2" xfId="44953"/>
    <cellStyle name="Comma 6 2 2 3 2 2" xfId="44954"/>
    <cellStyle name="Comma 6 2 2 3 2 2 2" xfId="44955"/>
    <cellStyle name="Comma 6 2 2 3 2 2 2 2" xfId="44956"/>
    <cellStyle name="Comma 6 2 2 3 2 2 2 3" xfId="44957"/>
    <cellStyle name="Comma 6 2 2 3 2 2 3" xfId="44958"/>
    <cellStyle name="Comma 6 2 2 3 2 2 3 2" xfId="44959"/>
    <cellStyle name="Comma 6 2 2 3 2 2 3 3" xfId="44960"/>
    <cellStyle name="Comma 6 2 2 3 2 2 4" xfId="44961"/>
    <cellStyle name="Comma 6 2 2 3 2 2 4 2" xfId="44962"/>
    <cellStyle name="Comma 6 2 2 3 2 2 5" xfId="44963"/>
    <cellStyle name="Comma 6 2 2 3 2 2 6" xfId="44964"/>
    <cellStyle name="Comma 6 2 2 3 2 3" xfId="44965"/>
    <cellStyle name="Comma 6 2 2 3 2 3 2" xfId="44966"/>
    <cellStyle name="Comma 6 2 2 3 2 3 2 2" xfId="44967"/>
    <cellStyle name="Comma 6 2 2 3 2 3 2 3" xfId="44968"/>
    <cellStyle name="Comma 6 2 2 3 2 3 3" xfId="44969"/>
    <cellStyle name="Comma 6 2 2 3 2 3 3 2" xfId="44970"/>
    <cellStyle name="Comma 6 2 2 3 2 3 3 3" xfId="44971"/>
    <cellStyle name="Comma 6 2 2 3 2 3 4" xfId="44972"/>
    <cellStyle name="Comma 6 2 2 3 2 3 4 2" xfId="44973"/>
    <cellStyle name="Comma 6 2 2 3 2 3 5" xfId="44974"/>
    <cellStyle name="Comma 6 2 2 3 2 3 6" xfId="44975"/>
    <cellStyle name="Comma 6 2 2 3 2 4" xfId="44976"/>
    <cellStyle name="Comma 6 2 2 3 2 4 2" xfId="44977"/>
    <cellStyle name="Comma 6 2 2 3 2 4 2 2" xfId="44978"/>
    <cellStyle name="Comma 6 2 2 3 2 4 2 3" xfId="44979"/>
    <cellStyle name="Comma 6 2 2 3 2 4 3" xfId="44980"/>
    <cellStyle name="Comma 6 2 2 3 2 4 3 2" xfId="44981"/>
    <cellStyle name="Comma 6 2 2 3 2 4 4" xfId="44982"/>
    <cellStyle name="Comma 6 2 2 3 2 4 5" xfId="44983"/>
    <cellStyle name="Comma 6 2 2 3 2 5" xfId="44984"/>
    <cellStyle name="Comma 6 2 2 3 2 5 2" xfId="44985"/>
    <cellStyle name="Comma 6 2 2 3 2 5 3" xfId="44986"/>
    <cellStyle name="Comma 6 2 2 3 2 6" xfId="44987"/>
    <cellStyle name="Comma 6 2 2 3 2 6 2" xfId="44988"/>
    <cellStyle name="Comma 6 2 2 3 2 6 3" xfId="44989"/>
    <cellStyle name="Comma 6 2 2 3 2 7" xfId="44990"/>
    <cellStyle name="Comma 6 2 2 3 2 7 2" xfId="44991"/>
    <cellStyle name="Comma 6 2 2 3 2 8" xfId="44992"/>
    <cellStyle name="Comma 6 2 2 3 2 9" xfId="44993"/>
    <cellStyle name="Comma 6 2 2 3 3" xfId="44994"/>
    <cellStyle name="Comma 6 2 2 3 3 2" xfId="44995"/>
    <cellStyle name="Comma 6 2 2 3 3 2 2" xfId="44996"/>
    <cellStyle name="Comma 6 2 2 3 3 2 3" xfId="44997"/>
    <cellStyle name="Comma 6 2 2 3 3 3" xfId="44998"/>
    <cellStyle name="Comma 6 2 2 3 3 3 2" xfId="44999"/>
    <cellStyle name="Comma 6 2 2 3 3 3 3" xfId="45000"/>
    <cellStyle name="Comma 6 2 2 3 3 4" xfId="45001"/>
    <cellStyle name="Comma 6 2 2 3 3 4 2" xfId="45002"/>
    <cellStyle name="Comma 6 2 2 3 3 5" xfId="45003"/>
    <cellStyle name="Comma 6 2 2 3 3 6" xfId="45004"/>
    <cellStyle name="Comma 6 2 2 3 4" xfId="45005"/>
    <cellStyle name="Comma 6 2 2 3 4 2" xfId="45006"/>
    <cellStyle name="Comma 6 2 2 3 4 2 2" xfId="45007"/>
    <cellStyle name="Comma 6 2 2 3 4 2 3" xfId="45008"/>
    <cellStyle name="Comma 6 2 2 3 4 3" xfId="45009"/>
    <cellStyle name="Comma 6 2 2 3 4 3 2" xfId="45010"/>
    <cellStyle name="Comma 6 2 2 3 4 3 3" xfId="45011"/>
    <cellStyle name="Comma 6 2 2 3 4 4" xfId="45012"/>
    <cellStyle name="Comma 6 2 2 3 4 4 2" xfId="45013"/>
    <cellStyle name="Comma 6 2 2 3 4 5" xfId="45014"/>
    <cellStyle name="Comma 6 2 2 3 4 6" xfId="45015"/>
    <cellStyle name="Comma 6 2 2 3 5" xfId="45016"/>
    <cellStyle name="Comma 6 2 2 3 5 2" xfId="45017"/>
    <cellStyle name="Comma 6 2 2 3 5 2 2" xfId="45018"/>
    <cellStyle name="Comma 6 2 2 3 5 2 3" xfId="45019"/>
    <cellStyle name="Comma 6 2 2 3 5 3" xfId="45020"/>
    <cellStyle name="Comma 6 2 2 3 5 3 2" xfId="45021"/>
    <cellStyle name="Comma 6 2 2 3 5 4" xfId="45022"/>
    <cellStyle name="Comma 6 2 2 3 5 5" xfId="45023"/>
    <cellStyle name="Comma 6 2 2 3 6" xfId="45024"/>
    <cellStyle name="Comma 6 2 2 3 6 2" xfId="45025"/>
    <cellStyle name="Comma 6 2 2 3 6 3" xfId="45026"/>
    <cellStyle name="Comma 6 2 2 3 7" xfId="45027"/>
    <cellStyle name="Comma 6 2 2 3 7 2" xfId="45028"/>
    <cellStyle name="Comma 6 2 2 3 7 3" xfId="45029"/>
    <cellStyle name="Comma 6 2 2 3 8" xfId="45030"/>
    <cellStyle name="Comma 6 2 2 3 8 2" xfId="45031"/>
    <cellStyle name="Comma 6 2 2 3 9" xfId="45032"/>
    <cellStyle name="Comma 6 2 2 4" xfId="45033"/>
    <cellStyle name="Comma 6 2 2 4 2" xfId="45034"/>
    <cellStyle name="Comma 6 2 2 4 2 2" xfId="45035"/>
    <cellStyle name="Comma 6 2 2 4 2 2 2" xfId="45036"/>
    <cellStyle name="Comma 6 2 2 4 2 2 3" xfId="45037"/>
    <cellStyle name="Comma 6 2 2 4 2 3" xfId="45038"/>
    <cellStyle name="Comma 6 2 2 4 2 3 2" xfId="45039"/>
    <cellStyle name="Comma 6 2 2 4 2 3 3" xfId="45040"/>
    <cellStyle name="Comma 6 2 2 4 2 4" xfId="45041"/>
    <cellStyle name="Comma 6 2 2 4 2 4 2" xfId="45042"/>
    <cellStyle name="Comma 6 2 2 4 2 5" xfId="45043"/>
    <cellStyle name="Comma 6 2 2 4 2 6" xfId="45044"/>
    <cellStyle name="Comma 6 2 2 4 3" xfId="45045"/>
    <cellStyle name="Comma 6 2 2 4 3 2" xfId="45046"/>
    <cellStyle name="Comma 6 2 2 4 3 2 2" xfId="45047"/>
    <cellStyle name="Comma 6 2 2 4 3 2 3" xfId="45048"/>
    <cellStyle name="Comma 6 2 2 4 3 3" xfId="45049"/>
    <cellStyle name="Comma 6 2 2 4 3 3 2" xfId="45050"/>
    <cellStyle name="Comma 6 2 2 4 3 3 3" xfId="45051"/>
    <cellStyle name="Comma 6 2 2 4 3 4" xfId="45052"/>
    <cellStyle name="Comma 6 2 2 4 3 4 2" xfId="45053"/>
    <cellStyle name="Comma 6 2 2 4 3 5" xfId="45054"/>
    <cellStyle name="Comma 6 2 2 4 3 6" xfId="45055"/>
    <cellStyle name="Comma 6 2 2 4 4" xfId="45056"/>
    <cellStyle name="Comma 6 2 2 4 4 2" xfId="45057"/>
    <cellStyle name="Comma 6 2 2 4 4 2 2" xfId="45058"/>
    <cellStyle name="Comma 6 2 2 4 4 2 3" xfId="45059"/>
    <cellStyle name="Comma 6 2 2 4 4 3" xfId="45060"/>
    <cellStyle name="Comma 6 2 2 4 4 3 2" xfId="45061"/>
    <cellStyle name="Comma 6 2 2 4 4 4" xfId="45062"/>
    <cellStyle name="Comma 6 2 2 4 4 5" xfId="45063"/>
    <cellStyle name="Comma 6 2 2 4 5" xfId="45064"/>
    <cellStyle name="Comma 6 2 2 4 5 2" xfId="45065"/>
    <cellStyle name="Comma 6 2 2 4 5 3" xfId="45066"/>
    <cellStyle name="Comma 6 2 2 4 6" xfId="45067"/>
    <cellStyle name="Comma 6 2 2 4 6 2" xfId="45068"/>
    <cellStyle name="Comma 6 2 2 4 6 3" xfId="45069"/>
    <cellStyle name="Comma 6 2 2 4 7" xfId="45070"/>
    <cellStyle name="Comma 6 2 2 4 7 2" xfId="45071"/>
    <cellStyle name="Comma 6 2 2 4 8" xfId="45072"/>
    <cellStyle name="Comma 6 2 2 4 9" xfId="45073"/>
    <cellStyle name="Comma 6 2 2 5" xfId="45074"/>
    <cellStyle name="Comma 6 2 2 5 2" xfId="45075"/>
    <cellStyle name="Comma 6 2 2 5 2 2" xfId="45076"/>
    <cellStyle name="Comma 6 2 2 5 2 2 2" xfId="45077"/>
    <cellStyle name="Comma 6 2 2 5 2 2 3" xfId="45078"/>
    <cellStyle name="Comma 6 2 2 5 2 3" xfId="45079"/>
    <cellStyle name="Comma 6 2 2 5 2 3 2" xfId="45080"/>
    <cellStyle name="Comma 6 2 2 5 2 3 3" xfId="45081"/>
    <cellStyle name="Comma 6 2 2 5 2 4" xfId="45082"/>
    <cellStyle name="Comma 6 2 2 5 2 4 2" xfId="45083"/>
    <cellStyle name="Comma 6 2 2 5 2 5" xfId="45084"/>
    <cellStyle name="Comma 6 2 2 5 2 6" xfId="45085"/>
    <cellStyle name="Comma 6 2 2 5 3" xfId="45086"/>
    <cellStyle name="Comma 6 2 2 5 3 2" xfId="45087"/>
    <cellStyle name="Comma 6 2 2 5 3 2 2" xfId="45088"/>
    <cellStyle name="Comma 6 2 2 5 3 2 3" xfId="45089"/>
    <cellStyle name="Comma 6 2 2 5 3 3" xfId="45090"/>
    <cellStyle name="Comma 6 2 2 5 3 3 2" xfId="45091"/>
    <cellStyle name="Comma 6 2 2 5 3 3 3" xfId="45092"/>
    <cellStyle name="Comma 6 2 2 5 3 4" xfId="45093"/>
    <cellStyle name="Comma 6 2 2 5 3 4 2" xfId="45094"/>
    <cellStyle name="Comma 6 2 2 5 3 5" xfId="45095"/>
    <cellStyle name="Comma 6 2 2 5 3 6" xfId="45096"/>
    <cellStyle name="Comma 6 2 2 5 4" xfId="45097"/>
    <cellStyle name="Comma 6 2 2 5 4 2" xfId="45098"/>
    <cellStyle name="Comma 6 2 2 5 4 2 2" xfId="45099"/>
    <cellStyle name="Comma 6 2 2 5 4 2 3" xfId="45100"/>
    <cellStyle name="Comma 6 2 2 5 4 3" xfId="45101"/>
    <cellStyle name="Comma 6 2 2 5 4 3 2" xfId="45102"/>
    <cellStyle name="Comma 6 2 2 5 4 4" xfId="45103"/>
    <cellStyle name="Comma 6 2 2 5 4 5" xfId="45104"/>
    <cellStyle name="Comma 6 2 2 5 5" xfId="45105"/>
    <cellStyle name="Comma 6 2 2 5 5 2" xfId="45106"/>
    <cellStyle name="Comma 6 2 2 5 5 3" xfId="45107"/>
    <cellStyle name="Comma 6 2 2 5 6" xfId="45108"/>
    <cellStyle name="Comma 6 2 2 5 6 2" xfId="45109"/>
    <cellStyle name="Comma 6 2 2 5 6 3" xfId="45110"/>
    <cellStyle name="Comma 6 2 2 5 7" xfId="45111"/>
    <cellStyle name="Comma 6 2 2 5 7 2" xfId="45112"/>
    <cellStyle name="Comma 6 2 2 5 8" xfId="45113"/>
    <cellStyle name="Comma 6 2 2 5 9" xfId="45114"/>
    <cellStyle name="Comma 6 2 2 6" xfId="45115"/>
    <cellStyle name="Comma 6 2 2 6 2" xfId="45116"/>
    <cellStyle name="Comma 6 2 2 6 2 2" xfId="45117"/>
    <cellStyle name="Comma 6 2 2 6 2 3" xfId="45118"/>
    <cellStyle name="Comma 6 2 2 6 3" xfId="45119"/>
    <cellStyle name="Comma 6 2 2 6 3 2" xfId="45120"/>
    <cellStyle name="Comma 6 2 2 6 3 3" xfId="45121"/>
    <cellStyle name="Comma 6 2 2 6 4" xfId="45122"/>
    <cellStyle name="Comma 6 2 2 6 4 2" xfId="45123"/>
    <cellStyle name="Comma 6 2 2 6 5" xfId="45124"/>
    <cellStyle name="Comma 6 2 2 6 6" xfId="45125"/>
    <cellStyle name="Comma 6 2 2 7" xfId="45126"/>
    <cellStyle name="Comma 6 2 2 7 2" xfId="45127"/>
    <cellStyle name="Comma 6 2 2 7 2 2" xfId="45128"/>
    <cellStyle name="Comma 6 2 2 7 2 3" xfId="45129"/>
    <cellStyle name="Comma 6 2 2 7 3" xfId="45130"/>
    <cellStyle name="Comma 6 2 2 7 3 2" xfId="45131"/>
    <cellStyle name="Comma 6 2 2 7 3 3" xfId="45132"/>
    <cellStyle name="Comma 6 2 2 7 4" xfId="45133"/>
    <cellStyle name="Comma 6 2 2 7 4 2" xfId="45134"/>
    <cellStyle name="Comma 6 2 2 7 5" xfId="45135"/>
    <cellStyle name="Comma 6 2 2 7 6" xfId="45136"/>
    <cellStyle name="Comma 6 2 2 8" xfId="45137"/>
    <cellStyle name="Comma 6 2 2 8 2" xfId="45138"/>
    <cellStyle name="Comma 6 2 2 8 2 2" xfId="45139"/>
    <cellStyle name="Comma 6 2 2 8 2 3" xfId="45140"/>
    <cellStyle name="Comma 6 2 2 8 3" xfId="45141"/>
    <cellStyle name="Comma 6 2 2 8 3 2" xfId="45142"/>
    <cellStyle name="Comma 6 2 2 8 4" xfId="45143"/>
    <cellStyle name="Comma 6 2 2 8 5" xfId="45144"/>
    <cellStyle name="Comma 6 2 2 9" xfId="45145"/>
    <cellStyle name="Comma 6 2 2 9 2" xfId="45146"/>
    <cellStyle name="Comma 6 2 2 9 3" xfId="45147"/>
    <cellStyle name="Comma 6 2 3" xfId="45148"/>
    <cellStyle name="Comma 6 2 3 10" xfId="45149"/>
    <cellStyle name="Comma 6 2 3 10 2" xfId="45150"/>
    <cellStyle name="Comma 6 2 3 11" xfId="45151"/>
    <cellStyle name="Comma 6 2 3 12" xfId="45152"/>
    <cellStyle name="Comma 6 2 3 13" xfId="45153"/>
    <cellStyle name="Comma 6 2 3 2" xfId="45154"/>
    <cellStyle name="Comma 6 2 3 2 10" xfId="45155"/>
    <cellStyle name="Comma 6 2 3 2 2" xfId="45156"/>
    <cellStyle name="Comma 6 2 3 2 2 2" xfId="45157"/>
    <cellStyle name="Comma 6 2 3 2 2 2 2" xfId="45158"/>
    <cellStyle name="Comma 6 2 3 2 2 2 2 2" xfId="45159"/>
    <cellStyle name="Comma 6 2 3 2 2 2 2 3" xfId="45160"/>
    <cellStyle name="Comma 6 2 3 2 2 2 3" xfId="45161"/>
    <cellStyle name="Comma 6 2 3 2 2 2 3 2" xfId="45162"/>
    <cellStyle name="Comma 6 2 3 2 2 2 3 3" xfId="45163"/>
    <cellStyle name="Comma 6 2 3 2 2 2 4" xfId="45164"/>
    <cellStyle name="Comma 6 2 3 2 2 2 4 2" xfId="45165"/>
    <cellStyle name="Comma 6 2 3 2 2 2 5" xfId="45166"/>
    <cellStyle name="Comma 6 2 3 2 2 2 6" xfId="45167"/>
    <cellStyle name="Comma 6 2 3 2 2 3" xfId="45168"/>
    <cellStyle name="Comma 6 2 3 2 2 3 2" xfId="45169"/>
    <cellStyle name="Comma 6 2 3 2 2 3 2 2" xfId="45170"/>
    <cellStyle name="Comma 6 2 3 2 2 3 2 3" xfId="45171"/>
    <cellStyle name="Comma 6 2 3 2 2 3 3" xfId="45172"/>
    <cellStyle name="Comma 6 2 3 2 2 3 3 2" xfId="45173"/>
    <cellStyle name="Comma 6 2 3 2 2 3 3 3" xfId="45174"/>
    <cellStyle name="Comma 6 2 3 2 2 3 4" xfId="45175"/>
    <cellStyle name="Comma 6 2 3 2 2 3 4 2" xfId="45176"/>
    <cellStyle name="Comma 6 2 3 2 2 3 5" xfId="45177"/>
    <cellStyle name="Comma 6 2 3 2 2 3 6" xfId="45178"/>
    <cellStyle name="Comma 6 2 3 2 2 4" xfId="45179"/>
    <cellStyle name="Comma 6 2 3 2 2 4 2" xfId="45180"/>
    <cellStyle name="Comma 6 2 3 2 2 4 2 2" xfId="45181"/>
    <cellStyle name="Comma 6 2 3 2 2 4 2 3" xfId="45182"/>
    <cellStyle name="Comma 6 2 3 2 2 4 3" xfId="45183"/>
    <cellStyle name="Comma 6 2 3 2 2 4 3 2" xfId="45184"/>
    <cellStyle name="Comma 6 2 3 2 2 4 4" xfId="45185"/>
    <cellStyle name="Comma 6 2 3 2 2 4 5" xfId="45186"/>
    <cellStyle name="Comma 6 2 3 2 2 5" xfId="45187"/>
    <cellStyle name="Comma 6 2 3 2 2 5 2" xfId="45188"/>
    <cellStyle name="Comma 6 2 3 2 2 5 3" xfId="45189"/>
    <cellStyle name="Comma 6 2 3 2 2 6" xfId="45190"/>
    <cellStyle name="Comma 6 2 3 2 2 6 2" xfId="45191"/>
    <cellStyle name="Comma 6 2 3 2 2 6 3" xfId="45192"/>
    <cellStyle name="Comma 6 2 3 2 2 7" xfId="45193"/>
    <cellStyle name="Comma 6 2 3 2 2 7 2" xfId="45194"/>
    <cellStyle name="Comma 6 2 3 2 2 8" xfId="45195"/>
    <cellStyle name="Comma 6 2 3 2 2 9" xfId="45196"/>
    <cellStyle name="Comma 6 2 3 2 3" xfId="45197"/>
    <cellStyle name="Comma 6 2 3 2 3 2" xfId="45198"/>
    <cellStyle name="Comma 6 2 3 2 3 2 2" xfId="45199"/>
    <cellStyle name="Comma 6 2 3 2 3 2 3" xfId="45200"/>
    <cellStyle name="Comma 6 2 3 2 3 3" xfId="45201"/>
    <cellStyle name="Comma 6 2 3 2 3 3 2" xfId="45202"/>
    <cellStyle name="Comma 6 2 3 2 3 3 3" xfId="45203"/>
    <cellStyle name="Comma 6 2 3 2 3 4" xfId="45204"/>
    <cellStyle name="Comma 6 2 3 2 3 4 2" xfId="45205"/>
    <cellStyle name="Comma 6 2 3 2 3 5" xfId="45206"/>
    <cellStyle name="Comma 6 2 3 2 3 6" xfId="45207"/>
    <cellStyle name="Comma 6 2 3 2 4" xfId="45208"/>
    <cellStyle name="Comma 6 2 3 2 4 2" xfId="45209"/>
    <cellStyle name="Comma 6 2 3 2 4 2 2" xfId="45210"/>
    <cellStyle name="Comma 6 2 3 2 4 2 3" xfId="45211"/>
    <cellStyle name="Comma 6 2 3 2 4 3" xfId="45212"/>
    <cellStyle name="Comma 6 2 3 2 4 3 2" xfId="45213"/>
    <cellStyle name="Comma 6 2 3 2 4 3 3" xfId="45214"/>
    <cellStyle name="Comma 6 2 3 2 4 4" xfId="45215"/>
    <cellStyle name="Comma 6 2 3 2 4 4 2" xfId="45216"/>
    <cellStyle name="Comma 6 2 3 2 4 5" xfId="45217"/>
    <cellStyle name="Comma 6 2 3 2 4 6" xfId="45218"/>
    <cellStyle name="Comma 6 2 3 2 5" xfId="45219"/>
    <cellStyle name="Comma 6 2 3 2 5 2" xfId="45220"/>
    <cellStyle name="Comma 6 2 3 2 5 2 2" xfId="45221"/>
    <cellStyle name="Comma 6 2 3 2 5 2 3" xfId="45222"/>
    <cellStyle name="Comma 6 2 3 2 5 3" xfId="45223"/>
    <cellStyle name="Comma 6 2 3 2 5 3 2" xfId="45224"/>
    <cellStyle name="Comma 6 2 3 2 5 4" xfId="45225"/>
    <cellStyle name="Comma 6 2 3 2 5 5" xfId="45226"/>
    <cellStyle name="Comma 6 2 3 2 6" xfId="45227"/>
    <cellStyle name="Comma 6 2 3 2 6 2" xfId="45228"/>
    <cellStyle name="Comma 6 2 3 2 6 3" xfId="45229"/>
    <cellStyle name="Comma 6 2 3 2 7" xfId="45230"/>
    <cellStyle name="Comma 6 2 3 2 7 2" xfId="45231"/>
    <cellStyle name="Comma 6 2 3 2 7 3" xfId="45232"/>
    <cellStyle name="Comma 6 2 3 2 8" xfId="45233"/>
    <cellStyle name="Comma 6 2 3 2 8 2" xfId="45234"/>
    <cellStyle name="Comma 6 2 3 2 9" xfId="45235"/>
    <cellStyle name="Comma 6 2 3 3" xfId="45236"/>
    <cellStyle name="Comma 6 2 3 3 2" xfId="45237"/>
    <cellStyle name="Comma 6 2 3 3 2 2" xfId="45238"/>
    <cellStyle name="Comma 6 2 3 3 2 2 2" xfId="45239"/>
    <cellStyle name="Comma 6 2 3 3 2 2 3" xfId="45240"/>
    <cellStyle name="Comma 6 2 3 3 2 3" xfId="45241"/>
    <cellStyle name="Comma 6 2 3 3 2 3 2" xfId="45242"/>
    <cellStyle name="Comma 6 2 3 3 2 3 3" xfId="45243"/>
    <cellStyle name="Comma 6 2 3 3 2 4" xfId="45244"/>
    <cellStyle name="Comma 6 2 3 3 2 4 2" xfId="45245"/>
    <cellStyle name="Comma 6 2 3 3 2 5" xfId="45246"/>
    <cellStyle name="Comma 6 2 3 3 2 6" xfId="45247"/>
    <cellStyle name="Comma 6 2 3 3 3" xfId="45248"/>
    <cellStyle name="Comma 6 2 3 3 3 2" xfId="45249"/>
    <cellStyle name="Comma 6 2 3 3 3 2 2" xfId="45250"/>
    <cellStyle name="Comma 6 2 3 3 3 2 3" xfId="45251"/>
    <cellStyle name="Comma 6 2 3 3 3 3" xfId="45252"/>
    <cellStyle name="Comma 6 2 3 3 3 3 2" xfId="45253"/>
    <cellStyle name="Comma 6 2 3 3 3 3 3" xfId="45254"/>
    <cellStyle name="Comma 6 2 3 3 3 4" xfId="45255"/>
    <cellStyle name="Comma 6 2 3 3 3 4 2" xfId="45256"/>
    <cellStyle name="Comma 6 2 3 3 3 5" xfId="45257"/>
    <cellStyle name="Comma 6 2 3 3 3 6" xfId="45258"/>
    <cellStyle name="Comma 6 2 3 3 4" xfId="45259"/>
    <cellStyle name="Comma 6 2 3 3 4 2" xfId="45260"/>
    <cellStyle name="Comma 6 2 3 3 4 2 2" xfId="45261"/>
    <cellStyle name="Comma 6 2 3 3 4 2 3" xfId="45262"/>
    <cellStyle name="Comma 6 2 3 3 4 3" xfId="45263"/>
    <cellStyle name="Comma 6 2 3 3 4 3 2" xfId="45264"/>
    <cellStyle name="Comma 6 2 3 3 4 4" xfId="45265"/>
    <cellStyle name="Comma 6 2 3 3 4 5" xfId="45266"/>
    <cellStyle name="Comma 6 2 3 3 5" xfId="45267"/>
    <cellStyle name="Comma 6 2 3 3 5 2" xfId="45268"/>
    <cellStyle name="Comma 6 2 3 3 5 3" xfId="45269"/>
    <cellStyle name="Comma 6 2 3 3 6" xfId="45270"/>
    <cellStyle name="Comma 6 2 3 3 6 2" xfId="45271"/>
    <cellStyle name="Comma 6 2 3 3 6 3" xfId="45272"/>
    <cellStyle name="Comma 6 2 3 3 7" xfId="45273"/>
    <cellStyle name="Comma 6 2 3 3 7 2" xfId="45274"/>
    <cellStyle name="Comma 6 2 3 3 8" xfId="45275"/>
    <cellStyle name="Comma 6 2 3 3 9" xfId="45276"/>
    <cellStyle name="Comma 6 2 3 4" xfId="45277"/>
    <cellStyle name="Comma 6 2 3 4 2" xfId="45278"/>
    <cellStyle name="Comma 6 2 3 4 2 2" xfId="45279"/>
    <cellStyle name="Comma 6 2 3 4 2 2 2" xfId="45280"/>
    <cellStyle name="Comma 6 2 3 4 2 2 3" xfId="45281"/>
    <cellStyle name="Comma 6 2 3 4 2 3" xfId="45282"/>
    <cellStyle name="Comma 6 2 3 4 2 3 2" xfId="45283"/>
    <cellStyle name="Comma 6 2 3 4 2 3 3" xfId="45284"/>
    <cellStyle name="Comma 6 2 3 4 2 4" xfId="45285"/>
    <cellStyle name="Comma 6 2 3 4 2 4 2" xfId="45286"/>
    <cellStyle name="Comma 6 2 3 4 2 5" xfId="45287"/>
    <cellStyle name="Comma 6 2 3 4 2 6" xfId="45288"/>
    <cellStyle name="Comma 6 2 3 4 3" xfId="45289"/>
    <cellStyle name="Comma 6 2 3 4 3 2" xfId="45290"/>
    <cellStyle name="Comma 6 2 3 4 3 2 2" xfId="45291"/>
    <cellStyle name="Comma 6 2 3 4 3 2 3" xfId="45292"/>
    <cellStyle name="Comma 6 2 3 4 3 3" xfId="45293"/>
    <cellStyle name="Comma 6 2 3 4 3 3 2" xfId="45294"/>
    <cellStyle name="Comma 6 2 3 4 3 3 3" xfId="45295"/>
    <cellStyle name="Comma 6 2 3 4 3 4" xfId="45296"/>
    <cellStyle name="Comma 6 2 3 4 3 4 2" xfId="45297"/>
    <cellStyle name="Comma 6 2 3 4 3 5" xfId="45298"/>
    <cellStyle name="Comma 6 2 3 4 3 6" xfId="45299"/>
    <cellStyle name="Comma 6 2 3 4 4" xfId="45300"/>
    <cellStyle name="Comma 6 2 3 4 4 2" xfId="45301"/>
    <cellStyle name="Comma 6 2 3 4 4 2 2" xfId="45302"/>
    <cellStyle name="Comma 6 2 3 4 4 2 3" xfId="45303"/>
    <cellStyle name="Comma 6 2 3 4 4 3" xfId="45304"/>
    <cellStyle name="Comma 6 2 3 4 4 3 2" xfId="45305"/>
    <cellStyle name="Comma 6 2 3 4 4 4" xfId="45306"/>
    <cellStyle name="Comma 6 2 3 4 4 5" xfId="45307"/>
    <cellStyle name="Comma 6 2 3 4 5" xfId="45308"/>
    <cellStyle name="Comma 6 2 3 4 5 2" xfId="45309"/>
    <cellStyle name="Comma 6 2 3 4 5 3" xfId="45310"/>
    <cellStyle name="Comma 6 2 3 4 6" xfId="45311"/>
    <cellStyle name="Comma 6 2 3 4 6 2" xfId="45312"/>
    <cellStyle name="Comma 6 2 3 4 6 3" xfId="45313"/>
    <cellStyle name="Comma 6 2 3 4 7" xfId="45314"/>
    <cellStyle name="Comma 6 2 3 4 7 2" xfId="45315"/>
    <cellStyle name="Comma 6 2 3 4 8" xfId="45316"/>
    <cellStyle name="Comma 6 2 3 4 9" xfId="45317"/>
    <cellStyle name="Comma 6 2 3 5" xfId="45318"/>
    <cellStyle name="Comma 6 2 3 5 2" xfId="45319"/>
    <cellStyle name="Comma 6 2 3 5 2 2" xfId="45320"/>
    <cellStyle name="Comma 6 2 3 5 2 3" xfId="45321"/>
    <cellStyle name="Comma 6 2 3 5 3" xfId="45322"/>
    <cellStyle name="Comma 6 2 3 5 3 2" xfId="45323"/>
    <cellStyle name="Comma 6 2 3 5 3 3" xfId="45324"/>
    <cellStyle name="Comma 6 2 3 5 4" xfId="45325"/>
    <cellStyle name="Comma 6 2 3 5 4 2" xfId="45326"/>
    <cellStyle name="Comma 6 2 3 5 5" xfId="45327"/>
    <cellStyle name="Comma 6 2 3 5 6" xfId="45328"/>
    <cellStyle name="Comma 6 2 3 6" xfId="45329"/>
    <cellStyle name="Comma 6 2 3 6 2" xfId="45330"/>
    <cellStyle name="Comma 6 2 3 6 2 2" xfId="45331"/>
    <cellStyle name="Comma 6 2 3 6 2 3" xfId="45332"/>
    <cellStyle name="Comma 6 2 3 6 3" xfId="45333"/>
    <cellStyle name="Comma 6 2 3 6 3 2" xfId="45334"/>
    <cellStyle name="Comma 6 2 3 6 3 3" xfId="45335"/>
    <cellStyle name="Comma 6 2 3 6 4" xfId="45336"/>
    <cellStyle name="Comma 6 2 3 6 4 2" xfId="45337"/>
    <cellStyle name="Comma 6 2 3 6 5" xfId="45338"/>
    <cellStyle name="Comma 6 2 3 6 6" xfId="45339"/>
    <cellStyle name="Comma 6 2 3 7" xfId="45340"/>
    <cellStyle name="Comma 6 2 3 7 2" xfId="45341"/>
    <cellStyle name="Comma 6 2 3 7 2 2" xfId="45342"/>
    <cellStyle name="Comma 6 2 3 7 2 3" xfId="45343"/>
    <cellStyle name="Comma 6 2 3 7 3" xfId="45344"/>
    <cellStyle name="Comma 6 2 3 7 3 2" xfId="45345"/>
    <cellStyle name="Comma 6 2 3 7 4" xfId="45346"/>
    <cellStyle name="Comma 6 2 3 7 5" xfId="45347"/>
    <cellStyle name="Comma 6 2 3 8" xfId="45348"/>
    <cellStyle name="Comma 6 2 3 8 2" xfId="45349"/>
    <cellStyle name="Comma 6 2 3 8 3" xfId="45350"/>
    <cellStyle name="Comma 6 2 3 9" xfId="45351"/>
    <cellStyle name="Comma 6 2 3 9 2" xfId="45352"/>
    <cellStyle name="Comma 6 2 3 9 3" xfId="45353"/>
    <cellStyle name="Comma 6 2 4" xfId="45354"/>
    <cellStyle name="Comma 6 2 4 10" xfId="45355"/>
    <cellStyle name="Comma 6 2 4 2" xfId="45356"/>
    <cellStyle name="Comma 6 2 4 2 2" xfId="45357"/>
    <cellStyle name="Comma 6 2 4 2 2 2" xfId="45358"/>
    <cellStyle name="Comma 6 2 4 2 2 2 2" xfId="45359"/>
    <cellStyle name="Comma 6 2 4 2 2 2 3" xfId="45360"/>
    <cellStyle name="Comma 6 2 4 2 2 3" xfId="45361"/>
    <cellStyle name="Comma 6 2 4 2 2 3 2" xfId="45362"/>
    <cellStyle name="Comma 6 2 4 2 2 3 3" xfId="45363"/>
    <cellStyle name="Comma 6 2 4 2 2 4" xfId="45364"/>
    <cellStyle name="Comma 6 2 4 2 2 4 2" xfId="45365"/>
    <cellStyle name="Comma 6 2 4 2 2 5" xfId="45366"/>
    <cellStyle name="Comma 6 2 4 2 2 6" xfId="45367"/>
    <cellStyle name="Comma 6 2 4 2 3" xfId="45368"/>
    <cellStyle name="Comma 6 2 4 2 3 2" xfId="45369"/>
    <cellStyle name="Comma 6 2 4 2 3 2 2" xfId="45370"/>
    <cellStyle name="Comma 6 2 4 2 3 2 3" xfId="45371"/>
    <cellStyle name="Comma 6 2 4 2 3 3" xfId="45372"/>
    <cellStyle name="Comma 6 2 4 2 3 3 2" xfId="45373"/>
    <cellStyle name="Comma 6 2 4 2 3 3 3" xfId="45374"/>
    <cellStyle name="Comma 6 2 4 2 3 4" xfId="45375"/>
    <cellStyle name="Comma 6 2 4 2 3 4 2" xfId="45376"/>
    <cellStyle name="Comma 6 2 4 2 3 5" xfId="45377"/>
    <cellStyle name="Comma 6 2 4 2 3 6" xfId="45378"/>
    <cellStyle name="Comma 6 2 4 2 4" xfId="45379"/>
    <cellStyle name="Comma 6 2 4 2 4 2" xfId="45380"/>
    <cellStyle name="Comma 6 2 4 2 4 2 2" xfId="45381"/>
    <cellStyle name="Comma 6 2 4 2 4 2 3" xfId="45382"/>
    <cellStyle name="Comma 6 2 4 2 4 3" xfId="45383"/>
    <cellStyle name="Comma 6 2 4 2 4 3 2" xfId="45384"/>
    <cellStyle name="Comma 6 2 4 2 4 4" xfId="45385"/>
    <cellStyle name="Comma 6 2 4 2 4 5" xfId="45386"/>
    <cellStyle name="Comma 6 2 4 2 5" xfId="45387"/>
    <cellStyle name="Comma 6 2 4 2 5 2" xfId="45388"/>
    <cellStyle name="Comma 6 2 4 2 5 3" xfId="45389"/>
    <cellStyle name="Comma 6 2 4 2 6" xfId="45390"/>
    <cellStyle name="Comma 6 2 4 2 6 2" xfId="45391"/>
    <cellStyle name="Comma 6 2 4 2 6 3" xfId="45392"/>
    <cellStyle name="Comma 6 2 4 2 7" xfId="45393"/>
    <cellStyle name="Comma 6 2 4 2 7 2" xfId="45394"/>
    <cellStyle name="Comma 6 2 4 2 8" xfId="45395"/>
    <cellStyle name="Comma 6 2 4 2 9" xfId="45396"/>
    <cellStyle name="Comma 6 2 4 3" xfId="45397"/>
    <cellStyle name="Comma 6 2 4 3 2" xfId="45398"/>
    <cellStyle name="Comma 6 2 4 3 2 2" xfId="45399"/>
    <cellStyle name="Comma 6 2 4 3 2 3" xfId="45400"/>
    <cellStyle name="Comma 6 2 4 3 3" xfId="45401"/>
    <cellStyle name="Comma 6 2 4 3 3 2" xfId="45402"/>
    <cellStyle name="Comma 6 2 4 3 3 3" xfId="45403"/>
    <cellStyle name="Comma 6 2 4 3 4" xfId="45404"/>
    <cellStyle name="Comma 6 2 4 3 4 2" xfId="45405"/>
    <cellStyle name="Comma 6 2 4 3 5" xfId="45406"/>
    <cellStyle name="Comma 6 2 4 3 6" xfId="45407"/>
    <cellStyle name="Comma 6 2 4 4" xfId="45408"/>
    <cellStyle name="Comma 6 2 4 4 2" xfId="45409"/>
    <cellStyle name="Comma 6 2 4 4 2 2" xfId="45410"/>
    <cellStyle name="Comma 6 2 4 4 2 3" xfId="45411"/>
    <cellStyle name="Comma 6 2 4 4 3" xfId="45412"/>
    <cellStyle name="Comma 6 2 4 4 3 2" xfId="45413"/>
    <cellStyle name="Comma 6 2 4 4 3 3" xfId="45414"/>
    <cellStyle name="Comma 6 2 4 4 4" xfId="45415"/>
    <cellStyle name="Comma 6 2 4 4 4 2" xfId="45416"/>
    <cellStyle name="Comma 6 2 4 4 5" xfId="45417"/>
    <cellStyle name="Comma 6 2 4 4 6" xfId="45418"/>
    <cellStyle name="Comma 6 2 4 5" xfId="45419"/>
    <cellStyle name="Comma 6 2 4 5 2" xfId="45420"/>
    <cellStyle name="Comma 6 2 4 5 2 2" xfId="45421"/>
    <cellStyle name="Comma 6 2 4 5 2 3" xfId="45422"/>
    <cellStyle name="Comma 6 2 4 5 3" xfId="45423"/>
    <cellStyle name="Comma 6 2 4 5 3 2" xfId="45424"/>
    <cellStyle name="Comma 6 2 4 5 4" xfId="45425"/>
    <cellStyle name="Comma 6 2 4 5 5" xfId="45426"/>
    <cellStyle name="Comma 6 2 4 6" xfId="45427"/>
    <cellStyle name="Comma 6 2 4 6 2" xfId="45428"/>
    <cellStyle name="Comma 6 2 4 6 3" xfId="45429"/>
    <cellStyle name="Comma 6 2 4 7" xfId="45430"/>
    <cellStyle name="Comma 6 2 4 7 2" xfId="45431"/>
    <cellStyle name="Comma 6 2 4 7 3" xfId="45432"/>
    <cellStyle name="Comma 6 2 4 8" xfId="45433"/>
    <cellStyle name="Comma 6 2 4 8 2" xfId="45434"/>
    <cellStyle name="Comma 6 2 4 9" xfId="45435"/>
    <cellStyle name="Comma 6 2 5" xfId="45436"/>
    <cellStyle name="Comma 6 2 5 2" xfId="45437"/>
    <cellStyle name="Comma 6 2 5 2 2" xfId="45438"/>
    <cellStyle name="Comma 6 2 5 2 2 2" xfId="45439"/>
    <cellStyle name="Comma 6 2 5 2 2 3" xfId="45440"/>
    <cellStyle name="Comma 6 2 5 2 3" xfId="45441"/>
    <cellStyle name="Comma 6 2 5 2 3 2" xfId="45442"/>
    <cellStyle name="Comma 6 2 5 2 3 3" xfId="45443"/>
    <cellStyle name="Comma 6 2 5 2 4" xfId="45444"/>
    <cellStyle name="Comma 6 2 5 2 4 2" xfId="45445"/>
    <cellStyle name="Comma 6 2 5 2 5" xfId="45446"/>
    <cellStyle name="Comma 6 2 5 2 6" xfId="45447"/>
    <cellStyle name="Comma 6 2 5 3" xfId="45448"/>
    <cellStyle name="Comma 6 2 5 3 2" xfId="45449"/>
    <cellStyle name="Comma 6 2 5 3 2 2" xfId="45450"/>
    <cellStyle name="Comma 6 2 5 3 2 3" xfId="45451"/>
    <cellStyle name="Comma 6 2 5 3 3" xfId="45452"/>
    <cellStyle name="Comma 6 2 5 3 3 2" xfId="45453"/>
    <cellStyle name="Comma 6 2 5 3 3 3" xfId="45454"/>
    <cellStyle name="Comma 6 2 5 3 4" xfId="45455"/>
    <cellStyle name="Comma 6 2 5 3 4 2" xfId="45456"/>
    <cellStyle name="Comma 6 2 5 3 5" xfId="45457"/>
    <cellStyle name="Comma 6 2 5 3 6" xfId="45458"/>
    <cellStyle name="Comma 6 2 5 4" xfId="45459"/>
    <cellStyle name="Comma 6 2 5 4 2" xfId="45460"/>
    <cellStyle name="Comma 6 2 5 4 2 2" xfId="45461"/>
    <cellStyle name="Comma 6 2 5 4 2 3" xfId="45462"/>
    <cellStyle name="Comma 6 2 5 4 3" xfId="45463"/>
    <cellStyle name="Comma 6 2 5 4 3 2" xfId="45464"/>
    <cellStyle name="Comma 6 2 5 4 4" xfId="45465"/>
    <cellStyle name="Comma 6 2 5 4 5" xfId="45466"/>
    <cellStyle name="Comma 6 2 5 5" xfId="45467"/>
    <cellStyle name="Comma 6 2 5 5 2" xfId="45468"/>
    <cellStyle name="Comma 6 2 5 5 3" xfId="45469"/>
    <cellStyle name="Comma 6 2 5 6" xfId="45470"/>
    <cellStyle name="Comma 6 2 5 6 2" xfId="45471"/>
    <cellStyle name="Comma 6 2 5 6 3" xfId="45472"/>
    <cellStyle name="Comma 6 2 5 7" xfId="45473"/>
    <cellStyle name="Comma 6 2 5 7 2" xfId="45474"/>
    <cellStyle name="Comma 6 2 5 8" xfId="45475"/>
    <cellStyle name="Comma 6 2 5 9" xfId="45476"/>
    <cellStyle name="Comma 6 2 6" xfId="45477"/>
    <cellStyle name="Comma 6 2 6 2" xfId="45478"/>
    <cellStyle name="Comma 6 2 6 2 2" xfId="45479"/>
    <cellStyle name="Comma 6 2 6 2 2 2" xfId="45480"/>
    <cellStyle name="Comma 6 2 6 2 2 3" xfId="45481"/>
    <cellStyle name="Comma 6 2 6 2 3" xfId="45482"/>
    <cellStyle name="Comma 6 2 6 2 3 2" xfId="45483"/>
    <cellStyle name="Comma 6 2 6 2 3 3" xfId="45484"/>
    <cellStyle name="Comma 6 2 6 2 4" xfId="45485"/>
    <cellStyle name="Comma 6 2 6 2 4 2" xfId="45486"/>
    <cellStyle name="Comma 6 2 6 2 5" xfId="45487"/>
    <cellStyle name="Comma 6 2 6 2 6" xfId="45488"/>
    <cellStyle name="Comma 6 2 6 3" xfId="45489"/>
    <cellStyle name="Comma 6 2 6 3 2" xfId="45490"/>
    <cellStyle name="Comma 6 2 6 3 2 2" xfId="45491"/>
    <cellStyle name="Comma 6 2 6 3 2 3" xfId="45492"/>
    <cellStyle name="Comma 6 2 6 3 3" xfId="45493"/>
    <cellStyle name="Comma 6 2 6 3 3 2" xfId="45494"/>
    <cellStyle name="Comma 6 2 6 3 3 3" xfId="45495"/>
    <cellStyle name="Comma 6 2 6 3 4" xfId="45496"/>
    <cellStyle name="Comma 6 2 6 3 4 2" xfId="45497"/>
    <cellStyle name="Comma 6 2 6 3 5" xfId="45498"/>
    <cellStyle name="Comma 6 2 6 3 6" xfId="45499"/>
    <cellStyle name="Comma 6 2 6 4" xfId="45500"/>
    <cellStyle name="Comma 6 2 6 4 2" xfId="45501"/>
    <cellStyle name="Comma 6 2 6 4 2 2" xfId="45502"/>
    <cellStyle name="Comma 6 2 6 4 2 3" xfId="45503"/>
    <cellStyle name="Comma 6 2 6 4 3" xfId="45504"/>
    <cellStyle name="Comma 6 2 6 4 3 2" xfId="45505"/>
    <cellStyle name="Comma 6 2 6 4 4" xfId="45506"/>
    <cellStyle name="Comma 6 2 6 4 5" xfId="45507"/>
    <cellStyle name="Comma 6 2 6 5" xfId="45508"/>
    <cellStyle name="Comma 6 2 6 5 2" xfId="45509"/>
    <cellStyle name="Comma 6 2 6 5 3" xfId="45510"/>
    <cellStyle name="Comma 6 2 6 6" xfId="45511"/>
    <cellStyle name="Comma 6 2 6 6 2" xfId="45512"/>
    <cellStyle name="Comma 6 2 6 6 3" xfId="45513"/>
    <cellStyle name="Comma 6 2 6 7" xfId="45514"/>
    <cellStyle name="Comma 6 2 6 7 2" xfId="45515"/>
    <cellStyle name="Comma 6 2 6 8" xfId="45516"/>
    <cellStyle name="Comma 6 2 6 9" xfId="45517"/>
    <cellStyle name="Comma 6 2 7" xfId="45518"/>
    <cellStyle name="Comma 6 2 7 2" xfId="45519"/>
    <cellStyle name="Comma 6 2 7 2 2" xfId="45520"/>
    <cellStyle name="Comma 6 2 7 2 3" xfId="45521"/>
    <cellStyle name="Comma 6 2 7 3" xfId="45522"/>
    <cellStyle name="Comma 6 2 7 3 2" xfId="45523"/>
    <cellStyle name="Comma 6 2 7 3 3" xfId="45524"/>
    <cellStyle name="Comma 6 2 7 4" xfId="45525"/>
    <cellStyle name="Comma 6 2 7 4 2" xfId="45526"/>
    <cellStyle name="Comma 6 2 7 5" xfId="45527"/>
    <cellStyle name="Comma 6 2 7 6" xfId="45528"/>
    <cellStyle name="Comma 6 2 8" xfId="45529"/>
    <cellStyle name="Comma 6 2 8 2" xfId="45530"/>
    <cellStyle name="Comma 6 2 8 2 2" xfId="45531"/>
    <cellStyle name="Comma 6 2 8 2 3" xfId="45532"/>
    <cellStyle name="Comma 6 2 8 3" xfId="45533"/>
    <cellStyle name="Comma 6 2 8 3 2" xfId="45534"/>
    <cellStyle name="Comma 6 2 8 3 3" xfId="45535"/>
    <cellStyle name="Comma 6 2 8 4" xfId="45536"/>
    <cellStyle name="Comma 6 2 8 4 2" xfId="45537"/>
    <cellStyle name="Comma 6 2 8 5" xfId="45538"/>
    <cellStyle name="Comma 6 2 8 6" xfId="45539"/>
    <cellStyle name="Comma 6 2 9" xfId="45540"/>
    <cellStyle name="Comma 6 2 9 2" xfId="45541"/>
    <cellStyle name="Comma 6 2 9 2 2" xfId="45542"/>
    <cellStyle name="Comma 6 2 9 2 3" xfId="45543"/>
    <cellStyle name="Comma 6 2 9 3" xfId="45544"/>
    <cellStyle name="Comma 6 2 9 3 2" xfId="45545"/>
    <cellStyle name="Comma 6 2 9 4" xfId="45546"/>
    <cellStyle name="Comma 6 2 9 5" xfId="45547"/>
    <cellStyle name="Comma 6 3" xfId="8365"/>
    <cellStyle name="Comma 6 3 10" xfId="45548"/>
    <cellStyle name="Comma 6 3 10 2" xfId="45549"/>
    <cellStyle name="Comma 6 3 10 3" xfId="45550"/>
    <cellStyle name="Comma 6 3 11" xfId="45551"/>
    <cellStyle name="Comma 6 3 11 2" xfId="45552"/>
    <cellStyle name="Comma 6 3 12" xfId="45553"/>
    <cellStyle name="Comma 6 3 13" xfId="45554"/>
    <cellStyle name="Comma 6 3 14" xfId="45555"/>
    <cellStyle name="Comma 6 3 2" xfId="8366"/>
    <cellStyle name="Comma 6 3 2 10" xfId="45556"/>
    <cellStyle name="Comma 6 3 2 10 2" xfId="45557"/>
    <cellStyle name="Comma 6 3 2 11" xfId="45558"/>
    <cellStyle name="Comma 6 3 2 12" xfId="45559"/>
    <cellStyle name="Comma 6 3 2 13" xfId="45560"/>
    <cellStyle name="Comma 6 3 2 2" xfId="8367"/>
    <cellStyle name="Comma 6 3 2 2 10" xfId="45561"/>
    <cellStyle name="Comma 6 3 2 2 11" xfId="45562"/>
    <cellStyle name="Comma 6 3 2 2 2" xfId="8368"/>
    <cellStyle name="Comma 6 3 2 2 2 10" xfId="45563"/>
    <cellStyle name="Comma 6 3 2 2 2 2" xfId="8369"/>
    <cellStyle name="Comma 6 3 2 2 2 2 2" xfId="45564"/>
    <cellStyle name="Comma 6 3 2 2 2 2 2 2" xfId="45565"/>
    <cellStyle name="Comma 6 3 2 2 2 2 2 3" xfId="45566"/>
    <cellStyle name="Comma 6 3 2 2 2 2 3" xfId="45567"/>
    <cellStyle name="Comma 6 3 2 2 2 2 3 2" xfId="45568"/>
    <cellStyle name="Comma 6 3 2 2 2 2 3 3" xfId="45569"/>
    <cellStyle name="Comma 6 3 2 2 2 2 4" xfId="45570"/>
    <cellStyle name="Comma 6 3 2 2 2 2 4 2" xfId="45571"/>
    <cellStyle name="Comma 6 3 2 2 2 2 5" xfId="45572"/>
    <cellStyle name="Comma 6 3 2 2 2 2 6" xfId="45573"/>
    <cellStyle name="Comma 6 3 2 2 2 3" xfId="45574"/>
    <cellStyle name="Comma 6 3 2 2 2 3 2" xfId="45575"/>
    <cellStyle name="Comma 6 3 2 2 2 3 2 2" xfId="45576"/>
    <cellStyle name="Comma 6 3 2 2 2 3 2 3" xfId="45577"/>
    <cellStyle name="Comma 6 3 2 2 2 3 3" xfId="45578"/>
    <cellStyle name="Comma 6 3 2 2 2 3 3 2" xfId="45579"/>
    <cellStyle name="Comma 6 3 2 2 2 3 3 3" xfId="45580"/>
    <cellStyle name="Comma 6 3 2 2 2 3 4" xfId="45581"/>
    <cellStyle name="Comma 6 3 2 2 2 3 4 2" xfId="45582"/>
    <cellStyle name="Comma 6 3 2 2 2 3 5" xfId="45583"/>
    <cellStyle name="Comma 6 3 2 2 2 3 6" xfId="45584"/>
    <cellStyle name="Comma 6 3 2 2 2 4" xfId="45585"/>
    <cellStyle name="Comma 6 3 2 2 2 4 2" xfId="45586"/>
    <cellStyle name="Comma 6 3 2 2 2 4 2 2" xfId="45587"/>
    <cellStyle name="Comma 6 3 2 2 2 4 2 3" xfId="45588"/>
    <cellStyle name="Comma 6 3 2 2 2 4 3" xfId="45589"/>
    <cellStyle name="Comma 6 3 2 2 2 4 3 2" xfId="45590"/>
    <cellStyle name="Comma 6 3 2 2 2 4 4" xfId="45591"/>
    <cellStyle name="Comma 6 3 2 2 2 4 5" xfId="45592"/>
    <cellStyle name="Comma 6 3 2 2 2 5" xfId="45593"/>
    <cellStyle name="Comma 6 3 2 2 2 5 2" xfId="45594"/>
    <cellStyle name="Comma 6 3 2 2 2 5 3" xfId="45595"/>
    <cellStyle name="Comma 6 3 2 2 2 6" xfId="45596"/>
    <cellStyle name="Comma 6 3 2 2 2 6 2" xfId="45597"/>
    <cellStyle name="Comma 6 3 2 2 2 6 3" xfId="45598"/>
    <cellStyle name="Comma 6 3 2 2 2 7" xfId="45599"/>
    <cellStyle name="Comma 6 3 2 2 2 7 2" xfId="45600"/>
    <cellStyle name="Comma 6 3 2 2 2 8" xfId="45601"/>
    <cellStyle name="Comma 6 3 2 2 2 9" xfId="45602"/>
    <cellStyle name="Comma 6 3 2 2 3" xfId="8370"/>
    <cellStyle name="Comma 6 3 2 2 3 2" xfId="45603"/>
    <cellStyle name="Comma 6 3 2 2 3 2 2" xfId="45604"/>
    <cellStyle name="Comma 6 3 2 2 3 2 3" xfId="45605"/>
    <cellStyle name="Comma 6 3 2 2 3 3" xfId="45606"/>
    <cellStyle name="Comma 6 3 2 2 3 3 2" xfId="45607"/>
    <cellStyle name="Comma 6 3 2 2 3 3 3" xfId="45608"/>
    <cellStyle name="Comma 6 3 2 2 3 4" xfId="45609"/>
    <cellStyle name="Comma 6 3 2 2 3 4 2" xfId="45610"/>
    <cellStyle name="Comma 6 3 2 2 3 5" xfId="45611"/>
    <cellStyle name="Comma 6 3 2 2 3 6" xfId="45612"/>
    <cellStyle name="Comma 6 3 2 2 3 7" xfId="45613"/>
    <cellStyle name="Comma 6 3 2 2 4" xfId="45614"/>
    <cellStyle name="Comma 6 3 2 2 4 2" xfId="45615"/>
    <cellStyle name="Comma 6 3 2 2 4 2 2" xfId="45616"/>
    <cellStyle name="Comma 6 3 2 2 4 2 3" xfId="45617"/>
    <cellStyle name="Comma 6 3 2 2 4 3" xfId="45618"/>
    <cellStyle name="Comma 6 3 2 2 4 3 2" xfId="45619"/>
    <cellStyle name="Comma 6 3 2 2 4 3 3" xfId="45620"/>
    <cellStyle name="Comma 6 3 2 2 4 4" xfId="45621"/>
    <cellStyle name="Comma 6 3 2 2 4 4 2" xfId="45622"/>
    <cellStyle name="Comma 6 3 2 2 4 5" xfId="45623"/>
    <cellStyle name="Comma 6 3 2 2 4 6" xfId="45624"/>
    <cellStyle name="Comma 6 3 2 2 5" xfId="45625"/>
    <cellStyle name="Comma 6 3 2 2 5 2" xfId="45626"/>
    <cellStyle name="Comma 6 3 2 2 5 2 2" xfId="45627"/>
    <cellStyle name="Comma 6 3 2 2 5 2 3" xfId="45628"/>
    <cellStyle name="Comma 6 3 2 2 5 3" xfId="45629"/>
    <cellStyle name="Comma 6 3 2 2 5 3 2" xfId="45630"/>
    <cellStyle name="Comma 6 3 2 2 5 4" xfId="45631"/>
    <cellStyle name="Comma 6 3 2 2 5 5" xfId="45632"/>
    <cellStyle name="Comma 6 3 2 2 6" xfId="45633"/>
    <cellStyle name="Comma 6 3 2 2 6 2" xfId="45634"/>
    <cellStyle name="Comma 6 3 2 2 6 3" xfId="45635"/>
    <cellStyle name="Comma 6 3 2 2 7" xfId="45636"/>
    <cellStyle name="Comma 6 3 2 2 7 2" xfId="45637"/>
    <cellStyle name="Comma 6 3 2 2 7 3" xfId="45638"/>
    <cellStyle name="Comma 6 3 2 2 8" xfId="45639"/>
    <cellStyle name="Comma 6 3 2 2 8 2" xfId="45640"/>
    <cellStyle name="Comma 6 3 2 2 9" xfId="45641"/>
    <cellStyle name="Comma 6 3 2 3" xfId="8371"/>
    <cellStyle name="Comma 6 3 2 3 10" xfId="45642"/>
    <cellStyle name="Comma 6 3 2 3 2" xfId="8372"/>
    <cellStyle name="Comma 6 3 2 3 2 2" xfId="45643"/>
    <cellStyle name="Comma 6 3 2 3 2 2 2" xfId="45644"/>
    <cellStyle name="Comma 6 3 2 3 2 2 3" xfId="45645"/>
    <cellStyle name="Comma 6 3 2 3 2 3" xfId="45646"/>
    <cellStyle name="Comma 6 3 2 3 2 3 2" xfId="45647"/>
    <cellStyle name="Comma 6 3 2 3 2 3 3" xfId="45648"/>
    <cellStyle name="Comma 6 3 2 3 2 4" xfId="45649"/>
    <cellStyle name="Comma 6 3 2 3 2 4 2" xfId="45650"/>
    <cellStyle name="Comma 6 3 2 3 2 5" xfId="45651"/>
    <cellStyle name="Comma 6 3 2 3 2 6" xfId="45652"/>
    <cellStyle name="Comma 6 3 2 3 3" xfId="45653"/>
    <cellStyle name="Comma 6 3 2 3 3 2" xfId="45654"/>
    <cellStyle name="Comma 6 3 2 3 3 2 2" xfId="45655"/>
    <cellStyle name="Comma 6 3 2 3 3 2 3" xfId="45656"/>
    <cellStyle name="Comma 6 3 2 3 3 3" xfId="45657"/>
    <cellStyle name="Comma 6 3 2 3 3 3 2" xfId="45658"/>
    <cellStyle name="Comma 6 3 2 3 3 3 3" xfId="45659"/>
    <cellStyle name="Comma 6 3 2 3 3 4" xfId="45660"/>
    <cellStyle name="Comma 6 3 2 3 3 4 2" xfId="45661"/>
    <cellStyle name="Comma 6 3 2 3 3 5" xfId="45662"/>
    <cellStyle name="Comma 6 3 2 3 3 6" xfId="45663"/>
    <cellStyle name="Comma 6 3 2 3 4" xfId="45664"/>
    <cellStyle name="Comma 6 3 2 3 4 2" xfId="45665"/>
    <cellStyle name="Comma 6 3 2 3 4 2 2" xfId="45666"/>
    <cellStyle name="Comma 6 3 2 3 4 2 3" xfId="45667"/>
    <cellStyle name="Comma 6 3 2 3 4 3" xfId="45668"/>
    <cellStyle name="Comma 6 3 2 3 4 3 2" xfId="45669"/>
    <cellStyle name="Comma 6 3 2 3 4 4" xfId="45670"/>
    <cellStyle name="Comma 6 3 2 3 4 5" xfId="45671"/>
    <cellStyle name="Comma 6 3 2 3 5" xfId="45672"/>
    <cellStyle name="Comma 6 3 2 3 5 2" xfId="45673"/>
    <cellStyle name="Comma 6 3 2 3 5 3" xfId="45674"/>
    <cellStyle name="Comma 6 3 2 3 6" xfId="45675"/>
    <cellStyle name="Comma 6 3 2 3 6 2" xfId="45676"/>
    <cellStyle name="Comma 6 3 2 3 6 3" xfId="45677"/>
    <cellStyle name="Comma 6 3 2 3 7" xfId="45678"/>
    <cellStyle name="Comma 6 3 2 3 7 2" xfId="45679"/>
    <cellStyle name="Comma 6 3 2 3 8" xfId="45680"/>
    <cellStyle name="Comma 6 3 2 3 9" xfId="45681"/>
    <cellStyle name="Comma 6 3 2 4" xfId="8373"/>
    <cellStyle name="Comma 6 3 2 4 10" xfId="45682"/>
    <cellStyle name="Comma 6 3 2 4 2" xfId="45683"/>
    <cellStyle name="Comma 6 3 2 4 2 2" xfId="45684"/>
    <cellStyle name="Comma 6 3 2 4 2 2 2" xfId="45685"/>
    <cellStyle name="Comma 6 3 2 4 2 2 3" xfId="45686"/>
    <cellStyle name="Comma 6 3 2 4 2 3" xfId="45687"/>
    <cellStyle name="Comma 6 3 2 4 2 3 2" xfId="45688"/>
    <cellStyle name="Comma 6 3 2 4 2 3 3" xfId="45689"/>
    <cellStyle name="Comma 6 3 2 4 2 4" xfId="45690"/>
    <cellStyle name="Comma 6 3 2 4 2 4 2" xfId="45691"/>
    <cellStyle name="Comma 6 3 2 4 2 5" xfId="45692"/>
    <cellStyle name="Comma 6 3 2 4 2 6" xfId="45693"/>
    <cellStyle name="Comma 6 3 2 4 3" xfId="45694"/>
    <cellStyle name="Comma 6 3 2 4 3 2" xfId="45695"/>
    <cellStyle name="Comma 6 3 2 4 3 2 2" xfId="45696"/>
    <cellStyle name="Comma 6 3 2 4 3 2 3" xfId="45697"/>
    <cellStyle name="Comma 6 3 2 4 3 3" xfId="45698"/>
    <cellStyle name="Comma 6 3 2 4 3 3 2" xfId="45699"/>
    <cellStyle name="Comma 6 3 2 4 3 3 3" xfId="45700"/>
    <cellStyle name="Comma 6 3 2 4 3 4" xfId="45701"/>
    <cellStyle name="Comma 6 3 2 4 3 4 2" xfId="45702"/>
    <cellStyle name="Comma 6 3 2 4 3 5" xfId="45703"/>
    <cellStyle name="Comma 6 3 2 4 3 6" xfId="45704"/>
    <cellStyle name="Comma 6 3 2 4 4" xfId="45705"/>
    <cellStyle name="Comma 6 3 2 4 4 2" xfId="45706"/>
    <cellStyle name="Comma 6 3 2 4 4 2 2" xfId="45707"/>
    <cellStyle name="Comma 6 3 2 4 4 2 3" xfId="45708"/>
    <cellStyle name="Comma 6 3 2 4 4 3" xfId="45709"/>
    <cellStyle name="Comma 6 3 2 4 4 3 2" xfId="45710"/>
    <cellStyle name="Comma 6 3 2 4 4 4" xfId="45711"/>
    <cellStyle name="Comma 6 3 2 4 4 5" xfId="45712"/>
    <cellStyle name="Comma 6 3 2 4 5" xfId="45713"/>
    <cellStyle name="Comma 6 3 2 4 5 2" xfId="45714"/>
    <cellStyle name="Comma 6 3 2 4 5 3" xfId="45715"/>
    <cellStyle name="Comma 6 3 2 4 6" xfId="45716"/>
    <cellStyle name="Comma 6 3 2 4 6 2" xfId="45717"/>
    <cellStyle name="Comma 6 3 2 4 6 3" xfId="45718"/>
    <cellStyle name="Comma 6 3 2 4 7" xfId="45719"/>
    <cellStyle name="Comma 6 3 2 4 7 2" xfId="45720"/>
    <cellStyle name="Comma 6 3 2 4 8" xfId="45721"/>
    <cellStyle name="Comma 6 3 2 4 9" xfId="45722"/>
    <cellStyle name="Comma 6 3 2 5" xfId="45723"/>
    <cellStyle name="Comma 6 3 2 5 2" xfId="45724"/>
    <cellStyle name="Comma 6 3 2 5 2 2" xfId="45725"/>
    <cellStyle name="Comma 6 3 2 5 2 3" xfId="45726"/>
    <cellStyle name="Comma 6 3 2 5 3" xfId="45727"/>
    <cellStyle name="Comma 6 3 2 5 3 2" xfId="45728"/>
    <cellStyle name="Comma 6 3 2 5 3 3" xfId="45729"/>
    <cellStyle name="Comma 6 3 2 5 4" xfId="45730"/>
    <cellStyle name="Comma 6 3 2 5 4 2" xfId="45731"/>
    <cellStyle name="Comma 6 3 2 5 5" xfId="45732"/>
    <cellStyle name="Comma 6 3 2 5 6" xfId="45733"/>
    <cellStyle name="Comma 6 3 2 6" xfId="45734"/>
    <cellStyle name="Comma 6 3 2 6 2" xfId="45735"/>
    <cellStyle name="Comma 6 3 2 6 2 2" xfId="45736"/>
    <cellStyle name="Comma 6 3 2 6 2 3" xfId="45737"/>
    <cellStyle name="Comma 6 3 2 6 3" xfId="45738"/>
    <cellStyle name="Comma 6 3 2 6 3 2" xfId="45739"/>
    <cellStyle name="Comma 6 3 2 6 3 3" xfId="45740"/>
    <cellStyle name="Comma 6 3 2 6 4" xfId="45741"/>
    <cellStyle name="Comma 6 3 2 6 4 2" xfId="45742"/>
    <cellStyle name="Comma 6 3 2 6 5" xfId="45743"/>
    <cellStyle name="Comma 6 3 2 6 6" xfId="45744"/>
    <cellStyle name="Comma 6 3 2 7" xfId="45745"/>
    <cellStyle name="Comma 6 3 2 7 2" xfId="45746"/>
    <cellStyle name="Comma 6 3 2 7 2 2" xfId="45747"/>
    <cellStyle name="Comma 6 3 2 7 2 3" xfId="45748"/>
    <cellStyle name="Comma 6 3 2 7 3" xfId="45749"/>
    <cellStyle name="Comma 6 3 2 7 3 2" xfId="45750"/>
    <cellStyle name="Comma 6 3 2 7 4" xfId="45751"/>
    <cellStyle name="Comma 6 3 2 7 5" xfId="45752"/>
    <cellStyle name="Comma 6 3 2 8" xfId="45753"/>
    <cellStyle name="Comma 6 3 2 8 2" xfId="45754"/>
    <cellStyle name="Comma 6 3 2 8 3" xfId="45755"/>
    <cellStyle name="Comma 6 3 2 9" xfId="45756"/>
    <cellStyle name="Comma 6 3 2 9 2" xfId="45757"/>
    <cellStyle name="Comma 6 3 2 9 3" xfId="45758"/>
    <cellStyle name="Comma 6 3 3" xfId="8374"/>
    <cellStyle name="Comma 6 3 3 10" xfId="45759"/>
    <cellStyle name="Comma 6 3 3 11" xfId="45760"/>
    <cellStyle name="Comma 6 3 3 2" xfId="8375"/>
    <cellStyle name="Comma 6 3 3 2 10" xfId="45761"/>
    <cellStyle name="Comma 6 3 3 2 2" xfId="8376"/>
    <cellStyle name="Comma 6 3 3 2 2 2" xfId="45762"/>
    <cellStyle name="Comma 6 3 3 2 2 2 2" xfId="45763"/>
    <cellStyle name="Comma 6 3 3 2 2 2 3" xfId="45764"/>
    <cellStyle name="Comma 6 3 3 2 2 3" xfId="45765"/>
    <cellStyle name="Comma 6 3 3 2 2 3 2" xfId="45766"/>
    <cellStyle name="Comma 6 3 3 2 2 3 3" xfId="45767"/>
    <cellStyle name="Comma 6 3 3 2 2 4" xfId="45768"/>
    <cellStyle name="Comma 6 3 3 2 2 4 2" xfId="45769"/>
    <cellStyle name="Comma 6 3 3 2 2 5" xfId="45770"/>
    <cellStyle name="Comma 6 3 3 2 2 6" xfId="45771"/>
    <cellStyle name="Comma 6 3 3 2 2 7" xfId="45772"/>
    <cellStyle name="Comma 6 3 3 2 3" xfId="45773"/>
    <cellStyle name="Comma 6 3 3 2 3 2" xfId="45774"/>
    <cellStyle name="Comma 6 3 3 2 3 2 2" xfId="45775"/>
    <cellStyle name="Comma 6 3 3 2 3 2 3" xfId="45776"/>
    <cellStyle name="Comma 6 3 3 2 3 3" xfId="45777"/>
    <cellStyle name="Comma 6 3 3 2 3 3 2" xfId="45778"/>
    <cellStyle name="Comma 6 3 3 2 3 3 3" xfId="45779"/>
    <cellStyle name="Comma 6 3 3 2 3 4" xfId="45780"/>
    <cellStyle name="Comma 6 3 3 2 3 4 2" xfId="45781"/>
    <cellStyle name="Comma 6 3 3 2 3 5" xfId="45782"/>
    <cellStyle name="Comma 6 3 3 2 3 6" xfId="45783"/>
    <cellStyle name="Comma 6 3 3 2 4" xfId="45784"/>
    <cellStyle name="Comma 6 3 3 2 4 2" xfId="45785"/>
    <cellStyle name="Comma 6 3 3 2 4 2 2" xfId="45786"/>
    <cellStyle name="Comma 6 3 3 2 4 2 3" xfId="45787"/>
    <cellStyle name="Comma 6 3 3 2 4 3" xfId="45788"/>
    <cellStyle name="Comma 6 3 3 2 4 3 2" xfId="45789"/>
    <cellStyle name="Comma 6 3 3 2 4 4" xfId="45790"/>
    <cellStyle name="Comma 6 3 3 2 4 5" xfId="45791"/>
    <cellStyle name="Comma 6 3 3 2 5" xfId="45792"/>
    <cellStyle name="Comma 6 3 3 2 5 2" xfId="45793"/>
    <cellStyle name="Comma 6 3 3 2 5 3" xfId="45794"/>
    <cellStyle name="Comma 6 3 3 2 6" xfId="45795"/>
    <cellStyle name="Comma 6 3 3 2 6 2" xfId="45796"/>
    <cellStyle name="Comma 6 3 3 2 6 3" xfId="45797"/>
    <cellStyle name="Comma 6 3 3 2 7" xfId="45798"/>
    <cellStyle name="Comma 6 3 3 2 7 2" xfId="45799"/>
    <cellStyle name="Comma 6 3 3 2 8" xfId="45800"/>
    <cellStyle name="Comma 6 3 3 2 9" xfId="45801"/>
    <cellStyle name="Comma 6 3 3 3" xfId="8377"/>
    <cellStyle name="Comma 6 3 3 3 2" xfId="45802"/>
    <cellStyle name="Comma 6 3 3 3 2 2" xfId="45803"/>
    <cellStyle name="Comma 6 3 3 3 2 3" xfId="45804"/>
    <cellStyle name="Comma 6 3 3 3 3" xfId="45805"/>
    <cellStyle name="Comma 6 3 3 3 3 2" xfId="45806"/>
    <cellStyle name="Comma 6 3 3 3 3 3" xfId="45807"/>
    <cellStyle name="Comma 6 3 3 3 4" xfId="45808"/>
    <cellStyle name="Comma 6 3 3 3 4 2" xfId="45809"/>
    <cellStyle name="Comma 6 3 3 3 5" xfId="45810"/>
    <cellStyle name="Comma 6 3 3 3 6" xfId="45811"/>
    <cellStyle name="Comma 6 3 3 3 7" xfId="45812"/>
    <cellStyle name="Comma 6 3 3 4" xfId="45813"/>
    <cellStyle name="Comma 6 3 3 4 2" xfId="45814"/>
    <cellStyle name="Comma 6 3 3 4 2 2" xfId="45815"/>
    <cellStyle name="Comma 6 3 3 4 2 3" xfId="45816"/>
    <cellStyle name="Comma 6 3 3 4 3" xfId="45817"/>
    <cellStyle name="Comma 6 3 3 4 3 2" xfId="45818"/>
    <cellStyle name="Comma 6 3 3 4 3 3" xfId="45819"/>
    <cellStyle name="Comma 6 3 3 4 4" xfId="45820"/>
    <cellStyle name="Comma 6 3 3 4 4 2" xfId="45821"/>
    <cellStyle name="Comma 6 3 3 4 5" xfId="45822"/>
    <cellStyle name="Comma 6 3 3 4 6" xfId="45823"/>
    <cellStyle name="Comma 6 3 3 5" xfId="45824"/>
    <cellStyle name="Comma 6 3 3 5 2" xfId="45825"/>
    <cellStyle name="Comma 6 3 3 5 2 2" xfId="45826"/>
    <cellStyle name="Comma 6 3 3 5 2 3" xfId="45827"/>
    <cellStyle name="Comma 6 3 3 5 3" xfId="45828"/>
    <cellStyle name="Comma 6 3 3 5 3 2" xfId="45829"/>
    <cellStyle name="Comma 6 3 3 5 4" xfId="45830"/>
    <cellStyle name="Comma 6 3 3 5 5" xfId="45831"/>
    <cellStyle name="Comma 6 3 3 6" xfId="45832"/>
    <cellStyle name="Comma 6 3 3 6 2" xfId="45833"/>
    <cellStyle name="Comma 6 3 3 6 3" xfId="45834"/>
    <cellStyle name="Comma 6 3 3 7" xfId="45835"/>
    <cellStyle name="Comma 6 3 3 7 2" xfId="45836"/>
    <cellStyle name="Comma 6 3 3 7 3" xfId="45837"/>
    <cellStyle name="Comma 6 3 3 8" xfId="45838"/>
    <cellStyle name="Comma 6 3 3 8 2" xfId="45839"/>
    <cellStyle name="Comma 6 3 3 9" xfId="45840"/>
    <cellStyle name="Comma 6 3 4" xfId="8378"/>
    <cellStyle name="Comma 6 3 4 10" xfId="45841"/>
    <cellStyle name="Comma 6 3 4 2" xfId="8379"/>
    <cellStyle name="Comma 6 3 4 2 2" xfId="45842"/>
    <cellStyle name="Comma 6 3 4 2 2 2" xfId="45843"/>
    <cellStyle name="Comma 6 3 4 2 2 3" xfId="45844"/>
    <cellStyle name="Comma 6 3 4 2 3" xfId="45845"/>
    <cellStyle name="Comma 6 3 4 2 3 2" xfId="45846"/>
    <cellStyle name="Comma 6 3 4 2 3 3" xfId="45847"/>
    <cellStyle name="Comma 6 3 4 2 4" xfId="45848"/>
    <cellStyle name="Comma 6 3 4 2 4 2" xfId="45849"/>
    <cellStyle name="Comma 6 3 4 2 5" xfId="45850"/>
    <cellStyle name="Comma 6 3 4 2 6" xfId="45851"/>
    <cellStyle name="Comma 6 3 4 2 7" xfId="45852"/>
    <cellStyle name="Comma 6 3 4 3" xfId="45853"/>
    <cellStyle name="Comma 6 3 4 3 2" xfId="45854"/>
    <cellStyle name="Comma 6 3 4 3 2 2" xfId="45855"/>
    <cellStyle name="Comma 6 3 4 3 2 3" xfId="45856"/>
    <cellStyle name="Comma 6 3 4 3 3" xfId="45857"/>
    <cellStyle name="Comma 6 3 4 3 3 2" xfId="45858"/>
    <cellStyle name="Comma 6 3 4 3 3 3" xfId="45859"/>
    <cellStyle name="Comma 6 3 4 3 4" xfId="45860"/>
    <cellStyle name="Comma 6 3 4 3 4 2" xfId="45861"/>
    <cellStyle name="Comma 6 3 4 3 5" xfId="45862"/>
    <cellStyle name="Comma 6 3 4 3 6" xfId="45863"/>
    <cellStyle name="Comma 6 3 4 4" xfId="45864"/>
    <cellStyle name="Comma 6 3 4 4 2" xfId="45865"/>
    <cellStyle name="Comma 6 3 4 4 2 2" xfId="45866"/>
    <cellStyle name="Comma 6 3 4 4 2 3" xfId="45867"/>
    <cellStyle name="Comma 6 3 4 4 3" xfId="45868"/>
    <cellStyle name="Comma 6 3 4 4 3 2" xfId="45869"/>
    <cellStyle name="Comma 6 3 4 4 4" xfId="45870"/>
    <cellStyle name="Comma 6 3 4 4 5" xfId="45871"/>
    <cellStyle name="Comma 6 3 4 5" xfId="45872"/>
    <cellStyle name="Comma 6 3 4 5 2" xfId="45873"/>
    <cellStyle name="Comma 6 3 4 5 3" xfId="45874"/>
    <cellStyle name="Comma 6 3 4 6" xfId="45875"/>
    <cellStyle name="Comma 6 3 4 6 2" xfId="45876"/>
    <cellStyle name="Comma 6 3 4 6 3" xfId="45877"/>
    <cellStyle name="Comma 6 3 4 7" xfId="45878"/>
    <cellStyle name="Comma 6 3 4 7 2" xfId="45879"/>
    <cellStyle name="Comma 6 3 4 8" xfId="45880"/>
    <cellStyle name="Comma 6 3 4 9" xfId="45881"/>
    <cellStyle name="Comma 6 3 5" xfId="8380"/>
    <cellStyle name="Comma 6 3 5 10" xfId="45882"/>
    <cellStyle name="Comma 6 3 5 2" xfId="8381"/>
    <cellStyle name="Comma 6 3 5 2 2" xfId="45883"/>
    <cellStyle name="Comma 6 3 5 2 2 2" xfId="45884"/>
    <cellStyle name="Comma 6 3 5 2 2 3" xfId="45885"/>
    <cellStyle name="Comma 6 3 5 2 3" xfId="45886"/>
    <cellStyle name="Comma 6 3 5 2 3 2" xfId="45887"/>
    <cellStyle name="Comma 6 3 5 2 3 3" xfId="45888"/>
    <cellStyle name="Comma 6 3 5 2 4" xfId="45889"/>
    <cellStyle name="Comma 6 3 5 2 4 2" xfId="45890"/>
    <cellStyle name="Comma 6 3 5 2 5" xfId="45891"/>
    <cellStyle name="Comma 6 3 5 2 6" xfId="45892"/>
    <cellStyle name="Comma 6 3 5 2 7" xfId="45893"/>
    <cellStyle name="Comma 6 3 5 3" xfId="45894"/>
    <cellStyle name="Comma 6 3 5 3 2" xfId="45895"/>
    <cellStyle name="Comma 6 3 5 3 2 2" xfId="45896"/>
    <cellStyle name="Comma 6 3 5 3 2 3" xfId="45897"/>
    <cellStyle name="Comma 6 3 5 3 3" xfId="45898"/>
    <cellStyle name="Comma 6 3 5 3 3 2" xfId="45899"/>
    <cellStyle name="Comma 6 3 5 3 3 3" xfId="45900"/>
    <cellStyle name="Comma 6 3 5 3 4" xfId="45901"/>
    <cellStyle name="Comma 6 3 5 3 4 2" xfId="45902"/>
    <cellStyle name="Comma 6 3 5 3 5" xfId="45903"/>
    <cellStyle name="Comma 6 3 5 3 6" xfId="45904"/>
    <cellStyle name="Comma 6 3 5 4" xfId="45905"/>
    <cellStyle name="Comma 6 3 5 4 2" xfId="45906"/>
    <cellStyle name="Comma 6 3 5 4 2 2" xfId="45907"/>
    <cellStyle name="Comma 6 3 5 4 2 3" xfId="45908"/>
    <cellStyle name="Comma 6 3 5 4 3" xfId="45909"/>
    <cellStyle name="Comma 6 3 5 4 3 2" xfId="45910"/>
    <cellStyle name="Comma 6 3 5 4 4" xfId="45911"/>
    <cellStyle name="Comma 6 3 5 4 5" xfId="45912"/>
    <cellStyle name="Comma 6 3 5 5" xfId="45913"/>
    <cellStyle name="Comma 6 3 5 5 2" xfId="45914"/>
    <cellStyle name="Comma 6 3 5 5 3" xfId="45915"/>
    <cellStyle name="Comma 6 3 5 6" xfId="45916"/>
    <cellStyle name="Comma 6 3 5 6 2" xfId="45917"/>
    <cellStyle name="Comma 6 3 5 6 3" xfId="45918"/>
    <cellStyle name="Comma 6 3 5 7" xfId="45919"/>
    <cellStyle name="Comma 6 3 5 7 2" xfId="45920"/>
    <cellStyle name="Comma 6 3 5 8" xfId="45921"/>
    <cellStyle name="Comma 6 3 5 9" xfId="45922"/>
    <cellStyle name="Comma 6 3 6" xfId="8382"/>
    <cellStyle name="Comma 6 3 6 2" xfId="45923"/>
    <cellStyle name="Comma 6 3 6 2 2" xfId="45924"/>
    <cellStyle name="Comma 6 3 6 2 3" xfId="45925"/>
    <cellStyle name="Comma 6 3 6 3" xfId="45926"/>
    <cellStyle name="Comma 6 3 6 3 2" xfId="45927"/>
    <cellStyle name="Comma 6 3 6 3 3" xfId="45928"/>
    <cellStyle name="Comma 6 3 6 4" xfId="45929"/>
    <cellStyle name="Comma 6 3 6 4 2" xfId="45930"/>
    <cellStyle name="Comma 6 3 6 5" xfId="45931"/>
    <cellStyle name="Comma 6 3 6 6" xfId="45932"/>
    <cellStyle name="Comma 6 3 6 7" xfId="45933"/>
    <cellStyle name="Comma 6 3 7" xfId="45934"/>
    <cellStyle name="Comma 6 3 7 2" xfId="45935"/>
    <cellStyle name="Comma 6 3 7 2 2" xfId="45936"/>
    <cellStyle name="Comma 6 3 7 2 3" xfId="45937"/>
    <cellStyle name="Comma 6 3 7 3" xfId="45938"/>
    <cellStyle name="Comma 6 3 7 3 2" xfId="45939"/>
    <cellStyle name="Comma 6 3 7 3 3" xfId="45940"/>
    <cellStyle name="Comma 6 3 7 4" xfId="45941"/>
    <cellStyle name="Comma 6 3 7 4 2" xfId="45942"/>
    <cellStyle name="Comma 6 3 7 5" xfId="45943"/>
    <cellStyle name="Comma 6 3 7 6" xfId="45944"/>
    <cellStyle name="Comma 6 3 8" xfId="45945"/>
    <cellStyle name="Comma 6 3 8 2" xfId="45946"/>
    <cellStyle name="Comma 6 3 8 2 2" xfId="45947"/>
    <cellStyle name="Comma 6 3 8 2 3" xfId="45948"/>
    <cellStyle name="Comma 6 3 8 3" xfId="45949"/>
    <cellStyle name="Comma 6 3 8 3 2" xfId="45950"/>
    <cellStyle name="Comma 6 3 8 4" xfId="45951"/>
    <cellStyle name="Comma 6 3 8 5" xfId="45952"/>
    <cellStyle name="Comma 6 3 9" xfId="45953"/>
    <cellStyle name="Comma 6 3 9 2" xfId="45954"/>
    <cellStyle name="Comma 6 3 9 3" xfId="45955"/>
    <cellStyle name="Comma 6 4" xfId="8383"/>
    <cellStyle name="Comma 6 4 10" xfId="45956"/>
    <cellStyle name="Comma 6 4 10 2" xfId="45957"/>
    <cellStyle name="Comma 6 4 11" xfId="45958"/>
    <cellStyle name="Comma 6 4 12" xfId="45959"/>
    <cellStyle name="Comma 6 4 13" xfId="45960"/>
    <cellStyle name="Comma 6 4 2" xfId="8384"/>
    <cellStyle name="Comma 6 4 2 10" xfId="45961"/>
    <cellStyle name="Comma 6 4 2 11" xfId="45962"/>
    <cellStyle name="Comma 6 4 2 2" xfId="8385"/>
    <cellStyle name="Comma 6 4 2 2 10" xfId="45963"/>
    <cellStyle name="Comma 6 4 2 2 2" xfId="8386"/>
    <cellStyle name="Comma 6 4 2 2 2 2" xfId="45964"/>
    <cellStyle name="Comma 6 4 2 2 2 2 2" xfId="45965"/>
    <cellStyle name="Comma 6 4 2 2 2 2 3" xfId="45966"/>
    <cellStyle name="Comma 6 4 2 2 2 3" xfId="45967"/>
    <cellStyle name="Comma 6 4 2 2 2 3 2" xfId="45968"/>
    <cellStyle name="Comma 6 4 2 2 2 3 3" xfId="45969"/>
    <cellStyle name="Comma 6 4 2 2 2 4" xfId="45970"/>
    <cellStyle name="Comma 6 4 2 2 2 4 2" xfId="45971"/>
    <cellStyle name="Comma 6 4 2 2 2 5" xfId="45972"/>
    <cellStyle name="Comma 6 4 2 2 2 6" xfId="45973"/>
    <cellStyle name="Comma 6 4 2 2 3" xfId="45974"/>
    <cellStyle name="Comma 6 4 2 2 3 2" xfId="45975"/>
    <cellStyle name="Comma 6 4 2 2 3 2 2" xfId="45976"/>
    <cellStyle name="Comma 6 4 2 2 3 2 3" xfId="45977"/>
    <cellStyle name="Comma 6 4 2 2 3 3" xfId="45978"/>
    <cellStyle name="Comma 6 4 2 2 3 3 2" xfId="45979"/>
    <cellStyle name="Comma 6 4 2 2 3 3 3" xfId="45980"/>
    <cellStyle name="Comma 6 4 2 2 3 4" xfId="45981"/>
    <cellStyle name="Comma 6 4 2 2 3 4 2" xfId="45982"/>
    <cellStyle name="Comma 6 4 2 2 3 5" xfId="45983"/>
    <cellStyle name="Comma 6 4 2 2 3 6" xfId="45984"/>
    <cellStyle name="Comma 6 4 2 2 4" xfId="45985"/>
    <cellStyle name="Comma 6 4 2 2 4 2" xfId="45986"/>
    <cellStyle name="Comma 6 4 2 2 4 2 2" xfId="45987"/>
    <cellStyle name="Comma 6 4 2 2 4 2 3" xfId="45988"/>
    <cellStyle name="Comma 6 4 2 2 4 3" xfId="45989"/>
    <cellStyle name="Comma 6 4 2 2 4 3 2" xfId="45990"/>
    <cellStyle name="Comma 6 4 2 2 4 4" xfId="45991"/>
    <cellStyle name="Comma 6 4 2 2 4 5" xfId="45992"/>
    <cellStyle name="Comma 6 4 2 2 5" xfId="45993"/>
    <cellStyle name="Comma 6 4 2 2 5 2" xfId="45994"/>
    <cellStyle name="Comma 6 4 2 2 5 3" xfId="45995"/>
    <cellStyle name="Comma 6 4 2 2 6" xfId="45996"/>
    <cellStyle name="Comma 6 4 2 2 6 2" xfId="45997"/>
    <cellStyle name="Comma 6 4 2 2 6 3" xfId="45998"/>
    <cellStyle name="Comma 6 4 2 2 7" xfId="45999"/>
    <cellStyle name="Comma 6 4 2 2 7 2" xfId="46000"/>
    <cellStyle name="Comma 6 4 2 2 8" xfId="46001"/>
    <cellStyle name="Comma 6 4 2 2 9" xfId="46002"/>
    <cellStyle name="Comma 6 4 2 3" xfId="8387"/>
    <cellStyle name="Comma 6 4 2 3 2" xfId="46003"/>
    <cellStyle name="Comma 6 4 2 3 2 2" xfId="46004"/>
    <cellStyle name="Comma 6 4 2 3 2 3" xfId="46005"/>
    <cellStyle name="Comma 6 4 2 3 3" xfId="46006"/>
    <cellStyle name="Comma 6 4 2 3 3 2" xfId="46007"/>
    <cellStyle name="Comma 6 4 2 3 3 3" xfId="46008"/>
    <cellStyle name="Comma 6 4 2 3 4" xfId="46009"/>
    <cellStyle name="Comma 6 4 2 3 4 2" xfId="46010"/>
    <cellStyle name="Comma 6 4 2 3 5" xfId="46011"/>
    <cellStyle name="Comma 6 4 2 3 6" xfId="46012"/>
    <cellStyle name="Comma 6 4 2 3 7" xfId="46013"/>
    <cellStyle name="Comma 6 4 2 4" xfId="46014"/>
    <cellStyle name="Comma 6 4 2 4 2" xfId="46015"/>
    <cellStyle name="Comma 6 4 2 4 2 2" xfId="46016"/>
    <cellStyle name="Comma 6 4 2 4 2 3" xfId="46017"/>
    <cellStyle name="Comma 6 4 2 4 3" xfId="46018"/>
    <cellStyle name="Comma 6 4 2 4 3 2" xfId="46019"/>
    <cellStyle name="Comma 6 4 2 4 3 3" xfId="46020"/>
    <cellStyle name="Comma 6 4 2 4 4" xfId="46021"/>
    <cellStyle name="Comma 6 4 2 4 4 2" xfId="46022"/>
    <cellStyle name="Comma 6 4 2 4 5" xfId="46023"/>
    <cellStyle name="Comma 6 4 2 4 6" xfId="46024"/>
    <cellStyle name="Comma 6 4 2 5" xfId="46025"/>
    <cellStyle name="Comma 6 4 2 5 2" xfId="46026"/>
    <cellStyle name="Comma 6 4 2 5 2 2" xfId="46027"/>
    <cellStyle name="Comma 6 4 2 5 2 3" xfId="46028"/>
    <cellStyle name="Comma 6 4 2 5 3" xfId="46029"/>
    <cellStyle name="Comma 6 4 2 5 3 2" xfId="46030"/>
    <cellStyle name="Comma 6 4 2 5 4" xfId="46031"/>
    <cellStyle name="Comma 6 4 2 5 5" xfId="46032"/>
    <cellStyle name="Comma 6 4 2 6" xfId="46033"/>
    <cellStyle name="Comma 6 4 2 6 2" xfId="46034"/>
    <cellStyle name="Comma 6 4 2 6 3" xfId="46035"/>
    <cellStyle name="Comma 6 4 2 7" xfId="46036"/>
    <cellStyle name="Comma 6 4 2 7 2" xfId="46037"/>
    <cellStyle name="Comma 6 4 2 7 3" xfId="46038"/>
    <cellStyle name="Comma 6 4 2 8" xfId="46039"/>
    <cellStyle name="Comma 6 4 2 8 2" xfId="46040"/>
    <cellStyle name="Comma 6 4 2 9" xfId="46041"/>
    <cellStyle name="Comma 6 4 3" xfId="8388"/>
    <cellStyle name="Comma 6 4 3 10" xfId="46042"/>
    <cellStyle name="Comma 6 4 3 2" xfId="8389"/>
    <cellStyle name="Comma 6 4 3 2 2" xfId="46043"/>
    <cellStyle name="Comma 6 4 3 2 2 2" xfId="46044"/>
    <cellStyle name="Comma 6 4 3 2 2 3" xfId="46045"/>
    <cellStyle name="Comma 6 4 3 2 3" xfId="46046"/>
    <cellStyle name="Comma 6 4 3 2 3 2" xfId="46047"/>
    <cellStyle name="Comma 6 4 3 2 3 3" xfId="46048"/>
    <cellStyle name="Comma 6 4 3 2 4" xfId="46049"/>
    <cellStyle name="Comma 6 4 3 2 4 2" xfId="46050"/>
    <cellStyle name="Comma 6 4 3 2 5" xfId="46051"/>
    <cellStyle name="Comma 6 4 3 2 6" xfId="46052"/>
    <cellStyle name="Comma 6 4 3 3" xfId="46053"/>
    <cellStyle name="Comma 6 4 3 3 2" xfId="46054"/>
    <cellStyle name="Comma 6 4 3 3 2 2" xfId="46055"/>
    <cellStyle name="Comma 6 4 3 3 2 3" xfId="46056"/>
    <cellStyle name="Comma 6 4 3 3 3" xfId="46057"/>
    <cellStyle name="Comma 6 4 3 3 3 2" xfId="46058"/>
    <cellStyle name="Comma 6 4 3 3 3 3" xfId="46059"/>
    <cellStyle name="Comma 6 4 3 3 4" xfId="46060"/>
    <cellStyle name="Comma 6 4 3 3 4 2" xfId="46061"/>
    <cellStyle name="Comma 6 4 3 3 5" xfId="46062"/>
    <cellStyle name="Comma 6 4 3 3 6" xfId="46063"/>
    <cellStyle name="Comma 6 4 3 4" xfId="46064"/>
    <cellStyle name="Comma 6 4 3 4 2" xfId="46065"/>
    <cellStyle name="Comma 6 4 3 4 2 2" xfId="46066"/>
    <cellStyle name="Comma 6 4 3 4 2 3" xfId="46067"/>
    <cellStyle name="Comma 6 4 3 4 3" xfId="46068"/>
    <cellStyle name="Comma 6 4 3 4 3 2" xfId="46069"/>
    <cellStyle name="Comma 6 4 3 4 4" xfId="46070"/>
    <cellStyle name="Comma 6 4 3 4 5" xfId="46071"/>
    <cellStyle name="Comma 6 4 3 5" xfId="46072"/>
    <cellStyle name="Comma 6 4 3 5 2" xfId="46073"/>
    <cellStyle name="Comma 6 4 3 5 3" xfId="46074"/>
    <cellStyle name="Comma 6 4 3 6" xfId="46075"/>
    <cellStyle name="Comma 6 4 3 6 2" xfId="46076"/>
    <cellStyle name="Comma 6 4 3 6 3" xfId="46077"/>
    <cellStyle name="Comma 6 4 3 7" xfId="46078"/>
    <cellStyle name="Comma 6 4 3 7 2" xfId="46079"/>
    <cellStyle name="Comma 6 4 3 8" xfId="46080"/>
    <cellStyle name="Comma 6 4 3 9" xfId="46081"/>
    <cellStyle name="Comma 6 4 4" xfId="8390"/>
    <cellStyle name="Comma 6 4 4 10" xfId="46082"/>
    <cellStyle name="Comma 6 4 4 2" xfId="46083"/>
    <cellStyle name="Comma 6 4 4 2 2" xfId="46084"/>
    <cellStyle name="Comma 6 4 4 2 2 2" xfId="46085"/>
    <cellStyle name="Comma 6 4 4 2 2 3" xfId="46086"/>
    <cellStyle name="Comma 6 4 4 2 3" xfId="46087"/>
    <cellStyle name="Comma 6 4 4 2 3 2" xfId="46088"/>
    <cellStyle name="Comma 6 4 4 2 3 3" xfId="46089"/>
    <cellStyle name="Comma 6 4 4 2 4" xfId="46090"/>
    <cellStyle name="Comma 6 4 4 2 4 2" xfId="46091"/>
    <cellStyle name="Comma 6 4 4 2 5" xfId="46092"/>
    <cellStyle name="Comma 6 4 4 2 6" xfId="46093"/>
    <cellStyle name="Comma 6 4 4 3" xfId="46094"/>
    <cellStyle name="Comma 6 4 4 3 2" xfId="46095"/>
    <cellStyle name="Comma 6 4 4 3 2 2" xfId="46096"/>
    <cellStyle name="Comma 6 4 4 3 2 3" xfId="46097"/>
    <cellStyle name="Comma 6 4 4 3 3" xfId="46098"/>
    <cellStyle name="Comma 6 4 4 3 3 2" xfId="46099"/>
    <cellStyle name="Comma 6 4 4 3 3 3" xfId="46100"/>
    <cellStyle name="Comma 6 4 4 3 4" xfId="46101"/>
    <cellStyle name="Comma 6 4 4 3 4 2" xfId="46102"/>
    <cellStyle name="Comma 6 4 4 3 5" xfId="46103"/>
    <cellStyle name="Comma 6 4 4 3 6" xfId="46104"/>
    <cellStyle name="Comma 6 4 4 4" xfId="46105"/>
    <cellStyle name="Comma 6 4 4 4 2" xfId="46106"/>
    <cellStyle name="Comma 6 4 4 4 2 2" xfId="46107"/>
    <cellStyle name="Comma 6 4 4 4 2 3" xfId="46108"/>
    <cellStyle name="Comma 6 4 4 4 3" xfId="46109"/>
    <cellStyle name="Comma 6 4 4 4 3 2" xfId="46110"/>
    <cellStyle name="Comma 6 4 4 4 4" xfId="46111"/>
    <cellStyle name="Comma 6 4 4 4 5" xfId="46112"/>
    <cellStyle name="Comma 6 4 4 5" xfId="46113"/>
    <cellStyle name="Comma 6 4 4 5 2" xfId="46114"/>
    <cellStyle name="Comma 6 4 4 5 3" xfId="46115"/>
    <cellStyle name="Comma 6 4 4 6" xfId="46116"/>
    <cellStyle name="Comma 6 4 4 6 2" xfId="46117"/>
    <cellStyle name="Comma 6 4 4 6 3" xfId="46118"/>
    <cellStyle name="Comma 6 4 4 7" xfId="46119"/>
    <cellStyle name="Comma 6 4 4 7 2" xfId="46120"/>
    <cellStyle name="Comma 6 4 4 8" xfId="46121"/>
    <cellStyle name="Comma 6 4 4 9" xfId="46122"/>
    <cellStyle name="Comma 6 4 5" xfId="9493"/>
    <cellStyle name="Comma 6 4 5 2" xfId="46123"/>
    <cellStyle name="Comma 6 4 5 2 2" xfId="46124"/>
    <cellStyle name="Comma 6 4 5 2 3" xfId="46125"/>
    <cellStyle name="Comma 6 4 5 3" xfId="46126"/>
    <cellStyle name="Comma 6 4 5 3 2" xfId="46127"/>
    <cellStyle name="Comma 6 4 5 3 3" xfId="46128"/>
    <cellStyle name="Comma 6 4 5 4" xfId="46129"/>
    <cellStyle name="Comma 6 4 5 4 2" xfId="46130"/>
    <cellStyle name="Comma 6 4 5 5" xfId="46131"/>
    <cellStyle name="Comma 6 4 5 6" xfId="46132"/>
    <cellStyle name="Comma 6 4 6" xfId="46133"/>
    <cellStyle name="Comma 6 4 6 2" xfId="46134"/>
    <cellStyle name="Comma 6 4 6 2 2" xfId="46135"/>
    <cellStyle name="Comma 6 4 6 2 3" xfId="46136"/>
    <cellStyle name="Comma 6 4 6 3" xfId="46137"/>
    <cellStyle name="Comma 6 4 6 3 2" xfId="46138"/>
    <cellStyle name="Comma 6 4 6 3 3" xfId="46139"/>
    <cellStyle name="Comma 6 4 6 4" xfId="46140"/>
    <cellStyle name="Comma 6 4 6 4 2" xfId="46141"/>
    <cellStyle name="Comma 6 4 6 5" xfId="46142"/>
    <cellStyle name="Comma 6 4 6 6" xfId="46143"/>
    <cellStyle name="Comma 6 4 7" xfId="46144"/>
    <cellStyle name="Comma 6 4 7 2" xfId="46145"/>
    <cellStyle name="Comma 6 4 7 2 2" xfId="46146"/>
    <cellStyle name="Comma 6 4 7 2 3" xfId="46147"/>
    <cellStyle name="Comma 6 4 7 3" xfId="46148"/>
    <cellStyle name="Comma 6 4 7 3 2" xfId="46149"/>
    <cellStyle name="Comma 6 4 7 4" xfId="46150"/>
    <cellStyle name="Comma 6 4 7 5" xfId="46151"/>
    <cellStyle name="Comma 6 4 8" xfId="46152"/>
    <cellStyle name="Comma 6 4 8 2" xfId="46153"/>
    <cellStyle name="Comma 6 4 8 3" xfId="46154"/>
    <cellStyle name="Comma 6 4 9" xfId="46155"/>
    <cellStyle name="Comma 6 4 9 2" xfId="46156"/>
    <cellStyle name="Comma 6 4 9 3" xfId="46157"/>
    <cellStyle name="Comma 6 5" xfId="8391"/>
    <cellStyle name="Comma 6 5 10" xfId="46158"/>
    <cellStyle name="Comma 6 5 11" xfId="46159"/>
    <cellStyle name="Comma 6 5 2" xfId="8392"/>
    <cellStyle name="Comma 6 5 2 10" xfId="46160"/>
    <cellStyle name="Comma 6 5 2 2" xfId="8393"/>
    <cellStyle name="Comma 6 5 2 2 2" xfId="46161"/>
    <cellStyle name="Comma 6 5 2 2 2 2" xfId="46162"/>
    <cellStyle name="Comma 6 5 2 2 2 3" xfId="46163"/>
    <cellStyle name="Comma 6 5 2 2 3" xfId="46164"/>
    <cellStyle name="Comma 6 5 2 2 3 2" xfId="46165"/>
    <cellStyle name="Comma 6 5 2 2 3 3" xfId="46166"/>
    <cellStyle name="Comma 6 5 2 2 4" xfId="46167"/>
    <cellStyle name="Comma 6 5 2 2 4 2" xfId="46168"/>
    <cellStyle name="Comma 6 5 2 2 5" xfId="46169"/>
    <cellStyle name="Comma 6 5 2 2 6" xfId="46170"/>
    <cellStyle name="Comma 6 5 2 2 7" xfId="46171"/>
    <cellStyle name="Comma 6 5 2 3" xfId="46172"/>
    <cellStyle name="Comma 6 5 2 3 2" xfId="46173"/>
    <cellStyle name="Comma 6 5 2 3 2 2" xfId="46174"/>
    <cellStyle name="Comma 6 5 2 3 2 3" xfId="46175"/>
    <cellStyle name="Comma 6 5 2 3 3" xfId="46176"/>
    <cellStyle name="Comma 6 5 2 3 3 2" xfId="46177"/>
    <cellStyle name="Comma 6 5 2 3 3 3" xfId="46178"/>
    <cellStyle name="Comma 6 5 2 3 4" xfId="46179"/>
    <cellStyle name="Comma 6 5 2 3 4 2" xfId="46180"/>
    <cellStyle name="Comma 6 5 2 3 5" xfId="46181"/>
    <cellStyle name="Comma 6 5 2 3 6" xfId="46182"/>
    <cellStyle name="Comma 6 5 2 4" xfId="46183"/>
    <cellStyle name="Comma 6 5 2 4 2" xfId="46184"/>
    <cellStyle name="Comma 6 5 2 4 2 2" xfId="46185"/>
    <cellStyle name="Comma 6 5 2 4 2 3" xfId="46186"/>
    <cellStyle name="Comma 6 5 2 4 3" xfId="46187"/>
    <cellStyle name="Comma 6 5 2 4 3 2" xfId="46188"/>
    <cellStyle name="Comma 6 5 2 4 4" xfId="46189"/>
    <cellStyle name="Comma 6 5 2 4 5" xfId="46190"/>
    <cellStyle name="Comma 6 5 2 5" xfId="46191"/>
    <cellStyle name="Comma 6 5 2 5 2" xfId="46192"/>
    <cellStyle name="Comma 6 5 2 5 3" xfId="46193"/>
    <cellStyle name="Comma 6 5 2 6" xfId="46194"/>
    <cellStyle name="Comma 6 5 2 6 2" xfId="46195"/>
    <cellStyle name="Comma 6 5 2 6 3" xfId="46196"/>
    <cellStyle name="Comma 6 5 2 7" xfId="46197"/>
    <cellStyle name="Comma 6 5 2 7 2" xfId="46198"/>
    <cellStyle name="Comma 6 5 2 8" xfId="46199"/>
    <cellStyle name="Comma 6 5 2 9" xfId="46200"/>
    <cellStyle name="Comma 6 5 3" xfId="8394"/>
    <cellStyle name="Comma 6 5 3 2" xfId="46201"/>
    <cellStyle name="Comma 6 5 3 2 2" xfId="46202"/>
    <cellStyle name="Comma 6 5 3 2 3" xfId="46203"/>
    <cellStyle name="Comma 6 5 3 3" xfId="46204"/>
    <cellStyle name="Comma 6 5 3 3 2" xfId="46205"/>
    <cellStyle name="Comma 6 5 3 3 3" xfId="46206"/>
    <cellStyle name="Comma 6 5 3 4" xfId="46207"/>
    <cellStyle name="Comma 6 5 3 4 2" xfId="46208"/>
    <cellStyle name="Comma 6 5 3 5" xfId="46209"/>
    <cellStyle name="Comma 6 5 3 6" xfId="46210"/>
    <cellStyle name="Comma 6 5 3 7" xfId="46211"/>
    <cellStyle name="Comma 6 5 4" xfId="46212"/>
    <cellStyle name="Comma 6 5 4 2" xfId="46213"/>
    <cellStyle name="Comma 6 5 4 2 2" xfId="46214"/>
    <cellStyle name="Comma 6 5 4 2 3" xfId="46215"/>
    <cellStyle name="Comma 6 5 4 3" xfId="46216"/>
    <cellStyle name="Comma 6 5 4 3 2" xfId="46217"/>
    <cellStyle name="Comma 6 5 4 3 3" xfId="46218"/>
    <cellStyle name="Comma 6 5 4 4" xfId="46219"/>
    <cellStyle name="Comma 6 5 4 4 2" xfId="46220"/>
    <cellStyle name="Comma 6 5 4 5" xfId="46221"/>
    <cellStyle name="Comma 6 5 4 6" xfId="46222"/>
    <cellStyle name="Comma 6 5 5" xfId="46223"/>
    <cellStyle name="Comma 6 5 5 2" xfId="46224"/>
    <cellStyle name="Comma 6 5 5 2 2" xfId="46225"/>
    <cellStyle name="Comma 6 5 5 2 3" xfId="46226"/>
    <cellStyle name="Comma 6 5 5 3" xfId="46227"/>
    <cellStyle name="Comma 6 5 5 3 2" xfId="46228"/>
    <cellStyle name="Comma 6 5 5 4" xfId="46229"/>
    <cellStyle name="Comma 6 5 5 5" xfId="46230"/>
    <cellStyle name="Comma 6 5 6" xfId="46231"/>
    <cellStyle name="Comma 6 5 6 2" xfId="46232"/>
    <cellStyle name="Comma 6 5 6 3" xfId="46233"/>
    <cellStyle name="Comma 6 5 7" xfId="46234"/>
    <cellStyle name="Comma 6 5 7 2" xfId="46235"/>
    <cellStyle name="Comma 6 5 7 3" xfId="46236"/>
    <cellStyle name="Comma 6 5 8" xfId="46237"/>
    <cellStyle name="Comma 6 5 8 2" xfId="46238"/>
    <cellStyle name="Comma 6 5 9" xfId="46239"/>
    <cellStyle name="Comma 6 6" xfId="8395"/>
    <cellStyle name="Comma 6 6 10" xfId="46240"/>
    <cellStyle name="Comma 6 6 2" xfId="8396"/>
    <cellStyle name="Comma 6 6 2 2" xfId="46241"/>
    <cellStyle name="Comma 6 6 2 2 2" xfId="46242"/>
    <cellStyle name="Comma 6 6 2 2 3" xfId="46243"/>
    <cellStyle name="Comma 6 6 2 3" xfId="46244"/>
    <cellStyle name="Comma 6 6 2 3 2" xfId="46245"/>
    <cellStyle name="Comma 6 6 2 3 3" xfId="46246"/>
    <cellStyle name="Comma 6 6 2 4" xfId="46247"/>
    <cellStyle name="Comma 6 6 2 4 2" xfId="46248"/>
    <cellStyle name="Comma 6 6 2 5" xfId="46249"/>
    <cellStyle name="Comma 6 6 2 6" xfId="46250"/>
    <cellStyle name="Comma 6 6 2 7" xfId="46251"/>
    <cellStyle name="Comma 6 6 3" xfId="46252"/>
    <cellStyle name="Comma 6 6 3 2" xfId="46253"/>
    <cellStyle name="Comma 6 6 3 2 2" xfId="46254"/>
    <cellStyle name="Comma 6 6 3 2 3" xfId="46255"/>
    <cellStyle name="Comma 6 6 3 3" xfId="46256"/>
    <cellStyle name="Comma 6 6 3 3 2" xfId="46257"/>
    <cellStyle name="Comma 6 6 3 3 3" xfId="46258"/>
    <cellStyle name="Comma 6 6 3 4" xfId="46259"/>
    <cellStyle name="Comma 6 6 3 4 2" xfId="46260"/>
    <cellStyle name="Comma 6 6 3 5" xfId="46261"/>
    <cellStyle name="Comma 6 6 3 6" xfId="46262"/>
    <cellStyle name="Comma 6 6 4" xfId="46263"/>
    <cellStyle name="Comma 6 6 4 2" xfId="46264"/>
    <cellStyle name="Comma 6 6 4 2 2" xfId="46265"/>
    <cellStyle name="Comma 6 6 4 2 3" xfId="46266"/>
    <cellStyle name="Comma 6 6 4 3" xfId="46267"/>
    <cellStyle name="Comma 6 6 4 3 2" xfId="46268"/>
    <cellStyle name="Comma 6 6 4 4" xfId="46269"/>
    <cellStyle name="Comma 6 6 4 5" xfId="46270"/>
    <cellStyle name="Comma 6 6 5" xfId="46271"/>
    <cellStyle name="Comma 6 6 5 2" xfId="46272"/>
    <cellStyle name="Comma 6 6 5 3" xfId="46273"/>
    <cellStyle name="Comma 6 6 6" xfId="46274"/>
    <cellStyle name="Comma 6 6 6 2" xfId="46275"/>
    <cellStyle name="Comma 6 6 6 3" xfId="46276"/>
    <cellStyle name="Comma 6 6 7" xfId="46277"/>
    <cellStyle name="Comma 6 6 7 2" xfId="46278"/>
    <cellStyle name="Comma 6 6 8" xfId="46279"/>
    <cellStyle name="Comma 6 6 9" xfId="46280"/>
    <cellStyle name="Comma 6 7" xfId="8397"/>
    <cellStyle name="Comma 6 7 10" xfId="46281"/>
    <cellStyle name="Comma 6 7 2" xfId="8398"/>
    <cellStyle name="Comma 6 7 2 2" xfId="46282"/>
    <cellStyle name="Comma 6 7 2 2 2" xfId="46283"/>
    <cellStyle name="Comma 6 7 2 2 3" xfId="46284"/>
    <cellStyle name="Comma 6 7 2 3" xfId="46285"/>
    <cellStyle name="Comma 6 7 2 3 2" xfId="46286"/>
    <cellStyle name="Comma 6 7 2 3 3" xfId="46287"/>
    <cellStyle name="Comma 6 7 2 4" xfId="46288"/>
    <cellStyle name="Comma 6 7 2 4 2" xfId="46289"/>
    <cellStyle name="Comma 6 7 2 5" xfId="46290"/>
    <cellStyle name="Comma 6 7 2 6" xfId="46291"/>
    <cellStyle name="Comma 6 7 2 7" xfId="46292"/>
    <cellStyle name="Comma 6 7 3" xfId="46293"/>
    <cellStyle name="Comma 6 7 3 2" xfId="46294"/>
    <cellStyle name="Comma 6 7 3 2 2" xfId="46295"/>
    <cellStyle name="Comma 6 7 3 2 3" xfId="46296"/>
    <cellStyle name="Comma 6 7 3 3" xfId="46297"/>
    <cellStyle name="Comma 6 7 3 3 2" xfId="46298"/>
    <cellStyle name="Comma 6 7 3 3 3" xfId="46299"/>
    <cellStyle name="Comma 6 7 3 4" xfId="46300"/>
    <cellStyle name="Comma 6 7 3 4 2" xfId="46301"/>
    <cellStyle name="Comma 6 7 3 5" xfId="46302"/>
    <cellStyle name="Comma 6 7 3 6" xfId="46303"/>
    <cellStyle name="Comma 6 7 4" xfId="46304"/>
    <cellStyle name="Comma 6 7 4 2" xfId="46305"/>
    <cellStyle name="Comma 6 7 4 2 2" xfId="46306"/>
    <cellStyle name="Comma 6 7 4 2 3" xfId="46307"/>
    <cellStyle name="Comma 6 7 4 3" xfId="46308"/>
    <cellStyle name="Comma 6 7 4 3 2" xfId="46309"/>
    <cellStyle name="Comma 6 7 4 4" xfId="46310"/>
    <cellStyle name="Comma 6 7 4 5" xfId="46311"/>
    <cellStyle name="Comma 6 7 5" xfId="46312"/>
    <cellStyle name="Comma 6 7 5 2" xfId="46313"/>
    <cellStyle name="Comma 6 7 5 3" xfId="46314"/>
    <cellStyle name="Comma 6 7 6" xfId="46315"/>
    <cellStyle name="Comma 6 7 6 2" xfId="46316"/>
    <cellStyle name="Comma 6 7 6 3" xfId="46317"/>
    <cellStyle name="Comma 6 7 7" xfId="46318"/>
    <cellStyle name="Comma 6 7 7 2" xfId="46319"/>
    <cellStyle name="Comma 6 7 8" xfId="46320"/>
    <cellStyle name="Comma 6 7 9" xfId="46321"/>
    <cellStyle name="Comma 6 8" xfId="8399"/>
    <cellStyle name="Comma 6 8 2" xfId="46322"/>
    <cellStyle name="Comma 6 8 2 2" xfId="46323"/>
    <cellStyle name="Comma 6 8 2 3" xfId="46324"/>
    <cellStyle name="Comma 6 8 3" xfId="46325"/>
    <cellStyle name="Comma 6 8 3 2" xfId="46326"/>
    <cellStyle name="Comma 6 8 3 3" xfId="46327"/>
    <cellStyle name="Comma 6 8 4" xfId="46328"/>
    <cellStyle name="Comma 6 8 4 2" xfId="46329"/>
    <cellStyle name="Comma 6 8 5" xfId="46330"/>
    <cellStyle name="Comma 6 8 6" xfId="46331"/>
    <cellStyle name="Comma 6 8 7" xfId="46332"/>
    <cellStyle name="Comma 6 9" xfId="46333"/>
    <cellStyle name="Comma 6 9 2" xfId="46334"/>
    <cellStyle name="Comma 6 9 2 2" xfId="46335"/>
    <cellStyle name="Comma 6 9 2 3" xfId="46336"/>
    <cellStyle name="Comma 6 9 3" xfId="46337"/>
    <cellStyle name="Comma 6 9 3 2" xfId="46338"/>
    <cellStyle name="Comma 6 9 3 3" xfId="46339"/>
    <cellStyle name="Comma 6 9 4" xfId="46340"/>
    <cellStyle name="Comma 6 9 4 2" xfId="46341"/>
    <cellStyle name="Comma 6 9 5" xfId="46342"/>
    <cellStyle name="Comma 6 9 6" xfId="46343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4"/>
    <cellStyle name="Comma 7 10 2 2" xfId="46345"/>
    <cellStyle name="Comma 7 10 2 3" xfId="46346"/>
    <cellStyle name="Comma 7 10 3" xfId="46347"/>
    <cellStyle name="Comma 7 10 3 2" xfId="46348"/>
    <cellStyle name="Comma 7 10 4" xfId="46349"/>
    <cellStyle name="Comma 7 10 5" xfId="46350"/>
    <cellStyle name="Comma 7 11" xfId="9494"/>
    <cellStyle name="Comma 7 11 2" xfId="46351"/>
    <cellStyle name="Comma 7 11 3" xfId="46352"/>
    <cellStyle name="Comma 7 12" xfId="9495"/>
    <cellStyle name="Comma 7 12 2" xfId="46353"/>
    <cellStyle name="Comma 7 12 3" xfId="46354"/>
    <cellStyle name="Comma 7 13" xfId="9496"/>
    <cellStyle name="Comma 7 13 2" xfId="46355"/>
    <cellStyle name="Comma 7 14" xfId="46356"/>
    <cellStyle name="Comma 7 15" xfId="46357"/>
    <cellStyle name="Comma 7 16" xfId="46358"/>
    <cellStyle name="Comma 7 2" xfId="3711"/>
    <cellStyle name="Comma 7 2 10" xfId="46359"/>
    <cellStyle name="Comma 7 2 10 2" xfId="46360"/>
    <cellStyle name="Comma 7 2 10 3" xfId="46361"/>
    <cellStyle name="Comma 7 2 11" xfId="46362"/>
    <cellStyle name="Comma 7 2 11 2" xfId="46363"/>
    <cellStyle name="Comma 7 2 11 3" xfId="46364"/>
    <cellStyle name="Comma 7 2 12" xfId="46365"/>
    <cellStyle name="Comma 7 2 12 2" xfId="46366"/>
    <cellStyle name="Comma 7 2 13" xfId="46367"/>
    <cellStyle name="Comma 7 2 14" xfId="46368"/>
    <cellStyle name="Comma 7 2 15" xfId="46369"/>
    <cellStyle name="Comma 7 2 2" xfId="3712"/>
    <cellStyle name="Comma 7 2 2 10" xfId="46370"/>
    <cellStyle name="Comma 7 2 2 10 2" xfId="46371"/>
    <cellStyle name="Comma 7 2 2 10 3" xfId="46372"/>
    <cellStyle name="Comma 7 2 2 11" xfId="46373"/>
    <cellStyle name="Comma 7 2 2 11 2" xfId="46374"/>
    <cellStyle name="Comma 7 2 2 12" xfId="46375"/>
    <cellStyle name="Comma 7 2 2 13" xfId="46376"/>
    <cellStyle name="Comma 7 2 2 14" xfId="46377"/>
    <cellStyle name="Comma 7 2 2 2" xfId="3713"/>
    <cellStyle name="Comma 7 2 2 2 10" xfId="46378"/>
    <cellStyle name="Comma 7 2 2 2 10 2" xfId="46379"/>
    <cellStyle name="Comma 7 2 2 2 11" xfId="46380"/>
    <cellStyle name="Comma 7 2 2 2 12" xfId="46381"/>
    <cellStyle name="Comma 7 2 2 2 13" xfId="46382"/>
    <cellStyle name="Comma 7 2 2 2 2" xfId="9145"/>
    <cellStyle name="Comma 7 2 2 2 2 10" xfId="46383"/>
    <cellStyle name="Comma 7 2 2 2 2 2" xfId="46384"/>
    <cellStyle name="Comma 7 2 2 2 2 2 2" xfId="46385"/>
    <cellStyle name="Comma 7 2 2 2 2 2 2 2" xfId="46386"/>
    <cellStyle name="Comma 7 2 2 2 2 2 2 2 2" xfId="46387"/>
    <cellStyle name="Comma 7 2 2 2 2 2 2 2 3" xfId="46388"/>
    <cellStyle name="Comma 7 2 2 2 2 2 2 3" xfId="46389"/>
    <cellStyle name="Comma 7 2 2 2 2 2 2 3 2" xfId="46390"/>
    <cellStyle name="Comma 7 2 2 2 2 2 2 3 3" xfId="46391"/>
    <cellStyle name="Comma 7 2 2 2 2 2 2 4" xfId="46392"/>
    <cellStyle name="Comma 7 2 2 2 2 2 2 4 2" xfId="46393"/>
    <cellStyle name="Comma 7 2 2 2 2 2 2 5" xfId="46394"/>
    <cellStyle name="Comma 7 2 2 2 2 2 2 6" xfId="46395"/>
    <cellStyle name="Comma 7 2 2 2 2 2 3" xfId="46396"/>
    <cellStyle name="Comma 7 2 2 2 2 2 3 2" xfId="46397"/>
    <cellStyle name="Comma 7 2 2 2 2 2 3 2 2" xfId="46398"/>
    <cellStyle name="Comma 7 2 2 2 2 2 3 2 3" xfId="46399"/>
    <cellStyle name="Comma 7 2 2 2 2 2 3 3" xfId="46400"/>
    <cellStyle name="Comma 7 2 2 2 2 2 3 3 2" xfId="46401"/>
    <cellStyle name="Comma 7 2 2 2 2 2 3 3 3" xfId="46402"/>
    <cellStyle name="Comma 7 2 2 2 2 2 3 4" xfId="46403"/>
    <cellStyle name="Comma 7 2 2 2 2 2 3 4 2" xfId="46404"/>
    <cellStyle name="Comma 7 2 2 2 2 2 3 5" xfId="46405"/>
    <cellStyle name="Comma 7 2 2 2 2 2 3 6" xfId="46406"/>
    <cellStyle name="Comma 7 2 2 2 2 2 4" xfId="46407"/>
    <cellStyle name="Comma 7 2 2 2 2 2 4 2" xfId="46408"/>
    <cellStyle name="Comma 7 2 2 2 2 2 4 2 2" xfId="46409"/>
    <cellStyle name="Comma 7 2 2 2 2 2 4 2 3" xfId="46410"/>
    <cellStyle name="Comma 7 2 2 2 2 2 4 3" xfId="46411"/>
    <cellStyle name="Comma 7 2 2 2 2 2 4 3 2" xfId="46412"/>
    <cellStyle name="Comma 7 2 2 2 2 2 4 4" xfId="46413"/>
    <cellStyle name="Comma 7 2 2 2 2 2 4 5" xfId="46414"/>
    <cellStyle name="Comma 7 2 2 2 2 2 5" xfId="46415"/>
    <cellStyle name="Comma 7 2 2 2 2 2 5 2" xfId="46416"/>
    <cellStyle name="Comma 7 2 2 2 2 2 5 3" xfId="46417"/>
    <cellStyle name="Comma 7 2 2 2 2 2 6" xfId="46418"/>
    <cellStyle name="Comma 7 2 2 2 2 2 6 2" xfId="46419"/>
    <cellStyle name="Comma 7 2 2 2 2 2 6 3" xfId="46420"/>
    <cellStyle name="Comma 7 2 2 2 2 2 7" xfId="46421"/>
    <cellStyle name="Comma 7 2 2 2 2 2 7 2" xfId="46422"/>
    <cellStyle name="Comma 7 2 2 2 2 2 8" xfId="46423"/>
    <cellStyle name="Comma 7 2 2 2 2 2 9" xfId="46424"/>
    <cellStyle name="Comma 7 2 2 2 2 3" xfId="46425"/>
    <cellStyle name="Comma 7 2 2 2 2 3 2" xfId="46426"/>
    <cellStyle name="Comma 7 2 2 2 2 3 2 2" xfId="46427"/>
    <cellStyle name="Comma 7 2 2 2 2 3 2 3" xfId="46428"/>
    <cellStyle name="Comma 7 2 2 2 2 3 3" xfId="46429"/>
    <cellStyle name="Comma 7 2 2 2 2 3 3 2" xfId="46430"/>
    <cellStyle name="Comma 7 2 2 2 2 3 3 3" xfId="46431"/>
    <cellStyle name="Comma 7 2 2 2 2 3 4" xfId="46432"/>
    <cellStyle name="Comma 7 2 2 2 2 3 4 2" xfId="46433"/>
    <cellStyle name="Comma 7 2 2 2 2 3 5" xfId="46434"/>
    <cellStyle name="Comma 7 2 2 2 2 3 6" xfId="46435"/>
    <cellStyle name="Comma 7 2 2 2 2 4" xfId="46436"/>
    <cellStyle name="Comma 7 2 2 2 2 4 2" xfId="46437"/>
    <cellStyle name="Comma 7 2 2 2 2 4 2 2" xfId="46438"/>
    <cellStyle name="Comma 7 2 2 2 2 4 2 3" xfId="46439"/>
    <cellStyle name="Comma 7 2 2 2 2 4 3" xfId="46440"/>
    <cellStyle name="Comma 7 2 2 2 2 4 3 2" xfId="46441"/>
    <cellStyle name="Comma 7 2 2 2 2 4 3 3" xfId="46442"/>
    <cellStyle name="Comma 7 2 2 2 2 4 4" xfId="46443"/>
    <cellStyle name="Comma 7 2 2 2 2 4 4 2" xfId="46444"/>
    <cellStyle name="Comma 7 2 2 2 2 4 5" xfId="46445"/>
    <cellStyle name="Comma 7 2 2 2 2 4 6" xfId="46446"/>
    <cellStyle name="Comma 7 2 2 2 2 5" xfId="46447"/>
    <cellStyle name="Comma 7 2 2 2 2 5 2" xfId="46448"/>
    <cellStyle name="Comma 7 2 2 2 2 5 2 2" xfId="46449"/>
    <cellStyle name="Comma 7 2 2 2 2 5 2 3" xfId="46450"/>
    <cellStyle name="Comma 7 2 2 2 2 5 3" xfId="46451"/>
    <cellStyle name="Comma 7 2 2 2 2 5 3 2" xfId="46452"/>
    <cellStyle name="Comma 7 2 2 2 2 5 4" xfId="46453"/>
    <cellStyle name="Comma 7 2 2 2 2 5 5" xfId="46454"/>
    <cellStyle name="Comma 7 2 2 2 2 6" xfId="46455"/>
    <cellStyle name="Comma 7 2 2 2 2 6 2" xfId="46456"/>
    <cellStyle name="Comma 7 2 2 2 2 6 3" xfId="46457"/>
    <cellStyle name="Comma 7 2 2 2 2 7" xfId="46458"/>
    <cellStyle name="Comma 7 2 2 2 2 7 2" xfId="46459"/>
    <cellStyle name="Comma 7 2 2 2 2 7 3" xfId="46460"/>
    <cellStyle name="Comma 7 2 2 2 2 8" xfId="46461"/>
    <cellStyle name="Comma 7 2 2 2 2 8 2" xfId="46462"/>
    <cellStyle name="Comma 7 2 2 2 2 9" xfId="46463"/>
    <cellStyle name="Comma 7 2 2 2 3" xfId="9146"/>
    <cellStyle name="Comma 7 2 2 2 3 2" xfId="46464"/>
    <cellStyle name="Comma 7 2 2 2 3 2 2" xfId="46465"/>
    <cellStyle name="Comma 7 2 2 2 3 2 2 2" xfId="46466"/>
    <cellStyle name="Comma 7 2 2 2 3 2 2 3" xfId="46467"/>
    <cellStyle name="Comma 7 2 2 2 3 2 3" xfId="46468"/>
    <cellStyle name="Comma 7 2 2 2 3 2 3 2" xfId="46469"/>
    <cellStyle name="Comma 7 2 2 2 3 2 3 3" xfId="46470"/>
    <cellStyle name="Comma 7 2 2 2 3 2 4" xfId="46471"/>
    <cellStyle name="Comma 7 2 2 2 3 2 4 2" xfId="46472"/>
    <cellStyle name="Comma 7 2 2 2 3 2 5" xfId="46473"/>
    <cellStyle name="Comma 7 2 2 2 3 2 6" xfId="46474"/>
    <cellStyle name="Comma 7 2 2 2 3 3" xfId="46475"/>
    <cellStyle name="Comma 7 2 2 2 3 3 2" xfId="46476"/>
    <cellStyle name="Comma 7 2 2 2 3 3 2 2" xfId="46477"/>
    <cellStyle name="Comma 7 2 2 2 3 3 2 3" xfId="46478"/>
    <cellStyle name="Comma 7 2 2 2 3 3 3" xfId="46479"/>
    <cellStyle name="Comma 7 2 2 2 3 3 3 2" xfId="46480"/>
    <cellStyle name="Comma 7 2 2 2 3 3 3 3" xfId="46481"/>
    <cellStyle name="Comma 7 2 2 2 3 3 4" xfId="46482"/>
    <cellStyle name="Comma 7 2 2 2 3 3 4 2" xfId="46483"/>
    <cellStyle name="Comma 7 2 2 2 3 3 5" xfId="46484"/>
    <cellStyle name="Comma 7 2 2 2 3 3 6" xfId="46485"/>
    <cellStyle name="Comma 7 2 2 2 3 4" xfId="46486"/>
    <cellStyle name="Comma 7 2 2 2 3 4 2" xfId="46487"/>
    <cellStyle name="Comma 7 2 2 2 3 4 2 2" xfId="46488"/>
    <cellStyle name="Comma 7 2 2 2 3 4 2 3" xfId="46489"/>
    <cellStyle name="Comma 7 2 2 2 3 4 3" xfId="46490"/>
    <cellStyle name="Comma 7 2 2 2 3 4 3 2" xfId="46491"/>
    <cellStyle name="Comma 7 2 2 2 3 4 4" xfId="46492"/>
    <cellStyle name="Comma 7 2 2 2 3 4 5" xfId="46493"/>
    <cellStyle name="Comma 7 2 2 2 3 5" xfId="46494"/>
    <cellStyle name="Comma 7 2 2 2 3 5 2" xfId="46495"/>
    <cellStyle name="Comma 7 2 2 2 3 5 3" xfId="46496"/>
    <cellStyle name="Comma 7 2 2 2 3 6" xfId="46497"/>
    <cellStyle name="Comma 7 2 2 2 3 6 2" xfId="46498"/>
    <cellStyle name="Comma 7 2 2 2 3 6 3" xfId="46499"/>
    <cellStyle name="Comma 7 2 2 2 3 7" xfId="46500"/>
    <cellStyle name="Comma 7 2 2 2 3 7 2" xfId="46501"/>
    <cellStyle name="Comma 7 2 2 2 3 8" xfId="46502"/>
    <cellStyle name="Comma 7 2 2 2 3 9" xfId="46503"/>
    <cellStyle name="Comma 7 2 2 2 4" xfId="46504"/>
    <cellStyle name="Comma 7 2 2 2 4 2" xfId="46505"/>
    <cellStyle name="Comma 7 2 2 2 4 2 2" xfId="46506"/>
    <cellStyle name="Comma 7 2 2 2 4 2 2 2" xfId="46507"/>
    <cellStyle name="Comma 7 2 2 2 4 2 2 3" xfId="46508"/>
    <cellStyle name="Comma 7 2 2 2 4 2 3" xfId="46509"/>
    <cellStyle name="Comma 7 2 2 2 4 2 3 2" xfId="46510"/>
    <cellStyle name="Comma 7 2 2 2 4 2 3 3" xfId="46511"/>
    <cellStyle name="Comma 7 2 2 2 4 2 4" xfId="46512"/>
    <cellStyle name="Comma 7 2 2 2 4 2 4 2" xfId="46513"/>
    <cellStyle name="Comma 7 2 2 2 4 2 5" xfId="46514"/>
    <cellStyle name="Comma 7 2 2 2 4 2 6" xfId="46515"/>
    <cellStyle name="Comma 7 2 2 2 4 3" xfId="46516"/>
    <cellStyle name="Comma 7 2 2 2 4 3 2" xfId="46517"/>
    <cellStyle name="Comma 7 2 2 2 4 3 2 2" xfId="46518"/>
    <cellStyle name="Comma 7 2 2 2 4 3 2 3" xfId="46519"/>
    <cellStyle name="Comma 7 2 2 2 4 3 3" xfId="46520"/>
    <cellStyle name="Comma 7 2 2 2 4 3 3 2" xfId="46521"/>
    <cellStyle name="Comma 7 2 2 2 4 3 3 3" xfId="46522"/>
    <cellStyle name="Comma 7 2 2 2 4 3 4" xfId="46523"/>
    <cellStyle name="Comma 7 2 2 2 4 3 4 2" xfId="46524"/>
    <cellStyle name="Comma 7 2 2 2 4 3 5" xfId="46525"/>
    <cellStyle name="Comma 7 2 2 2 4 3 6" xfId="46526"/>
    <cellStyle name="Comma 7 2 2 2 4 4" xfId="46527"/>
    <cellStyle name="Comma 7 2 2 2 4 4 2" xfId="46528"/>
    <cellStyle name="Comma 7 2 2 2 4 4 2 2" xfId="46529"/>
    <cellStyle name="Comma 7 2 2 2 4 4 2 3" xfId="46530"/>
    <cellStyle name="Comma 7 2 2 2 4 4 3" xfId="46531"/>
    <cellStyle name="Comma 7 2 2 2 4 4 3 2" xfId="46532"/>
    <cellStyle name="Comma 7 2 2 2 4 4 4" xfId="46533"/>
    <cellStyle name="Comma 7 2 2 2 4 4 5" xfId="46534"/>
    <cellStyle name="Comma 7 2 2 2 4 5" xfId="46535"/>
    <cellStyle name="Comma 7 2 2 2 4 5 2" xfId="46536"/>
    <cellStyle name="Comma 7 2 2 2 4 5 3" xfId="46537"/>
    <cellStyle name="Comma 7 2 2 2 4 6" xfId="46538"/>
    <cellStyle name="Comma 7 2 2 2 4 6 2" xfId="46539"/>
    <cellStyle name="Comma 7 2 2 2 4 6 3" xfId="46540"/>
    <cellStyle name="Comma 7 2 2 2 4 7" xfId="46541"/>
    <cellStyle name="Comma 7 2 2 2 4 7 2" xfId="46542"/>
    <cellStyle name="Comma 7 2 2 2 4 8" xfId="46543"/>
    <cellStyle name="Comma 7 2 2 2 4 9" xfId="46544"/>
    <cellStyle name="Comma 7 2 2 2 5" xfId="46545"/>
    <cellStyle name="Comma 7 2 2 2 5 2" xfId="46546"/>
    <cellStyle name="Comma 7 2 2 2 5 2 2" xfId="46547"/>
    <cellStyle name="Comma 7 2 2 2 5 2 3" xfId="46548"/>
    <cellStyle name="Comma 7 2 2 2 5 3" xfId="46549"/>
    <cellStyle name="Comma 7 2 2 2 5 3 2" xfId="46550"/>
    <cellStyle name="Comma 7 2 2 2 5 3 3" xfId="46551"/>
    <cellStyle name="Comma 7 2 2 2 5 4" xfId="46552"/>
    <cellStyle name="Comma 7 2 2 2 5 4 2" xfId="46553"/>
    <cellStyle name="Comma 7 2 2 2 5 5" xfId="46554"/>
    <cellStyle name="Comma 7 2 2 2 5 6" xfId="46555"/>
    <cellStyle name="Comma 7 2 2 2 6" xfId="46556"/>
    <cellStyle name="Comma 7 2 2 2 6 2" xfId="46557"/>
    <cellStyle name="Comma 7 2 2 2 6 2 2" xfId="46558"/>
    <cellStyle name="Comma 7 2 2 2 6 2 3" xfId="46559"/>
    <cellStyle name="Comma 7 2 2 2 6 3" xfId="46560"/>
    <cellStyle name="Comma 7 2 2 2 6 3 2" xfId="46561"/>
    <cellStyle name="Comma 7 2 2 2 6 3 3" xfId="46562"/>
    <cellStyle name="Comma 7 2 2 2 6 4" xfId="46563"/>
    <cellStyle name="Comma 7 2 2 2 6 4 2" xfId="46564"/>
    <cellStyle name="Comma 7 2 2 2 6 5" xfId="46565"/>
    <cellStyle name="Comma 7 2 2 2 6 6" xfId="46566"/>
    <cellStyle name="Comma 7 2 2 2 7" xfId="46567"/>
    <cellStyle name="Comma 7 2 2 2 7 2" xfId="46568"/>
    <cellStyle name="Comma 7 2 2 2 7 2 2" xfId="46569"/>
    <cellStyle name="Comma 7 2 2 2 7 2 3" xfId="46570"/>
    <cellStyle name="Comma 7 2 2 2 7 3" xfId="46571"/>
    <cellStyle name="Comma 7 2 2 2 7 3 2" xfId="46572"/>
    <cellStyle name="Comma 7 2 2 2 7 4" xfId="46573"/>
    <cellStyle name="Comma 7 2 2 2 7 5" xfId="46574"/>
    <cellStyle name="Comma 7 2 2 2 8" xfId="46575"/>
    <cellStyle name="Comma 7 2 2 2 8 2" xfId="46576"/>
    <cellStyle name="Comma 7 2 2 2 8 3" xfId="46577"/>
    <cellStyle name="Comma 7 2 2 2 9" xfId="46578"/>
    <cellStyle name="Comma 7 2 2 2 9 2" xfId="46579"/>
    <cellStyle name="Comma 7 2 2 2 9 3" xfId="46580"/>
    <cellStyle name="Comma 7 2 2 3" xfId="9147"/>
    <cellStyle name="Comma 7 2 2 3 10" xfId="46581"/>
    <cellStyle name="Comma 7 2 2 3 2" xfId="46582"/>
    <cellStyle name="Comma 7 2 2 3 2 2" xfId="46583"/>
    <cellStyle name="Comma 7 2 2 3 2 2 2" xfId="46584"/>
    <cellStyle name="Comma 7 2 2 3 2 2 2 2" xfId="46585"/>
    <cellStyle name="Comma 7 2 2 3 2 2 2 3" xfId="46586"/>
    <cellStyle name="Comma 7 2 2 3 2 2 3" xfId="46587"/>
    <cellStyle name="Comma 7 2 2 3 2 2 3 2" xfId="46588"/>
    <cellStyle name="Comma 7 2 2 3 2 2 3 3" xfId="46589"/>
    <cellStyle name="Comma 7 2 2 3 2 2 4" xfId="46590"/>
    <cellStyle name="Comma 7 2 2 3 2 2 4 2" xfId="46591"/>
    <cellStyle name="Comma 7 2 2 3 2 2 5" xfId="46592"/>
    <cellStyle name="Comma 7 2 2 3 2 2 6" xfId="46593"/>
    <cellStyle name="Comma 7 2 2 3 2 3" xfId="46594"/>
    <cellStyle name="Comma 7 2 2 3 2 3 2" xfId="46595"/>
    <cellStyle name="Comma 7 2 2 3 2 3 2 2" xfId="46596"/>
    <cellStyle name="Comma 7 2 2 3 2 3 2 3" xfId="46597"/>
    <cellStyle name="Comma 7 2 2 3 2 3 3" xfId="46598"/>
    <cellStyle name="Comma 7 2 2 3 2 3 3 2" xfId="46599"/>
    <cellStyle name="Comma 7 2 2 3 2 3 3 3" xfId="46600"/>
    <cellStyle name="Comma 7 2 2 3 2 3 4" xfId="46601"/>
    <cellStyle name="Comma 7 2 2 3 2 3 4 2" xfId="46602"/>
    <cellStyle name="Comma 7 2 2 3 2 3 5" xfId="46603"/>
    <cellStyle name="Comma 7 2 2 3 2 3 6" xfId="46604"/>
    <cellStyle name="Comma 7 2 2 3 2 4" xfId="46605"/>
    <cellStyle name="Comma 7 2 2 3 2 4 2" xfId="46606"/>
    <cellStyle name="Comma 7 2 2 3 2 4 2 2" xfId="46607"/>
    <cellStyle name="Comma 7 2 2 3 2 4 2 3" xfId="46608"/>
    <cellStyle name="Comma 7 2 2 3 2 4 3" xfId="46609"/>
    <cellStyle name="Comma 7 2 2 3 2 4 3 2" xfId="46610"/>
    <cellStyle name="Comma 7 2 2 3 2 4 4" xfId="46611"/>
    <cellStyle name="Comma 7 2 2 3 2 4 5" xfId="46612"/>
    <cellStyle name="Comma 7 2 2 3 2 5" xfId="46613"/>
    <cellStyle name="Comma 7 2 2 3 2 5 2" xfId="46614"/>
    <cellStyle name="Comma 7 2 2 3 2 5 3" xfId="46615"/>
    <cellStyle name="Comma 7 2 2 3 2 6" xfId="46616"/>
    <cellStyle name="Comma 7 2 2 3 2 6 2" xfId="46617"/>
    <cellStyle name="Comma 7 2 2 3 2 6 3" xfId="46618"/>
    <cellStyle name="Comma 7 2 2 3 2 7" xfId="46619"/>
    <cellStyle name="Comma 7 2 2 3 2 7 2" xfId="46620"/>
    <cellStyle name="Comma 7 2 2 3 2 8" xfId="46621"/>
    <cellStyle name="Comma 7 2 2 3 2 9" xfId="46622"/>
    <cellStyle name="Comma 7 2 2 3 3" xfId="46623"/>
    <cellStyle name="Comma 7 2 2 3 3 2" xfId="46624"/>
    <cellStyle name="Comma 7 2 2 3 3 2 2" xfId="46625"/>
    <cellStyle name="Comma 7 2 2 3 3 2 3" xfId="46626"/>
    <cellStyle name="Comma 7 2 2 3 3 3" xfId="46627"/>
    <cellStyle name="Comma 7 2 2 3 3 3 2" xfId="46628"/>
    <cellStyle name="Comma 7 2 2 3 3 3 3" xfId="46629"/>
    <cellStyle name="Comma 7 2 2 3 3 4" xfId="46630"/>
    <cellStyle name="Comma 7 2 2 3 3 4 2" xfId="46631"/>
    <cellStyle name="Comma 7 2 2 3 3 5" xfId="46632"/>
    <cellStyle name="Comma 7 2 2 3 3 6" xfId="46633"/>
    <cellStyle name="Comma 7 2 2 3 4" xfId="46634"/>
    <cellStyle name="Comma 7 2 2 3 4 2" xfId="46635"/>
    <cellStyle name="Comma 7 2 2 3 4 2 2" xfId="46636"/>
    <cellStyle name="Comma 7 2 2 3 4 2 3" xfId="46637"/>
    <cellStyle name="Comma 7 2 2 3 4 3" xfId="46638"/>
    <cellStyle name="Comma 7 2 2 3 4 3 2" xfId="46639"/>
    <cellStyle name="Comma 7 2 2 3 4 3 3" xfId="46640"/>
    <cellStyle name="Comma 7 2 2 3 4 4" xfId="46641"/>
    <cellStyle name="Comma 7 2 2 3 4 4 2" xfId="46642"/>
    <cellStyle name="Comma 7 2 2 3 4 5" xfId="46643"/>
    <cellStyle name="Comma 7 2 2 3 4 6" xfId="46644"/>
    <cellStyle name="Comma 7 2 2 3 5" xfId="46645"/>
    <cellStyle name="Comma 7 2 2 3 5 2" xfId="46646"/>
    <cellStyle name="Comma 7 2 2 3 5 2 2" xfId="46647"/>
    <cellStyle name="Comma 7 2 2 3 5 2 3" xfId="46648"/>
    <cellStyle name="Comma 7 2 2 3 5 3" xfId="46649"/>
    <cellStyle name="Comma 7 2 2 3 5 3 2" xfId="46650"/>
    <cellStyle name="Comma 7 2 2 3 5 4" xfId="46651"/>
    <cellStyle name="Comma 7 2 2 3 5 5" xfId="46652"/>
    <cellStyle name="Comma 7 2 2 3 6" xfId="46653"/>
    <cellStyle name="Comma 7 2 2 3 6 2" xfId="46654"/>
    <cellStyle name="Comma 7 2 2 3 6 3" xfId="46655"/>
    <cellStyle name="Comma 7 2 2 3 7" xfId="46656"/>
    <cellStyle name="Comma 7 2 2 3 7 2" xfId="46657"/>
    <cellStyle name="Comma 7 2 2 3 7 3" xfId="46658"/>
    <cellStyle name="Comma 7 2 2 3 8" xfId="46659"/>
    <cellStyle name="Comma 7 2 2 3 8 2" xfId="46660"/>
    <cellStyle name="Comma 7 2 2 3 9" xfId="46661"/>
    <cellStyle name="Comma 7 2 2 4" xfId="9148"/>
    <cellStyle name="Comma 7 2 2 4 2" xfId="46662"/>
    <cellStyle name="Comma 7 2 2 4 2 2" xfId="46663"/>
    <cellStyle name="Comma 7 2 2 4 2 2 2" xfId="46664"/>
    <cellStyle name="Comma 7 2 2 4 2 2 3" xfId="46665"/>
    <cellStyle name="Comma 7 2 2 4 2 3" xfId="46666"/>
    <cellStyle name="Comma 7 2 2 4 2 3 2" xfId="46667"/>
    <cellStyle name="Comma 7 2 2 4 2 3 3" xfId="46668"/>
    <cellStyle name="Comma 7 2 2 4 2 4" xfId="46669"/>
    <cellStyle name="Comma 7 2 2 4 2 4 2" xfId="46670"/>
    <cellStyle name="Comma 7 2 2 4 2 5" xfId="46671"/>
    <cellStyle name="Comma 7 2 2 4 2 6" xfId="46672"/>
    <cellStyle name="Comma 7 2 2 4 3" xfId="46673"/>
    <cellStyle name="Comma 7 2 2 4 3 2" xfId="46674"/>
    <cellStyle name="Comma 7 2 2 4 3 2 2" xfId="46675"/>
    <cellStyle name="Comma 7 2 2 4 3 2 3" xfId="46676"/>
    <cellStyle name="Comma 7 2 2 4 3 3" xfId="46677"/>
    <cellStyle name="Comma 7 2 2 4 3 3 2" xfId="46678"/>
    <cellStyle name="Comma 7 2 2 4 3 3 3" xfId="46679"/>
    <cellStyle name="Comma 7 2 2 4 3 4" xfId="46680"/>
    <cellStyle name="Comma 7 2 2 4 3 4 2" xfId="46681"/>
    <cellStyle name="Comma 7 2 2 4 3 5" xfId="46682"/>
    <cellStyle name="Comma 7 2 2 4 3 6" xfId="46683"/>
    <cellStyle name="Comma 7 2 2 4 4" xfId="46684"/>
    <cellStyle name="Comma 7 2 2 4 4 2" xfId="46685"/>
    <cellStyle name="Comma 7 2 2 4 4 2 2" xfId="46686"/>
    <cellStyle name="Comma 7 2 2 4 4 2 3" xfId="46687"/>
    <cellStyle name="Comma 7 2 2 4 4 3" xfId="46688"/>
    <cellStyle name="Comma 7 2 2 4 4 3 2" xfId="46689"/>
    <cellStyle name="Comma 7 2 2 4 4 4" xfId="46690"/>
    <cellStyle name="Comma 7 2 2 4 4 5" xfId="46691"/>
    <cellStyle name="Comma 7 2 2 4 5" xfId="46692"/>
    <cellStyle name="Comma 7 2 2 4 5 2" xfId="46693"/>
    <cellStyle name="Comma 7 2 2 4 5 3" xfId="46694"/>
    <cellStyle name="Comma 7 2 2 4 6" xfId="46695"/>
    <cellStyle name="Comma 7 2 2 4 6 2" xfId="46696"/>
    <cellStyle name="Comma 7 2 2 4 6 3" xfId="46697"/>
    <cellStyle name="Comma 7 2 2 4 7" xfId="46698"/>
    <cellStyle name="Comma 7 2 2 4 7 2" xfId="46699"/>
    <cellStyle name="Comma 7 2 2 4 8" xfId="46700"/>
    <cellStyle name="Comma 7 2 2 4 9" xfId="46701"/>
    <cellStyle name="Comma 7 2 2 5" xfId="46702"/>
    <cellStyle name="Comma 7 2 2 5 2" xfId="46703"/>
    <cellStyle name="Comma 7 2 2 5 2 2" xfId="46704"/>
    <cellStyle name="Comma 7 2 2 5 2 2 2" xfId="46705"/>
    <cellStyle name="Comma 7 2 2 5 2 2 3" xfId="46706"/>
    <cellStyle name="Comma 7 2 2 5 2 3" xfId="46707"/>
    <cellStyle name="Comma 7 2 2 5 2 3 2" xfId="46708"/>
    <cellStyle name="Comma 7 2 2 5 2 3 3" xfId="46709"/>
    <cellStyle name="Comma 7 2 2 5 2 4" xfId="46710"/>
    <cellStyle name="Comma 7 2 2 5 2 4 2" xfId="46711"/>
    <cellStyle name="Comma 7 2 2 5 2 5" xfId="46712"/>
    <cellStyle name="Comma 7 2 2 5 2 6" xfId="46713"/>
    <cellStyle name="Comma 7 2 2 5 3" xfId="46714"/>
    <cellStyle name="Comma 7 2 2 5 3 2" xfId="46715"/>
    <cellStyle name="Comma 7 2 2 5 3 2 2" xfId="46716"/>
    <cellStyle name="Comma 7 2 2 5 3 2 3" xfId="46717"/>
    <cellStyle name="Comma 7 2 2 5 3 3" xfId="46718"/>
    <cellStyle name="Comma 7 2 2 5 3 3 2" xfId="46719"/>
    <cellStyle name="Comma 7 2 2 5 3 3 3" xfId="46720"/>
    <cellStyle name="Comma 7 2 2 5 3 4" xfId="46721"/>
    <cellStyle name="Comma 7 2 2 5 3 4 2" xfId="46722"/>
    <cellStyle name="Comma 7 2 2 5 3 5" xfId="46723"/>
    <cellStyle name="Comma 7 2 2 5 3 6" xfId="46724"/>
    <cellStyle name="Comma 7 2 2 5 4" xfId="46725"/>
    <cellStyle name="Comma 7 2 2 5 4 2" xfId="46726"/>
    <cellStyle name="Comma 7 2 2 5 4 2 2" xfId="46727"/>
    <cellStyle name="Comma 7 2 2 5 4 2 3" xfId="46728"/>
    <cellStyle name="Comma 7 2 2 5 4 3" xfId="46729"/>
    <cellStyle name="Comma 7 2 2 5 4 3 2" xfId="46730"/>
    <cellStyle name="Comma 7 2 2 5 4 4" xfId="46731"/>
    <cellStyle name="Comma 7 2 2 5 4 5" xfId="46732"/>
    <cellStyle name="Comma 7 2 2 5 5" xfId="46733"/>
    <cellStyle name="Comma 7 2 2 5 5 2" xfId="46734"/>
    <cellStyle name="Comma 7 2 2 5 5 3" xfId="46735"/>
    <cellStyle name="Comma 7 2 2 5 6" xfId="46736"/>
    <cellStyle name="Comma 7 2 2 5 6 2" xfId="46737"/>
    <cellStyle name="Comma 7 2 2 5 6 3" xfId="46738"/>
    <cellStyle name="Comma 7 2 2 5 7" xfId="46739"/>
    <cellStyle name="Comma 7 2 2 5 7 2" xfId="46740"/>
    <cellStyle name="Comma 7 2 2 5 8" xfId="46741"/>
    <cellStyle name="Comma 7 2 2 5 9" xfId="46742"/>
    <cellStyle name="Comma 7 2 2 6" xfId="46743"/>
    <cellStyle name="Comma 7 2 2 6 2" xfId="46744"/>
    <cellStyle name="Comma 7 2 2 6 2 2" xfId="46745"/>
    <cellStyle name="Comma 7 2 2 6 2 3" xfId="46746"/>
    <cellStyle name="Comma 7 2 2 6 3" xfId="46747"/>
    <cellStyle name="Comma 7 2 2 6 3 2" xfId="46748"/>
    <cellStyle name="Comma 7 2 2 6 3 3" xfId="46749"/>
    <cellStyle name="Comma 7 2 2 6 4" xfId="46750"/>
    <cellStyle name="Comma 7 2 2 6 4 2" xfId="46751"/>
    <cellStyle name="Comma 7 2 2 6 5" xfId="46752"/>
    <cellStyle name="Comma 7 2 2 6 6" xfId="46753"/>
    <cellStyle name="Comma 7 2 2 7" xfId="46754"/>
    <cellStyle name="Comma 7 2 2 7 2" xfId="46755"/>
    <cellStyle name="Comma 7 2 2 7 2 2" xfId="46756"/>
    <cellStyle name="Comma 7 2 2 7 2 3" xfId="46757"/>
    <cellStyle name="Comma 7 2 2 7 3" xfId="46758"/>
    <cellStyle name="Comma 7 2 2 7 3 2" xfId="46759"/>
    <cellStyle name="Comma 7 2 2 7 3 3" xfId="46760"/>
    <cellStyle name="Comma 7 2 2 7 4" xfId="46761"/>
    <cellStyle name="Comma 7 2 2 7 4 2" xfId="46762"/>
    <cellStyle name="Comma 7 2 2 7 5" xfId="46763"/>
    <cellStyle name="Comma 7 2 2 7 6" xfId="46764"/>
    <cellStyle name="Comma 7 2 2 8" xfId="46765"/>
    <cellStyle name="Comma 7 2 2 8 2" xfId="46766"/>
    <cellStyle name="Comma 7 2 2 8 2 2" xfId="46767"/>
    <cellStyle name="Comma 7 2 2 8 2 3" xfId="46768"/>
    <cellStyle name="Comma 7 2 2 8 3" xfId="46769"/>
    <cellStyle name="Comma 7 2 2 8 3 2" xfId="46770"/>
    <cellStyle name="Comma 7 2 2 8 4" xfId="46771"/>
    <cellStyle name="Comma 7 2 2 8 5" xfId="46772"/>
    <cellStyle name="Comma 7 2 2 9" xfId="46773"/>
    <cellStyle name="Comma 7 2 2 9 2" xfId="46774"/>
    <cellStyle name="Comma 7 2 2 9 3" xfId="46775"/>
    <cellStyle name="Comma 7 2 3" xfId="3714"/>
    <cellStyle name="Comma 7 2 3 10" xfId="46776"/>
    <cellStyle name="Comma 7 2 3 10 2" xfId="46777"/>
    <cellStyle name="Comma 7 2 3 11" xfId="46778"/>
    <cellStyle name="Comma 7 2 3 12" xfId="46779"/>
    <cellStyle name="Comma 7 2 3 13" xfId="46780"/>
    <cellStyle name="Comma 7 2 3 2" xfId="9149"/>
    <cellStyle name="Comma 7 2 3 2 10" xfId="46781"/>
    <cellStyle name="Comma 7 2 3 2 2" xfId="46782"/>
    <cellStyle name="Comma 7 2 3 2 2 2" xfId="46783"/>
    <cellStyle name="Comma 7 2 3 2 2 2 2" xfId="46784"/>
    <cellStyle name="Comma 7 2 3 2 2 2 2 2" xfId="46785"/>
    <cellStyle name="Comma 7 2 3 2 2 2 2 3" xfId="46786"/>
    <cellStyle name="Comma 7 2 3 2 2 2 3" xfId="46787"/>
    <cellStyle name="Comma 7 2 3 2 2 2 3 2" xfId="46788"/>
    <cellStyle name="Comma 7 2 3 2 2 2 3 3" xfId="46789"/>
    <cellStyle name="Comma 7 2 3 2 2 2 4" xfId="46790"/>
    <cellStyle name="Comma 7 2 3 2 2 2 4 2" xfId="46791"/>
    <cellStyle name="Comma 7 2 3 2 2 2 5" xfId="46792"/>
    <cellStyle name="Comma 7 2 3 2 2 2 6" xfId="46793"/>
    <cellStyle name="Comma 7 2 3 2 2 3" xfId="46794"/>
    <cellStyle name="Comma 7 2 3 2 2 3 2" xfId="46795"/>
    <cellStyle name="Comma 7 2 3 2 2 3 2 2" xfId="46796"/>
    <cellStyle name="Comma 7 2 3 2 2 3 2 3" xfId="46797"/>
    <cellStyle name="Comma 7 2 3 2 2 3 3" xfId="46798"/>
    <cellStyle name="Comma 7 2 3 2 2 3 3 2" xfId="46799"/>
    <cellStyle name="Comma 7 2 3 2 2 3 3 3" xfId="46800"/>
    <cellStyle name="Comma 7 2 3 2 2 3 4" xfId="46801"/>
    <cellStyle name="Comma 7 2 3 2 2 3 4 2" xfId="46802"/>
    <cellStyle name="Comma 7 2 3 2 2 3 5" xfId="46803"/>
    <cellStyle name="Comma 7 2 3 2 2 3 6" xfId="46804"/>
    <cellStyle name="Comma 7 2 3 2 2 4" xfId="46805"/>
    <cellStyle name="Comma 7 2 3 2 2 4 2" xfId="46806"/>
    <cellStyle name="Comma 7 2 3 2 2 4 2 2" xfId="46807"/>
    <cellStyle name="Comma 7 2 3 2 2 4 2 3" xfId="46808"/>
    <cellStyle name="Comma 7 2 3 2 2 4 3" xfId="46809"/>
    <cellStyle name="Comma 7 2 3 2 2 4 3 2" xfId="46810"/>
    <cellStyle name="Comma 7 2 3 2 2 4 4" xfId="46811"/>
    <cellStyle name="Comma 7 2 3 2 2 4 5" xfId="46812"/>
    <cellStyle name="Comma 7 2 3 2 2 5" xfId="46813"/>
    <cellStyle name="Comma 7 2 3 2 2 5 2" xfId="46814"/>
    <cellStyle name="Comma 7 2 3 2 2 5 3" xfId="46815"/>
    <cellStyle name="Comma 7 2 3 2 2 6" xfId="46816"/>
    <cellStyle name="Comma 7 2 3 2 2 6 2" xfId="46817"/>
    <cellStyle name="Comma 7 2 3 2 2 6 3" xfId="46818"/>
    <cellStyle name="Comma 7 2 3 2 2 7" xfId="46819"/>
    <cellStyle name="Comma 7 2 3 2 2 7 2" xfId="46820"/>
    <cellStyle name="Comma 7 2 3 2 2 8" xfId="46821"/>
    <cellStyle name="Comma 7 2 3 2 2 9" xfId="46822"/>
    <cellStyle name="Comma 7 2 3 2 3" xfId="46823"/>
    <cellStyle name="Comma 7 2 3 2 3 2" xfId="46824"/>
    <cellStyle name="Comma 7 2 3 2 3 2 2" xfId="46825"/>
    <cellStyle name="Comma 7 2 3 2 3 2 3" xfId="46826"/>
    <cellStyle name="Comma 7 2 3 2 3 3" xfId="46827"/>
    <cellStyle name="Comma 7 2 3 2 3 3 2" xfId="46828"/>
    <cellStyle name="Comma 7 2 3 2 3 3 3" xfId="46829"/>
    <cellStyle name="Comma 7 2 3 2 3 4" xfId="46830"/>
    <cellStyle name="Comma 7 2 3 2 3 4 2" xfId="46831"/>
    <cellStyle name="Comma 7 2 3 2 3 5" xfId="46832"/>
    <cellStyle name="Comma 7 2 3 2 3 6" xfId="46833"/>
    <cellStyle name="Comma 7 2 3 2 4" xfId="46834"/>
    <cellStyle name="Comma 7 2 3 2 4 2" xfId="46835"/>
    <cellStyle name="Comma 7 2 3 2 4 2 2" xfId="46836"/>
    <cellStyle name="Comma 7 2 3 2 4 2 3" xfId="46837"/>
    <cellStyle name="Comma 7 2 3 2 4 3" xfId="46838"/>
    <cellStyle name="Comma 7 2 3 2 4 3 2" xfId="46839"/>
    <cellStyle name="Comma 7 2 3 2 4 3 3" xfId="46840"/>
    <cellStyle name="Comma 7 2 3 2 4 4" xfId="46841"/>
    <cellStyle name="Comma 7 2 3 2 4 4 2" xfId="46842"/>
    <cellStyle name="Comma 7 2 3 2 4 5" xfId="46843"/>
    <cellStyle name="Comma 7 2 3 2 4 6" xfId="46844"/>
    <cellStyle name="Comma 7 2 3 2 5" xfId="46845"/>
    <cellStyle name="Comma 7 2 3 2 5 2" xfId="46846"/>
    <cellStyle name="Comma 7 2 3 2 5 2 2" xfId="46847"/>
    <cellStyle name="Comma 7 2 3 2 5 2 3" xfId="46848"/>
    <cellStyle name="Comma 7 2 3 2 5 3" xfId="46849"/>
    <cellStyle name="Comma 7 2 3 2 5 3 2" xfId="46850"/>
    <cellStyle name="Comma 7 2 3 2 5 4" xfId="46851"/>
    <cellStyle name="Comma 7 2 3 2 5 5" xfId="46852"/>
    <cellStyle name="Comma 7 2 3 2 6" xfId="46853"/>
    <cellStyle name="Comma 7 2 3 2 6 2" xfId="46854"/>
    <cellStyle name="Comma 7 2 3 2 6 3" xfId="46855"/>
    <cellStyle name="Comma 7 2 3 2 7" xfId="46856"/>
    <cellStyle name="Comma 7 2 3 2 7 2" xfId="46857"/>
    <cellStyle name="Comma 7 2 3 2 7 3" xfId="46858"/>
    <cellStyle name="Comma 7 2 3 2 8" xfId="46859"/>
    <cellStyle name="Comma 7 2 3 2 8 2" xfId="46860"/>
    <cellStyle name="Comma 7 2 3 2 9" xfId="46861"/>
    <cellStyle name="Comma 7 2 3 3" xfId="9150"/>
    <cellStyle name="Comma 7 2 3 3 2" xfId="46862"/>
    <cellStyle name="Comma 7 2 3 3 2 2" xfId="46863"/>
    <cellStyle name="Comma 7 2 3 3 2 2 2" xfId="46864"/>
    <cellStyle name="Comma 7 2 3 3 2 2 3" xfId="46865"/>
    <cellStyle name="Comma 7 2 3 3 2 3" xfId="46866"/>
    <cellStyle name="Comma 7 2 3 3 2 3 2" xfId="46867"/>
    <cellStyle name="Comma 7 2 3 3 2 3 3" xfId="46868"/>
    <cellStyle name="Comma 7 2 3 3 2 4" xfId="46869"/>
    <cellStyle name="Comma 7 2 3 3 2 4 2" xfId="46870"/>
    <cellStyle name="Comma 7 2 3 3 2 5" xfId="46871"/>
    <cellStyle name="Comma 7 2 3 3 2 6" xfId="46872"/>
    <cellStyle name="Comma 7 2 3 3 3" xfId="46873"/>
    <cellStyle name="Comma 7 2 3 3 3 2" xfId="46874"/>
    <cellStyle name="Comma 7 2 3 3 3 2 2" xfId="46875"/>
    <cellStyle name="Comma 7 2 3 3 3 2 3" xfId="46876"/>
    <cellStyle name="Comma 7 2 3 3 3 3" xfId="46877"/>
    <cellStyle name="Comma 7 2 3 3 3 3 2" xfId="46878"/>
    <cellStyle name="Comma 7 2 3 3 3 3 3" xfId="46879"/>
    <cellStyle name="Comma 7 2 3 3 3 4" xfId="46880"/>
    <cellStyle name="Comma 7 2 3 3 3 4 2" xfId="46881"/>
    <cellStyle name="Comma 7 2 3 3 3 5" xfId="46882"/>
    <cellStyle name="Comma 7 2 3 3 3 6" xfId="46883"/>
    <cellStyle name="Comma 7 2 3 3 4" xfId="46884"/>
    <cellStyle name="Comma 7 2 3 3 4 2" xfId="46885"/>
    <cellStyle name="Comma 7 2 3 3 4 2 2" xfId="46886"/>
    <cellStyle name="Comma 7 2 3 3 4 2 3" xfId="46887"/>
    <cellStyle name="Comma 7 2 3 3 4 3" xfId="46888"/>
    <cellStyle name="Comma 7 2 3 3 4 3 2" xfId="46889"/>
    <cellStyle name="Comma 7 2 3 3 4 4" xfId="46890"/>
    <cellStyle name="Comma 7 2 3 3 4 5" xfId="46891"/>
    <cellStyle name="Comma 7 2 3 3 5" xfId="46892"/>
    <cellStyle name="Comma 7 2 3 3 5 2" xfId="46893"/>
    <cellStyle name="Comma 7 2 3 3 5 3" xfId="46894"/>
    <cellStyle name="Comma 7 2 3 3 6" xfId="46895"/>
    <cellStyle name="Comma 7 2 3 3 6 2" xfId="46896"/>
    <cellStyle name="Comma 7 2 3 3 6 3" xfId="46897"/>
    <cellStyle name="Comma 7 2 3 3 7" xfId="46898"/>
    <cellStyle name="Comma 7 2 3 3 7 2" xfId="46899"/>
    <cellStyle name="Comma 7 2 3 3 8" xfId="46900"/>
    <cellStyle name="Comma 7 2 3 3 9" xfId="46901"/>
    <cellStyle name="Comma 7 2 3 4" xfId="46902"/>
    <cellStyle name="Comma 7 2 3 4 2" xfId="46903"/>
    <cellStyle name="Comma 7 2 3 4 2 2" xfId="46904"/>
    <cellStyle name="Comma 7 2 3 4 2 2 2" xfId="46905"/>
    <cellStyle name="Comma 7 2 3 4 2 2 3" xfId="46906"/>
    <cellStyle name="Comma 7 2 3 4 2 3" xfId="46907"/>
    <cellStyle name="Comma 7 2 3 4 2 3 2" xfId="46908"/>
    <cellStyle name="Comma 7 2 3 4 2 3 3" xfId="46909"/>
    <cellStyle name="Comma 7 2 3 4 2 4" xfId="46910"/>
    <cellStyle name="Comma 7 2 3 4 2 4 2" xfId="46911"/>
    <cellStyle name="Comma 7 2 3 4 2 5" xfId="46912"/>
    <cellStyle name="Comma 7 2 3 4 2 6" xfId="46913"/>
    <cellStyle name="Comma 7 2 3 4 3" xfId="46914"/>
    <cellStyle name="Comma 7 2 3 4 3 2" xfId="46915"/>
    <cellStyle name="Comma 7 2 3 4 3 2 2" xfId="46916"/>
    <cellStyle name="Comma 7 2 3 4 3 2 3" xfId="46917"/>
    <cellStyle name="Comma 7 2 3 4 3 3" xfId="46918"/>
    <cellStyle name="Comma 7 2 3 4 3 3 2" xfId="46919"/>
    <cellStyle name="Comma 7 2 3 4 3 3 3" xfId="46920"/>
    <cellStyle name="Comma 7 2 3 4 3 4" xfId="46921"/>
    <cellStyle name="Comma 7 2 3 4 3 4 2" xfId="46922"/>
    <cellStyle name="Comma 7 2 3 4 3 5" xfId="46923"/>
    <cellStyle name="Comma 7 2 3 4 3 6" xfId="46924"/>
    <cellStyle name="Comma 7 2 3 4 4" xfId="46925"/>
    <cellStyle name="Comma 7 2 3 4 4 2" xfId="46926"/>
    <cellStyle name="Comma 7 2 3 4 4 2 2" xfId="46927"/>
    <cellStyle name="Comma 7 2 3 4 4 2 3" xfId="46928"/>
    <cellStyle name="Comma 7 2 3 4 4 3" xfId="46929"/>
    <cellStyle name="Comma 7 2 3 4 4 3 2" xfId="46930"/>
    <cellStyle name="Comma 7 2 3 4 4 4" xfId="46931"/>
    <cellStyle name="Comma 7 2 3 4 4 5" xfId="46932"/>
    <cellStyle name="Comma 7 2 3 4 5" xfId="46933"/>
    <cellStyle name="Comma 7 2 3 4 5 2" xfId="46934"/>
    <cellStyle name="Comma 7 2 3 4 5 3" xfId="46935"/>
    <cellStyle name="Comma 7 2 3 4 6" xfId="46936"/>
    <cellStyle name="Comma 7 2 3 4 6 2" xfId="46937"/>
    <cellStyle name="Comma 7 2 3 4 6 3" xfId="46938"/>
    <cellStyle name="Comma 7 2 3 4 7" xfId="46939"/>
    <cellStyle name="Comma 7 2 3 4 7 2" xfId="46940"/>
    <cellStyle name="Comma 7 2 3 4 8" xfId="46941"/>
    <cellStyle name="Comma 7 2 3 4 9" xfId="46942"/>
    <cellStyle name="Comma 7 2 3 5" xfId="46943"/>
    <cellStyle name="Comma 7 2 3 5 2" xfId="46944"/>
    <cellStyle name="Comma 7 2 3 5 2 2" xfId="46945"/>
    <cellStyle name="Comma 7 2 3 5 2 3" xfId="46946"/>
    <cellStyle name="Comma 7 2 3 5 3" xfId="46947"/>
    <cellStyle name="Comma 7 2 3 5 3 2" xfId="46948"/>
    <cellStyle name="Comma 7 2 3 5 3 3" xfId="46949"/>
    <cellStyle name="Comma 7 2 3 5 4" xfId="46950"/>
    <cellStyle name="Comma 7 2 3 5 4 2" xfId="46951"/>
    <cellStyle name="Comma 7 2 3 5 5" xfId="46952"/>
    <cellStyle name="Comma 7 2 3 5 6" xfId="46953"/>
    <cellStyle name="Comma 7 2 3 6" xfId="46954"/>
    <cellStyle name="Comma 7 2 3 6 2" xfId="46955"/>
    <cellStyle name="Comma 7 2 3 6 2 2" xfId="46956"/>
    <cellStyle name="Comma 7 2 3 6 2 3" xfId="46957"/>
    <cellStyle name="Comma 7 2 3 6 3" xfId="46958"/>
    <cellStyle name="Comma 7 2 3 6 3 2" xfId="46959"/>
    <cellStyle name="Comma 7 2 3 6 3 3" xfId="46960"/>
    <cellStyle name="Comma 7 2 3 6 4" xfId="46961"/>
    <cellStyle name="Comma 7 2 3 6 4 2" xfId="46962"/>
    <cellStyle name="Comma 7 2 3 6 5" xfId="46963"/>
    <cellStyle name="Comma 7 2 3 6 6" xfId="46964"/>
    <cellStyle name="Comma 7 2 3 7" xfId="46965"/>
    <cellStyle name="Comma 7 2 3 7 2" xfId="46966"/>
    <cellStyle name="Comma 7 2 3 7 2 2" xfId="46967"/>
    <cellStyle name="Comma 7 2 3 7 2 3" xfId="46968"/>
    <cellStyle name="Comma 7 2 3 7 3" xfId="46969"/>
    <cellStyle name="Comma 7 2 3 7 3 2" xfId="46970"/>
    <cellStyle name="Comma 7 2 3 7 4" xfId="46971"/>
    <cellStyle name="Comma 7 2 3 7 5" xfId="46972"/>
    <cellStyle name="Comma 7 2 3 8" xfId="46973"/>
    <cellStyle name="Comma 7 2 3 8 2" xfId="46974"/>
    <cellStyle name="Comma 7 2 3 8 3" xfId="46975"/>
    <cellStyle name="Comma 7 2 3 9" xfId="46976"/>
    <cellStyle name="Comma 7 2 3 9 2" xfId="46977"/>
    <cellStyle name="Comma 7 2 3 9 3" xfId="46978"/>
    <cellStyle name="Comma 7 2 4" xfId="9151"/>
    <cellStyle name="Comma 7 2 4 10" xfId="46979"/>
    <cellStyle name="Comma 7 2 4 2" xfId="46980"/>
    <cellStyle name="Comma 7 2 4 2 2" xfId="46981"/>
    <cellStyle name="Comma 7 2 4 2 2 2" xfId="46982"/>
    <cellStyle name="Comma 7 2 4 2 2 2 2" xfId="46983"/>
    <cellStyle name="Comma 7 2 4 2 2 2 3" xfId="46984"/>
    <cellStyle name="Comma 7 2 4 2 2 3" xfId="46985"/>
    <cellStyle name="Comma 7 2 4 2 2 3 2" xfId="46986"/>
    <cellStyle name="Comma 7 2 4 2 2 3 3" xfId="46987"/>
    <cellStyle name="Comma 7 2 4 2 2 4" xfId="46988"/>
    <cellStyle name="Comma 7 2 4 2 2 4 2" xfId="46989"/>
    <cellStyle name="Comma 7 2 4 2 2 5" xfId="46990"/>
    <cellStyle name="Comma 7 2 4 2 2 6" xfId="46991"/>
    <cellStyle name="Comma 7 2 4 2 3" xfId="46992"/>
    <cellStyle name="Comma 7 2 4 2 3 2" xfId="46993"/>
    <cellStyle name="Comma 7 2 4 2 3 2 2" xfId="46994"/>
    <cellStyle name="Comma 7 2 4 2 3 2 3" xfId="46995"/>
    <cellStyle name="Comma 7 2 4 2 3 3" xfId="46996"/>
    <cellStyle name="Comma 7 2 4 2 3 3 2" xfId="46997"/>
    <cellStyle name="Comma 7 2 4 2 3 3 3" xfId="46998"/>
    <cellStyle name="Comma 7 2 4 2 3 4" xfId="46999"/>
    <cellStyle name="Comma 7 2 4 2 3 4 2" xfId="47000"/>
    <cellStyle name="Comma 7 2 4 2 3 5" xfId="47001"/>
    <cellStyle name="Comma 7 2 4 2 3 6" xfId="47002"/>
    <cellStyle name="Comma 7 2 4 2 4" xfId="47003"/>
    <cellStyle name="Comma 7 2 4 2 4 2" xfId="47004"/>
    <cellStyle name="Comma 7 2 4 2 4 2 2" xfId="47005"/>
    <cellStyle name="Comma 7 2 4 2 4 2 3" xfId="47006"/>
    <cellStyle name="Comma 7 2 4 2 4 3" xfId="47007"/>
    <cellStyle name="Comma 7 2 4 2 4 3 2" xfId="47008"/>
    <cellStyle name="Comma 7 2 4 2 4 4" xfId="47009"/>
    <cellStyle name="Comma 7 2 4 2 4 5" xfId="47010"/>
    <cellStyle name="Comma 7 2 4 2 5" xfId="47011"/>
    <cellStyle name="Comma 7 2 4 2 5 2" xfId="47012"/>
    <cellStyle name="Comma 7 2 4 2 5 3" xfId="47013"/>
    <cellStyle name="Comma 7 2 4 2 6" xfId="47014"/>
    <cellStyle name="Comma 7 2 4 2 6 2" xfId="47015"/>
    <cellStyle name="Comma 7 2 4 2 6 3" xfId="47016"/>
    <cellStyle name="Comma 7 2 4 2 7" xfId="47017"/>
    <cellStyle name="Comma 7 2 4 2 7 2" xfId="47018"/>
    <cellStyle name="Comma 7 2 4 2 8" xfId="47019"/>
    <cellStyle name="Comma 7 2 4 2 9" xfId="47020"/>
    <cellStyle name="Comma 7 2 4 3" xfId="47021"/>
    <cellStyle name="Comma 7 2 4 3 2" xfId="47022"/>
    <cellStyle name="Comma 7 2 4 3 2 2" xfId="47023"/>
    <cellStyle name="Comma 7 2 4 3 2 3" xfId="47024"/>
    <cellStyle name="Comma 7 2 4 3 3" xfId="47025"/>
    <cellStyle name="Comma 7 2 4 3 3 2" xfId="47026"/>
    <cellStyle name="Comma 7 2 4 3 3 3" xfId="47027"/>
    <cellStyle name="Comma 7 2 4 3 4" xfId="47028"/>
    <cellStyle name="Comma 7 2 4 3 4 2" xfId="47029"/>
    <cellStyle name="Comma 7 2 4 3 5" xfId="47030"/>
    <cellStyle name="Comma 7 2 4 3 6" xfId="47031"/>
    <cellStyle name="Comma 7 2 4 4" xfId="47032"/>
    <cellStyle name="Comma 7 2 4 4 2" xfId="47033"/>
    <cellStyle name="Comma 7 2 4 4 2 2" xfId="47034"/>
    <cellStyle name="Comma 7 2 4 4 2 3" xfId="47035"/>
    <cellStyle name="Comma 7 2 4 4 3" xfId="47036"/>
    <cellStyle name="Comma 7 2 4 4 3 2" xfId="47037"/>
    <cellStyle name="Comma 7 2 4 4 3 3" xfId="47038"/>
    <cellStyle name="Comma 7 2 4 4 4" xfId="47039"/>
    <cellStyle name="Comma 7 2 4 4 4 2" xfId="47040"/>
    <cellStyle name="Comma 7 2 4 4 5" xfId="47041"/>
    <cellStyle name="Comma 7 2 4 4 6" xfId="47042"/>
    <cellStyle name="Comma 7 2 4 5" xfId="47043"/>
    <cellStyle name="Comma 7 2 4 5 2" xfId="47044"/>
    <cellStyle name="Comma 7 2 4 5 2 2" xfId="47045"/>
    <cellStyle name="Comma 7 2 4 5 2 3" xfId="47046"/>
    <cellStyle name="Comma 7 2 4 5 3" xfId="47047"/>
    <cellStyle name="Comma 7 2 4 5 3 2" xfId="47048"/>
    <cellStyle name="Comma 7 2 4 5 4" xfId="47049"/>
    <cellStyle name="Comma 7 2 4 5 5" xfId="47050"/>
    <cellStyle name="Comma 7 2 4 6" xfId="47051"/>
    <cellStyle name="Comma 7 2 4 6 2" xfId="47052"/>
    <cellStyle name="Comma 7 2 4 6 3" xfId="47053"/>
    <cellStyle name="Comma 7 2 4 7" xfId="47054"/>
    <cellStyle name="Comma 7 2 4 7 2" xfId="47055"/>
    <cellStyle name="Comma 7 2 4 7 3" xfId="47056"/>
    <cellStyle name="Comma 7 2 4 8" xfId="47057"/>
    <cellStyle name="Comma 7 2 4 8 2" xfId="47058"/>
    <cellStyle name="Comma 7 2 4 9" xfId="47059"/>
    <cellStyle name="Comma 7 2 5" xfId="9152"/>
    <cellStyle name="Comma 7 2 5 2" xfId="47060"/>
    <cellStyle name="Comma 7 2 5 2 2" xfId="47061"/>
    <cellStyle name="Comma 7 2 5 2 2 2" xfId="47062"/>
    <cellStyle name="Comma 7 2 5 2 2 3" xfId="47063"/>
    <cellStyle name="Comma 7 2 5 2 3" xfId="47064"/>
    <cellStyle name="Comma 7 2 5 2 3 2" xfId="47065"/>
    <cellStyle name="Comma 7 2 5 2 3 3" xfId="47066"/>
    <cellStyle name="Comma 7 2 5 2 4" xfId="47067"/>
    <cellStyle name="Comma 7 2 5 2 4 2" xfId="47068"/>
    <cellStyle name="Comma 7 2 5 2 5" xfId="47069"/>
    <cellStyle name="Comma 7 2 5 2 6" xfId="47070"/>
    <cellStyle name="Comma 7 2 5 3" xfId="47071"/>
    <cellStyle name="Comma 7 2 5 3 2" xfId="47072"/>
    <cellStyle name="Comma 7 2 5 3 2 2" xfId="47073"/>
    <cellStyle name="Comma 7 2 5 3 2 3" xfId="47074"/>
    <cellStyle name="Comma 7 2 5 3 3" xfId="47075"/>
    <cellStyle name="Comma 7 2 5 3 3 2" xfId="47076"/>
    <cellStyle name="Comma 7 2 5 3 3 3" xfId="47077"/>
    <cellStyle name="Comma 7 2 5 3 4" xfId="47078"/>
    <cellStyle name="Comma 7 2 5 3 4 2" xfId="47079"/>
    <cellStyle name="Comma 7 2 5 3 5" xfId="47080"/>
    <cellStyle name="Comma 7 2 5 3 6" xfId="47081"/>
    <cellStyle name="Comma 7 2 5 4" xfId="47082"/>
    <cellStyle name="Comma 7 2 5 4 2" xfId="47083"/>
    <cellStyle name="Comma 7 2 5 4 2 2" xfId="47084"/>
    <cellStyle name="Comma 7 2 5 4 2 3" xfId="47085"/>
    <cellStyle name="Comma 7 2 5 4 3" xfId="47086"/>
    <cellStyle name="Comma 7 2 5 4 3 2" xfId="47087"/>
    <cellStyle name="Comma 7 2 5 4 4" xfId="47088"/>
    <cellStyle name="Comma 7 2 5 4 5" xfId="47089"/>
    <cellStyle name="Comma 7 2 5 5" xfId="47090"/>
    <cellStyle name="Comma 7 2 5 5 2" xfId="47091"/>
    <cellStyle name="Comma 7 2 5 5 3" xfId="47092"/>
    <cellStyle name="Comma 7 2 5 6" xfId="47093"/>
    <cellStyle name="Comma 7 2 5 6 2" xfId="47094"/>
    <cellStyle name="Comma 7 2 5 6 3" xfId="47095"/>
    <cellStyle name="Comma 7 2 5 7" xfId="47096"/>
    <cellStyle name="Comma 7 2 5 7 2" xfId="47097"/>
    <cellStyle name="Comma 7 2 5 8" xfId="47098"/>
    <cellStyle name="Comma 7 2 5 9" xfId="47099"/>
    <cellStyle name="Comma 7 2 6" xfId="9497"/>
    <cellStyle name="Comma 7 2 6 2" xfId="47100"/>
    <cellStyle name="Comma 7 2 6 2 2" xfId="47101"/>
    <cellStyle name="Comma 7 2 6 2 2 2" xfId="47102"/>
    <cellStyle name="Comma 7 2 6 2 2 3" xfId="47103"/>
    <cellStyle name="Comma 7 2 6 2 3" xfId="47104"/>
    <cellStyle name="Comma 7 2 6 2 3 2" xfId="47105"/>
    <cellStyle name="Comma 7 2 6 2 3 3" xfId="47106"/>
    <cellStyle name="Comma 7 2 6 2 4" xfId="47107"/>
    <cellStyle name="Comma 7 2 6 2 4 2" xfId="47108"/>
    <cellStyle name="Comma 7 2 6 2 5" xfId="47109"/>
    <cellStyle name="Comma 7 2 6 2 6" xfId="47110"/>
    <cellStyle name="Comma 7 2 6 3" xfId="47111"/>
    <cellStyle name="Comma 7 2 6 3 2" xfId="47112"/>
    <cellStyle name="Comma 7 2 6 3 2 2" xfId="47113"/>
    <cellStyle name="Comma 7 2 6 3 2 3" xfId="47114"/>
    <cellStyle name="Comma 7 2 6 3 3" xfId="47115"/>
    <cellStyle name="Comma 7 2 6 3 3 2" xfId="47116"/>
    <cellStyle name="Comma 7 2 6 3 3 3" xfId="47117"/>
    <cellStyle name="Comma 7 2 6 3 4" xfId="47118"/>
    <cellStyle name="Comma 7 2 6 3 4 2" xfId="47119"/>
    <cellStyle name="Comma 7 2 6 3 5" xfId="47120"/>
    <cellStyle name="Comma 7 2 6 3 6" xfId="47121"/>
    <cellStyle name="Comma 7 2 6 4" xfId="47122"/>
    <cellStyle name="Comma 7 2 6 4 2" xfId="47123"/>
    <cellStyle name="Comma 7 2 6 4 2 2" xfId="47124"/>
    <cellStyle name="Comma 7 2 6 4 2 3" xfId="47125"/>
    <cellStyle name="Comma 7 2 6 4 3" xfId="47126"/>
    <cellStyle name="Comma 7 2 6 4 3 2" xfId="47127"/>
    <cellStyle name="Comma 7 2 6 4 4" xfId="47128"/>
    <cellStyle name="Comma 7 2 6 4 5" xfId="47129"/>
    <cellStyle name="Comma 7 2 6 5" xfId="47130"/>
    <cellStyle name="Comma 7 2 6 5 2" xfId="47131"/>
    <cellStyle name="Comma 7 2 6 5 3" xfId="47132"/>
    <cellStyle name="Comma 7 2 6 6" xfId="47133"/>
    <cellStyle name="Comma 7 2 6 6 2" xfId="47134"/>
    <cellStyle name="Comma 7 2 6 6 3" xfId="47135"/>
    <cellStyle name="Comma 7 2 6 7" xfId="47136"/>
    <cellStyle name="Comma 7 2 6 7 2" xfId="47137"/>
    <cellStyle name="Comma 7 2 6 8" xfId="47138"/>
    <cellStyle name="Comma 7 2 6 9" xfId="47139"/>
    <cellStyle name="Comma 7 2 7" xfId="47140"/>
    <cellStyle name="Comma 7 2 7 2" xfId="47141"/>
    <cellStyle name="Comma 7 2 7 2 2" xfId="47142"/>
    <cellStyle name="Comma 7 2 7 2 3" xfId="47143"/>
    <cellStyle name="Comma 7 2 7 3" xfId="47144"/>
    <cellStyle name="Comma 7 2 7 3 2" xfId="47145"/>
    <cellStyle name="Comma 7 2 7 3 3" xfId="47146"/>
    <cellStyle name="Comma 7 2 7 4" xfId="47147"/>
    <cellStyle name="Comma 7 2 7 4 2" xfId="47148"/>
    <cellStyle name="Comma 7 2 7 5" xfId="47149"/>
    <cellStyle name="Comma 7 2 7 6" xfId="47150"/>
    <cellStyle name="Comma 7 2 8" xfId="47151"/>
    <cellStyle name="Comma 7 2 8 2" xfId="47152"/>
    <cellStyle name="Comma 7 2 8 2 2" xfId="47153"/>
    <cellStyle name="Comma 7 2 8 2 3" xfId="47154"/>
    <cellStyle name="Comma 7 2 8 3" xfId="47155"/>
    <cellStyle name="Comma 7 2 8 3 2" xfId="47156"/>
    <cellStyle name="Comma 7 2 8 3 3" xfId="47157"/>
    <cellStyle name="Comma 7 2 8 4" xfId="47158"/>
    <cellStyle name="Comma 7 2 8 4 2" xfId="47159"/>
    <cellStyle name="Comma 7 2 8 5" xfId="47160"/>
    <cellStyle name="Comma 7 2 8 6" xfId="47161"/>
    <cellStyle name="Comma 7 2 9" xfId="47162"/>
    <cellStyle name="Comma 7 2 9 2" xfId="47163"/>
    <cellStyle name="Comma 7 2 9 2 2" xfId="47164"/>
    <cellStyle name="Comma 7 2 9 2 3" xfId="47165"/>
    <cellStyle name="Comma 7 2 9 3" xfId="47166"/>
    <cellStyle name="Comma 7 2 9 3 2" xfId="47167"/>
    <cellStyle name="Comma 7 2 9 4" xfId="47168"/>
    <cellStyle name="Comma 7 2 9 5" xfId="47169"/>
    <cellStyle name="Comma 7 3" xfId="3715"/>
    <cellStyle name="Comma 7 3 10" xfId="47170"/>
    <cellStyle name="Comma 7 3 10 2" xfId="47171"/>
    <cellStyle name="Comma 7 3 10 3" xfId="47172"/>
    <cellStyle name="Comma 7 3 11" xfId="47173"/>
    <cellStyle name="Comma 7 3 11 2" xfId="47174"/>
    <cellStyle name="Comma 7 3 12" xfId="47175"/>
    <cellStyle name="Comma 7 3 13" xfId="47176"/>
    <cellStyle name="Comma 7 3 14" xfId="47177"/>
    <cellStyle name="Comma 7 3 2" xfId="3716"/>
    <cellStyle name="Comma 7 3 2 10" xfId="47178"/>
    <cellStyle name="Comma 7 3 2 10 2" xfId="47179"/>
    <cellStyle name="Comma 7 3 2 11" xfId="47180"/>
    <cellStyle name="Comma 7 3 2 12" xfId="47181"/>
    <cellStyle name="Comma 7 3 2 2" xfId="8779"/>
    <cellStyle name="Comma 7 3 2 2 10" xfId="47182"/>
    <cellStyle name="Comma 7 3 2 2 2" xfId="9153"/>
    <cellStyle name="Comma 7 3 2 2 2 2" xfId="47183"/>
    <cellStyle name="Comma 7 3 2 2 2 2 2" xfId="47184"/>
    <cellStyle name="Comma 7 3 2 2 2 2 2 2" xfId="47185"/>
    <cellStyle name="Comma 7 3 2 2 2 2 2 3" xfId="47186"/>
    <cellStyle name="Comma 7 3 2 2 2 2 3" xfId="47187"/>
    <cellStyle name="Comma 7 3 2 2 2 2 3 2" xfId="47188"/>
    <cellStyle name="Comma 7 3 2 2 2 2 3 3" xfId="47189"/>
    <cellStyle name="Comma 7 3 2 2 2 2 4" xfId="47190"/>
    <cellStyle name="Comma 7 3 2 2 2 2 4 2" xfId="47191"/>
    <cellStyle name="Comma 7 3 2 2 2 2 5" xfId="47192"/>
    <cellStyle name="Comma 7 3 2 2 2 2 6" xfId="47193"/>
    <cellStyle name="Comma 7 3 2 2 2 3" xfId="47194"/>
    <cellStyle name="Comma 7 3 2 2 2 3 2" xfId="47195"/>
    <cellStyle name="Comma 7 3 2 2 2 3 2 2" xfId="47196"/>
    <cellStyle name="Comma 7 3 2 2 2 3 2 3" xfId="47197"/>
    <cellStyle name="Comma 7 3 2 2 2 3 3" xfId="47198"/>
    <cellStyle name="Comma 7 3 2 2 2 3 3 2" xfId="47199"/>
    <cellStyle name="Comma 7 3 2 2 2 3 3 3" xfId="47200"/>
    <cellStyle name="Comma 7 3 2 2 2 3 4" xfId="47201"/>
    <cellStyle name="Comma 7 3 2 2 2 3 4 2" xfId="47202"/>
    <cellStyle name="Comma 7 3 2 2 2 3 5" xfId="47203"/>
    <cellStyle name="Comma 7 3 2 2 2 3 6" xfId="47204"/>
    <cellStyle name="Comma 7 3 2 2 2 4" xfId="47205"/>
    <cellStyle name="Comma 7 3 2 2 2 4 2" xfId="47206"/>
    <cellStyle name="Comma 7 3 2 2 2 4 2 2" xfId="47207"/>
    <cellStyle name="Comma 7 3 2 2 2 4 2 3" xfId="47208"/>
    <cellStyle name="Comma 7 3 2 2 2 4 3" xfId="47209"/>
    <cellStyle name="Comma 7 3 2 2 2 4 3 2" xfId="47210"/>
    <cellStyle name="Comma 7 3 2 2 2 4 4" xfId="47211"/>
    <cellStyle name="Comma 7 3 2 2 2 4 5" xfId="47212"/>
    <cellStyle name="Comma 7 3 2 2 2 5" xfId="47213"/>
    <cellStyle name="Comma 7 3 2 2 2 5 2" xfId="47214"/>
    <cellStyle name="Comma 7 3 2 2 2 5 3" xfId="47215"/>
    <cellStyle name="Comma 7 3 2 2 2 6" xfId="47216"/>
    <cellStyle name="Comma 7 3 2 2 2 6 2" xfId="47217"/>
    <cellStyle name="Comma 7 3 2 2 2 6 3" xfId="47218"/>
    <cellStyle name="Comma 7 3 2 2 2 7" xfId="47219"/>
    <cellStyle name="Comma 7 3 2 2 2 7 2" xfId="47220"/>
    <cellStyle name="Comma 7 3 2 2 2 8" xfId="47221"/>
    <cellStyle name="Comma 7 3 2 2 2 9" xfId="47222"/>
    <cellStyle name="Comma 7 3 2 2 3" xfId="47223"/>
    <cellStyle name="Comma 7 3 2 2 3 2" xfId="47224"/>
    <cellStyle name="Comma 7 3 2 2 3 2 2" xfId="47225"/>
    <cellStyle name="Comma 7 3 2 2 3 2 3" xfId="47226"/>
    <cellStyle name="Comma 7 3 2 2 3 3" xfId="47227"/>
    <cellStyle name="Comma 7 3 2 2 3 3 2" xfId="47228"/>
    <cellStyle name="Comma 7 3 2 2 3 3 3" xfId="47229"/>
    <cellStyle name="Comma 7 3 2 2 3 4" xfId="47230"/>
    <cellStyle name="Comma 7 3 2 2 3 4 2" xfId="47231"/>
    <cellStyle name="Comma 7 3 2 2 3 5" xfId="47232"/>
    <cellStyle name="Comma 7 3 2 2 3 6" xfId="47233"/>
    <cellStyle name="Comma 7 3 2 2 4" xfId="47234"/>
    <cellStyle name="Comma 7 3 2 2 4 2" xfId="47235"/>
    <cellStyle name="Comma 7 3 2 2 4 2 2" xfId="47236"/>
    <cellStyle name="Comma 7 3 2 2 4 2 3" xfId="47237"/>
    <cellStyle name="Comma 7 3 2 2 4 3" xfId="47238"/>
    <cellStyle name="Comma 7 3 2 2 4 3 2" xfId="47239"/>
    <cellStyle name="Comma 7 3 2 2 4 3 3" xfId="47240"/>
    <cellStyle name="Comma 7 3 2 2 4 4" xfId="47241"/>
    <cellStyle name="Comma 7 3 2 2 4 4 2" xfId="47242"/>
    <cellStyle name="Comma 7 3 2 2 4 5" xfId="47243"/>
    <cellStyle name="Comma 7 3 2 2 4 6" xfId="47244"/>
    <cellStyle name="Comma 7 3 2 2 5" xfId="47245"/>
    <cellStyle name="Comma 7 3 2 2 5 2" xfId="47246"/>
    <cellStyle name="Comma 7 3 2 2 5 2 2" xfId="47247"/>
    <cellStyle name="Comma 7 3 2 2 5 2 3" xfId="47248"/>
    <cellStyle name="Comma 7 3 2 2 5 3" xfId="47249"/>
    <cellStyle name="Comma 7 3 2 2 5 3 2" xfId="47250"/>
    <cellStyle name="Comma 7 3 2 2 5 4" xfId="47251"/>
    <cellStyle name="Comma 7 3 2 2 5 5" xfId="47252"/>
    <cellStyle name="Comma 7 3 2 2 6" xfId="47253"/>
    <cellStyle name="Comma 7 3 2 2 6 2" xfId="47254"/>
    <cellStyle name="Comma 7 3 2 2 6 3" xfId="47255"/>
    <cellStyle name="Comma 7 3 2 2 7" xfId="47256"/>
    <cellStyle name="Comma 7 3 2 2 7 2" xfId="47257"/>
    <cellStyle name="Comma 7 3 2 2 7 3" xfId="47258"/>
    <cellStyle name="Comma 7 3 2 2 8" xfId="47259"/>
    <cellStyle name="Comma 7 3 2 2 8 2" xfId="47260"/>
    <cellStyle name="Comma 7 3 2 2 9" xfId="47261"/>
    <cellStyle name="Comma 7 3 2 3" xfId="9154"/>
    <cellStyle name="Comma 7 3 2 3 2" xfId="47262"/>
    <cellStyle name="Comma 7 3 2 3 2 2" xfId="47263"/>
    <cellStyle name="Comma 7 3 2 3 2 2 2" xfId="47264"/>
    <cellStyle name="Comma 7 3 2 3 2 2 3" xfId="47265"/>
    <cellStyle name="Comma 7 3 2 3 2 3" xfId="47266"/>
    <cellStyle name="Comma 7 3 2 3 2 3 2" xfId="47267"/>
    <cellStyle name="Comma 7 3 2 3 2 3 3" xfId="47268"/>
    <cellStyle name="Comma 7 3 2 3 2 4" xfId="47269"/>
    <cellStyle name="Comma 7 3 2 3 2 4 2" xfId="47270"/>
    <cellStyle name="Comma 7 3 2 3 2 5" xfId="47271"/>
    <cellStyle name="Comma 7 3 2 3 2 6" xfId="47272"/>
    <cellStyle name="Comma 7 3 2 3 3" xfId="47273"/>
    <cellStyle name="Comma 7 3 2 3 3 2" xfId="47274"/>
    <cellStyle name="Comma 7 3 2 3 3 2 2" xfId="47275"/>
    <cellStyle name="Comma 7 3 2 3 3 2 3" xfId="47276"/>
    <cellStyle name="Comma 7 3 2 3 3 3" xfId="47277"/>
    <cellStyle name="Comma 7 3 2 3 3 3 2" xfId="47278"/>
    <cellStyle name="Comma 7 3 2 3 3 3 3" xfId="47279"/>
    <cellStyle name="Comma 7 3 2 3 3 4" xfId="47280"/>
    <cellStyle name="Comma 7 3 2 3 3 4 2" xfId="47281"/>
    <cellStyle name="Comma 7 3 2 3 3 5" xfId="47282"/>
    <cellStyle name="Comma 7 3 2 3 3 6" xfId="47283"/>
    <cellStyle name="Comma 7 3 2 3 4" xfId="47284"/>
    <cellStyle name="Comma 7 3 2 3 4 2" xfId="47285"/>
    <cellStyle name="Comma 7 3 2 3 4 2 2" xfId="47286"/>
    <cellStyle name="Comma 7 3 2 3 4 2 3" xfId="47287"/>
    <cellStyle name="Comma 7 3 2 3 4 3" xfId="47288"/>
    <cellStyle name="Comma 7 3 2 3 4 3 2" xfId="47289"/>
    <cellStyle name="Comma 7 3 2 3 4 4" xfId="47290"/>
    <cellStyle name="Comma 7 3 2 3 4 5" xfId="47291"/>
    <cellStyle name="Comma 7 3 2 3 5" xfId="47292"/>
    <cellStyle name="Comma 7 3 2 3 5 2" xfId="47293"/>
    <cellStyle name="Comma 7 3 2 3 5 3" xfId="47294"/>
    <cellStyle name="Comma 7 3 2 3 6" xfId="47295"/>
    <cellStyle name="Comma 7 3 2 3 6 2" xfId="47296"/>
    <cellStyle name="Comma 7 3 2 3 6 3" xfId="47297"/>
    <cellStyle name="Comma 7 3 2 3 7" xfId="47298"/>
    <cellStyle name="Comma 7 3 2 3 7 2" xfId="47299"/>
    <cellStyle name="Comma 7 3 2 3 8" xfId="47300"/>
    <cellStyle name="Comma 7 3 2 3 9" xfId="47301"/>
    <cellStyle name="Comma 7 3 2 4" xfId="9155"/>
    <cellStyle name="Comma 7 3 2 4 2" xfId="47302"/>
    <cellStyle name="Comma 7 3 2 4 2 2" xfId="47303"/>
    <cellStyle name="Comma 7 3 2 4 2 2 2" xfId="47304"/>
    <cellStyle name="Comma 7 3 2 4 2 2 3" xfId="47305"/>
    <cellStyle name="Comma 7 3 2 4 2 3" xfId="47306"/>
    <cellStyle name="Comma 7 3 2 4 2 3 2" xfId="47307"/>
    <cellStyle name="Comma 7 3 2 4 2 3 3" xfId="47308"/>
    <cellStyle name="Comma 7 3 2 4 2 4" xfId="47309"/>
    <cellStyle name="Comma 7 3 2 4 2 4 2" xfId="47310"/>
    <cellStyle name="Comma 7 3 2 4 2 5" xfId="47311"/>
    <cellStyle name="Comma 7 3 2 4 2 6" xfId="47312"/>
    <cellStyle name="Comma 7 3 2 4 3" xfId="47313"/>
    <cellStyle name="Comma 7 3 2 4 3 2" xfId="47314"/>
    <cellStyle name="Comma 7 3 2 4 3 2 2" xfId="47315"/>
    <cellStyle name="Comma 7 3 2 4 3 2 3" xfId="47316"/>
    <cellStyle name="Comma 7 3 2 4 3 3" xfId="47317"/>
    <cellStyle name="Comma 7 3 2 4 3 3 2" xfId="47318"/>
    <cellStyle name="Comma 7 3 2 4 3 3 3" xfId="47319"/>
    <cellStyle name="Comma 7 3 2 4 3 4" xfId="47320"/>
    <cellStyle name="Comma 7 3 2 4 3 4 2" xfId="47321"/>
    <cellStyle name="Comma 7 3 2 4 3 5" xfId="47322"/>
    <cellStyle name="Comma 7 3 2 4 3 6" xfId="47323"/>
    <cellStyle name="Comma 7 3 2 4 4" xfId="47324"/>
    <cellStyle name="Comma 7 3 2 4 4 2" xfId="47325"/>
    <cellStyle name="Comma 7 3 2 4 4 2 2" xfId="47326"/>
    <cellStyle name="Comma 7 3 2 4 4 2 3" xfId="47327"/>
    <cellStyle name="Comma 7 3 2 4 4 3" xfId="47328"/>
    <cellStyle name="Comma 7 3 2 4 4 3 2" xfId="47329"/>
    <cellStyle name="Comma 7 3 2 4 4 4" xfId="47330"/>
    <cellStyle name="Comma 7 3 2 4 4 5" xfId="47331"/>
    <cellStyle name="Comma 7 3 2 4 5" xfId="47332"/>
    <cellStyle name="Comma 7 3 2 4 5 2" xfId="47333"/>
    <cellStyle name="Comma 7 3 2 4 5 3" xfId="47334"/>
    <cellStyle name="Comma 7 3 2 4 6" xfId="47335"/>
    <cellStyle name="Comma 7 3 2 4 6 2" xfId="47336"/>
    <cellStyle name="Comma 7 3 2 4 6 3" xfId="47337"/>
    <cellStyle name="Comma 7 3 2 4 7" xfId="47338"/>
    <cellStyle name="Comma 7 3 2 4 7 2" xfId="47339"/>
    <cellStyle name="Comma 7 3 2 4 8" xfId="47340"/>
    <cellStyle name="Comma 7 3 2 4 9" xfId="47341"/>
    <cellStyle name="Comma 7 3 2 5" xfId="47342"/>
    <cellStyle name="Comma 7 3 2 5 2" xfId="47343"/>
    <cellStyle name="Comma 7 3 2 5 2 2" xfId="47344"/>
    <cellStyle name="Comma 7 3 2 5 2 3" xfId="47345"/>
    <cellStyle name="Comma 7 3 2 5 3" xfId="47346"/>
    <cellStyle name="Comma 7 3 2 5 3 2" xfId="47347"/>
    <cellStyle name="Comma 7 3 2 5 3 3" xfId="47348"/>
    <cellStyle name="Comma 7 3 2 5 4" xfId="47349"/>
    <cellStyle name="Comma 7 3 2 5 4 2" xfId="47350"/>
    <cellStyle name="Comma 7 3 2 5 5" xfId="47351"/>
    <cellStyle name="Comma 7 3 2 5 6" xfId="47352"/>
    <cellStyle name="Comma 7 3 2 6" xfId="47353"/>
    <cellStyle name="Comma 7 3 2 6 2" xfId="47354"/>
    <cellStyle name="Comma 7 3 2 6 2 2" xfId="47355"/>
    <cellStyle name="Comma 7 3 2 6 2 3" xfId="47356"/>
    <cellStyle name="Comma 7 3 2 6 3" xfId="47357"/>
    <cellStyle name="Comma 7 3 2 6 3 2" xfId="47358"/>
    <cellStyle name="Comma 7 3 2 6 3 3" xfId="47359"/>
    <cellStyle name="Comma 7 3 2 6 4" xfId="47360"/>
    <cellStyle name="Comma 7 3 2 6 4 2" xfId="47361"/>
    <cellStyle name="Comma 7 3 2 6 5" xfId="47362"/>
    <cellStyle name="Comma 7 3 2 6 6" xfId="47363"/>
    <cellStyle name="Comma 7 3 2 7" xfId="47364"/>
    <cellStyle name="Comma 7 3 2 7 2" xfId="47365"/>
    <cellStyle name="Comma 7 3 2 7 2 2" xfId="47366"/>
    <cellStyle name="Comma 7 3 2 7 2 3" xfId="47367"/>
    <cellStyle name="Comma 7 3 2 7 3" xfId="47368"/>
    <cellStyle name="Comma 7 3 2 7 3 2" xfId="47369"/>
    <cellStyle name="Comma 7 3 2 7 4" xfId="47370"/>
    <cellStyle name="Comma 7 3 2 7 5" xfId="47371"/>
    <cellStyle name="Comma 7 3 2 8" xfId="47372"/>
    <cellStyle name="Comma 7 3 2 8 2" xfId="47373"/>
    <cellStyle name="Comma 7 3 2 8 3" xfId="47374"/>
    <cellStyle name="Comma 7 3 2 9" xfId="47375"/>
    <cellStyle name="Comma 7 3 2 9 2" xfId="47376"/>
    <cellStyle name="Comma 7 3 2 9 3" xfId="47377"/>
    <cellStyle name="Comma 7 3 3" xfId="8780"/>
    <cellStyle name="Comma 7 3 3 10" xfId="47378"/>
    <cellStyle name="Comma 7 3 3 2" xfId="9156"/>
    <cellStyle name="Comma 7 3 3 2 2" xfId="47379"/>
    <cellStyle name="Comma 7 3 3 2 2 2" xfId="47380"/>
    <cellStyle name="Comma 7 3 3 2 2 2 2" xfId="47381"/>
    <cellStyle name="Comma 7 3 3 2 2 2 3" xfId="47382"/>
    <cellStyle name="Comma 7 3 3 2 2 3" xfId="47383"/>
    <cellStyle name="Comma 7 3 3 2 2 3 2" xfId="47384"/>
    <cellStyle name="Comma 7 3 3 2 2 3 3" xfId="47385"/>
    <cellStyle name="Comma 7 3 3 2 2 4" xfId="47386"/>
    <cellStyle name="Comma 7 3 3 2 2 4 2" xfId="47387"/>
    <cellStyle name="Comma 7 3 3 2 2 5" xfId="47388"/>
    <cellStyle name="Comma 7 3 3 2 2 6" xfId="47389"/>
    <cellStyle name="Comma 7 3 3 2 3" xfId="47390"/>
    <cellStyle name="Comma 7 3 3 2 3 2" xfId="47391"/>
    <cellStyle name="Comma 7 3 3 2 3 2 2" xfId="47392"/>
    <cellStyle name="Comma 7 3 3 2 3 2 3" xfId="47393"/>
    <cellStyle name="Comma 7 3 3 2 3 3" xfId="47394"/>
    <cellStyle name="Comma 7 3 3 2 3 3 2" xfId="47395"/>
    <cellStyle name="Comma 7 3 3 2 3 3 3" xfId="47396"/>
    <cellStyle name="Comma 7 3 3 2 3 4" xfId="47397"/>
    <cellStyle name="Comma 7 3 3 2 3 4 2" xfId="47398"/>
    <cellStyle name="Comma 7 3 3 2 3 5" xfId="47399"/>
    <cellStyle name="Comma 7 3 3 2 3 6" xfId="47400"/>
    <cellStyle name="Comma 7 3 3 2 4" xfId="47401"/>
    <cellStyle name="Comma 7 3 3 2 4 2" xfId="47402"/>
    <cellStyle name="Comma 7 3 3 2 4 2 2" xfId="47403"/>
    <cellStyle name="Comma 7 3 3 2 4 2 3" xfId="47404"/>
    <cellStyle name="Comma 7 3 3 2 4 3" xfId="47405"/>
    <cellStyle name="Comma 7 3 3 2 4 3 2" xfId="47406"/>
    <cellStyle name="Comma 7 3 3 2 4 4" xfId="47407"/>
    <cellStyle name="Comma 7 3 3 2 4 5" xfId="47408"/>
    <cellStyle name="Comma 7 3 3 2 5" xfId="47409"/>
    <cellStyle name="Comma 7 3 3 2 5 2" xfId="47410"/>
    <cellStyle name="Comma 7 3 3 2 5 3" xfId="47411"/>
    <cellStyle name="Comma 7 3 3 2 6" xfId="47412"/>
    <cellStyle name="Comma 7 3 3 2 6 2" xfId="47413"/>
    <cellStyle name="Comma 7 3 3 2 6 3" xfId="47414"/>
    <cellStyle name="Comma 7 3 3 2 7" xfId="47415"/>
    <cellStyle name="Comma 7 3 3 2 7 2" xfId="47416"/>
    <cellStyle name="Comma 7 3 3 2 8" xfId="47417"/>
    <cellStyle name="Comma 7 3 3 2 9" xfId="47418"/>
    <cellStyle name="Comma 7 3 3 3" xfId="47419"/>
    <cellStyle name="Comma 7 3 3 3 2" xfId="47420"/>
    <cellStyle name="Comma 7 3 3 3 2 2" xfId="47421"/>
    <cellStyle name="Comma 7 3 3 3 2 3" xfId="47422"/>
    <cellStyle name="Comma 7 3 3 3 3" xfId="47423"/>
    <cellStyle name="Comma 7 3 3 3 3 2" xfId="47424"/>
    <cellStyle name="Comma 7 3 3 3 3 3" xfId="47425"/>
    <cellStyle name="Comma 7 3 3 3 4" xfId="47426"/>
    <cellStyle name="Comma 7 3 3 3 4 2" xfId="47427"/>
    <cellStyle name="Comma 7 3 3 3 5" xfId="47428"/>
    <cellStyle name="Comma 7 3 3 3 6" xfId="47429"/>
    <cellStyle name="Comma 7 3 3 4" xfId="47430"/>
    <cellStyle name="Comma 7 3 3 4 2" xfId="47431"/>
    <cellStyle name="Comma 7 3 3 4 2 2" xfId="47432"/>
    <cellStyle name="Comma 7 3 3 4 2 3" xfId="47433"/>
    <cellStyle name="Comma 7 3 3 4 3" xfId="47434"/>
    <cellStyle name="Comma 7 3 3 4 3 2" xfId="47435"/>
    <cellStyle name="Comma 7 3 3 4 3 3" xfId="47436"/>
    <cellStyle name="Comma 7 3 3 4 4" xfId="47437"/>
    <cellStyle name="Comma 7 3 3 4 4 2" xfId="47438"/>
    <cellStyle name="Comma 7 3 3 4 5" xfId="47439"/>
    <cellStyle name="Comma 7 3 3 4 6" xfId="47440"/>
    <cellStyle name="Comma 7 3 3 5" xfId="47441"/>
    <cellStyle name="Comma 7 3 3 5 2" xfId="47442"/>
    <cellStyle name="Comma 7 3 3 5 2 2" xfId="47443"/>
    <cellStyle name="Comma 7 3 3 5 2 3" xfId="47444"/>
    <cellStyle name="Comma 7 3 3 5 3" xfId="47445"/>
    <cellStyle name="Comma 7 3 3 5 3 2" xfId="47446"/>
    <cellStyle name="Comma 7 3 3 5 4" xfId="47447"/>
    <cellStyle name="Comma 7 3 3 5 5" xfId="47448"/>
    <cellStyle name="Comma 7 3 3 6" xfId="47449"/>
    <cellStyle name="Comma 7 3 3 6 2" xfId="47450"/>
    <cellStyle name="Comma 7 3 3 6 3" xfId="47451"/>
    <cellStyle name="Comma 7 3 3 7" xfId="47452"/>
    <cellStyle name="Comma 7 3 3 7 2" xfId="47453"/>
    <cellStyle name="Comma 7 3 3 7 3" xfId="47454"/>
    <cellStyle name="Comma 7 3 3 8" xfId="47455"/>
    <cellStyle name="Comma 7 3 3 8 2" xfId="47456"/>
    <cellStyle name="Comma 7 3 3 9" xfId="47457"/>
    <cellStyle name="Comma 7 3 4" xfId="9157"/>
    <cellStyle name="Comma 7 3 4 2" xfId="47458"/>
    <cellStyle name="Comma 7 3 4 2 2" xfId="47459"/>
    <cellStyle name="Comma 7 3 4 2 2 2" xfId="47460"/>
    <cellStyle name="Comma 7 3 4 2 2 3" xfId="47461"/>
    <cellStyle name="Comma 7 3 4 2 3" xfId="47462"/>
    <cellStyle name="Comma 7 3 4 2 3 2" xfId="47463"/>
    <cellStyle name="Comma 7 3 4 2 3 3" xfId="47464"/>
    <cellStyle name="Comma 7 3 4 2 4" xfId="47465"/>
    <cellStyle name="Comma 7 3 4 2 4 2" xfId="47466"/>
    <cellStyle name="Comma 7 3 4 2 5" xfId="47467"/>
    <cellStyle name="Comma 7 3 4 2 6" xfId="47468"/>
    <cellStyle name="Comma 7 3 4 3" xfId="47469"/>
    <cellStyle name="Comma 7 3 4 3 2" xfId="47470"/>
    <cellStyle name="Comma 7 3 4 3 2 2" xfId="47471"/>
    <cellStyle name="Comma 7 3 4 3 2 3" xfId="47472"/>
    <cellStyle name="Comma 7 3 4 3 3" xfId="47473"/>
    <cellStyle name="Comma 7 3 4 3 3 2" xfId="47474"/>
    <cellStyle name="Comma 7 3 4 3 3 3" xfId="47475"/>
    <cellStyle name="Comma 7 3 4 3 4" xfId="47476"/>
    <cellStyle name="Comma 7 3 4 3 4 2" xfId="47477"/>
    <cellStyle name="Comma 7 3 4 3 5" xfId="47478"/>
    <cellStyle name="Comma 7 3 4 3 6" xfId="47479"/>
    <cellStyle name="Comma 7 3 4 4" xfId="47480"/>
    <cellStyle name="Comma 7 3 4 4 2" xfId="47481"/>
    <cellStyle name="Comma 7 3 4 4 2 2" xfId="47482"/>
    <cellStyle name="Comma 7 3 4 4 2 3" xfId="47483"/>
    <cellStyle name="Comma 7 3 4 4 3" xfId="47484"/>
    <cellStyle name="Comma 7 3 4 4 3 2" xfId="47485"/>
    <cellStyle name="Comma 7 3 4 4 4" xfId="47486"/>
    <cellStyle name="Comma 7 3 4 4 5" xfId="47487"/>
    <cellStyle name="Comma 7 3 4 5" xfId="47488"/>
    <cellStyle name="Comma 7 3 4 5 2" xfId="47489"/>
    <cellStyle name="Comma 7 3 4 5 3" xfId="47490"/>
    <cellStyle name="Comma 7 3 4 6" xfId="47491"/>
    <cellStyle name="Comma 7 3 4 6 2" xfId="47492"/>
    <cellStyle name="Comma 7 3 4 6 3" xfId="47493"/>
    <cellStyle name="Comma 7 3 4 7" xfId="47494"/>
    <cellStyle name="Comma 7 3 4 7 2" xfId="47495"/>
    <cellStyle name="Comma 7 3 4 8" xfId="47496"/>
    <cellStyle name="Comma 7 3 4 9" xfId="47497"/>
    <cellStyle name="Comma 7 3 5" xfId="9158"/>
    <cellStyle name="Comma 7 3 5 2" xfId="47498"/>
    <cellStyle name="Comma 7 3 5 2 2" xfId="47499"/>
    <cellStyle name="Comma 7 3 5 2 2 2" xfId="47500"/>
    <cellStyle name="Comma 7 3 5 2 2 3" xfId="47501"/>
    <cellStyle name="Comma 7 3 5 2 3" xfId="47502"/>
    <cellStyle name="Comma 7 3 5 2 3 2" xfId="47503"/>
    <cellStyle name="Comma 7 3 5 2 3 3" xfId="47504"/>
    <cellStyle name="Comma 7 3 5 2 4" xfId="47505"/>
    <cellStyle name="Comma 7 3 5 2 4 2" xfId="47506"/>
    <cellStyle name="Comma 7 3 5 2 5" xfId="47507"/>
    <cellStyle name="Comma 7 3 5 2 6" xfId="47508"/>
    <cellStyle name="Comma 7 3 5 3" xfId="47509"/>
    <cellStyle name="Comma 7 3 5 3 2" xfId="47510"/>
    <cellStyle name="Comma 7 3 5 3 2 2" xfId="47511"/>
    <cellStyle name="Comma 7 3 5 3 2 3" xfId="47512"/>
    <cellStyle name="Comma 7 3 5 3 3" xfId="47513"/>
    <cellStyle name="Comma 7 3 5 3 3 2" xfId="47514"/>
    <cellStyle name="Comma 7 3 5 3 3 3" xfId="47515"/>
    <cellStyle name="Comma 7 3 5 3 4" xfId="47516"/>
    <cellStyle name="Comma 7 3 5 3 4 2" xfId="47517"/>
    <cellStyle name="Comma 7 3 5 3 5" xfId="47518"/>
    <cellStyle name="Comma 7 3 5 3 6" xfId="47519"/>
    <cellStyle name="Comma 7 3 5 4" xfId="47520"/>
    <cellStyle name="Comma 7 3 5 4 2" xfId="47521"/>
    <cellStyle name="Comma 7 3 5 4 2 2" xfId="47522"/>
    <cellStyle name="Comma 7 3 5 4 2 3" xfId="47523"/>
    <cellStyle name="Comma 7 3 5 4 3" xfId="47524"/>
    <cellStyle name="Comma 7 3 5 4 3 2" xfId="47525"/>
    <cellStyle name="Comma 7 3 5 4 4" xfId="47526"/>
    <cellStyle name="Comma 7 3 5 4 5" xfId="47527"/>
    <cellStyle name="Comma 7 3 5 5" xfId="47528"/>
    <cellStyle name="Comma 7 3 5 5 2" xfId="47529"/>
    <cellStyle name="Comma 7 3 5 5 3" xfId="47530"/>
    <cellStyle name="Comma 7 3 5 6" xfId="47531"/>
    <cellStyle name="Comma 7 3 5 6 2" xfId="47532"/>
    <cellStyle name="Comma 7 3 5 6 3" xfId="47533"/>
    <cellStyle name="Comma 7 3 5 7" xfId="47534"/>
    <cellStyle name="Comma 7 3 5 7 2" xfId="47535"/>
    <cellStyle name="Comma 7 3 5 8" xfId="47536"/>
    <cellStyle name="Comma 7 3 5 9" xfId="47537"/>
    <cellStyle name="Comma 7 3 6" xfId="47538"/>
    <cellStyle name="Comma 7 3 6 2" xfId="47539"/>
    <cellStyle name="Comma 7 3 6 2 2" xfId="47540"/>
    <cellStyle name="Comma 7 3 6 2 3" xfId="47541"/>
    <cellStyle name="Comma 7 3 6 3" xfId="47542"/>
    <cellStyle name="Comma 7 3 6 3 2" xfId="47543"/>
    <cellStyle name="Comma 7 3 6 3 3" xfId="47544"/>
    <cellStyle name="Comma 7 3 6 4" xfId="47545"/>
    <cellStyle name="Comma 7 3 6 4 2" xfId="47546"/>
    <cellStyle name="Comma 7 3 6 5" xfId="47547"/>
    <cellStyle name="Comma 7 3 6 6" xfId="47548"/>
    <cellStyle name="Comma 7 3 7" xfId="47549"/>
    <cellStyle name="Comma 7 3 7 2" xfId="47550"/>
    <cellStyle name="Comma 7 3 7 2 2" xfId="47551"/>
    <cellStyle name="Comma 7 3 7 2 3" xfId="47552"/>
    <cellStyle name="Comma 7 3 7 3" xfId="47553"/>
    <cellStyle name="Comma 7 3 7 3 2" xfId="47554"/>
    <cellStyle name="Comma 7 3 7 3 3" xfId="47555"/>
    <cellStyle name="Comma 7 3 7 4" xfId="47556"/>
    <cellStyle name="Comma 7 3 7 4 2" xfId="47557"/>
    <cellStyle name="Comma 7 3 7 5" xfId="47558"/>
    <cellStyle name="Comma 7 3 7 6" xfId="47559"/>
    <cellStyle name="Comma 7 3 8" xfId="47560"/>
    <cellStyle name="Comma 7 3 8 2" xfId="47561"/>
    <cellStyle name="Comma 7 3 8 2 2" xfId="47562"/>
    <cellStyle name="Comma 7 3 8 2 3" xfId="47563"/>
    <cellStyle name="Comma 7 3 8 3" xfId="47564"/>
    <cellStyle name="Comma 7 3 8 3 2" xfId="47565"/>
    <cellStyle name="Comma 7 3 8 4" xfId="47566"/>
    <cellStyle name="Comma 7 3 8 5" xfId="47567"/>
    <cellStyle name="Comma 7 3 9" xfId="47568"/>
    <cellStyle name="Comma 7 3 9 2" xfId="47569"/>
    <cellStyle name="Comma 7 3 9 3" xfId="47570"/>
    <cellStyle name="Comma 7 4" xfId="3717"/>
    <cellStyle name="Comma 7 4 10" xfId="47571"/>
    <cellStyle name="Comma 7 4 10 2" xfId="47572"/>
    <cellStyle name="Comma 7 4 11" xfId="47573"/>
    <cellStyle name="Comma 7 4 12" xfId="47574"/>
    <cellStyle name="Comma 7 4 2" xfId="3718"/>
    <cellStyle name="Comma 7 4 2 10" xfId="47575"/>
    <cellStyle name="Comma 7 4 2 2" xfId="8781"/>
    <cellStyle name="Comma 7 4 2 2 2" xfId="9159"/>
    <cellStyle name="Comma 7 4 2 2 2 2" xfId="47576"/>
    <cellStyle name="Comma 7 4 2 2 2 2 2" xfId="47577"/>
    <cellStyle name="Comma 7 4 2 2 2 2 3" xfId="47578"/>
    <cellStyle name="Comma 7 4 2 2 2 3" xfId="47579"/>
    <cellStyle name="Comma 7 4 2 2 2 3 2" xfId="47580"/>
    <cellStyle name="Comma 7 4 2 2 2 3 3" xfId="47581"/>
    <cellStyle name="Comma 7 4 2 2 2 4" xfId="47582"/>
    <cellStyle name="Comma 7 4 2 2 2 4 2" xfId="47583"/>
    <cellStyle name="Comma 7 4 2 2 2 5" xfId="47584"/>
    <cellStyle name="Comma 7 4 2 2 2 6" xfId="47585"/>
    <cellStyle name="Comma 7 4 2 2 3" xfId="47586"/>
    <cellStyle name="Comma 7 4 2 2 3 2" xfId="47587"/>
    <cellStyle name="Comma 7 4 2 2 3 2 2" xfId="47588"/>
    <cellStyle name="Comma 7 4 2 2 3 2 3" xfId="47589"/>
    <cellStyle name="Comma 7 4 2 2 3 3" xfId="47590"/>
    <cellStyle name="Comma 7 4 2 2 3 3 2" xfId="47591"/>
    <cellStyle name="Comma 7 4 2 2 3 3 3" xfId="47592"/>
    <cellStyle name="Comma 7 4 2 2 3 4" xfId="47593"/>
    <cellStyle name="Comma 7 4 2 2 3 4 2" xfId="47594"/>
    <cellStyle name="Comma 7 4 2 2 3 5" xfId="47595"/>
    <cellStyle name="Comma 7 4 2 2 3 6" xfId="47596"/>
    <cellStyle name="Comma 7 4 2 2 4" xfId="47597"/>
    <cellStyle name="Comma 7 4 2 2 4 2" xfId="47598"/>
    <cellStyle name="Comma 7 4 2 2 4 2 2" xfId="47599"/>
    <cellStyle name="Comma 7 4 2 2 4 2 3" xfId="47600"/>
    <cellStyle name="Comma 7 4 2 2 4 3" xfId="47601"/>
    <cellStyle name="Comma 7 4 2 2 4 3 2" xfId="47602"/>
    <cellStyle name="Comma 7 4 2 2 4 4" xfId="47603"/>
    <cellStyle name="Comma 7 4 2 2 4 5" xfId="47604"/>
    <cellStyle name="Comma 7 4 2 2 5" xfId="47605"/>
    <cellStyle name="Comma 7 4 2 2 5 2" xfId="47606"/>
    <cellStyle name="Comma 7 4 2 2 5 3" xfId="47607"/>
    <cellStyle name="Comma 7 4 2 2 6" xfId="47608"/>
    <cellStyle name="Comma 7 4 2 2 6 2" xfId="47609"/>
    <cellStyle name="Comma 7 4 2 2 6 3" xfId="47610"/>
    <cellStyle name="Comma 7 4 2 2 7" xfId="47611"/>
    <cellStyle name="Comma 7 4 2 2 7 2" xfId="47612"/>
    <cellStyle name="Comma 7 4 2 2 8" xfId="47613"/>
    <cellStyle name="Comma 7 4 2 2 9" xfId="47614"/>
    <cellStyle name="Comma 7 4 2 3" xfId="9160"/>
    <cellStyle name="Comma 7 4 2 3 2" xfId="47615"/>
    <cellStyle name="Comma 7 4 2 3 2 2" xfId="47616"/>
    <cellStyle name="Comma 7 4 2 3 2 3" xfId="47617"/>
    <cellStyle name="Comma 7 4 2 3 3" xfId="47618"/>
    <cellStyle name="Comma 7 4 2 3 3 2" xfId="47619"/>
    <cellStyle name="Comma 7 4 2 3 3 3" xfId="47620"/>
    <cellStyle name="Comma 7 4 2 3 4" xfId="47621"/>
    <cellStyle name="Comma 7 4 2 3 4 2" xfId="47622"/>
    <cellStyle name="Comma 7 4 2 3 5" xfId="47623"/>
    <cellStyle name="Comma 7 4 2 3 6" xfId="47624"/>
    <cellStyle name="Comma 7 4 2 4" xfId="9161"/>
    <cellStyle name="Comma 7 4 2 4 2" xfId="47625"/>
    <cellStyle name="Comma 7 4 2 4 2 2" xfId="47626"/>
    <cellStyle name="Comma 7 4 2 4 2 3" xfId="47627"/>
    <cellStyle name="Comma 7 4 2 4 3" xfId="47628"/>
    <cellStyle name="Comma 7 4 2 4 3 2" xfId="47629"/>
    <cellStyle name="Comma 7 4 2 4 3 3" xfId="47630"/>
    <cellStyle name="Comma 7 4 2 4 4" xfId="47631"/>
    <cellStyle name="Comma 7 4 2 4 4 2" xfId="47632"/>
    <cellStyle name="Comma 7 4 2 4 5" xfId="47633"/>
    <cellStyle name="Comma 7 4 2 4 6" xfId="47634"/>
    <cellStyle name="Comma 7 4 2 5" xfId="47635"/>
    <cellStyle name="Comma 7 4 2 5 2" xfId="47636"/>
    <cellStyle name="Comma 7 4 2 5 2 2" xfId="47637"/>
    <cellStyle name="Comma 7 4 2 5 2 3" xfId="47638"/>
    <cellStyle name="Comma 7 4 2 5 3" xfId="47639"/>
    <cellStyle name="Comma 7 4 2 5 3 2" xfId="47640"/>
    <cellStyle name="Comma 7 4 2 5 4" xfId="47641"/>
    <cellStyle name="Comma 7 4 2 5 5" xfId="47642"/>
    <cellStyle name="Comma 7 4 2 6" xfId="47643"/>
    <cellStyle name="Comma 7 4 2 6 2" xfId="47644"/>
    <cellStyle name="Comma 7 4 2 6 3" xfId="47645"/>
    <cellStyle name="Comma 7 4 2 7" xfId="47646"/>
    <cellStyle name="Comma 7 4 2 7 2" xfId="47647"/>
    <cellStyle name="Comma 7 4 2 7 3" xfId="47648"/>
    <cellStyle name="Comma 7 4 2 8" xfId="47649"/>
    <cellStyle name="Comma 7 4 2 8 2" xfId="47650"/>
    <cellStyle name="Comma 7 4 2 9" xfId="47651"/>
    <cellStyle name="Comma 7 4 3" xfId="8782"/>
    <cellStyle name="Comma 7 4 3 2" xfId="9162"/>
    <cellStyle name="Comma 7 4 3 2 2" xfId="47652"/>
    <cellStyle name="Comma 7 4 3 2 2 2" xfId="47653"/>
    <cellStyle name="Comma 7 4 3 2 2 3" xfId="47654"/>
    <cellStyle name="Comma 7 4 3 2 3" xfId="47655"/>
    <cellStyle name="Comma 7 4 3 2 3 2" xfId="47656"/>
    <cellStyle name="Comma 7 4 3 2 3 3" xfId="47657"/>
    <cellStyle name="Comma 7 4 3 2 4" xfId="47658"/>
    <cellStyle name="Comma 7 4 3 2 4 2" xfId="47659"/>
    <cellStyle name="Comma 7 4 3 2 5" xfId="47660"/>
    <cellStyle name="Comma 7 4 3 2 6" xfId="47661"/>
    <cellStyle name="Comma 7 4 3 3" xfId="47662"/>
    <cellStyle name="Comma 7 4 3 3 2" xfId="47663"/>
    <cellStyle name="Comma 7 4 3 3 2 2" xfId="47664"/>
    <cellStyle name="Comma 7 4 3 3 2 3" xfId="47665"/>
    <cellStyle name="Comma 7 4 3 3 3" xfId="47666"/>
    <cellStyle name="Comma 7 4 3 3 3 2" xfId="47667"/>
    <cellStyle name="Comma 7 4 3 3 3 3" xfId="47668"/>
    <cellStyle name="Comma 7 4 3 3 4" xfId="47669"/>
    <cellStyle name="Comma 7 4 3 3 4 2" xfId="47670"/>
    <cellStyle name="Comma 7 4 3 3 5" xfId="47671"/>
    <cellStyle name="Comma 7 4 3 3 6" xfId="47672"/>
    <cellStyle name="Comma 7 4 3 4" xfId="47673"/>
    <cellStyle name="Comma 7 4 3 4 2" xfId="47674"/>
    <cellStyle name="Comma 7 4 3 4 2 2" xfId="47675"/>
    <cellStyle name="Comma 7 4 3 4 2 3" xfId="47676"/>
    <cellStyle name="Comma 7 4 3 4 3" xfId="47677"/>
    <cellStyle name="Comma 7 4 3 4 3 2" xfId="47678"/>
    <cellStyle name="Comma 7 4 3 4 4" xfId="47679"/>
    <cellStyle name="Comma 7 4 3 4 5" xfId="47680"/>
    <cellStyle name="Comma 7 4 3 5" xfId="47681"/>
    <cellStyle name="Comma 7 4 3 5 2" xfId="47682"/>
    <cellStyle name="Comma 7 4 3 5 3" xfId="47683"/>
    <cellStyle name="Comma 7 4 3 6" xfId="47684"/>
    <cellStyle name="Comma 7 4 3 6 2" xfId="47685"/>
    <cellStyle name="Comma 7 4 3 6 3" xfId="47686"/>
    <cellStyle name="Comma 7 4 3 7" xfId="47687"/>
    <cellStyle name="Comma 7 4 3 7 2" xfId="47688"/>
    <cellStyle name="Comma 7 4 3 8" xfId="47689"/>
    <cellStyle name="Comma 7 4 3 9" xfId="47690"/>
    <cellStyle name="Comma 7 4 4" xfId="9163"/>
    <cellStyle name="Comma 7 4 4 2" xfId="47691"/>
    <cellStyle name="Comma 7 4 4 2 2" xfId="47692"/>
    <cellStyle name="Comma 7 4 4 2 2 2" xfId="47693"/>
    <cellStyle name="Comma 7 4 4 2 2 3" xfId="47694"/>
    <cellStyle name="Comma 7 4 4 2 3" xfId="47695"/>
    <cellStyle name="Comma 7 4 4 2 3 2" xfId="47696"/>
    <cellStyle name="Comma 7 4 4 2 3 3" xfId="47697"/>
    <cellStyle name="Comma 7 4 4 2 4" xfId="47698"/>
    <cellStyle name="Comma 7 4 4 2 4 2" xfId="47699"/>
    <cellStyle name="Comma 7 4 4 2 5" xfId="47700"/>
    <cellStyle name="Comma 7 4 4 2 6" xfId="47701"/>
    <cellStyle name="Comma 7 4 4 3" xfId="47702"/>
    <cellStyle name="Comma 7 4 4 3 2" xfId="47703"/>
    <cellStyle name="Comma 7 4 4 3 2 2" xfId="47704"/>
    <cellStyle name="Comma 7 4 4 3 2 3" xfId="47705"/>
    <cellStyle name="Comma 7 4 4 3 3" xfId="47706"/>
    <cellStyle name="Comma 7 4 4 3 3 2" xfId="47707"/>
    <cellStyle name="Comma 7 4 4 3 3 3" xfId="47708"/>
    <cellStyle name="Comma 7 4 4 3 4" xfId="47709"/>
    <cellStyle name="Comma 7 4 4 3 4 2" xfId="47710"/>
    <cellStyle name="Comma 7 4 4 3 5" xfId="47711"/>
    <cellStyle name="Comma 7 4 4 3 6" xfId="47712"/>
    <cellStyle name="Comma 7 4 4 4" xfId="47713"/>
    <cellStyle name="Comma 7 4 4 4 2" xfId="47714"/>
    <cellStyle name="Comma 7 4 4 4 2 2" xfId="47715"/>
    <cellStyle name="Comma 7 4 4 4 2 3" xfId="47716"/>
    <cellStyle name="Comma 7 4 4 4 3" xfId="47717"/>
    <cellStyle name="Comma 7 4 4 4 3 2" xfId="47718"/>
    <cellStyle name="Comma 7 4 4 4 4" xfId="47719"/>
    <cellStyle name="Comma 7 4 4 4 5" xfId="47720"/>
    <cellStyle name="Comma 7 4 4 5" xfId="47721"/>
    <cellStyle name="Comma 7 4 4 5 2" xfId="47722"/>
    <cellStyle name="Comma 7 4 4 5 3" xfId="47723"/>
    <cellStyle name="Comma 7 4 4 6" xfId="47724"/>
    <cellStyle name="Comma 7 4 4 6 2" xfId="47725"/>
    <cellStyle name="Comma 7 4 4 6 3" xfId="47726"/>
    <cellStyle name="Comma 7 4 4 7" xfId="47727"/>
    <cellStyle name="Comma 7 4 4 7 2" xfId="47728"/>
    <cellStyle name="Comma 7 4 4 8" xfId="47729"/>
    <cellStyle name="Comma 7 4 4 9" xfId="47730"/>
    <cellStyle name="Comma 7 4 5" xfId="9164"/>
    <cellStyle name="Comma 7 4 5 2" xfId="47731"/>
    <cellStyle name="Comma 7 4 5 2 2" xfId="47732"/>
    <cellStyle name="Comma 7 4 5 2 3" xfId="47733"/>
    <cellStyle name="Comma 7 4 5 3" xfId="47734"/>
    <cellStyle name="Comma 7 4 5 3 2" xfId="47735"/>
    <cellStyle name="Comma 7 4 5 3 3" xfId="47736"/>
    <cellStyle name="Comma 7 4 5 4" xfId="47737"/>
    <cellStyle name="Comma 7 4 5 4 2" xfId="47738"/>
    <cellStyle name="Comma 7 4 5 5" xfId="47739"/>
    <cellStyle name="Comma 7 4 5 6" xfId="47740"/>
    <cellStyle name="Comma 7 4 6" xfId="47741"/>
    <cellStyle name="Comma 7 4 6 2" xfId="47742"/>
    <cellStyle name="Comma 7 4 6 2 2" xfId="47743"/>
    <cellStyle name="Comma 7 4 6 2 3" xfId="47744"/>
    <cellStyle name="Comma 7 4 6 3" xfId="47745"/>
    <cellStyle name="Comma 7 4 6 3 2" xfId="47746"/>
    <cellStyle name="Comma 7 4 6 3 3" xfId="47747"/>
    <cellStyle name="Comma 7 4 6 4" xfId="47748"/>
    <cellStyle name="Comma 7 4 6 4 2" xfId="47749"/>
    <cellStyle name="Comma 7 4 6 5" xfId="47750"/>
    <cellStyle name="Comma 7 4 6 6" xfId="47751"/>
    <cellStyle name="Comma 7 4 7" xfId="47752"/>
    <cellStyle name="Comma 7 4 7 2" xfId="47753"/>
    <cellStyle name="Comma 7 4 7 2 2" xfId="47754"/>
    <cellStyle name="Comma 7 4 7 2 3" xfId="47755"/>
    <cellStyle name="Comma 7 4 7 3" xfId="47756"/>
    <cellStyle name="Comma 7 4 7 3 2" xfId="47757"/>
    <cellStyle name="Comma 7 4 7 4" xfId="47758"/>
    <cellStyle name="Comma 7 4 7 5" xfId="47759"/>
    <cellStyle name="Comma 7 4 8" xfId="47760"/>
    <cellStyle name="Comma 7 4 8 2" xfId="47761"/>
    <cellStyle name="Comma 7 4 8 3" xfId="47762"/>
    <cellStyle name="Comma 7 4 9" xfId="47763"/>
    <cellStyle name="Comma 7 4 9 2" xfId="47764"/>
    <cellStyle name="Comma 7 4 9 3" xfId="47765"/>
    <cellStyle name="Comma 7 5" xfId="3719"/>
    <cellStyle name="Comma 7 5 10" xfId="47766"/>
    <cellStyle name="Comma 7 5 2" xfId="3720"/>
    <cellStyle name="Comma 7 5 2 2" xfId="8783"/>
    <cellStyle name="Comma 7 5 2 2 2" xfId="9165"/>
    <cellStyle name="Comma 7 5 2 2 2 2" xfId="47767"/>
    <cellStyle name="Comma 7 5 2 2 2 3" xfId="47768"/>
    <cellStyle name="Comma 7 5 2 2 3" xfId="47769"/>
    <cellStyle name="Comma 7 5 2 2 3 2" xfId="47770"/>
    <cellStyle name="Comma 7 5 2 2 3 3" xfId="47771"/>
    <cellStyle name="Comma 7 5 2 2 4" xfId="47772"/>
    <cellStyle name="Comma 7 5 2 2 4 2" xfId="47773"/>
    <cellStyle name="Comma 7 5 2 2 5" xfId="47774"/>
    <cellStyle name="Comma 7 5 2 2 6" xfId="47775"/>
    <cellStyle name="Comma 7 5 2 3" xfId="9166"/>
    <cellStyle name="Comma 7 5 2 3 2" xfId="47776"/>
    <cellStyle name="Comma 7 5 2 3 2 2" xfId="47777"/>
    <cellStyle name="Comma 7 5 2 3 2 3" xfId="47778"/>
    <cellStyle name="Comma 7 5 2 3 3" xfId="47779"/>
    <cellStyle name="Comma 7 5 2 3 3 2" xfId="47780"/>
    <cellStyle name="Comma 7 5 2 3 3 3" xfId="47781"/>
    <cellStyle name="Comma 7 5 2 3 4" xfId="47782"/>
    <cellStyle name="Comma 7 5 2 3 4 2" xfId="47783"/>
    <cellStyle name="Comma 7 5 2 3 5" xfId="47784"/>
    <cellStyle name="Comma 7 5 2 3 6" xfId="47785"/>
    <cellStyle name="Comma 7 5 2 4" xfId="9167"/>
    <cellStyle name="Comma 7 5 2 4 2" xfId="47786"/>
    <cellStyle name="Comma 7 5 2 4 2 2" xfId="47787"/>
    <cellStyle name="Comma 7 5 2 4 2 3" xfId="47788"/>
    <cellStyle name="Comma 7 5 2 4 3" xfId="47789"/>
    <cellStyle name="Comma 7 5 2 4 3 2" xfId="47790"/>
    <cellStyle name="Comma 7 5 2 4 4" xfId="47791"/>
    <cellStyle name="Comma 7 5 2 4 5" xfId="47792"/>
    <cellStyle name="Comma 7 5 2 5" xfId="47793"/>
    <cellStyle name="Comma 7 5 2 5 2" xfId="47794"/>
    <cellStyle name="Comma 7 5 2 5 3" xfId="47795"/>
    <cellStyle name="Comma 7 5 2 6" xfId="47796"/>
    <cellStyle name="Comma 7 5 2 6 2" xfId="47797"/>
    <cellStyle name="Comma 7 5 2 6 3" xfId="47798"/>
    <cellStyle name="Comma 7 5 2 7" xfId="47799"/>
    <cellStyle name="Comma 7 5 2 7 2" xfId="47800"/>
    <cellStyle name="Comma 7 5 2 8" xfId="47801"/>
    <cellStyle name="Comma 7 5 2 9" xfId="47802"/>
    <cellStyle name="Comma 7 5 3" xfId="8784"/>
    <cellStyle name="Comma 7 5 3 2" xfId="9168"/>
    <cellStyle name="Comma 7 5 3 2 2" xfId="47803"/>
    <cellStyle name="Comma 7 5 3 2 3" xfId="47804"/>
    <cellStyle name="Comma 7 5 3 3" xfId="47805"/>
    <cellStyle name="Comma 7 5 3 3 2" xfId="47806"/>
    <cellStyle name="Comma 7 5 3 3 3" xfId="47807"/>
    <cellStyle name="Comma 7 5 3 4" xfId="47808"/>
    <cellStyle name="Comma 7 5 3 4 2" xfId="47809"/>
    <cellStyle name="Comma 7 5 3 5" xfId="47810"/>
    <cellStyle name="Comma 7 5 3 6" xfId="47811"/>
    <cellStyle name="Comma 7 5 4" xfId="9169"/>
    <cellStyle name="Comma 7 5 4 2" xfId="47812"/>
    <cellStyle name="Comma 7 5 4 2 2" xfId="47813"/>
    <cellStyle name="Comma 7 5 4 2 3" xfId="47814"/>
    <cellStyle name="Comma 7 5 4 3" xfId="47815"/>
    <cellStyle name="Comma 7 5 4 3 2" xfId="47816"/>
    <cellStyle name="Comma 7 5 4 3 3" xfId="47817"/>
    <cellStyle name="Comma 7 5 4 4" xfId="47818"/>
    <cellStyle name="Comma 7 5 4 4 2" xfId="47819"/>
    <cellStyle name="Comma 7 5 4 5" xfId="47820"/>
    <cellStyle name="Comma 7 5 4 6" xfId="47821"/>
    <cellStyle name="Comma 7 5 5" xfId="9170"/>
    <cellStyle name="Comma 7 5 5 2" xfId="47822"/>
    <cellStyle name="Comma 7 5 5 2 2" xfId="47823"/>
    <cellStyle name="Comma 7 5 5 2 3" xfId="47824"/>
    <cellStyle name="Comma 7 5 5 3" xfId="47825"/>
    <cellStyle name="Comma 7 5 5 3 2" xfId="47826"/>
    <cellStyle name="Comma 7 5 5 4" xfId="47827"/>
    <cellStyle name="Comma 7 5 5 5" xfId="47828"/>
    <cellStyle name="Comma 7 5 6" xfId="47829"/>
    <cellStyle name="Comma 7 5 6 2" xfId="47830"/>
    <cellStyle name="Comma 7 5 6 3" xfId="47831"/>
    <cellStyle name="Comma 7 5 7" xfId="47832"/>
    <cellStyle name="Comma 7 5 7 2" xfId="47833"/>
    <cellStyle name="Comma 7 5 7 3" xfId="47834"/>
    <cellStyle name="Comma 7 5 8" xfId="47835"/>
    <cellStyle name="Comma 7 5 8 2" xfId="47836"/>
    <cellStyle name="Comma 7 5 9" xfId="47837"/>
    <cellStyle name="Comma 7 6" xfId="3721"/>
    <cellStyle name="Comma 7 6 2" xfId="3722"/>
    <cellStyle name="Comma 7 6 2 2" xfId="8785"/>
    <cellStyle name="Comma 7 6 2 2 2" xfId="9171"/>
    <cellStyle name="Comma 7 6 2 2 3" xfId="47838"/>
    <cellStyle name="Comma 7 6 2 3" xfId="9172"/>
    <cellStyle name="Comma 7 6 2 3 2" xfId="47839"/>
    <cellStyle name="Comma 7 6 2 3 3" xfId="47840"/>
    <cellStyle name="Comma 7 6 2 4" xfId="9173"/>
    <cellStyle name="Comma 7 6 2 4 2" xfId="47841"/>
    <cellStyle name="Comma 7 6 2 5" xfId="47842"/>
    <cellStyle name="Comma 7 6 2 6" xfId="47843"/>
    <cellStyle name="Comma 7 6 3" xfId="8786"/>
    <cellStyle name="Comma 7 6 3 2" xfId="9174"/>
    <cellStyle name="Comma 7 6 3 2 2" xfId="47844"/>
    <cellStyle name="Comma 7 6 3 2 3" xfId="47845"/>
    <cellStyle name="Comma 7 6 3 3" xfId="47846"/>
    <cellStyle name="Comma 7 6 3 3 2" xfId="47847"/>
    <cellStyle name="Comma 7 6 3 3 3" xfId="47848"/>
    <cellStyle name="Comma 7 6 3 4" xfId="47849"/>
    <cellStyle name="Comma 7 6 3 4 2" xfId="47850"/>
    <cellStyle name="Comma 7 6 3 5" xfId="47851"/>
    <cellStyle name="Comma 7 6 3 6" xfId="47852"/>
    <cellStyle name="Comma 7 6 4" xfId="9175"/>
    <cellStyle name="Comma 7 6 4 2" xfId="47853"/>
    <cellStyle name="Comma 7 6 4 2 2" xfId="47854"/>
    <cellStyle name="Comma 7 6 4 2 3" xfId="47855"/>
    <cellStyle name="Comma 7 6 4 3" xfId="47856"/>
    <cellStyle name="Comma 7 6 4 3 2" xfId="47857"/>
    <cellStyle name="Comma 7 6 4 4" xfId="47858"/>
    <cellStyle name="Comma 7 6 4 5" xfId="47859"/>
    <cellStyle name="Comma 7 6 5" xfId="9176"/>
    <cellStyle name="Comma 7 6 5 2" xfId="47860"/>
    <cellStyle name="Comma 7 6 5 3" xfId="47861"/>
    <cellStyle name="Comma 7 6 6" xfId="47862"/>
    <cellStyle name="Comma 7 6 6 2" xfId="47863"/>
    <cellStyle name="Comma 7 6 6 3" xfId="47864"/>
    <cellStyle name="Comma 7 6 7" xfId="47865"/>
    <cellStyle name="Comma 7 6 7 2" xfId="47866"/>
    <cellStyle name="Comma 7 6 8" xfId="47867"/>
    <cellStyle name="Comma 7 6 9" xfId="47868"/>
    <cellStyle name="Comma 7 7" xfId="3723"/>
    <cellStyle name="Comma 7 7 2" xfId="8787"/>
    <cellStyle name="Comma 7 7 2 2" xfId="9177"/>
    <cellStyle name="Comma 7 7 2 2 2" xfId="47869"/>
    <cellStyle name="Comma 7 7 2 2 3" xfId="47870"/>
    <cellStyle name="Comma 7 7 2 3" xfId="47871"/>
    <cellStyle name="Comma 7 7 2 3 2" xfId="47872"/>
    <cellStyle name="Comma 7 7 2 3 3" xfId="47873"/>
    <cellStyle name="Comma 7 7 2 4" xfId="47874"/>
    <cellStyle name="Comma 7 7 2 4 2" xfId="47875"/>
    <cellStyle name="Comma 7 7 2 5" xfId="47876"/>
    <cellStyle name="Comma 7 7 2 6" xfId="47877"/>
    <cellStyle name="Comma 7 7 3" xfId="9178"/>
    <cellStyle name="Comma 7 7 3 2" xfId="47878"/>
    <cellStyle name="Comma 7 7 3 2 2" xfId="47879"/>
    <cellStyle name="Comma 7 7 3 2 3" xfId="47880"/>
    <cellStyle name="Comma 7 7 3 3" xfId="47881"/>
    <cellStyle name="Comma 7 7 3 3 2" xfId="47882"/>
    <cellStyle name="Comma 7 7 3 3 3" xfId="47883"/>
    <cellStyle name="Comma 7 7 3 4" xfId="47884"/>
    <cellStyle name="Comma 7 7 3 4 2" xfId="47885"/>
    <cellStyle name="Comma 7 7 3 5" xfId="47886"/>
    <cellStyle name="Comma 7 7 3 6" xfId="47887"/>
    <cellStyle name="Comma 7 7 4" xfId="9179"/>
    <cellStyle name="Comma 7 7 4 2" xfId="47888"/>
    <cellStyle name="Comma 7 7 4 2 2" xfId="47889"/>
    <cellStyle name="Comma 7 7 4 2 3" xfId="47890"/>
    <cellStyle name="Comma 7 7 4 3" xfId="47891"/>
    <cellStyle name="Comma 7 7 4 3 2" xfId="47892"/>
    <cellStyle name="Comma 7 7 4 4" xfId="47893"/>
    <cellStyle name="Comma 7 7 4 5" xfId="47894"/>
    <cellStyle name="Comma 7 7 5" xfId="47895"/>
    <cellStyle name="Comma 7 7 5 2" xfId="47896"/>
    <cellStyle name="Comma 7 7 5 3" xfId="47897"/>
    <cellStyle name="Comma 7 7 6" xfId="47898"/>
    <cellStyle name="Comma 7 7 6 2" xfId="47899"/>
    <cellStyle name="Comma 7 7 6 3" xfId="47900"/>
    <cellStyle name="Comma 7 7 7" xfId="47901"/>
    <cellStyle name="Comma 7 7 7 2" xfId="47902"/>
    <cellStyle name="Comma 7 7 8" xfId="47903"/>
    <cellStyle name="Comma 7 7 9" xfId="47904"/>
    <cellStyle name="Comma 7 8" xfId="3724"/>
    <cellStyle name="Comma 7 8 2" xfId="9180"/>
    <cellStyle name="Comma 7 8 2 2" xfId="47905"/>
    <cellStyle name="Comma 7 8 2 3" xfId="47906"/>
    <cellStyle name="Comma 7 8 3" xfId="9181"/>
    <cellStyle name="Comma 7 8 3 2" xfId="47907"/>
    <cellStyle name="Comma 7 8 3 3" xfId="47908"/>
    <cellStyle name="Comma 7 8 4" xfId="47909"/>
    <cellStyle name="Comma 7 8 4 2" xfId="47910"/>
    <cellStyle name="Comma 7 8 5" xfId="47911"/>
    <cellStyle name="Comma 7 8 6" xfId="47912"/>
    <cellStyle name="Comma 7 9" xfId="9182"/>
    <cellStyle name="Comma 7 9 2" xfId="9498"/>
    <cellStyle name="Comma 7 9 2 2" xfId="47913"/>
    <cellStyle name="Comma 7 9 2 3" xfId="47914"/>
    <cellStyle name="Comma 7 9 3" xfId="47915"/>
    <cellStyle name="Comma 7 9 3 2" xfId="47916"/>
    <cellStyle name="Comma 7 9 3 3" xfId="47917"/>
    <cellStyle name="Comma 7 9 4" xfId="47918"/>
    <cellStyle name="Comma 7 9 4 2" xfId="47919"/>
    <cellStyle name="Comma 7 9 5" xfId="47920"/>
    <cellStyle name="Comma 7 9 6" xfId="47921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2"/>
    <cellStyle name="Comma 8 10 2" xfId="47923"/>
    <cellStyle name="Comma 8 10 2 2" xfId="47924"/>
    <cellStyle name="Comma 8 10 2 3" xfId="47925"/>
    <cellStyle name="Comma 8 10 3" xfId="47926"/>
    <cellStyle name="Comma 8 10 3 2" xfId="47927"/>
    <cellStyle name="Comma 8 10 4" xfId="47928"/>
    <cellStyle name="Comma 8 10 5" xfId="47929"/>
    <cellStyle name="Comma 8 11" xfId="47930"/>
    <cellStyle name="Comma 8 11 2" xfId="47931"/>
    <cellStyle name="Comma 8 11 3" xfId="47932"/>
    <cellStyle name="Comma 8 12" xfId="47933"/>
    <cellStyle name="Comma 8 12 2" xfId="47934"/>
    <cellStyle name="Comma 8 12 3" xfId="47935"/>
    <cellStyle name="Comma 8 13" xfId="47936"/>
    <cellStyle name="Comma 8 13 2" xfId="47937"/>
    <cellStyle name="Comma 8 14" xfId="47938"/>
    <cellStyle name="Comma 8 15" xfId="47939"/>
    <cellStyle name="Comma 8 16" xfId="47940"/>
    <cellStyle name="Comma 8 2" xfId="3741"/>
    <cellStyle name="Comma 8 2 10" xfId="47941"/>
    <cellStyle name="Comma 8 2 10 2" xfId="47942"/>
    <cellStyle name="Comma 8 2 10 3" xfId="47943"/>
    <cellStyle name="Comma 8 2 11" xfId="47944"/>
    <cellStyle name="Comma 8 2 11 2" xfId="47945"/>
    <cellStyle name="Comma 8 2 11 3" xfId="47946"/>
    <cellStyle name="Comma 8 2 12" xfId="47947"/>
    <cellStyle name="Comma 8 2 12 2" xfId="47948"/>
    <cellStyle name="Comma 8 2 13" xfId="47949"/>
    <cellStyle name="Comma 8 2 14" xfId="47950"/>
    <cellStyle name="Comma 8 2 15" xfId="47951"/>
    <cellStyle name="Comma 8 2 2" xfId="3742"/>
    <cellStyle name="Comma 8 2 2 10" xfId="47952"/>
    <cellStyle name="Comma 8 2 2 10 2" xfId="47953"/>
    <cellStyle name="Comma 8 2 2 10 3" xfId="47954"/>
    <cellStyle name="Comma 8 2 2 11" xfId="47955"/>
    <cellStyle name="Comma 8 2 2 11 2" xfId="47956"/>
    <cellStyle name="Comma 8 2 2 12" xfId="47957"/>
    <cellStyle name="Comma 8 2 2 13" xfId="47958"/>
    <cellStyle name="Comma 8 2 2 14" xfId="47959"/>
    <cellStyle name="Comma 8 2 2 2" xfId="9183"/>
    <cellStyle name="Comma 8 2 2 2 10" xfId="47960"/>
    <cellStyle name="Comma 8 2 2 2 10 2" xfId="47961"/>
    <cellStyle name="Comma 8 2 2 2 11" xfId="47962"/>
    <cellStyle name="Comma 8 2 2 2 12" xfId="47963"/>
    <cellStyle name="Comma 8 2 2 2 13" xfId="47964"/>
    <cellStyle name="Comma 8 2 2 2 2" xfId="47965"/>
    <cellStyle name="Comma 8 2 2 2 2 10" xfId="47966"/>
    <cellStyle name="Comma 8 2 2 2 2 2" xfId="47967"/>
    <cellStyle name="Comma 8 2 2 2 2 2 2" xfId="47968"/>
    <cellStyle name="Comma 8 2 2 2 2 2 2 2" xfId="47969"/>
    <cellStyle name="Comma 8 2 2 2 2 2 2 2 2" xfId="47970"/>
    <cellStyle name="Comma 8 2 2 2 2 2 2 2 3" xfId="47971"/>
    <cellStyle name="Comma 8 2 2 2 2 2 2 3" xfId="47972"/>
    <cellStyle name="Comma 8 2 2 2 2 2 2 3 2" xfId="47973"/>
    <cellStyle name="Comma 8 2 2 2 2 2 2 3 3" xfId="47974"/>
    <cellStyle name="Comma 8 2 2 2 2 2 2 4" xfId="47975"/>
    <cellStyle name="Comma 8 2 2 2 2 2 2 4 2" xfId="47976"/>
    <cellStyle name="Comma 8 2 2 2 2 2 2 5" xfId="47977"/>
    <cellStyle name="Comma 8 2 2 2 2 2 2 6" xfId="47978"/>
    <cellStyle name="Comma 8 2 2 2 2 2 3" xfId="47979"/>
    <cellStyle name="Comma 8 2 2 2 2 2 3 2" xfId="47980"/>
    <cellStyle name="Comma 8 2 2 2 2 2 3 2 2" xfId="47981"/>
    <cellStyle name="Comma 8 2 2 2 2 2 3 2 3" xfId="47982"/>
    <cellStyle name="Comma 8 2 2 2 2 2 3 3" xfId="47983"/>
    <cellStyle name="Comma 8 2 2 2 2 2 3 3 2" xfId="47984"/>
    <cellStyle name="Comma 8 2 2 2 2 2 3 3 3" xfId="47985"/>
    <cellStyle name="Comma 8 2 2 2 2 2 3 4" xfId="47986"/>
    <cellStyle name="Comma 8 2 2 2 2 2 3 4 2" xfId="47987"/>
    <cellStyle name="Comma 8 2 2 2 2 2 3 5" xfId="47988"/>
    <cellStyle name="Comma 8 2 2 2 2 2 3 6" xfId="47989"/>
    <cellStyle name="Comma 8 2 2 2 2 2 4" xfId="47990"/>
    <cellStyle name="Comma 8 2 2 2 2 2 4 2" xfId="47991"/>
    <cellStyle name="Comma 8 2 2 2 2 2 4 2 2" xfId="47992"/>
    <cellStyle name="Comma 8 2 2 2 2 2 4 2 3" xfId="47993"/>
    <cellStyle name="Comma 8 2 2 2 2 2 4 3" xfId="47994"/>
    <cellStyle name="Comma 8 2 2 2 2 2 4 3 2" xfId="47995"/>
    <cellStyle name="Comma 8 2 2 2 2 2 4 4" xfId="47996"/>
    <cellStyle name="Comma 8 2 2 2 2 2 4 5" xfId="47997"/>
    <cellStyle name="Comma 8 2 2 2 2 2 5" xfId="47998"/>
    <cellStyle name="Comma 8 2 2 2 2 2 5 2" xfId="47999"/>
    <cellStyle name="Comma 8 2 2 2 2 2 5 3" xfId="48000"/>
    <cellStyle name="Comma 8 2 2 2 2 2 6" xfId="48001"/>
    <cellStyle name="Comma 8 2 2 2 2 2 6 2" xfId="48002"/>
    <cellStyle name="Comma 8 2 2 2 2 2 6 3" xfId="48003"/>
    <cellStyle name="Comma 8 2 2 2 2 2 7" xfId="48004"/>
    <cellStyle name="Comma 8 2 2 2 2 2 7 2" xfId="48005"/>
    <cellStyle name="Comma 8 2 2 2 2 2 8" xfId="48006"/>
    <cellStyle name="Comma 8 2 2 2 2 2 9" xfId="48007"/>
    <cellStyle name="Comma 8 2 2 2 2 3" xfId="48008"/>
    <cellStyle name="Comma 8 2 2 2 2 3 2" xfId="48009"/>
    <cellStyle name="Comma 8 2 2 2 2 3 2 2" xfId="48010"/>
    <cellStyle name="Comma 8 2 2 2 2 3 2 3" xfId="48011"/>
    <cellStyle name="Comma 8 2 2 2 2 3 3" xfId="48012"/>
    <cellStyle name="Comma 8 2 2 2 2 3 3 2" xfId="48013"/>
    <cellStyle name="Comma 8 2 2 2 2 3 3 3" xfId="48014"/>
    <cellStyle name="Comma 8 2 2 2 2 3 4" xfId="48015"/>
    <cellStyle name="Comma 8 2 2 2 2 3 4 2" xfId="48016"/>
    <cellStyle name="Comma 8 2 2 2 2 3 5" xfId="48017"/>
    <cellStyle name="Comma 8 2 2 2 2 3 6" xfId="48018"/>
    <cellStyle name="Comma 8 2 2 2 2 4" xfId="48019"/>
    <cellStyle name="Comma 8 2 2 2 2 4 2" xfId="48020"/>
    <cellStyle name="Comma 8 2 2 2 2 4 2 2" xfId="48021"/>
    <cellStyle name="Comma 8 2 2 2 2 4 2 3" xfId="48022"/>
    <cellStyle name="Comma 8 2 2 2 2 4 3" xfId="48023"/>
    <cellStyle name="Comma 8 2 2 2 2 4 3 2" xfId="48024"/>
    <cellStyle name="Comma 8 2 2 2 2 4 3 3" xfId="48025"/>
    <cellStyle name="Comma 8 2 2 2 2 4 4" xfId="48026"/>
    <cellStyle name="Comma 8 2 2 2 2 4 4 2" xfId="48027"/>
    <cellStyle name="Comma 8 2 2 2 2 4 5" xfId="48028"/>
    <cellStyle name="Comma 8 2 2 2 2 4 6" xfId="48029"/>
    <cellStyle name="Comma 8 2 2 2 2 5" xfId="48030"/>
    <cellStyle name="Comma 8 2 2 2 2 5 2" xfId="48031"/>
    <cellStyle name="Comma 8 2 2 2 2 5 2 2" xfId="48032"/>
    <cellStyle name="Comma 8 2 2 2 2 5 2 3" xfId="48033"/>
    <cellStyle name="Comma 8 2 2 2 2 5 3" xfId="48034"/>
    <cellStyle name="Comma 8 2 2 2 2 5 3 2" xfId="48035"/>
    <cellStyle name="Comma 8 2 2 2 2 5 4" xfId="48036"/>
    <cellStyle name="Comma 8 2 2 2 2 5 5" xfId="48037"/>
    <cellStyle name="Comma 8 2 2 2 2 6" xfId="48038"/>
    <cellStyle name="Comma 8 2 2 2 2 6 2" xfId="48039"/>
    <cellStyle name="Comma 8 2 2 2 2 6 3" xfId="48040"/>
    <cellStyle name="Comma 8 2 2 2 2 7" xfId="48041"/>
    <cellStyle name="Comma 8 2 2 2 2 7 2" xfId="48042"/>
    <cellStyle name="Comma 8 2 2 2 2 7 3" xfId="48043"/>
    <cellStyle name="Comma 8 2 2 2 2 8" xfId="48044"/>
    <cellStyle name="Comma 8 2 2 2 2 8 2" xfId="48045"/>
    <cellStyle name="Comma 8 2 2 2 2 9" xfId="48046"/>
    <cellStyle name="Comma 8 2 2 2 3" xfId="48047"/>
    <cellStyle name="Comma 8 2 2 2 3 2" xfId="48048"/>
    <cellStyle name="Comma 8 2 2 2 3 2 2" xfId="48049"/>
    <cellStyle name="Comma 8 2 2 2 3 2 2 2" xfId="48050"/>
    <cellStyle name="Comma 8 2 2 2 3 2 2 3" xfId="48051"/>
    <cellStyle name="Comma 8 2 2 2 3 2 3" xfId="48052"/>
    <cellStyle name="Comma 8 2 2 2 3 2 3 2" xfId="48053"/>
    <cellStyle name="Comma 8 2 2 2 3 2 3 3" xfId="48054"/>
    <cellStyle name="Comma 8 2 2 2 3 2 4" xfId="48055"/>
    <cellStyle name="Comma 8 2 2 2 3 2 4 2" xfId="48056"/>
    <cellStyle name="Comma 8 2 2 2 3 2 5" xfId="48057"/>
    <cellStyle name="Comma 8 2 2 2 3 2 6" xfId="48058"/>
    <cellStyle name="Comma 8 2 2 2 3 3" xfId="48059"/>
    <cellStyle name="Comma 8 2 2 2 3 3 2" xfId="48060"/>
    <cellStyle name="Comma 8 2 2 2 3 3 2 2" xfId="48061"/>
    <cellStyle name="Comma 8 2 2 2 3 3 2 3" xfId="48062"/>
    <cellStyle name="Comma 8 2 2 2 3 3 3" xfId="48063"/>
    <cellStyle name="Comma 8 2 2 2 3 3 3 2" xfId="48064"/>
    <cellStyle name="Comma 8 2 2 2 3 3 3 3" xfId="48065"/>
    <cellStyle name="Comma 8 2 2 2 3 3 4" xfId="48066"/>
    <cellStyle name="Comma 8 2 2 2 3 3 4 2" xfId="48067"/>
    <cellStyle name="Comma 8 2 2 2 3 3 5" xfId="48068"/>
    <cellStyle name="Comma 8 2 2 2 3 3 6" xfId="48069"/>
    <cellStyle name="Comma 8 2 2 2 3 4" xfId="48070"/>
    <cellStyle name="Comma 8 2 2 2 3 4 2" xfId="48071"/>
    <cellStyle name="Comma 8 2 2 2 3 4 2 2" xfId="48072"/>
    <cellStyle name="Comma 8 2 2 2 3 4 2 3" xfId="48073"/>
    <cellStyle name="Comma 8 2 2 2 3 4 3" xfId="48074"/>
    <cellStyle name="Comma 8 2 2 2 3 4 3 2" xfId="48075"/>
    <cellStyle name="Comma 8 2 2 2 3 4 4" xfId="48076"/>
    <cellStyle name="Comma 8 2 2 2 3 4 5" xfId="48077"/>
    <cellStyle name="Comma 8 2 2 2 3 5" xfId="48078"/>
    <cellStyle name="Comma 8 2 2 2 3 5 2" xfId="48079"/>
    <cellStyle name="Comma 8 2 2 2 3 5 3" xfId="48080"/>
    <cellStyle name="Comma 8 2 2 2 3 6" xfId="48081"/>
    <cellStyle name="Comma 8 2 2 2 3 6 2" xfId="48082"/>
    <cellStyle name="Comma 8 2 2 2 3 6 3" xfId="48083"/>
    <cellStyle name="Comma 8 2 2 2 3 7" xfId="48084"/>
    <cellStyle name="Comma 8 2 2 2 3 7 2" xfId="48085"/>
    <cellStyle name="Comma 8 2 2 2 3 8" xfId="48086"/>
    <cellStyle name="Comma 8 2 2 2 3 9" xfId="48087"/>
    <cellStyle name="Comma 8 2 2 2 4" xfId="48088"/>
    <cellStyle name="Comma 8 2 2 2 4 2" xfId="48089"/>
    <cellStyle name="Comma 8 2 2 2 4 2 2" xfId="48090"/>
    <cellStyle name="Comma 8 2 2 2 4 2 2 2" xfId="48091"/>
    <cellStyle name="Comma 8 2 2 2 4 2 2 3" xfId="48092"/>
    <cellStyle name="Comma 8 2 2 2 4 2 3" xfId="48093"/>
    <cellStyle name="Comma 8 2 2 2 4 2 3 2" xfId="48094"/>
    <cellStyle name="Comma 8 2 2 2 4 2 3 3" xfId="48095"/>
    <cellStyle name="Comma 8 2 2 2 4 2 4" xfId="48096"/>
    <cellStyle name="Comma 8 2 2 2 4 2 4 2" xfId="48097"/>
    <cellStyle name="Comma 8 2 2 2 4 2 5" xfId="48098"/>
    <cellStyle name="Comma 8 2 2 2 4 2 6" xfId="48099"/>
    <cellStyle name="Comma 8 2 2 2 4 3" xfId="48100"/>
    <cellStyle name="Comma 8 2 2 2 4 3 2" xfId="48101"/>
    <cellStyle name="Comma 8 2 2 2 4 3 2 2" xfId="48102"/>
    <cellStyle name="Comma 8 2 2 2 4 3 2 3" xfId="48103"/>
    <cellStyle name="Comma 8 2 2 2 4 3 3" xfId="48104"/>
    <cellStyle name="Comma 8 2 2 2 4 3 3 2" xfId="48105"/>
    <cellStyle name="Comma 8 2 2 2 4 3 3 3" xfId="48106"/>
    <cellStyle name="Comma 8 2 2 2 4 3 4" xfId="48107"/>
    <cellStyle name="Comma 8 2 2 2 4 3 4 2" xfId="48108"/>
    <cellStyle name="Comma 8 2 2 2 4 3 5" xfId="48109"/>
    <cellStyle name="Comma 8 2 2 2 4 3 6" xfId="48110"/>
    <cellStyle name="Comma 8 2 2 2 4 4" xfId="48111"/>
    <cellStyle name="Comma 8 2 2 2 4 4 2" xfId="48112"/>
    <cellStyle name="Comma 8 2 2 2 4 4 2 2" xfId="48113"/>
    <cellStyle name="Comma 8 2 2 2 4 4 2 3" xfId="48114"/>
    <cellStyle name="Comma 8 2 2 2 4 4 3" xfId="48115"/>
    <cellStyle name="Comma 8 2 2 2 4 4 3 2" xfId="48116"/>
    <cellStyle name="Comma 8 2 2 2 4 4 4" xfId="48117"/>
    <cellStyle name="Comma 8 2 2 2 4 4 5" xfId="48118"/>
    <cellStyle name="Comma 8 2 2 2 4 5" xfId="48119"/>
    <cellStyle name="Comma 8 2 2 2 4 5 2" xfId="48120"/>
    <cellStyle name="Comma 8 2 2 2 4 5 3" xfId="48121"/>
    <cellStyle name="Comma 8 2 2 2 4 6" xfId="48122"/>
    <cellStyle name="Comma 8 2 2 2 4 6 2" xfId="48123"/>
    <cellStyle name="Comma 8 2 2 2 4 6 3" xfId="48124"/>
    <cellStyle name="Comma 8 2 2 2 4 7" xfId="48125"/>
    <cellStyle name="Comma 8 2 2 2 4 7 2" xfId="48126"/>
    <cellStyle name="Comma 8 2 2 2 4 8" xfId="48127"/>
    <cellStyle name="Comma 8 2 2 2 4 9" xfId="48128"/>
    <cellStyle name="Comma 8 2 2 2 5" xfId="48129"/>
    <cellStyle name="Comma 8 2 2 2 5 2" xfId="48130"/>
    <cellStyle name="Comma 8 2 2 2 5 2 2" xfId="48131"/>
    <cellStyle name="Comma 8 2 2 2 5 2 3" xfId="48132"/>
    <cellStyle name="Comma 8 2 2 2 5 3" xfId="48133"/>
    <cellStyle name="Comma 8 2 2 2 5 3 2" xfId="48134"/>
    <cellStyle name="Comma 8 2 2 2 5 3 3" xfId="48135"/>
    <cellStyle name="Comma 8 2 2 2 5 4" xfId="48136"/>
    <cellStyle name="Comma 8 2 2 2 5 4 2" xfId="48137"/>
    <cellStyle name="Comma 8 2 2 2 5 5" xfId="48138"/>
    <cellStyle name="Comma 8 2 2 2 5 6" xfId="48139"/>
    <cellStyle name="Comma 8 2 2 2 6" xfId="48140"/>
    <cellStyle name="Comma 8 2 2 2 6 2" xfId="48141"/>
    <cellStyle name="Comma 8 2 2 2 6 2 2" xfId="48142"/>
    <cellStyle name="Comma 8 2 2 2 6 2 3" xfId="48143"/>
    <cellStyle name="Comma 8 2 2 2 6 3" xfId="48144"/>
    <cellStyle name="Comma 8 2 2 2 6 3 2" xfId="48145"/>
    <cellStyle name="Comma 8 2 2 2 6 3 3" xfId="48146"/>
    <cellStyle name="Comma 8 2 2 2 6 4" xfId="48147"/>
    <cellStyle name="Comma 8 2 2 2 6 4 2" xfId="48148"/>
    <cellStyle name="Comma 8 2 2 2 6 5" xfId="48149"/>
    <cellStyle name="Comma 8 2 2 2 6 6" xfId="48150"/>
    <cellStyle name="Comma 8 2 2 2 7" xfId="48151"/>
    <cellStyle name="Comma 8 2 2 2 7 2" xfId="48152"/>
    <cellStyle name="Comma 8 2 2 2 7 2 2" xfId="48153"/>
    <cellStyle name="Comma 8 2 2 2 7 2 3" xfId="48154"/>
    <cellStyle name="Comma 8 2 2 2 7 3" xfId="48155"/>
    <cellStyle name="Comma 8 2 2 2 7 3 2" xfId="48156"/>
    <cellStyle name="Comma 8 2 2 2 7 4" xfId="48157"/>
    <cellStyle name="Comma 8 2 2 2 7 5" xfId="48158"/>
    <cellStyle name="Comma 8 2 2 2 8" xfId="48159"/>
    <cellStyle name="Comma 8 2 2 2 8 2" xfId="48160"/>
    <cellStyle name="Comma 8 2 2 2 8 3" xfId="48161"/>
    <cellStyle name="Comma 8 2 2 2 9" xfId="48162"/>
    <cellStyle name="Comma 8 2 2 2 9 2" xfId="48163"/>
    <cellStyle name="Comma 8 2 2 2 9 3" xfId="48164"/>
    <cellStyle name="Comma 8 2 2 3" xfId="9184"/>
    <cellStyle name="Comma 8 2 2 3 10" xfId="48165"/>
    <cellStyle name="Comma 8 2 2 3 2" xfId="48166"/>
    <cellStyle name="Comma 8 2 2 3 2 2" xfId="48167"/>
    <cellStyle name="Comma 8 2 2 3 2 2 2" xfId="48168"/>
    <cellStyle name="Comma 8 2 2 3 2 2 2 2" xfId="48169"/>
    <cellStyle name="Comma 8 2 2 3 2 2 2 3" xfId="48170"/>
    <cellStyle name="Comma 8 2 2 3 2 2 3" xfId="48171"/>
    <cellStyle name="Comma 8 2 2 3 2 2 3 2" xfId="48172"/>
    <cellStyle name="Comma 8 2 2 3 2 2 3 3" xfId="48173"/>
    <cellStyle name="Comma 8 2 2 3 2 2 4" xfId="48174"/>
    <cellStyle name="Comma 8 2 2 3 2 2 4 2" xfId="48175"/>
    <cellStyle name="Comma 8 2 2 3 2 2 5" xfId="48176"/>
    <cellStyle name="Comma 8 2 2 3 2 2 6" xfId="48177"/>
    <cellStyle name="Comma 8 2 2 3 2 3" xfId="48178"/>
    <cellStyle name="Comma 8 2 2 3 2 3 2" xfId="48179"/>
    <cellStyle name="Comma 8 2 2 3 2 3 2 2" xfId="48180"/>
    <cellStyle name="Comma 8 2 2 3 2 3 2 3" xfId="48181"/>
    <cellStyle name="Comma 8 2 2 3 2 3 3" xfId="48182"/>
    <cellStyle name="Comma 8 2 2 3 2 3 3 2" xfId="48183"/>
    <cellStyle name="Comma 8 2 2 3 2 3 3 3" xfId="48184"/>
    <cellStyle name="Comma 8 2 2 3 2 3 4" xfId="48185"/>
    <cellStyle name="Comma 8 2 2 3 2 3 4 2" xfId="48186"/>
    <cellStyle name="Comma 8 2 2 3 2 3 5" xfId="48187"/>
    <cellStyle name="Comma 8 2 2 3 2 3 6" xfId="48188"/>
    <cellStyle name="Comma 8 2 2 3 2 4" xfId="48189"/>
    <cellStyle name="Comma 8 2 2 3 2 4 2" xfId="48190"/>
    <cellStyle name="Comma 8 2 2 3 2 4 2 2" xfId="48191"/>
    <cellStyle name="Comma 8 2 2 3 2 4 2 3" xfId="48192"/>
    <cellStyle name="Comma 8 2 2 3 2 4 3" xfId="48193"/>
    <cellStyle name="Comma 8 2 2 3 2 4 3 2" xfId="48194"/>
    <cellStyle name="Comma 8 2 2 3 2 4 4" xfId="48195"/>
    <cellStyle name="Comma 8 2 2 3 2 4 5" xfId="48196"/>
    <cellStyle name="Comma 8 2 2 3 2 5" xfId="48197"/>
    <cellStyle name="Comma 8 2 2 3 2 5 2" xfId="48198"/>
    <cellStyle name="Comma 8 2 2 3 2 5 3" xfId="48199"/>
    <cellStyle name="Comma 8 2 2 3 2 6" xfId="48200"/>
    <cellStyle name="Comma 8 2 2 3 2 6 2" xfId="48201"/>
    <cellStyle name="Comma 8 2 2 3 2 6 3" xfId="48202"/>
    <cellStyle name="Comma 8 2 2 3 2 7" xfId="48203"/>
    <cellStyle name="Comma 8 2 2 3 2 7 2" xfId="48204"/>
    <cellStyle name="Comma 8 2 2 3 2 8" xfId="48205"/>
    <cellStyle name="Comma 8 2 2 3 2 9" xfId="48206"/>
    <cellStyle name="Comma 8 2 2 3 3" xfId="48207"/>
    <cellStyle name="Comma 8 2 2 3 3 2" xfId="48208"/>
    <cellStyle name="Comma 8 2 2 3 3 2 2" xfId="48209"/>
    <cellStyle name="Comma 8 2 2 3 3 2 3" xfId="48210"/>
    <cellStyle name="Comma 8 2 2 3 3 3" xfId="48211"/>
    <cellStyle name="Comma 8 2 2 3 3 3 2" xfId="48212"/>
    <cellStyle name="Comma 8 2 2 3 3 3 3" xfId="48213"/>
    <cellStyle name="Comma 8 2 2 3 3 4" xfId="48214"/>
    <cellStyle name="Comma 8 2 2 3 3 4 2" xfId="48215"/>
    <cellStyle name="Comma 8 2 2 3 3 5" xfId="48216"/>
    <cellStyle name="Comma 8 2 2 3 3 6" xfId="48217"/>
    <cellStyle name="Comma 8 2 2 3 4" xfId="48218"/>
    <cellStyle name="Comma 8 2 2 3 4 2" xfId="48219"/>
    <cellStyle name="Comma 8 2 2 3 4 2 2" xfId="48220"/>
    <cellStyle name="Comma 8 2 2 3 4 2 3" xfId="48221"/>
    <cellStyle name="Comma 8 2 2 3 4 3" xfId="48222"/>
    <cellStyle name="Comma 8 2 2 3 4 3 2" xfId="48223"/>
    <cellStyle name="Comma 8 2 2 3 4 3 3" xfId="48224"/>
    <cellStyle name="Comma 8 2 2 3 4 4" xfId="48225"/>
    <cellStyle name="Comma 8 2 2 3 4 4 2" xfId="48226"/>
    <cellStyle name="Comma 8 2 2 3 4 5" xfId="48227"/>
    <cellStyle name="Comma 8 2 2 3 4 6" xfId="48228"/>
    <cellStyle name="Comma 8 2 2 3 5" xfId="48229"/>
    <cellStyle name="Comma 8 2 2 3 5 2" xfId="48230"/>
    <cellStyle name="Comma 8 2 2 3 5 2 2" xfId="48231"/>
    <cellStyle name="Comma 8 2 2 3 5 2 3" xfId="48232"/>
    <cellStyle name="Comma 8 2 2 3 5 3" xfId="48233"/>
    <cellStyle name="Comma 8 2 2 3 5 3 2" xfId="48234"/>
    <cellStyle name="Comma 8 2 2 3 5 4" xfId="48235"/>
    <cellStyle name="Comma 8 2 2 3 5 5" xfId="48236"/>
    <cellStyle name="Comma 8 2 2 3 6" xfId="48237"/>
    <cellStyle name="Comma 8 2 2 3 6 2" xfId="48238"/>
    <cellStyle name="Comma 8 2 2 3 6 3" xfId="48239"/>
    <cellStyle name="Comma 8 2 2 3 7" xfId="48240"/>
    <cellStyle name="Comma 8 2 2 3 7 2" xfId="48241"/>
    <cellStyle name="Comma 8 2 2 3 7 3" xfId="48242"/>
    <cellStyle name="Comma 8 2 2 3 8" xfId="48243"/>
    <cellStyle name="Comma 8 2 2 3 8 2" xfId="48244"/>
    <cellStyle name="Comma 8 2 2 3 9" xfId="48245"/>
    <cellStyle name="Comma 8 2 2 4" xfId="48246"/>
    <cellStyle name="Comma 8 2 2 4 2" xfId="48247"/>
    <cellStyle name="Comma 8 2 2 4 2 2" xfId="48248"/>
    <cellStyle name="Comma 8 2 2 4 2 2 2" xfId="48249"/>
    <cellStyle name="Comma 8 2 2 4 2 2 3" xfId="48250"/>
    <cellStyle name="Comma 8 2 2 4 2 3" xfId="48251"/>
    <cellStyle name="Comma 8 2 2 4 2 3 2" xfId="48252"/>
    <cellStyle name="Comma 8 2 2 4 2 3 3" xfId="48253"/>
    <cellStyle name="Comma 8 2 2 4 2 4" xfId="48254"/>
    <cellStyle name="Comma 8 2 2 4 2 4 2" xfId="48255"/>
    <cellStyle name="Comma 8 2 2 4 2 5" xfId="48256"/>
    <cellStyle name="Comma 8 2 2 4 2 6" xfId="48257"/>
    <cellStyle name="Comma 8 2 2 4 3" xfId="48258"/>
    <cellStyle name="Comma 8 2 2 4 3 2" xfId="48259"/>
    <cellStyle name="Comma 8 2 2 4 3 2 2" xfId="48260"/>
    <cellStyle name="Comma 8 2 2 4 3 2 3" xfId="48261"/>
    <cellStyle name="Comma 8 2 2 4 3 3" xfId="48262"/>
    <cellStyle name="Comma 8 2 2 4 3 3 2" xfId="48263"/>
    <cellStyle name="Comma 8 2 2 4 3 3 3" xfId="48264"/>
    <cellStyle name="Comma 8 2 2 4 3 4" xfId="48265"/>
    <cellStyle name="Comma 8 2 2 4 3 4 2" xfId="48266"/>
    <cellStyle name="Comma 8 2 2 4 3 5" xfId="48267"/>
    <cellStyle name="Comma 8 2 2 4 3 6" xfId="48268"/>
    <cellStyle name="Comma 8 2 2 4 4" xfId="48269"/>
    <cellStyle name="Comma 8 2 2 4 4 2" xfId="48270"/>
    <cellStyle name="Comma 8 2 2 4 4 2 2" xfId="48271"/>
    <cellStyle name="Comma 8 2 2 4 4 2 3" xfId="48272"/>
    <cellStyle name="Comma 8 2 2 4 4 3" xfId="48273"/>
    <cellStyle name="Comma 8 2 2 4 4 3 2" xfId="48274"/>
    <cellStyle name="Comma 8 2 2 4 4 4" xfId="48275"/>
    <cellStyle name="Comma 8 2 2 4 4 5" xfId="48276"/>
    <cellStyle name="Comma 8 2 2 4 5" xfId="48277"/>
    <cellStyle name="Comma 8 2 2 4 5 2" xfId="48278"/>
    <cellStyle name="Comma 8 2 2 4 5 3" xfId="48279"/>
    <cellStyle name="Comma 8 2 2 4 6" xfId="48280"/>
    <cellStyle name="Comma 8 2 2 4 6 2" xfId="48281"/>
    <cellStyle name="Comma 8 2 2 4 6 3" xfId="48282"/>
    <cellStyle name="Comma 8 2 2 4 7" xfId="48283"/>
    <cellStyle name="Comma 8 2 2 4 7 2" xfId="48284"/>
    <cellStyle name="Comma 8 2 2 4 8" xfId="48285"/>
    <cellStyle name="Comma 8 2 2 4 9" xfId="48286"/>
    <cellStyle name="Comma 8 2 2 5" xfId="48287"/>
    <cellStyle name="Comma 8 2 2 5 2" xfId="48288"/>
    <cellStyle name="Comma 8 2 2 5 2 2" xfId="48289"/>
    <cellStyle name="Comma 8 2 2 5 2 2 2" xfId="48290"/>
    <cellStyle name="Comma 8 2 2 5 2 2 3" xfId="48291"/>
    <cellStyle name="Comma 8 2 2 5 2 3" xfId="48292"/>
    <cellStyle name="Comma 8 2 2 5 2 3 2" xfId="48293"/>
    <cellStyle name="Comma 8 2 2 5 2 3 3" xfId="48294"/>
    <cellStyle name="Comma 8 2 2 5 2 4" xfId="48295"/>
    <cellStyle name="Comma 8 2 2 5 2 4 2" xfId="48296"/>
    <cellStyle name="Comma 8 2 2 5 2 5" xfId="48297"/>
    <cellStyle name="Comma 8 2 2 5 2 6" xfId="48298"/>
    <cellStyle name="Comma 8 2 2 5 3" xfId="48299"/>
    <cellStyle name="Comma 8 2 2 5 3 2" xfId="48300"/>
    <cellStyle name="Comma 8 2 2 5 3 2 2" xfId="48301"/>
    <cellStyle name="Comma 8 2 2 5 3 2 3" xfId="48302"/>
    <cellStyle name="Comma 8 2 2 5 3 3" xfId="48303"/>
    <cellStyle name="Comma 8 2 2 5 3 3 2" xfId="48304"/>
    <cellStyle name="Comma 8 2 2 5 3 3 3" xfId="48305"/>
    <cellStyle name="Comma 8 2 2 5 3 4" xfId="48306"/>
    <cellStyle name="Comma 8 2 2 5 3 4 2" xfId="48307"/>
    <cellStyle name="Comma 8 2 2 5 3 5" xfId="48308"/>
    <cellStyle name="Comma 8 2 2 5 3 6" xfId="48309"/>
    <cellStyle name="Comma 8 2 2 5 4" xfId="48310"/>
    <cellStyle name="Comma 8 2 2 5 4 2" xfId="48311"/>
    <cellStyle name="Comma 8 2 2 5 4 2 2" xfId="48312"/>
    <cellStyle name="Comma 8 2 2 5 4 2 3" xfId="48313"/>
    <cellStyle name="Comma 8 2 2 5 4 3" xfId="48314"/>
    <cellStyle name="Comma 8 2 2 5 4 3 2" xfId="48315"/>
    <cellStyle name="Comma 8 2 2 5 4 4" xfId="48316"/>
    <cellStyle name="Comma 8 2 2 5 4 5" xfId="48317"/>
    <cellStyle name="Comma 8 2 2 5 5" xfId="48318"/>
    <cellStyle name="Comma 8 2 2 5 5 2" xfId="48319"/>
    <cellStyle name="Comma 8 2 2 5 5 3" xfId="48320"/>
    <cellStyle name="Comma 8 2 2 5 6" xfId="48321"/>
    <cellStyle name="Comma 8 2 2 5 6 2" xfId="48322"/>
    <cellStyle name="Comma 8 2 2 5 6 3" xfId="48323"/>
    <cellStyle name="Comma 8 2 2 5 7" xfId="48324"/>
    <cellStyle name="Comma 8 2 2 5 7 2" xfId="48325"/>
    <cellStyle name="Comma 8 2 2 5 8" xfId="48326"/>
    <cellStyle name="Comma 8 2 2 5 9" xfId="48327"/>
    <cellStyle name="Comma 8 2 2 6" xfId="48328"/>
    <cellStyle name="Comma 8 2 2 6 2" xfId="48329"/>
    <cellStyle name="Comma 8 2 2 6 2 2" xfId="48330"/>
    <cellStyle name="Comma 8 2 2 6 2 3" xfId="48331"/>
    <cellStyle name="Comma 8 2 2 6 3" xfId="48332"/>
    <cellStyle name="Comma 8 2 2 6 3 2" xfId="48333"/>
    <cellStyle name="Comma 8 2 2 6 3 3" xfId="48334"/>
    <cellStyle name="Comma 8 2 2 6 4" xfId="48335"/>
    <cellStyle name="Comma 8 2 2 6 4 2" xfId="48336"/>
    <cellStyle name="Comma 8 2 2 6 5" xfId="48337"/>
    <cellStyle name="Comma 8 2 2 6 6" xfId="48338"/>
    <cellStyle name="Comma 8 2 2 7" xfId="48339"/>
    <cellStyle name="Comma 8 2 2 7 2" xfId="48340"/>
    <cellStyle name="Comma 8 2 2 7 2 2" xfId="48341"/>
    <cellStyle name="Comma 8 2 2 7 2 3" xfId="48342"/>
    <cellStyle name="Comma 8 2 2 7 3" xfId="48343"/>
    <cellStyle name="Comma 8 2 2 7 3 2" xfId="48344"/>
    <cellStyle name="Comma 8 2 2 7 3 3" xfId="48345"/>
    <cellStyle name="Comma 8 2 2 7 4" xfId="48346"/>
    <cellStyle name="Comma 8 2 2 7 4 2" xfId="48347"/>
    <cellStyle name="Comma 8 2 2 7 5" xfId="48348"/>
    <cellStyle name="Comma 8 2 2 7 6" xfId="48349"/>
    <cellStyle name="Comma 8 2 2 8" xfId="48350"/>
    <cellStyle name="Comma 8 2 2 8 2" xfId="48351"/>
    <cellStyle name="Comma 8 2 2 8 2 2" xfId="48352"/>
    <cellStyle name="Comma 8 2 2 8 2 3" xfId="48353"/>
    <cellStyle name="Comma 8 2 2 8 3" xfId="48354"/>
    <cellStyle name="Comma 8 2 2 8 3 2" xfId="48355"/>
    <cellStyle name="Comma 8 2 2 8 4" xfId="48356"/>
    <cellStyle name="Comma 8 2 2 8 5" xfId="48357"/>
    <cellStyle name="Comma 8 2 2 9" xfId="48358"/>
    <cellStyle name="Comma 8 2 2 9 2" xfId="48359"/>
    <cellStyle name="Comma 8 2 2 9 3" xfId="48360"/>
    <cellStyle name="Comma 8 2 3" xfId="9185"/>
    <cellStyle name="Comma 8 2 3 10" xfId="48361"/>
    <cellStyle name="Comma 8 2 3 10 2" xfId="48362"/>
    <cellStyle name="Comma 8 2 3 11" xfId="48363"/>
    <cellStyle name="Comma 8 2 3 12" xfId="48364"/>
    <cellStyle name="Comma 8 2 3 13" xfId="48365"/>
    <cellStyle name="Comma 8 2 3 2" xfId="48366"/>
    <cellStyle name="Comma 8 2 3 2 10" xfId="48367"/>
    <cellStyle name="Comma 8 2 3 2 2" xfId="48368"/>
    <cellStyle name="Comma 8 2 3 2 2 2" xfId="48369"/>
    <cellStyle name="Comma 8 2 3 2 2 2 2" xfId="48370"/>
    <cellStyle name="Comma 8 2 3 2 2 2 2 2" xfId="48371"/>
    <cellStyle name="Comma 8 2 3 2 2 2 2 3" xfId="48372"/>
    <cellStyle name="Comma 8 2 3 2 2 2 3" xfId="48373"/>
    <cellStyle name="Comma 8 2 3 2 2 2 3 2" xfId="48374"/>
    <cellStyle name="Comma 8 2 3 2 2 2 3 3" xfId="48375"/>
    <cellStyle name="Comma 8 2 3 2 2 2 4" xfId="48376"/>
    <cellStyle name="Comma 8 2 3 2 2 2 4 2" xfId="48377"/>
    <cellStyle name="Comma 8 2 3 2 2 2 5" xfId="48378"/>
    <cellStyle name="Comma 8 2 3 2 2 2 6" xfId="48379"/>
    <cellStyle name="Comma 8 2 3 2 2 3" xfId="48380"/>
    <cellStyle name="Comma 8 2 3 2 2 3 2" xfId="48381"/>
    <cellStyle name="Comma 8 2 3 2 2 3 2 2" xfId="48382"/>
    <cellStyle name="Comma 8 2 3 2 2 3 2 3" xfId="48383"/>
    <cellStyle name="Comma 8 2 3 2 2 3 3" xfId="48384"/>
    <cellStyle name="Comma 8 2 3 2 2 3 3 2" xfId="48385"/>
    <cellStyle name="Comma 8 2 3 2 2 3 3 3" xfId="48386"/>
    <cellStyle name="Comma 8 2 3 2 2 3 4" xfId="48387"/>
    <cellStyle name="Comma 8 2 3 2 2 3 4 2" xfId="48388"/>
    <cellStyle name="Comma 8 2 3 2 2 3 5" xfId="48389"/>
    <cellStyle name="Comma 8 2 3 2 2 3 6" xfId="48390"/>
    <cellStyle name="Comma 8 2 3 2 2 4" xfId="48391"/>
    <cellStyle name="Comma 8 2 3 2 2 4 2" xfId="48392"/>
    <cellStyle name="Comma 8 2 3 2 2 4 2 2" xfId="48393"/>
    <cellStyle name="Comma 8 2 3 2 2 4 2 3" xfId="48394"/>
    <cellStyle name="Comma 8 2 3 2 2 4 3" xfId="48395"/>
    <cellStyle name="Comma 8 2 3 2 2 4 3 2" xfId="48396"/>
    <cellStyle name="Comma 8 2 3 2 2 4 4" xfId="48397"/>
    <cellStyle name="Comma 8 2 3 2 2 4 5" xfId="48398"/>
    <cellStyle name="Comma 8 2 3 2 2 5" xfId="48399"/>
    <cellStyle name="Comma 8 2 3 2 2 5 2" xfId="48400"/>
    <cellStyle name="Comma 8 2 3 2 2 5 3" xfId="48401"/>
    <cellStyle name="Comma 8 2 3 2 2 6" xfId="48402"/>
    <cellStyle name="Comma 8 2 3 2 2 6 2" xfId="48403"/>
    <cellStyle name="Comma 8 2 3 2 2 6 3" xfId="48404"/>
    <cellStyle name="Comma 8 2 3 2 2 7" xfId="48405"/>
    <cellStyle name="Comma 8 2 3 2 2 7 2" xfId="48406"/>
    <cellStyle name="Comma 8 2 3 2 2 8" xfId="48407"/>
    <cellStyle name="Comma 8 2 3 2 2 9" xfId="48408"/>
    <cellStyle name="Comma 8 2 3 2 3" xfId="48409"/>
    <cellStyle name="Comma 8 2 3 2 3 2" xfId="48410"/>
    <cellStyle name="Comma 8 2 3 2 3 2 2" xfId="48411"/>
    <cellStyle name="Comma 8 2 3 2 3 2 3" xfId="48412"/>
    <cellStyle name="Comma 8 2 3 2 3 3" xfId="48413"/>
    <cellStyle name="Comma 8 2 3 2 3 3 2" xfId="48414"/>
    <cellStyle name="Comma 8 2 3 2 3 3 3" xfId="48415"/>
    <cellStyle name="Comma 8 2 3 2 3 4" xfId="48416"/>
    <cellStyle name="Comma 8 2 3 2 3 4 2" xfId="48417"/>
    <cellStyle name="Comma 8 2 3 2 3 5" xfId="48418"/>
    <cellStyle name="Comma 8 2 3 2 3 6" xfId="48419"/>
    <cellStyle name="Comma 8 2 3 2 4" xfId="48420"/>
    <cellStyle name="Comma 8 2 3 2 4 2" xfId="48421"/>
    <cellStyle name="Comma 8 2 3 2 4 2 2" xfId="48422"/>
    <cellStyle name="Comma 8 2 3 2 4 2 3" xfId="48423"/>
    <cellStyle name="Comma 8 2 3 2 4 3" xfId="48424"/>
    <cellStyle name="Comma 8 2 3 2 4 3 2" xfId="48425"/>
    <cellStyle name="Comma 8 2 3 2 4 3 3" xfId="48426"/>
    <cellStyle name="Comma 8 2 3 2 4 4" xfId="48427"/>
    <cellStyle name="Comma 8 2 3 2 4 4 2" xfId="48428"/>
    <cellStyle name="Comma 8 2 3 2 4 5" xfId="48429"/>
    <cellStyle name="Comma 8 2 3 2 4 6" xfId="48430"/>
    <cellStyle name="Comma 8 2 3 2 5" xfId="48431"/>
    <cellStyle name="Comma 8 2 3 2 5 2" xfId="48432"/>
    <cellStyle name="Comma 8 2 3 2 5 2 2" xfId="48433"/>
    <cellStyle name="Comma 8 2 3 2 5 2 3" xfId="48434"/>
    <cellStyle name="Comma 8 2 3 2 5 3" xfId="48435"/>
    <cellStyle name="Comma 8 2 3 2 5 3 2" xfId="48436"/>
    <cellStyle name="Comma 8 2 3 2 5 4" xfId="48437"/>
    <cellStyle name="Comma 8 2 3 2 5 5" xfId="48438"/>
    <cellStyle name="Comma 8 2 3 2 6" xfId="48439"/>
    <cellStyle name="Comma 8 2 3 2 6 2" xfId="48440"/>
    <cellStyle name="Comma 8 2 3 2 6 3" xfId="48441"/>
    <cellStyle name="Comma 8 2 3 2 7" xfId="48442"/>
    <cellStyle name="Comma 8 2 3 2 7 2" xfId="48443"/>
    <cellStyle name="Comma 8 2 3 2 7 3" xfId="48444"/>
    <cellStyle name="Comma 8 2 3 2 8" xfId="48445"/>
    <cellStyle name="Comma 8 2 3 2 8 2" xfId="48446"/>
    <cellStyle name="Comma 8 2 3 2 9" xfId="48447"/>
    <cellStyle name="Comma 8 2 3 3" xfId="48448"/>
    <cellStyle name="Comma 8 2 3 3 2" xfId="48449"/>
    <cellStyle name="Comma 8 2 3 3 2 2" xfId="48450"/>
    <cellStyle name="Comma 8 2 3 3 2 2 2" xfId="48451"/>
    <cellStyle name="Comma 8 2 3 3 2 2 3" xfId="48452"/>
    <cellStyle name="Comma 8 2 3 3 2 3" xfId="48453"/>
    <cellStyle name="Comma 8 2 3 3 2 3 2" xfId="48454"/>
    <cellStyle name="Comma 8 2 3 3 2 3 3" xfId="48455"/>
    <cellStyle name="Comma 8 2 3 3 2 4" xfId="48456"/>
    <cellStyle name="Comma 8 2 3 3 2 4 2" xfId="48457"/>
    <cellStyle name="Comma 8 2 3 3 2 5" xfId="48458"/>
    <cellStyle name="Comma 8 2 3 3 2 6" xfId="48459"/>
    <cellStyle name="Comma 8 2 3 3 3" xfId="48460"/>
    <cellStyle name="Comma 8 2 3 3 3 2" xfId="48461"/>
    <cellStyle name="Comma 8 2 3 3 3 2 2" xfId="48462"/>
    <cellStyle name="Comma 8 2 3 3 3 2 3" xfId="48463"/>
    <cellStyle name="Comma 8 2 3 3 3 3" xfId="48464"/>
    <cellStyle name="Comma 8 2 3 3 3 3 2" xfId="48465"/>
    <cellStyle name="Comma 8 2 3 3 3 3 3" xfId="48466"/>
    <cellStyle name="Comma 8 2 3 3 3 4" xfId="48467"/>
    <cellStyle name="Comma 8 2 3 3 3 4 2" xfId="48468"/>
    <cellStyle name="Comma 8 2 3 3 3 5" xfId="48469"/>
    <cellStyle name="Comma 8 2 3 3 3 6" xfId="48470"/>
    <cellStyle name="Comma 8 2 3 3 4" xfId="48471"/>
    <cellStyle name="Comma 8 2 3 3 4 2" xfId="48472"/>
    <cellStyle name="Comma 8 2 3 3 4 2 2" xfId="48473"/>
    <cellStyle name="Comma 8 2 3 3 4 2 3" xfId="48474"/>
    <cellStyle name="Comma 8 2 3 3 4 3" xfId="48475"/>
    <cellStyle name="Comma 8 2 3 3 4 3 2" xfId="48476"/>
    <cellStyle name="Comma 8 2 3 3 4 4" xfId="48477"/>
    <cellStyle name="Comma 8 2 3 3 4 5" xfId="48478"/>
    <cellStyle name="Comma 8 2 3 3 5" xfId="48479"/>
    <cellStyle name="Comma 8 2 3 3 5 2" xfId="48480"/>
    <cellStyle name="Comma 8 2 3 3 5 3" xfId="48481"/>
    <cellStyle name="Comma 8 2 3 3 6" xfId="48482"/>
    <cellStyle name="Comma 8 2 3 3 6 2" xfId="48483"/>
    <cellStyle name="Comma 8 2 3 3 6 3" xfId="48484"/>
    <cellStyle name="Comma 8 2 3 3 7" xfId="48485"/>
    <cellStyle name="Comma 8 2 3 3 7 2" xfId="48486"/>
    <cellStyle name="Comma 8 2 3 3 8" xfId="48487"/>
    <cellStyle name="Comma 8 2 3 3 9" xfId="48488"/>
    <cellStyle name="Comma 8 2 3 4" xfId="48489"/>
    <cellStyle name="Comma 8 2 3 4 2" xfId="48490"/>
    <cellStyle name="Comma 8 2 3 4 2 2" xfId="48491"/>
    <cellStyle name="Comma 8 2 3 4 2 2 2" xfId="48492"/>
    <cellStyle name="Comma 8 2 3 4 2 2 3" xfId="48493"/>
    <cellStyle name="Comma 8 2 3 4 2 3" xfId="48494"/>
    <cellStyle name="Comma 8 2 3 4 2 3 2" xfId="48495"/>
    <cellStyle name="Comma 8 2 3 4 2 3 3" xfId="48496"/>
    <cellStyle name="Comma 8 2 3 4 2 4" xfId="48497"/>
    <cellStyle name="Comma 8 2 3 4 2 4 2" xfId="48498"/>
    <cellStyle name="Comma 8 2 3 4 2 5" xfId="48499"/>
    <cellStyle name="Comma 8 2 3 4 2 6" xfId="48500"/>
    <cellStyle name="Comma 8 2 3 4 3" xfId="48501"/>
    <cellStyle name="Comma 8 2 3 4 3 2" xfId="48502"/>
    <cellStyle name="Comma 8 2 3 4 3 2 2" xfId="48503"/>
    <cellStyle name="Comma 8 2 3 4 3 2 3" xfId="48504"/>
    <cellStyle name="Comma 8 2 3 4 3 3" xfId="48505"/>
    <cellStyle name="Comma 8 2 3 4 3 3 2" xfId="48506"/>
    <cellStyle name="Comma 8 2 3 4 3 3 3" xfId="48507"/>
    <cellStyle name="Comma 8 2 3 4 3 4" xfId="48508"/>
    <cellStyle name="Comma 8 2 3 4 3 4 2" xfId="48509"/>
    <cellStyle name="Comma 8 2 3 4 3 5" xfId="48510"/>
    <cellStyle name="Comma 8 2 3 4 3 6" xfId="48511"/>
    <cellStyle name="Comma 8 2 3 4 4" xfId="48512"/>
    <cellStyle name="Comma 8 2 3 4 4 2" xfId="48513"/>
    <cellStyle name="Comma 8 2 3 4 4 2 2" xfId="48514"/>
    <cellStyle name="Comma 8 2 3 4 4 2 3" xfId="48515"/>
    <cellStyle name="Comma 8 2 3 4 4 3" xfId="48516"/>
    <cellStyle name="Comma 8 2 3 4 4 3 2" xfId="48517"/>
    <cellStyle name="Comma 8 2 3 4 4 4" xfId="48518"/>
    <cellStyle name="Comma 8 2 3 4 4 5" xfId="48519"/>
    <cellStyle name="Comma 8 2 3 4 5" xfId="48520"/>
    <cellStyle name="Comma 8 2 3 4 5 2" xfId="48521"/>
    <cellStyle name="Comma 8 2 3 4 5 3" xfId="48522"/>
    <cellStyle name="Comma 8 2 3 4 6" xfId="48523"/>
    <cellStyle name="Comma 8 2 3 4 6 2" xfId="48524"/>
    <cellStyle name="Comma 8 2 3 4 6 3" xfId="48525"/>
    <cellStyle name="Comma 8 2 3 4 7" xfId="48526"/>
    <cellStyle name="Comma 8 2 3 4 7 2" xfId="48527"/>
    <cellStyle name="Comma 8 2 3 4 8" xfId="48528"/>
    <cellStyle name="Comma 8 2 3 4 9" xfId="48529"/>
    <cellStyle name="Comma 8 2 3 5" xfId="48530"/>
    <cellStyle name="Comma 8 2 3 5 2" xfId="48531"/>
    <cellStyle name="Comma 8 2 3 5 2 2" xfId="48532"/>
    <cellStyle name="Comma 8 2 3 5 2 3" xfId="48533"/>
    <cellStyle name="Comma 8 2 3 5 3" xfId="48534"/>
    <cellStyle name="Comma 8 2 3 5 3 2" xfId="48535"/>
    <cellStyle name="Comma 8 2 3 5 3 3" xfId="48536"/>
    <cellStyle name="Comma 8 2 3 5 4" xfId="48537"/>
    <cellStyle name="Comma 8 2 3 5 4 2" xfId="48538"/>
    <cellStyle name="Comma 8 2 3 5 5" xfId="48539"/>
    <cellStyle name="Comma 8 2 3 5 6" xfId="48540"/>
    <cellStyle name="Comma 8 2 3 6" xfId="48541"/>
    <cellStyle name="Comma 8 2 3 6 2" xfId="48542"/>
    <cellStyle name="Comma 8 2 3 6 2 2" xfId="48543"/>
    <cellStyle name="Comma 8 2 3 6 2 3" xfId="48544"/>
    <cellStyle name="Comma 8 2 3 6 3" xfId="48545"/>
    <cellStyle name="Comma 8 2 3 6 3 2" xfId="48546"/>
    <cellStyle name="Comma 8 2 3 6 3 3" xfId="48547"/>
    <cellStyle name="Comma 8 2 3 6 4" xfId="48548"/>
    <cellStyle name="Comma 8 2 3 6 4 2" xfId="48549"/>
    <cellStyle name="Comma 8 2 3 6 5" xfId="48550"/>
    <cellStyle name="Comma 8 2 3 6 6" xfId="48551"/>
    <cellStyle name="Comma 8 2 3 7" xfId="48552"/>
    <cellStyle name="Comma 8 2 3 7 2" xfId="48553"/>
    <cellStyle name="Comma 8 2 3 7 2 2" xfId="48554"/>
    <cellStyle name="Comma 8 2 3 7 2 3" xfId="48555"/>
    <cellStyle name="Comma 8 2 3 7 3" xfId="48556"/>
    <cellStyle name="Comma 8 2 3 7 3 2" xfId="48557"/>
    <cellStyle name="Comma 8 2 3 7 4" xfId="48558"/>
    <cellStyle name="Comma 8 2 3 7 5" xfId="48559"/>
    <cellStyle name="Comma 8 2 3 8" xfId="48560"/>
    <cellStyle name="Comma 8 2 3 8 2" xfId="48561"/>
    <cellStyle name="Comma 8 2 3 8 3" xfId="48562"/>
    <cellStyle name="Comma 8 2 3 9" xfId="48563"/>
    <cellStyle name="Comma 8 2 3 9 2" xfId="48564"/>
    <cellStyle name="Comma 8 2 3 9 3" xfId="48565"/>
    <cellStyle name="Comma 8 2 4" xfId="9186"/>
    <cellStyle name="Comma 8 2 4 10" xfId="48566"/>
    <cellStyle name="Comma 8 2 4 2" xfId="48567"/>
    <cellStyle name="Comma 8 2 4 2 2" xfId="48568"/>
    <cellStyle name="Comma 8 2 4 2 2 2" xfId="48569"/>
    <cellStyle name="Comma 8 2 4 2 2 2 2" xfId="48570"/>
    <cellStyle name="Comma 8 2 4 2 2 2 3" xfId="48571"/>
    <cellStyle name="Comma 8 2 4 2 2 3" xfId="48572"/>
    <cellStyle name="Comma 8 2 4 2 2 3 2" xfId="48573"/>
    <cellStyle name="Comma 8 2 4 2 2 3 3" xfId="48574"/>
    <cellStyle name="Comma 8 2 4 2 2 4" xfId="48575"/>
    <cellStyle name="Comma 8 2 4 2 2 4 2" xfId="48576"/>
    <cellStyle name="Comma 8 2 4 2 2 5" xfId="48577"/>
    <cellStyle name="Comma 8 2 4 2 2 6" xfId="48578"/>
    <cellStyle name="Comma 8 2 4 2 3" xfId="48579"/>
    <cellStyle name="Comma 8 2 4 2 3 2" xfId="48580"/>
    <cellStyle name="Comma 8 2 4 2 3 2 2" xfId="48581"/>
    <cellStyle name="Comma 8 2 4 2 3 2 3" xfId="48582"/>
    <cellStyle name="Comma 8 2 4 2 3 3" xfId="48583"/>
    <cellStyle name="Comma 8 2 4 2 3 3 2" xfId="48584"/>
    <cellStyle name="Comma 8 2 4 2 3 3 3" xfId="48585"/>
    <cellStyle name="Comma 8 2 4 2 3 4" xfId="48586"/>
    <cellStyle name="Comma 8 2 4 2 3 4 2" xfId="48587"/>
    <cellStyle name="Comma 8 2 4 2 3 5" xfId="48588"/>
    <cellStyle name="Comma 8 2 4 2 3 6" xfId="48589"/>
    <cellStyle name="Comma 8 2 4 2 4" xfId="48590"/>
    <cellStyle name="Comma 8 2 4 2 4 2" xfId="48591"/>
    <cellStyle name="Comma 8 2 4 2 4 2 2" xfId="48592"/>
    <cellStyle name="Comma 8 2 4 2 4 2 3" xfId="48593"/>
    <cellStyle name="Comma 8 2 4 2 4 3" xfId="48594"/>
    <cellStyle name="Comma 8 2 4 2 4 3 2" xfId="48595"/>
    <cellStyle name="Comma 8 2 4 2 4 4" xfId="48596"/>
    <cellStyle name="Comma 8 2 4 2 4 5" xfId="48597"/>
    <cellStyle name="Comma 8 2 4 2 5" xfId="48598"/>
    <cellStyle name="Comma 8 2 4 2 5 2" xfId="48599"/>
    <cellStyle name="Comma 8 2 4 2 5 3" xfId="48600"/>
    <cellStyle name="Comma 8 2 4 2 6" xfId="48601"/>
    <cellStyle name="Comma 8 2 4 2 6 2" xfId="48602"/>
    <cellStyle name="Comma 8 2 4 2 6 3" xfId="48603"/>
    <cellStyle name="Comma 8 2 4 2 7" xfId="48604"/>
    <cellStyle name="Comma 8 2 4 2 7 2" xfId="48605"/>
    <cellStyle name="Comma 8 2 4 2 8" xfId="48606"/>
    <cellStyle name="Comma 8 2 4 2 9" xfId="48607"/>
    <cellStyle name="Comma 8 2 4 3" xfId="48608"/>
    <cellStyle name="Comma 8 2 4 3 2" xfId="48609"/>
    <cellStyle name="Comma 8 2 4 3 2 2" xfId="48610"/>
    <cellStyle name="Comma 8 2 4 3 2 3" xfId="48611"/>
    <cellStyle name="Comma 8 2 4 3 3" xfId="48612"/>
    <cellStyle name="Comma 8 2 4 3 3 2" xfId="48613"/>
    <cellStyle name="Comma 8 2 4 3 3 3" xfId="48614"/>
    <cellStyle name="Comma 8 2 4 3 4" xfId="48615"/>
    <cellStyle name="Comma 8 2 4 3 4 2" xfId="48616"/>
    <cellStyle name="Comma 8 2 4 3 5" xfId="48617"/>
    <cellStyle name="Comma 8 2 4 3 6" xfId="48618"/>
    <cellStyle name="Comma 8 2 4 4" xfId="48619"/>
    <cellStyle name="Comma 8 2 4 4 2" xfId="48620"/>
    <cellStyle name="Comma 8 2 4 4 2 2" xfId="48621"/>
    <cellStyle name="Comma 8 2 4 4 2 3" xfId="48622"/>
    <cellStyle name="Comma 8 2 4 4 3" xfId="48623"/>
    <cellStyle name="Comma 8 2 4 4 3 2" xfId="48624"/>
    <cellStyle name="Comma 8 2 4 4 3 3" xfId="48625"/>
    <cellStyle name="Comma 8 2 4 4 4" xfId="48626"/>
    <cellStyle name="Comma 8 2 4 4 4 2" xfId="48627"/>
    <cellStyle name="Comma 8 2 4 4 5" xfId="48628"/>
    <cellStyle name="Comma 8 2 4 4 6" xfId="48629"/>
    <cellStyle name="Comma 8 2 4 5" xfId="48630"/>
    <cellStyle name="Comma 8 2 4 5 2" xfId="48631"/>
    <cellStyle name="Comma 8 2 4 5 2 2" xfId="48632"/>
    <cellStyle name="Comma 8 2 4 5 2 3" xfId="48633"/>
    <cellStyle name="Comma 8 2 4 5 3" xfId="48634"/>
    <cellStyle name="Comma 8 2 4 5 3 2" xfId="48635"/>
    <cellStyle name="Comma 8 2 4 5 4" xfId="48636"/>
    <cellStyle name="Comma 8 2 4 5 5" xfId="48637"/>
    <cellStyle name="Comma 8 2 4 6" xfId="48638"/>
    <cellStyle name="Comma 8 2 4 6 2" xfId="48639"/>
    <cellStyle name="Comma 8 2 4 6 3" xfId="48640"/>
    <cellStyle name="Comma 8 2 4 7" xfId="48641"/>
    <cellStyle name="Comma 8 2 4 7 2" xfId="48642"/>
    <cellStyle name="Comma 8 2 4 7 3" xfId="48643"/>
    <cellStyle name="Comma 8 2 4 8" xfId="48644"/>
    <cellStyle name="Comma 8 2 4 8 2" xfId="48645"/>
    <cellStyle name="Comma 8 2 4 9" xfId="48646"/>
    <cellStyle name="Comma 8 2 5" xfId="48647"/>
    <cellStyle name="Comma 8 2 5 2" xfId="48648"/>
    <cellStyle name="Comma 8 2 5 2 2" xfId="48649"/>
    <cellStyle name="Comma 8 2 5 2 2 2" xfId="48650"/>
    <cellStyle name="Comma 8 2 5 2 2 3" xfId="48651"/>
    <cellStyle name="Comma 8 2 5 2 3" xfId="48652"/>
    <cellStyle name="Comma 8 2 5 2 3 2" xfId="48653"/>
    <cellStyle name="Comma 8 2 5 2 3 3" xfId="48654"/>
    <cellStyle name="Comma 8 2 5 2 4" xfId="48655"/>
    <cellStyle name="Comma 8 2 5 2 4 2" xfId="48656"/>
    <cellStyle name="Comma 8 2 5 2 5" xfId="48657"/>
    <cellStyle name="Comma 8 2 5 2 6" xfId="48658"/>
    <cellStyle name="Comma 8 2 5 3" xfId="48659"/>
    <cellStyle name="Comma 8 2 5 3 2" xfId="48660"/>
    <cellStyle name="Comma 8 2 5 3 2 2" xfId="48661"/>
    <cellStyle name="Comma 8 2 5 3 2 3" xfId="48662"/>
    <cellStyle name="Comma 8 2 5 3 3" xfId="48663"/>
    <cellStyle name="Comma 8 2 5 3 3 2" xfId="48664"/>
    <cellStyle name="Comma 8 2 5 3 3 3" xfId="48665"/>
    <cellStyle name="Comma 8 2 5 3 4" xfId="48666"/>
    <cellStyle name="Comma 8 2 5 3 4 2" xfId="48667"/>
    <cellStyle name="Comma 8 2 5 3 5" xfId="48668"/>
    <cellStyle name="Comma 8 2 5 3 6" xfId="48669"/>
    <cellStyle name="Comma 8 2 5 4" xfId="48670"/>
    <cellStyle name="Comma 8 2 5 4 2" xfId="48671"/>
    <cellStyle name="Comma 8 2 5 4 2 2" xfId="48672"/>
    <cellStyle name="Comma 8 2 5 4 2 3" xfId="48673"/>
    <cellStyle name="Comma 8 2 5 4 3" xfId="48674"/>
    <cellStyle name="Comma 8 2 5 4 3 2" xfId="48675"/>
    <cellStyle name="Comma 8 2 5 4 4" xfId="48676"/>
    <cellStyle name="Comma 8 2 5 4 5" xfId="48677"/>
    <cellStyle name="Comma 8 2 5 5" xfId="48678"/>
    <cellStyle name="Comma 8 2 5 5 2" xfId="48679"/>
    <cellStyle name="Comma 8 2 5 5 3" xfId="48680"/>
    <cellStyle name="Comma 8 2 5 6" xfId="48681"/>
    <cellStyle name="Comma 8 2 5 6 2" xfId="48682"/>
    <cellStyle name="Comma 8 2 5 6 3" xfId="48683"/>
    <cellStyle name="Comma 8 2 5 7" xfId="48684"/>
    <cellStyle name="Comma 8 2 5 7 2" xfId="48685"/>
    <cellStyle name="Comma 8 2 5 8" xfId="48686"/>
    <cellStyle name="Comma 8 2 5 9" xfId="48687"/>
    <cellStyle name="Comma 8 2 6" xfId="48688"/>
    <cellStyle name="Comma 8 2 6 2" xfId="48689"/>
    <cellStyle name="Comma 8 2 6 2 2" xfId="48690"/>
    <cellStyle name="Comma 8 2 6 2 2 2" xfId="48691"/>
    <cellStyle name="Comma 8 2 6 2 2 3" xfId="48692"/>
    <cellStyle name="Comma 8 2 6 2 3" xfId="48693"/>
    <cellStyle name="Comma 8 2 6 2 3 2" xfId="48694"/>
    <cellStyle name="Comma 8 2 6 2 3 3" xfId="48695"/>
    <cellStyle name="Comma 8 2 6 2 4" xfId="48696"/>
    <cellStyle name="Comma 8 2 6 2 4 2" xfId="48697"/>
    <cellStyle name="Comma 8 2 6 2 5" xfId="48698"/>
    <cellStyle name="Comma 8 2 6 2 6" xfId="48699"/>
    <cellStyle name="Comma 8 2 6 3" xfId="48700"/>
    <cellStyle name="Comma 8 2 6 3 2" xfId="48701"/>
    <cellStyle name="Comma 8 2 6 3 2 2" xfId="48702"/>
    <cellStyle name="Comma 8 2 6 3 2 3" xfId="48703"/>
    <cellStyle name="Comma 8 2 6 3 3" xfId="48704"/>
    <cellStyle name="Comma 8 2 6 3 3 2" xfId="48705"/>
    <cellStyle name="Comma 8 2 6 3 3 3" xfId="48706"/>
    <cellStyle name="Comma 8 2 6 3 4" xfId="48707"/>
    <cellStyle name="Comma 8 2 6 3 4 2" xfId="48708"/>
    <cellStyle name="Comma 8 2 6 3 5" xfId="48709"/>
    <cellStyle name="Comma 8 2 6 3 6" xfId="48710"/>
    <cellStyle name="Comma 8 2 6 4" xfId="48711"/>
    <cellStyle name="Comma 8 2 6 4 2" xfId="48712"/>
    <cellStyle name="Comma 8 2 6 4 2 2" xfId="48713"/>
    <cellStyle name="Comma 8 2 6 4 2 3" xfId="48714"/>
    <cellStyle name="Comma 8 2 6 4 3" xfId="48715"/>
    <cellStyle name="Comma 8 2 6 4 3 2" xfId="48716"/>
    <cellStyle name="Comma 8 2 6 4 4" xfId="48717"/>
    <cellStyle name="Comma 8 2 6 4 5" xfId="48718"/>
    <cellStyle name="Comma 8 2 6 5" xfId="48719"/>
    <cellStyle name="Comma 8 2 6 5 2" xfId="48720"/>
    <cellStyle name="Comma 8 2 6 5 3" xfId="48721"/>
    <cellStyle name="Comma 8 2 6 6" xfId="48722"/>
    <cellStyle name="Comma 8 2 6 6 2" xfId="48723"/>
    <cellStyle name="Comma 8 2 6 6 3" xfId="48724"/>
    <cellStyle name="Comma 8 2 6 7" xfId="48725"/>
    <cellStyle name="Comma 8 2 6 7 2" xfId="48726"/>
    <cellStyle name="Comma 8 2 6 8" xfId="48727"/>
    <cellStyle name="Comma 8 2 6 9" xfId="48728"/>
    <cellStyle name="Comma 8 2 7" xfId="48729"/>
    <cellStyle name="Comma 8 2 7 2" xfId="48730"/>
    <cellStyle name="Comma 8 2 7 2 2" xfId="48731"/>
    <cellStyle name="Comma 8 2 7 2 3" xfId="48732"/>
    <cellStyle name="Comma 8 2 7 3" xfId="48733"/>
    <cellStyle name="Comma 8 2 7 3 2" xfId="48734"/>
    <cellStyle name="Comma 8 2 7 3 3" xfId="48735"/>
    <cellStyle name="Comma 8 2 7 4" xfId="48736"/>
    <cellStyle name="Comma 8 2 7 4 2" xfId="48737"/>
    <cellStyle name="Comma 8 2 7 5" xfId="48738"/>
    <cellStyle name="Comma 8 2 7 6" xfId="48739"/>
    <cellStyle name="Comma 8 2 8" xfId="48740"/>
    <cellStyle name="Comma 8 2 8 2" xfId="48741"/>
    <cellStyle name="Comma 8 2 8 2 2" xfId="48742"/>
    <cellStyle name="Comma 8 2 8 2 3" xfId="48743"/>
    <cellStyle name="Comma 8 2 8 3" xfId="48744"/>
    <cellStyle name="Comma 8 2 8 3 2" xfId="48745"/>
    <cellStyle name="Comma 8 2 8 3 3" xfId="48746"/>
    <cellStyle name="Comma 8 2 8 4" xfId="48747"/>
    <cellStyle name="Comma 8 2 8 4 2" xfId="48748"/>
    <cellStyle name="Comma 8 2 8 5" xfId="48749"/>
    <cellStyle name="Comma 8 2 8 6" xfId="48750"/>
    <cellStyle name="Comma 8 2 9" xfId="48751"/>
    <cellStyle name="Comma 8 2 9 2" xfId="48752"/>
    <cellStyle name="Comma 8 2 9 2 2" xfId="48753"/>
    <cellStyle name="Comma 8 2 9 2 3" xfId="48754"/>
    <cellStyle name="Comma 8 2 9 3" xfId="48755"/>
    <cellStyle name="Comma 8 2 9 3 2" xfId="48756"/>
    <cellStyle name="Comma 8 2 9 4" xfId="48757"/>
    <cellStyle name="Comma 8 2 9 5" xfId="48758"/>
    <cellStyle name="Comma 8 3" xfId="3743"/>
    <cellStyle name="Comma 8 3 10" xfId="48759"/>
    <cellStyle name="Comma 8 3 10 2" xfId="48760"/>
    <cellStyle name="Comma 8 3 10 3" xfId="48761"/>
    <cellStyle name="Comma 8 3 11" xfId="48762"/>
    <cellStyle name="Comma 8 3 11 2" xfId="48763"/>
    <cellStyle name="Comma 8 3 12" xfId="48764"/>
    <cellStyle name="Comma 8 3 13" xfId="48765"/>
    <cellStyle name="Comma 8 3 14" xfId="48766"/>
    <cellStyle name="Comma 8 3 2" xfId="9187"/>
    <cellStyle name="Comma 8 3 2 10" xfId="48767"/>
    <cellStyle name="Comma 8 3 2 10 2" xfId="48768"/>
    <cellStyle name="Comma 8 3 2 11" xfId="48769"/>
    <cellStyle name="Comma 8 3 2 12" xfId="48770"/>
    <cellStyle name="Comma 8 3 2 13" xfId="48771"/>
    <cellStyle name="Comma 8 3 2 2" xfId="48772"/>
    <cellStyle name="Comma 8 3 2 2 10" xfId="48773"/>
    <cellStyle name="Comma 8 3 2 2 2" xfId="48774"/>
    <cellStyle name="Comma 8 3 2 2 2 2" xfId="48775"/>
    <cellStyle name="Comma 8 3 2 2 2 2 2" xfId="48776"/>
    <cellStyle name="Comma 8 3 2 2 2 2 2 2" xfId="48777"/>
    <cellStyle name="Comma 8 3 2 2 2 2 2 3" xfId="48778"/>
    <cellStyle name="Comma 8 3 2 2 2 2 3" xfId="48779"/>
    <cellStyle name="Comma 8 3 2 2 2 2 3 2" xfId="48780"/>
    <cellStyle name="Comma 8 3 2 2 2 2 3 3" xfId="48781"/>
    <cellStyle name="Comma 8 3 2 2 2 2 4" xfId="48782"/>
    <cellStyle name="Comma 8 3 2 2 2 2 4 2" xfId="48783"/>
    <cellStyle name="Comma 8 3 2 2 2 2 5" xfId="48784"/>
    <cellStyle name="Comma 8 3 2 2 2 2 6" xfId="48785"/>
    <cellStyle name="Comma 8 3 2 2 2 3" xfId="48786"/>
    <cellStyle name="Comma 8 3 2 2 2 3 2" xfId="48787"/>
    <cellStyle name="Comma 8 3 2 2 2 3 2 2" xfId="48788"/>
    <cellStyle name="Comma 8 3 2 2 2 3 2 3" xfId="48789"/>
    <cellStyle name="Comma 8 3 2 2 2 3 3" xfId="48790"/>
    <cellStyle name="Comma 8 3 2 2 2 3 3 2" xfId="48791"/>
    <cellStyle name="Comma 8 3 2 2 2 3 3 3" xfId="48792"/>
    <cellStyle name="Comma 8 3 2 2 2 3 4" xfId="48793"/>
    <cellStyle name="Comma 8 3 2 2 2 3 4 2" xfId="48794"/>
    <cellStyle name="Comma 8 3 2 2 2 3 5" xfId="48795"/>
    <cellStyle name="Comma 8 3 2 2 2 3 6" xfId="48796"/>
    <cellStyle name="Comma 8 3 2 2 2 4" xfId="48797"/>
    <cellStyle name="Comma 8 3 2 2 2 4 2" xfId="48798"/>
    <cellStyle name="Comma 8 3 2 2 2 4 2 2" xfId="48799"/>
    <cellStyle name="Comma 8 3 2 2 2 4 2 3" xfId="48800"/>
    <cellStyle name="Comma 8 3 2 2 2 4 3" xfId="48801"/>
    <cellStyle name="Comma 8 3 2 2 2 4 3 2" xfId="48802"/>
    <cellStyle name="Comma 8 3 2 2 2 4 4" xfId="48803"/>
    <cellStyle name="Comma 8 3 2 2 2 4 5" xfId="48804"/>
    <cellStyle name="Comma 8 3 2 2 2 5" xfId="48805"/>
    <cellStyle name="Comma 8 3 2 2 2 5 2" xfId="48806"/>
    <cellStyle name="Comma 8 3 2 2 2 5 3" xfId="48807"/>
    <cellStyle name="Comma 8 3 2 2 2 6" xfId="48808"/>
    <cellStyle name="Comma 8 3 2 2 2 6 2" xfId="48809"/>
    <cellStyle name="Comma 8 3 2 2 2 6 3" xfId="48810"/>
    <cellStyle name="Comma 8 3 2 2 2 7" xfId="48811"/>
    <cellStyle name="Comma 8 3 2 2 2 7 2" xfId="48812"/>
    <cellStyle name="Comma 8 3 2 2 2 8" xfId="48813"/>
    <cellStyle name="Comma 8 3 2 2 2 9" xfId="48814"/>
    <cellStyle name="Comma 8 3 2 2 3" xfId="48815"/>
    <cellStyle name="Comma 8 3 2 2 3 2" xfId="48816"/>
    <cellStyle name="Comma 8 3 2 2 3 2 2" xfId="48817"/>
    <cellStyle name="Comma 8 3 2 2 3 2 3" xfId="48818"/>
    <cellStyle name="Comma 8 3 2 2 3 3" xfId="48819"/>
    <cellStyle name="Comma 8 3 2 2 3 3 2" xfId="48820"/>
    <cellStyle name="Comma 8 3 2 2 3 3 3" xfId="48821"/>
    <cellStyle name="Comma 8 3 2 2 3 4" xfId="48822"/>
    <cellStyle name="Comma 8 3 2 2 3 4 2" xfId="48823"/>
    <cellStyle name="Comma 8 3 2 2 3 5" xfId="48824"/>
    <cellStyle name="Comma 8 3 2 2 3 6" xfId="48825"/>
    <cellStyle name="Comma 8 3 2 2 4" xfId="48826"/>
    <cellStyle name="Comma 8 3 2 2 4 2" xfId="48827"/>
    <cellStyle name="Comma 8 3 2 2 4 2 2" xfId="48828"/>
    <cellStyle name="Comma 8 3 2 2 4 2 3" xfId="48829"/>
    <cellStyle name="Comma 8 3 2 2 4 3" xfId="48830"/>
    <cellStyle name="Comma 8 3 2 2 4 3 2" xfId="48831"/>
    <cellStyle name="Comma 8 3 2 2 4 3 3" xfId="48832"/>
    <cellStyle name="Comma 8 3 2 2 4 4" xfId="48833"/>
    <cellStyle name="Comma 8 3 2 2 4 4 2" xfId="48834"/>
    <cellStyle name="Comma 8 3 2 2 4 5" xfId="48835"/>
    <cellStyle name="Comma 8 3 2 2 4 6" xfId="48836"/>
    <cellStyle name="Comma 8 3 2 2 5" xfId="48837"/>
    <cellStyle name="Comma 8 3 2 2 5 2" xfId="48838"/>
    <cellStyle name="Comma 8 3 2 2 5 2 2" xfId="48839"/>
    <cellStyle name="Comma 8 3 2 2 5 2 3" xfId="48840"/>
    <cellStyle name="Comma 8 3 2 2 5 3" xfId="48841"/>
    <cellStyle name="Comma 8 3 2 2 5 3 2" xfId="48842"/>
    <cellStyle name="Comma 8 3 2 2 5 4" xfId="48843"/>
    <cellStyle name="Comma 8 3 2 2 5 5" xfId="48844"/>
    <cellStyle name="Comma 8 3 2 2 6" xfId="48845"/>
    <cellStyle name="Comma 8 3 2 2 6 2" xfId="48846"/>
    <cellStyle name="Comma 8 3 2 2 6 3" xfId="48847"/>
    <cellStyle name="Comma 8 3 2 2 7" xfId="48848"/>
    <cellStyle name="Comma 8 3 2 2 7 2" xfId="48849"/>
    <cellStyle name="Comma 8 3 2 2 7 3" xfId="48850"/>
    <cellStyle name="Comma 8 3 2 2 8" xfId="48851"/>
    <cellStyle name="Comma 8 3 2 2 8 2" xfId="48852"/>
    <cellStyle name="Comma 8 3 2 2 9" xfId="48853"/>
    <cellStyle name="Comma 8 3 2 3" xfId="48854"/>
    <cellStyle name="Comma 8 3 2 3 2" xfId="48855"/>
    <cellStyle name="Comma 8 3 2 3 2 2" xfId="48856"/>
    <cellStyle name="Comma 8 3 2 3 2 2 2" xfId="48857"/>
    <cellStyle name="Comma 8 3 2 3 2 2 3" xfId="48858"/>
    <cellStyle name="Comma 8 3 2 3 2 3" xfId="48859"/>
    <cellStyle name="Comma 8 3 2 3 2 3 2" xfId="48860"/>
    <cellStyle name="Comma 8 3 2 3 2 3 3" xfId="48861"/>
    <cellStyle name="Comma 8 3 2 3 2 4" xfId="48862"/>
    <cellStyle name="Comma 8 3 2 3 2 4 2" xfId="48863"/>
    <cellStyle name="Comma 8 3 2 3 2 5" xfId="48864"/>
    <cellStyle name="Comma 8 3 2 3 2 6" xfId="48865"/>
    <cellStyle name="Comma 8 3 2 3 3" xfId="48866"/>
    <cellStyle name="Comma 8 3 2 3 3 2" xfId="48867"/>
    <cellStyle name="Comma 8 3 2 3 3 2 2" xfId="48868"/>
    <cellStyle name="Comma 8 3 2 3 3 2 3" xfId="48869"/>
    <cellStyle name="Comma 8 3 2 3 3 3" xfId="48870"/>
    <cellStyle name="Comma 8 3 2 3 3 3 2" xfId="48871"/>
    <cellStyle name="Comma 8 3 2 3 3 3 3" xfId="48872"/>
    <cellStyle name="Comma 8 3 2 3 3 4" xfId="48873"/>
    <cellStyle name="Comma 8 3 2 3 3 4 2" xfId="48874"/>
    <cellStyle name="Comma 8 3 2 3 3 5" xfId="48875"/>
    <cellStyle name="Comma 8 3 2 3 3 6" xfId="48876"/>
    <cellStyle name="Comma 8 3 2 3 4" xfId="48877"/>
    <cellStyle name="Comma 8 3 2 3 4 2" xfId="48878"/>
    <cellStyle name="Comma 8 3 2 3 4 2 2" xfId="48879"/>
    <cellStyle name="Comma 8 3 2 3 4 2 3" xfId="48880"/>
    <cellStyle name="Comma 8 3 2 3 4 3" xfId="48881"/>
    <cellStyle name="Comma 8 3 2 3 4 3 2" xfId="48882"/>
    <cellStyle name="Comma 8 3 2 3 4 4" xfId="48883"/>
    <cellStyle name="Comma 8 3 2 3 4 5" xfId="48884"/>
    <cellStyle name="Comma 8 3 2 3 5" xfId="48885"/>
    <cellStyle name="Comma 8 3 2 3 5 2" xfId="48886"/>
    <cellStyle name="Comma 8 3 2 3 5 3" xfId="48887"/>
    <cellStyle name="Comma 8 3 2 3 6" xfId="48888"/>
    <cellStyle name="Comma 8 3 2 3 6 2" xfId="48889"/>
    <cellStyle name="Comma 8 3 2 3 6 3" xfId="48890"/>
    <cellStyle name="Comma 8 3 2 3 7" xfId="48891"/>
    <cellStyle name="Comma 8 3 2 3 7 2" xfId="48892"/>
    <cellStyle name="Comma 8 3 2 3 8" xfId="48893"/>
    <cellStyle name="Comma 8 3 2 3 9" xfId="48894"/>
    <cellStyle name="Comma 8 3 2 4" xfId="48895"/>
    <cellStyle name="Comma 8 3 2 4 2" xfId="48896"/>
    <cellStyle name="Comma 8 3 2 4 2 2" xfId="48897"/>
    <cellStyle name="Comma 8 3 2 4 2 2 2" xfId="48898"/>
    <cellStyle name="Comma 8 3 2 4 2 2 3" xfId="48899"/>
    <cellStyle name="Comma 8 3 2 4 2 3" xfId="48900"/>
    <cellStyle name="Comma 8 3 2 4 2 3 2" xfId="48901"/>
    <cellStyle name="Comma 8 3 2 4 2 3 3" xfId="48902"/>
    <cellStyle name="Comma 8 3 2 4 2 4" xfId="48903"/>
    <cellStyle name="Comma 8 3 2 4 2 4 2" xfId="48904"/>
    <cellStyle name="Comma 8 3 2 4 2 5" xfId="48905"/>
    <cellStyle name="Comma 8 3 2 4 2 6" xfId="48906"/>
    <cellStyle name="Comma 8 3 2 4 3" xfId="48907"/>
    <cellStyle name="Comma 8 3 2 4 3 2" xfId="48908"/>
    <cellStyle name="Comma 8 3 2 4 3 2 2" xfId="48909"/>
    <cellStyle name="Comma 8 3 2 4 3 2 3" xfId="48910"/>
    <cellStyle name="Comma 8 3 2 4 3 3" xfId="48911"/>
    <cellStyle name="Comma 8 3 2 4 3 3 2" xfId="48912"/>
    <cellStyle name="Comma 8 3 2 4 3 3 3" xfId="48913"/>
    <cellStyle name="Comma 8 3 2 4 3 4" xfId="48914"/>
    <cellStyle name="Comma 8 3 2 4 3 4 2" xfId="48915"/>
    <cellStyle name="Comma 8 3 2 4 3 5" xfId="48916"/>
    <cellStyle name="Comma 8 3 2 4 3 6" xfId="48917"/>
    <cellStyle name="Comma 8 3 2 4 4" xfId="48918"/>
    <cellStyle name="Comma 8 3 2 4 4 2" xfId="48919"/>
    <cellStyle name="Comma 8 3 2 4 4 2 2" xfId="48920"/>
    <cellStyle name="Comma 8 3 2 4 4 2 3" xfId="48921"/>
    <cellStyle name="Comma 8 3 2 4 4 3" xfId="48922"/>
    <cellStyle name="Comma 8 3 2 4 4 3 2" xfId="48923"/>
    <cellStyle name="Comma 8 3 2 4 4 4" xfId="48924"/>
    <cellStyle name="Comma 8 3 2 4 4 5" xfId="48925"/>
    <cellStyle name="Comma 8 3 2 4 5" xfId="48926"/>
    <cellStyle name="Comma 8 3 2 4 5 2" xfId="48927"/>
    <cellStyle name="Comma 8 3 2 4 5 3" xfId="48928"/>
    <cellStyle name="Comma 8 3 2 4 6" xfId="48929"/>
    <cellStyle name="Comma 8 3 2 4 6 2" xfId="48930"/>
    <cellStyle name="Comma 8 3 2 4 6 3" xfId="48931"/>
    <cellStyle name="Comma 8 3 2 4 7" xfId="48932"/>
    <cellStyle name="Comma 8 3 2 4 7 2" xfId="48933"/>
    <cellStyle name="Comma 8 3 2 4 8" xfId="48934"/>
    <cellStyle name="Comma 8 3 2 4 9" xfId="48935"/>
    <cellStyle name="Comma 8 3 2 5" xfId="48936"/>
    <cellStyle name="Comma 8 3 2 5 2" xfId="48937"/>
    <cellStyle name="Comma 8 3 2 5 2 2" xfId="48938"/>
    <cellStyle name="Comma 8 3 2 5 2 3" xfId="48939"/>
    <cellStyle name="Comma 8 3 2 5 3" xfId="48940"/>
    <cellStyle name="Comma 8 3 2 5 3 2" xfId="48941"/>
    <cellStyle name="Comma 8 3 2 5 3 3" xfId="48942"/>
    <cellStyle name="Comma 8 3 2 5 4" xfId="48943"/>
    <cellStyle name="Comma 8 3 2 5 4 2" xfId="48944"/>
    <cellStyle name="Comma 8 3 2 5 5" xfId="48945"/>
    <cellStyle name="Comma 8 3 2 5 6" xfId="48946"/>
    <cellStyle name="Comma 8 3 2 6" xfId="48947"/>
    <cellStyle name="Comma 8 3 2 6 2" xfId="48948"/>
    <cellStyle name="Comma 8 3 2 6 2 2" xfId="48949"/>
    <cellStyle name="Comma 8 3 2 6 2 3" xfId="48950"/>
    <cellStyle name="Comma 8 3 2 6 3" xfId="48951"/>
    <cellStyle name="Comma 8 3 2 6 3 2" xfId="48952"/>
    <cellStyle name="Comma 8 3 2 6 3 3" xfId="48953"/>
    <cellStyle name="Comma 8 3 2 6 4" xfId="48954"/>
    <cellStyle name="Comma 8 3 2 6 4 2" xfId="48955"/>
    <cellStyle name="Comma 8 3 2 6 5" xfId="48956"/>
    <cellStyle name="Comma 8 3 2 6 6" xfId="48957"/>
    <cellStyle name="Comma 8 3 2 7" xfId="48958"/>
    <cellStyle name="Comma 8 3 2 7 2" xfId="48959"/>
    <cellStyle name="Comma 8 3 2 7 2 2" xfId="48960"/>
    <cellStyle name="Comma 8 3 2 7 2 3" xfId="48961"/>
    <cellStyle name="Comma 8 3 2 7 3" xfId="48962"/>
    <cellStyle name="Comma 8 3 2 7 3 2" xfId="48963"/>
    <cellStyle name="Comma 8 3 2 7 4" xfId="48964"/>
    <cellStyle name="Comma 8 3 2 7 5" xfId="48965"/>
    <cellStyle name="Comma 8 3 2 8" xfId="48966"/>
    <cellStyle name="Comma 8 3 2 8 2" xfId="48967"/>
    <cellStyle name="Comma 8 3 2 8 3" xfId="48968"/>
    <cellStyle name="Comma 8 3 2 9" xfId="48969"/>
    <cellStyle name="Comma 8 3 2 9 2" xfId="48970"/>
    <cellStyle name="Comma 8 3 2 9 3" xfId="48971"/>
    <cellStyle name="Comma 8 3 3" xfId="9188"/>
    <cellStyle name="Comma 8 3 3 10" xfId="48972"/>
    <cellStyle name="Comma 8 3 3 2" xfId="48973"/>
    <cellStyle name="Comma 8 3 3 2 2" xfId="48974"/>
    <cellStyle name="Comma 8 3 3 2 2 2" xfId="48975"/>
    <cellStyle name="Comma 8 3 3 2 2 2 2" xfId="48976"/>
    <cellStyle name="Comma 8 3 3 2 2 2 3" xfId="48977"/>
    <cellStyle name="Comma 8 3 3 2 2 3" xfId="48978"/>
    <cellStyle name="Comma 8 3 3 2 2 3 2" xfId="48979"/>
    <cellStyle name="Comma 8 3 3 2 2 3 3" xfId="48980"/>
    <cellStyle name="Comma 8 3 3 2 2 4" xfId="48981"/>
    <cellStyle name="Comma 8 3 3 2 2 4 2" xfId="48982"/>
    <cellStyle name="Comma 8 3 3 2 2 5" xfId="48983"/>
    <cellStyle name="Comma 8 3 3 2 2 6" xfId="48984"/>
    <cellStyle name="Comma 8 3 3 2 3" xfId="48985"/>
    <cellStyle name="Comma 8 3 3 2 3 2" xfId="48986"/>
    <cellStyle name="Comma 8 3 3 2 3 2 2" xfId="48987"/>
    <cellStyle name="Comma 8 3 3 2 3 2 3" xfId="48988"/>
    <cellStyle name="Comma 8 3 3 2 3 3" xfId="48989"/>
    <cellStyle name="Comma 8 3 3 2 3 3 2" xfId="48990"/>
    <cellStyle name="Comma 8 3 3 2 3 3 3" xfId="48991"/>
    <cellStyle name="Comma 8 3 3 2 3 4" xfId="48992"/>
    <cellStyle name="Comma 8 3 3 2 3 4 2" xfId="48993"/>
    <cellStyle name="Comma 8 3 3 2 3 5" xfId="48994"/>
    <cellStyle name="Comma 8 3 3 2 3 6" xfId="48995"/>
    <cellStyle name="Comma 8 3 3 2 4" xfId="48996"/>
    <cellStyle name="Comma 8 3 3 2 4 2" xfId="48997"/>
    <cellStyle name="Comma 8 3 3 2 4 2 2" xfId="48998"/>
    <cellStyle name="Comma 8 3 3 2 4 2 3" xfId="48999"/>
    <cellStyle name="Comma 8 3 3 2 4 3" xfId="49000"/>
    <cellStyle name="Comma 8 3 3 2 4 3 2" xfId="49001"/>
    <cellStyle name="Comma 8 3 3 2 4 4" xfId="49002"/>
    <cellStyle name="Comma 8 3 3 2 4 5" xfId="49003"/>
    <cellStyle name="Comma 8 3 3 2 5" xfId="49004"/>
    <cellStyle name="Comma 8 3 3 2 5 2" xfId="49005"/>
    <cellStyle name="Comma 8 3 3 2 5 3" xfId="49006"/>
    <cellStyle name="Comma 8 3 3 2 6" xfId="49007"/>
    <cellStyle name="Comma 8 3 3 2 6 2" xfId="49008"/>
    <cellStyle name="Comma 8 3 3 2 6 3" xfId="49009"/>
    <cellStyle name="Comma 8 3 3 2 7" xfId="49010"/>
    <cellStyle name="Comma 8 3 3 2 7 2" xfId="49011"/>
    <cellStyle name="Comma 8 3 3 2 8" xfId="49012"/>
    <cellStyle name="Comma 8 3 3 2 9" xfId="49013"/>
    <cellStyle name="Comma 8 3 3 3" xfId="49014"/>
    <cellStyle name="Comma 8 3 3 3 2" xfId="49015"/>
    <cellStyle name="Comma 8 3 3 3 2 2" xfId="49016"/>
    <cellStyle name="Comma 8 3 3 3 2 3" xfId="49017"/>
    <cellStyle name="Comma 8 3 3 3 3" xfId="49018"/>
    <cellStyle name="Comma 8 3 3 3 3 2" xfId="49019"/>
    <cellStyle name="Comma 8 3 3 3 3 3" xfId="49020"/>
    <cellStyle name="Comma 8 3 3 3 4" xfId="49021"/>
    <cellStyle name="Comma 8 3 3 3 4 2" xfId="49022"/>
    <cellStyle name="Comma 8 3 3 3 5" xfId="49023"/>
    <cellStyle name="Comma 8 3 3 3 6" xfId="49024"/>
    <cellStyle name="Comma 8 3 3 4" xfId="49025"/>
    <cellStyle name="Comma 8 3 3 4 2" xfId="49026"/>
    <cellStyle name="Comma 8 3 3 4 2 2" xfId="49027"/>
    <cellStyle name="Comma 8 3 3 4 2 3" xfId="49028"/>
    <cellStyle name="Comma 8 3 3 4 3" xfId="49029"/>
    <cellStyle name="Comma 8 3 3 4 3 2" xfId="49030"/>
    <cellStyle name="Comma 8 3 3 4 3 3" xfId="49031"/>
    <cellStyle name="Comma 8 3 3 4 4" xfId="49032"/>
    <cellStyle name="Comma 8 3 3 4 4 2" xfId="49033"/>
    <cellStyle name="Comma 8 3 3 4 5" xfId="49034"/>
    <cellStyle name="Comma 8 3 3 4 6" xfId="49035"/>
    <cellStyle name="Comma 8 3 3 5" xfId="49036"/>
    <cellStyle name="Comma 8 3 3 5 2" xfId="49037"/>
    <cellStyle name="Comma 8 3 3 5 2 2" xfId="49038"/>
    <cellStyle name="Comma 8 3 3 5 2 3" xfId="49039"/>
    <cellStyle name="Comma 8 3 3 5 3" xfId="49040"/>
    <cellStyle name="Comma 8 3 3 5 3 2" xfId="49041"/>
    <cellStyle name="Comma 8 3 3 5 4" xfId="49042"/>
    <cellStyle name="Comma 8 3 3 5 5" xfId="49043"/>
    <cellStyle name="Comma 8 3 3 6" xfId="49044"/>
    <cellStyle name="Comma 8 3 3 6 2" xfId="49045"/>
    <cellStyle name="Comma 8 3 3 6 3" xfId="49046"/>
    <cellStyle name="Comma 8 3 3 7" xfId="49047"/>
    <cellStyle name="Comma 8 3 3 7 2" xfId="49048"/>
    <cellStyle name="Comma 8 3 3 7 3" xfId="49049"/>
    <cellStyle name="Comma 8 3 3 8" xfId="49050"/>
    <cellStyle name="Comma 8 3 3 8 2" xfId="49051"/>
    <cellStyle name="Comma 8 3 3 9" xfId="49052"/>
    <cellStyle name="Comma 8 3 4" xfId="49053"/>
    <cellStyle name="Comma 8 3 4 2" xfId="49054"/>
    <cellStyle name="Comma 8 3 4 2 2" xfId="49055"/>
    <cellStyle name="Comma 8 3 4 2 2 2" xfId="49056"/>
    <cellStyle name="Comma 8 3 4 2 2 3" xfId="49057"/>
    <cellStyle name="Comma 8 3 4 2 3" xfId="49058"/>
    <cellStyle name="Comma 8 3 4 2 3 2" xfId="49059"/>
    <cellStyle name="Comma 8 3 4 2 3 3" xfId="49060"/>
    <cellStyle name="Comma 8 3 4 2 4" xfId="49061"/>
    <cellStyle name="Comma 8 3 4 2 4 2" xfId="49062"/>
    <cellStyle name="Comma 8 3 4 2 5" xfId="49063"/>
    <cellStyle name="Comma 8 3 4 2 6" xfId="49064"/>
    <cellStyle name="Comma 8 3 4 3" xfId="49065"/>
    <cellStyle name="Comma 8 3 4 3 2" xfId="49066"/>
    <cellStyle name="Comma 8 3 4 3 2 2" xfId="49067"/>
    <cellStyle name="Comma 8 3 4 3 2 3" xfId="49068"/>
    <cellStyle name="Comma 8 3 4 3 3" xfId="49069"/>
    <cellStyle name="Comma 8 3 4 3 3 2" xfId="49070"/>
    <cellStyle name="Comma 8 3 4 3 3 3" xfId="49071"/>
    <cellStyle name="Comma 8 3 4 3 4" xfId="49072"/>
    <cellStyle name="Comma 8 3 4 3 4 2" xfId="49073"/>
    <cellStyle name="Comma 8 3 4 3 5" xfId="49074"/>
    <cellStyle name="Comma 8 3 4 3 6" xfId="49075"/>
    <cellStyle name="Comma 8 3 4 4" xfId="49076"/>
    <cellStyle name="Comma 8 3 4 4 2" xfId="49077"/>
    <cellStyle name="Comma 8 3 4 4 2 2" xfId="49078"/>
    <cellStyle name="Comma 8 3 4 4 2 3" xfId="49079"/>
    <cellStyle name="Comma 8 3 4 4 3" xfId="49080"/>
    <cellStyle name="Comma 8 3 4 4 3 2" xfId="49081"/>
    <cellStyle name="Comma 8 3 4 4 4" xfId="49082"/>
    <cellStyle name="Comma 8 3 4 4 5" xfId="49083"/>
    <cellStyle name="Comma 8 3 4 5" xfId="49084"/>
    <cellStyle name="Comma 8 3 4 5 2" xfId="49085"/>
    <cellStyle name="Comma 8 3 4 5 3" xfId="49086"/>
    <cellStyle name="Comma 8 3 4 6" xfId="49087"/>
    <cellStyle name="Comma 8 3 4 6 2" xfId="49088"/>
    <cellStyle name="Comma 8 3 4 6 3" xfId="49089"/>
    <cellStyle name="Comma 8 3 4 7" xfId="49090"/>
    <cellStyle name="Comma 8 3 4 7 2" xfId="49091"/>
    <cellStyle name="Comma 8 3 4 8" xfId="49092"/>
    <cellStyle name="Comma 8 3 4 9" xfId="49093"/>
    <cellStyle name="Comma 8 3 5" xfId="49094"/>
    <cellStyle name="Comma 8 3 5 2" xfId="49095"/>
    <cellStyle name="Comma 8 3 5 2 2" xfId="49096"/>
    <cellStyle name="Comma 8 3 5 2 2 2" xfId="49097"/>
    <cellStyle name="Comma 8 3 5 2 2 3" xfId="49098"/>
    <cellStyle name="Comma 8 3 5 2 3" xfId="49099"/>
    <cellStyle name="Comma 8 3 5 2 3 2" xfId="49100"/>
    <cellStyle name="Comma 8 3 5 2 3 3" xfId="49101"/>
    <cellStyle name="Comma 8 3 5 2 4" xfId="49102"/>
    <cellStyle name="Comma 8 3 5 2 4 2" xfId="49103"/>
    <cellStyle name="Comma 8 3 5 2 5" xfId="49104"/>
    <cellStyle name="Comma 8 3 5 2 6" xfId="49105"/>
    <cellStyle name="Comma 8 3 5 3" xfId="49106"/>
    <cellStyle name="Comma 8 3 5 3 2" xfId="49107"/>
    <cellStyle name="Comma 8 3 5 3 2 2" xfId="49108"/>
    <cellStyle name="Comma 8 3 5 3 2 3" xfId="49109"/>
    <cellStyle name="Comma 8 3 5 3 3" xfId="49110"/>
    <cellStyle name="Comma 8 3 5 3 3 2" xfId="49111"/>
    <cellStyle name="Comma 8 3 5 3 3 3" xfId="49112"/>
    <cellStyle name="Comma 8 3 5 3 4" xfId="49113"/>
    <cellStyle name="Comma 8 3 5 3 4 2" xfId="49114"/>
    <cellStyle name="Comma 8 3 5 3 5" xfId="49115"/>
    <cellStyle name="Comma 8 3 5 3 6" xfId="49116"/>
    <cellStyle name="Comma 8 3 5 4" xfId="49117"/>
    <cellStyle name="Comma 8 3 5 4 2" xfId="49118"/>
    <cellStyle name="Comma 8 3 5 4 2 2" xfId="49119"/>
    <cellStyle name="Comma 8 3 5 4 2 3" xfId="49120"/>
    <cellStyle name="Comma 8 3 5 4 3" xfId="49121"/>
    <cellStyle name="Comma 8 3 5 4 3 2" xfId="49122"/>
    <cellStyle name="Comma 8 3 5 4 4" xfId="49123"/>
    <cellStyle name="Comma 8 3 5 4 5" xfId="49124"/>
    <cellStyle name="Comma 8 3 5 5" xfId="49125"/>
    <cellStyle name="Comma 8 3 5 5 2" xfId="49126"/>
    <cellStyle name="Comma 8 3 5 5 3" xfId="49127"/>
    <cellStyle name="Comma 8 3 5 6" xfId="49128"/>
    <cellStyle name="Comma 8 3 5 6 2" xfId="49129"/>
    <cellStyle name="Comma 8 3 5 6 3" xfId="49130"/>
    <cellStyle name="Comma 8 3 5 7" xfId="49131"/>
    <cellStyle name="Comma 8 3 5 7 2" xfId="49132"/>
    <cellStyle name="Comma 8 3 5 8" xfId="49133"/>
    <cellStyle name="Comma 8 3 5 9" xfId="49134"/>
    <cellStyle name="Comma 8 3 6" xfId="49135"/>
    <cellStyle name="Comma 8 3 6 2" xfId="49136"/>
    <cellStyle name="Comma 8 3 6 2 2" xfId="49137"/>
    <cellStyle name="Comma 8 3 6 2 3" xfId="49138"/>
    <cellStyle name="Comma 8 3 6 3" xfId="49139"/>
    <cellStyle name="Comma 8 3 6 3 2" xfId="49140"/>
    <cellStyle name="Comma 8 3 6 3 3" xfId="49141"/>
    <cellStyle name="Comma 8 3 6 4" xfId="49142"/>
    <cellStyle name="Comma 8 3 6 4 2" xfId="49143"/>
    <cellStyle name="Comma 8 3 6 5" xfId="49144"/>
    <cellStyle name="Comma 8 3 6 6" xfId="49145"/>
    <cellStyle name="Comma 8 3 7" xfId="49146"/>
    <cellStyle name="Comma 8 3 7 2" xfId="49147"/>
    <cellStyle name="Comma 8 3 7 2 2" xfId="49148"/>
    <cellStyle name="Comma 8 3 7 2 3" xfId="49149"/>
    <cellStyle name="Comma 8 3 7 3" xfId="49150"/>
    <cellStyle name="Comma 8 3 7 3 2" xfId="49151"/>
    <cellStyle name="Comma 8 3 7 3 3" xfId="49152"/>
    <cellStyle name="Comma 8 3 7 4" xfId="49153"/>
    <cellStyle name="Comma 8 3 7 4 2" xfId="49154"/>
    <cellStyle name="Comma 8 3 7 5" xfId="49155"/>
    <cellStyle name="Comma 8 3 7 6" xfId="49156"/>
    <cellStyle name="Comma 8 3 8" xfId="49157"/>
    <cellStyle name="Comma 8 3 8 2" xfId="49158"/>
    <cellStyle name="Comma 8 3 8 2 2" xfId="49159"/>
    <cellStyle name="Comma 8 3 8 2 3" xfId="49160"/>
    <cellStyle name="Comma 8 3 8 3" xfId="49161"/>
    <cellStyle name="Comma 8 3 8 3 2" xfId="49162"/>
    <cellStyle name="Comma 8 3 8 4" xfId="49163"/>
    <cellStyle name="Comma 8 3 8 5" xfId="49164"/>
    <cellStyle name="Comma 8 3 9" xfId="49165"/>
    <cellStyle name="Comma 8 3 9 2" xfId="49166"/>
    <cellStyle name="Comma 8 3 9 3" xfId="49167"/>
    <cellStyle name="Comma 8 4" xfId="3744"/>
    <cellStyle name="Comma 8 4 10" xfId="49168"/>
    <cellStyle name="Comma 8 4 10 2" xfId="49169"/>
    <cellStyle name="Comma 8 4 11" xfId="49170"/>
    <cellStyle name="Comma 8 4 12" xfId="49171"/>
    <cellStyle name="Comma 8 4 13" xfId="49172"/>
    <cellStyle name="Comma 8 4 2" xfId="9189"/>
    <cellStyle name="Comma 8 4 2 10" xfId="49173"/>
    <cellStyle name="Comma 8 4 2 2" xfId="49174"/>
    <cellStyle name="Comma 8 4 2 2 2" xfId="49175"/>
    <cellStyle name="Comma 8 4 2 2 2 2" xfId="49176"/>
    <cellStyle name="Comma 8 4 2 2 2 2 2" xfId="49177"/>
    <cellStyle name="Comma 8 4 2 2 2 2 3" xfId="49178"/>
    <cellStyle name="Comma 8 4 2 2 2 3" xfId="49179"/>
    <cellStyle name="Comma 8 4 2 2 2 3 2" xfId="49180"/>
    <cellStyle name="Comma 8 4 2 2 2 3 3" xfId="49181"/>
    <cellStyle name="Comma 8 4 2 2 2 4" xfId="49182"/>
    <cellStyle name="Comma 8 4 2 2 2 4 2" xfId="49183"/>
    <cellStyle name="Comma 8 4 2 2 2 5" xfId="49184"/>
    <cellStyle name="Comma 8 4 2 2 2 6" xfId="49185"/>
    <cellStyle name="Comma 8 4 2 2 3" xfId="49186"/>
    <cellStyle name="Comma 8 4 2 2 3 2" xfId="49187"/>
    <cellStyle name="Comma 8 4 2 2 3 2 2" xfId="49188"/>
    <cellStyle name="Comma 8 4 2 2 3 2 3" xfId="49189"/>
    <cellStyle name="Comma 8 4 2 2 3 3" xfId="49190"/>
    <cellStyle name="Comma 8 4 2 2 3 3 2" xfId="49191"/>
    <cellStyle name="Comma 8 4 2 2 3 3 3" xfId="49192"/>
    <cellStyle name="Comma 8 4 2 2 3 4" xfId="49193"/>
    <cellStyle name="Comma 8 4 2 2 3 4 2" xfId="49194"/>
    <cellStyle name="Comma 8 4 2 2 3 5" xfId="49195"/>
    <cellStyle name="Comma 8 4 2 2 3 6" xfId="49196"/>
    <cellStyle name="Comma 8 4 2 2 4" xfId="49197"/>
    <cellStyle name="Comma 8 4 2 2 4 2" xfId="49198"/>
    <cellStyle name="Comma 8 4 2 2 4 2 2" xfId="49199"/>
    <cellStyle name="Comma 8 4 2 2 4 2 3" xfId="49200"/>
    <cellStyle name="Comma 8 4 2 2 4 3" xfId="49201"/>
    <cellStyle name="Comma 8 4 2 2 4 3 2" xfId="49202"/>
    <cellStyle name="Comma 8 4 2 2 4 4" xfId="49203"/>
    <cellStyle name="Comma 8 4 2 2 4 5" xfId="49204"/>
    <cellStyle name="Comma 8 4 2 2 5" xfId="49205"/>
    <cellStyle name="Comma 8 4 2 2 5 2" xfId="49206"/>
    <cellStyle name="Comma 8 4 2 2 5 3" xfId="49207"/>
    <cellStyle name="Comma 8 4 2 2 6" xfId="49208"/>
    <cellStyle name="Comma 8 4 2 2 6 2" xfId="49209"/>
    <cellStyle name="Comma 8 4 2 2 6 3" xfId="49210"/>
    <cellStyle name="Comma 8 4 2 2 7" xfId="49211"/>
    <cellStyle name="Comma 8 4 2 2 7 2" xfId="49212"/>
    <cellStyle name="Comma 8 4 2 2 8" xfId="49213"/>
    <cellStyle name="Comma 8 4 2 2 9" xfId="49214"/>
    <cellStyle name="Comma 8 4 2 3" xfId="49215"/>
    <cellStyle name="Comma 8 4 2 3 2" xfId="49216"/>
    <cellStyle name="Comma 8 4 2 3 2 2" xfId="49217"/>
    <cellStyle name="Comma 8 4 2 3 2 3" xfId="49218"/>
    <cellStyle name="Comma 8 4 2 3 3" xfId="49219"/>
    <cellStyle name="Comma 8 4 2 3 3 2" xfId="49220"/>
    <cellStyle name="Comma 8 4 2 3 3 3" xfId="49221"/>
    <cellStyle name="Comma 8 4 2 3 4" xfId="49222"/>
    <cellStyle name="Comma 8 4 2 3 4 2" xfId="49223"/>
    <cellStyle name="Comma 8 4 2 3 5" xfId="49224"/>
    <cellStyle name="Comma 8 4 2 3 6" xfId="49225"/>
    <cellStyle name="Comma 8 4 2 4" xfId="49226"/>
    <cellStyle name="Comma 8 4 2 4 2" xfId="49227"/>
    <cellStyle name="Comma 8 4 2 4 2 2" xfId="49228"/>
    <cellStyle name="Comma 8 4 2 4 2 3" xfId="49229"/>
    <cellStyle name="Comma 8 4 2 4 3" xfId="49230"/>
    <cellStyle name="Comma 8 4 2 4 3 2" xfId="49231"/>
    <cellStyle name="Comma 8 4 2 4 3 3" xfId="49232"/>
    <cellStyle name="Comma 8 4 2 4 4" xfId="49233"/>
    <cellStyle name="Comma 8 4 2 4 4 2" xfId="49234"/>
    <cellStyle name="Comma 8 4 2 4 5" xfId="49235"/>
    <cellStyle name="Comma 8 4 2 4 6" xfId="49236"/>
    <cellStyle name="Comma 8 4 2 5" xfId="49237"/>
    <cellStyle name="Comma 8 4 2 5 2" xfId="49238"/>
    <cellStyle name="Comma 8 4 2 5 2 2" xfId="49239"/>
    <cellStyle name="Comma 8 4 2 5 2 3" xfId="49240"/>
    <cellStyle name="Comma 8 4 2 5 3" xfId="49241"/>
    <cellStyle name="Comma 8 4 2 5 3 2" xfId="49242"/>
    <cellStyle name="Comma 8 4 2 5 4" xfId="49243"/>
    <cellStyle name="Comma 8 4 2 5 5" xfId="49244"/>
    <cellStyle name="Comma 8 4 2 6" xfId="49245"/>
    <cellStyle name="Comma 8 4 2 6 2" xfId="49246"/>
    <cellStyle name="Comma 8 4 2 6 3" xfId="49247"/>
    <cellStyle name="Comma 8 4 2 7" xfId="49248"/>
    <cellStyle name="Comma 8 4 2 7 2" xfId="49249"/>
    <cellStyle name="Comma 8 4 2 7 3" xfId="49250"/>
    <cellStyle name="Comma 8 4 2 8" xfId="49251"/>
    <cellStyle name="Comma 8 4 2 8 2" xfId="49252"/>
    <cellStyle name="Comma 8 4 2 9" xfId="49253"/>
    <cellStyle name="Comma 8 4 3" xfId="49254"/>
    <cellStyle name="Comma 8 4 3 2" xfId="49255"/>
    <cellStyle name="Comma 8 4 3 2 2" xfId="49256"/>
    <cellStyle name="Comma 8 4 3 2 2 2" xfId="49257"/>
    <cellStyle name="Comma 8 4 3 2 2 3" xfId="49258"/>
    <cellStyle name="Comma 8 4 3 2 3" xfId="49259"/>
    <cellStyle name="Comma 8 4 3 2 3 2" xfId="49260"/>
    <cellStyle name="Comma 8 4 3 2 3 3" xfId="49261"/>
    <cellStyle name="Comma 8 4 3 2 4" xfId="49262"/>
    <cellStyle name="Comma 8 4 3 2 4 2" xfId="49263"/>
    <cellStyle name="Comma 8 4 3 2 5" xfId="49264"/>
    <cellStyle name="Comma 8 4 3 2 6" xfId="49265"/>
    <cellStyle name="Comma 8 4 3 3" xfId="49266"/>
    <cellStyle name="Comma 8 4 3 3 2" xfId="49267"/>
    <cellStyle name="Comma 8 4 3 3 2 2" xfId="49268"/>
    <cellStyle name="Comma 8 4 3 3 2 3" xfId="49269"/>
    <cellStyle name="Comma 8 4 3 3 3" xfId="49270"/>
    <cellStyle name="Comma 8 4 3 3 3 2" xfId="49271"/>
    <cellStyle name="Comma 8 4 3 3 3 3" xfId="49272"/>
    <cellStyle name="Comma 8 4 3 3 4" xfId="49273"/>
    <cellStyle name="Comma 8 4 3 3 4 2" xfId="49274"/>
    <cellStyle name="Comma 8 4 3 3 5" xfId="49275"/>
    <cellStyle name="Comma 8 4 3 3 6" xfId="49276"/>
    <cellStyle name="Comma 8 4 3 4" xfId="49277"/>
    <cellStyle name="Comma 8 4 3 4 2" xfId="49278"/>
    <cellStyle name="Comma 8 4 3 4 2 2" xfId="49279"/>
    <cellStyle name="Comma 8 4 3 4 2 3" xfId="49280"/>
    <cellStyle name="Comma 8 4 3 4 3" xfId="49281"/>
    <cellStyle name="Comma 8 4 3 4 3 2" xfId="49282"/>
    <cellStyle name="Comma 8 4 3 4 4" xfId="49283"/>
    <cellStyle name="Comma 8 4 3 4 5" xfId="49284"/>
    <cellStyle name="Comma 8 4 3 5" xfId="49285"/>
    <cellStyle name="Comma 8 4 3 5 2" xfId="49286"/>
    <cellStyle name="Comma 8 4 3 5 3" xfId="49287"/>
    <cellStyle name="Comma 8 4 3 6" xfId="49288"/>
    <cellStyle name="Comma 8 4 3 6 2" xfId="49289"/>
    <cellStyle name="Comma 8 4 3 6 3" xfId="49290"/>
    <cellStyle name="Comma 8 4 3 7" xfId="49291"/>
    <cellStyle name="Comma 8 4 3 7 2" xfId="49292"/>
    <cellStyle name="Comma 8 4 3 8" xfId="49293"/>
    <cellStyle name="Comma 8 4 3 9" xfId="49294"/>
    <cellStyle name="Comma 8 4 4" xfId="49295"/>
    <cellStyle name="Comma 8 4 4 2" xfId="49296"/>
    <cellStyle name="Comma 8 4 4 2 2" xfId="49297"/>
    <cellStyle name="Comma 8 4 4 2 2 2" xfId="49298"/>
    <cellStyle name="Comma 8 4 4 2 2 3" xfId="49299"/>
    <cellStyle name="Comma 8 4 4 2 3" xfId="49300"/>
    <cellStyle name="Comma 8 4 4 2 3 2" xfId="49301"/>
    <cellStyle name="Comma 8 4 4 2 3 3" xfId="49302"/>
    <cellStyle name="Comma 8 4 4 2 4" xfId="49303"/>
    <cellStyle name="Comma 8 4 4 2 4 2" xfId="49304"/>
    <cellStyle name="Comma 8 4 4 2 5" xfId="49305"/>
    <cellStyle name="Comma 8 4 4 2 6" xfId="49306"/>
    <cellStyle name="Comma 8 4 4 3" xfId="49307"/>
    <cellStyle name="Comma 8 4 4 3 2" xfId="49308"/>
    <cellStyle name="Comma 8 4 4 3 2 2" xfId="49309"/>
    <cellStyle name="Comma 8 4 4 3 2 3" xfId="49310"/>
    <cellStyle name="Comma 8 4 4 3 3" xfId="49311"/>
    <cellStyle name="Comma 8 4 4 3 3 2" xfId="49312"/>
    <cellStyle name="Comma 8 4 4 3 3 3" xfId="49313"/>
    <cellStyle name="Comma 8 4 4 3 4" xfId="49314"/>
    <cellStyle name="Comma 8 4 4 3 4 2" xfId="49315"/>
    <cellStyle name="Comma 8 4 4 3 5" xfId="49316"/>
    <cellStyle name="Comma 8 4 4 3 6" xfId="49317"/>
    <cellStyle name="Comma 8 4 4 4" xfId="49318"/>
    <cellStyle name="Comma 8 4 4 4 2" xfId="49319"/>
    <cellStyle name="Comma 8 4 4 4 2 2" xfId="49320"/>
    <cellStyle name="Comma 8 4 4 4 2 3" xfId="49321"/>
    <cellStyle name="Comma 8 4 4 4 3" xfId="49322"/>
    <cellStyle name="Comma 8 4 4 4 3 2" xfId="49323"/>
    <cellStyle name="Comma 8 4 4 4 4" xfId="49324"/>
    <cellStyle name="Comma 8 4 4 4 5" xfId="49325"/>
    <cellStyle name="Comma 8 4 4 5" xfId="49326"/>
    <cellStyle name="Comma 8 4 4 5 2" xfId="49327"/>
    <cellStyle name="Comma 8 4 4 5 3" xfId="49328"/>
    <cellStyle name="Comma 8 4 4 6" xfId="49329"/>
    <cellStyle name="Comma 8 4 4 6 2" xfId="49330"/>
    <cellStyle name="Comma 8 4 4 6 3" xfId="49331"/>
    <cellStyle name="Comma 8 4 4 7" xfId="49332"/>
    <cellStyle name="Comma 8 4 4 7 2" xfId="49333"/>
    <cellStyle name="Comma 8 4 4 8" xfId="49334"/>
    <cellStyle name="Comma 8 4 4 9" xfId="49335"/>
    <cellStyle name="Comma 8 4 5" xfId="49336"/>
    <cellStyle name="Comma 8 4 5 2" xfId="49337"/>
    <cellStyle name="Comma 8 4 5 2 2" xfId="49338"/>
    <cellStyle name="Comma 8 4 5 2 3" xfId="49339"/>
    <cellStyle name="Comma 8 4 5 3" xfId="49340"/>
    <cellStyle name="Comma 8 4 5 3 2" xfId="49341"/>
    <cellStyle name="Comma 8 4 5 3 3" xfId="49342"/>
    <cellStyle name="Comma 8 4 5 4" xfId="49343"/>
    <cellStyle name="Comma 8 4 5 4 2" xfId="49344"/>
    <cellStyle name="Comma 8 4 5 5" xfId="49345"/>
    <cellStyle name="Comma 8 4 5 6" xfId="49346"/>
    <cellStyle name="Comma 8 4 6" xfId="49347"/>
    <cellStyle name="Comma 8 4 6 2" xfId="49348"/>
    <cellStyle name="Comma 8 4 6 2 2" xfId="49349"/>
    <cellStyle name="Comma 8 4 6 2 3" xfId="49350"/>
    <cellStyle name="Comma 8 4 6 3" xfId="49351"/>
    <cellStyle name="Comma 8 4 6 3 2" xfId="49352"/>
    <cellStyle name="Comma 8 4 6 3 3" xfId="49353"/>
    <cellStyle name="Comma 8 4 6 4" xfId="49354"/>
    <cellStyle name="Comma 8 4 6 4 2" xfId="49355"/>
    <cellStyle name="Comma 8 4 6 5" xfId="49356"/>
    <cellStyle name="Comma 8 4 6 6" xfId="49357"/>
    <cellStyle name="Comma 8 4 7" xfId="49358"/>
    <cellStyle name="Comma 8 4 7 2" xfId="49359"/>
    <cellStyle name="Comma 8 4 7 2 2" xfId="49360"/>
    <cellStyle name="Comma 8 4 7 2 3" xfId="49361"/>
    <cellStyle name="Comma 8 4 7 3" xfId="49362"/>
    <cellStyle name="Comma 8 4 7 3 2" xfId="49363"/>
    <cellStyle name="Comma 8 4 7 4" xfId="49364"/>
    <cellStyle name="Comma 8 4 7 5" xfId="49365"/>
    <cellStyle name="Comma 8 4 8" xfId="49366"/>
    <cellStyle name="Comma 8 4 8 2" xfId="49367"/>
    <cellStyle name="Comma 8 4 8 3" xfId="49368"/>
    <cellStyle name="Comma 8 4 9" xfId="49369"/>
    <cellStyle name="Comma 8 4 9 2" xfId="49370"/>
    <cellStyle name="Comma 8 4 9 3" xfId="49371"/>
    <cellStyle name="Comma 8 5" xfId="3745"/>
    <cellStyle name="Comma 8 5 10" xfId="49372"/>
    <cellStyle name="Comma 8 5 2" xfId="49373"/>
    <cellStyle name="Comma 8 5 2 2" xfId="49374"/>
    <cellStyle name="Comma 8 5 2 2 2" xfId="49375"/>
    <cellStyle name="Comma 8 5 2 2 2 2" xfId="49376"/>
    <cellStyle name="Comma 8 5 2 2 2 3" xfId="49377"/>
    <cellStyle name="Comma 8 5 2 2 3" xfId="49378"/>
    <cellStyle name="Comma 8 5 2 2 3 2" xfId="49379"/>
    <cellStyle name="Comma 8 5 2 2 3 3" xfId="49380"/>
    <cellStyle name="Comma 8 5 2 2 4" xfId="49381"/>
    <cellStyle name="Comma 8 5 2 2 4 2" xfId="49382"/>
    <cellStyle name="Comma 8 5 2 2 5" xfId="49383"/>
    <cellStyle name="Comma 8 5 2 2 6" xfId="49384"/>
    <cellStyle name="Comma 8 5 2 3" xfId="49385"/>
    <cellStyle name="Comma 8 5 2 3 2" xfId="49386"/>
    <cellStyle name="Comma 8 5 2 3 2 2" xfId="49387"/>
    <cellStyle name="Comma 8 5 2 3 2 3" xfId="49388"/>
    <cellStyle name="Comma 8 5 2 3 3" xfId="49389"/>
    <cellStyle name="Comma 8 5 2 3 3 2" xfId="49390"/>
    <cellStyle name="Comma 8 5 2 3 3 3" xfId="49391"/>
    <cellStyle name="Comma 8 5 2 3 4" xfId="49392"/>
    <cellStyle name="Comma 8 5 2 3 4 2" xfId="49393"/>
    <cellStyle name="Comma 8 5 2 3 5" xfId="49394"/>
    <cellStyle name="Comma 8 5 2 3 6" xfId="49395"/>
    <cellStyle name="Comma 8 5 2 4" xfId="49396"/>
    <cellStyle name="Comma 8 5 2 4 2" xfId="49397"/>
    <cellStyle name="Comma 8 5 2 4 2 2" xfId="49398"/>
    <cellStyle name="Comma 8 5 2 4 2 3" xfId="49399"/>
    <cellStyle name="Comma 8 5 2 4 3" xfId="49400"/>
    <cellStyle name="Comma 8 5 2 4 3 2" xfId="49401"/>
    <cellStyle name="Comma 8 5 2 4 4" xfId="49402"/>
    <cellStyle name="Comma 8 5 2 4 5" xfId="49403"/>
    <cellStyle name="Comma 8 5 2 5" xfId="49404"/>
    <cellStyle name="Comma 8 5 2 5 2" xfId="49405"/>
    <cellStyle name="Comma 8 5 2 5 3" xfId="49406"/>
    <cellStyle name="Comma 8 5 2 6" xfId="49407"/>
    <cellStyle name="Comma 8 5 2 6 2" xfId="49408"/>
    <cellStyle name="Comma 8 5 2 6 3" xfId="49409"/>
    <cellStyle name="Comma 8 5 2 7" xfId="49410"/>
    <cellStyle name="Comma 8 5 2 7 2" xfId="49411"/>
    <cellStyle name="Comma 8 5 2 8" xfId="49412"/>
    <cellStyle name="Comma 8 5 2 9" xfId="49413"/>
    <cellStyle name="Comma 8 5 3" xfId="49414"/>
    <cellStyle name="Comma 8 5 3 2" xfId="49415"/>
    <cellStyle name="Comma 8 5 3 2 2" xfId="49416"/>
    <cellStyle name="Comma 8 5 3 2 3" xfId="49417"/>
    <cellStyle name="Comma 8 5 3 3" xfId="49418"/>
    <cellStyle name="Comma 8 5 3 3 2" xfId="49419"/>
    <cellStyle name="Comma 8 5 3 3 3" xfId="49420"/>
    <cellStyle name="Comma 8 5 3 4" xfId="49421"/>
    <cellStyle name="Comma 8 5 3 4 2" xfId="49422"/>
    <cellStyle name="Comma 8 5 3 5" xfId="49423"/>
    <cellStyle name="Comma 8 5 3 6" xfId="49424"/>
    <cellStyle name="Comma 8 5 4" xfId="49425"/>
    <cellStyle name="Comma 8 5 4 2" xfId="49426"/>
    <cellStyle name="Comma 8 5 4 2 2" xfId="49427"/>
    <cellStyle name="Comma 8 5 4 2 3" xfId="49428"/>
    <cellStyle name="Comma 8 5 4 3" xfId="49429"/>
    <cellStyle name="Comma 8 5 4 3 2" xfId="49430"/>
    <cellStyle name="Comma 8 5 4 3 3" xfId="49431"/>
    <cellStyle name="Comma 8 5 4 4" xfId="49432"/>
    <cellStyle name="Comma 8 5 4 4 2" xfId="49433"/>
    <cellStyle name="Comma 8 5 4 5" xfId="49434"/>
    <cellStyle name="Comma 8 5 4 6" xfId="49435"/>
    <cellStyle name="Comma 8 5 5" xfId="49436"/>
    <cellStyle name="Comma 8 5 5 2" xfId="49437"/>
    <cellStyle name="Comma 8 5 5 2 2" xfId="49438"/>
    <cellStyle name="Comma 8 5 5 2 3" xfId="49439"/>
    <cellStyle name="Comma 8 5 5 3" xfId="49440"/>
    <cellStyle name="Comma 8 5 5 3 2" xfId="49441"/>
    <cellStyle name="Comma 8 5 5 4" xfId="49442"/>
    <cellStyle name="Comma 8 5 5 5" xfId="49443"/>
    <cellStyle name="Comma 8 5 6" xfId="49444"/>
    <cellStyle name="Comma 8 5 6 2" xfId="49445"/>
    <cellStyle name="Comma 8 5 6 3" xfId="49446"/>
    <cellStyle name="Comma 8 5 7" xfId="49447"/>
    <cellStyle name="Comma 8 5 7 2" xfId="49448"/>
    <cellStyle name="Comma 8 5 7 3" xfId="49449"/>
    <cellStyle name="Comma 8 5 8" xfId="49450"/>
    <cellStyle name="Comma 8 5 8 2" xfId="49451"/>
    <cellStyle name="Comma 8 5 9" xfId="49452"/>
    <cellStyle name="Comma 8 6" xfId="9190"/>
    <cellStyle name="Comma 8 6 2" xfId="49453"/>
    <cellStyle name="Comma 8 6 2 2" xfId="49454"/>
    <cellStyle name="Comma 8 6 2 2 2" xfId="49455"/>
    <cellStyle name="Comma 8 6 2 2 3" xfId="49456"/>
    <cellStyle name="Comma 8 6 2 3" xfId="49457"/>
    <cellStyle name="Comma 8 6 2 3 2" xfId="49458"/>
    <cellStyle name="Comma 8 6 2 3 3" xfId="49459"/>
    <cellStyle name="Comma 8 6 2 4" xfId="49460"/>
    <cellStyle name="Comma 8 6 2 4 2" xfId="49461"/>
    <cellStyle name="Comma 8 6 2 5" xfId="49462"/>
    <cellStyle name="Comma 8 6 2 6" xfId="49463"/>
    <cellStyle name="Comma 8 6 3" xfId="49464"/>
    <cellStyle name="Comma 8 6 3 2" xfId="49465"/>
    <cellStyle name="Comma 8 6 3 2 2" xfId="49466"/>
    <cellStyle name="Comma 8 6 3 2 3" xfId="49467"/>
    <cellStyle name="Comma 8 6 3 3" xfId="49468"/>
    <cellStyle name="Comma 8 6 3 3 2" xfId="49469"/>
    <cellStyle name="Comma 8 6 3 3 3" xfId="49470"/>
    <cellStyle name="Comma 8 6 3 4" xfId="49471"/>
    <cellStyle name="Comma 8 6 3 4 2" xfId="49472"/>
    <cellStyle name="Comma 8 6 3 5" xfId="49473"/>
    <cellStyle name="Comma 8 6 3 6" xfId="49474"/>
    <cellStyle name="Comma 8 6 4" xfId="49475"/>
    <cellStyle name="Comma 8 6 4 2" xfId="49476"/>
    <cellStyle name="Comma 8 6 4 2 2" xfId="49477"/>
    <cellStyle name="Comma 8 6 4 2 3" xfId="49478"/>
    <cellStyle name="Comma 8 6 4 3" xfId="49479"/>
    <cellStyle name="Comma 8 6 4 3 2" xfId="49480"/>
    <cellStyle name="Comma 8 6 4 4" xfId="49481"/>
    <cellStyle name="Comma 8 6 4 5" xfId="49482"/>
    <cellStyle name="Comma 8 6 5" xfId="49483"/>
    <cellStyle name="Comma 8 6 5 2" xfId="49484"/>
    <cellStyle name="Comma 8 6 5 3" xfId="49485"/>
    <cellStyle name="Comma 8 6 6" xfId="49486"/>
    <cellStyle name="Comma 8 6 6 2" xfId="49487"/>
    <cellStyle name="Comma 8 6 6 3" xfId="49488"/>
    <cellStyle name="Comma 8 6 7" xfId="49489"/>
    <cellStyle name="Comma 8 6 7 2" xfId="49490"/>
    <cellStyle name="Comma 8 6 8" xfId="49491"/>
    <cellStyle name="Comma 8 6 9" xfId="49492"/>
    <cellStyle name="Comma 8 7" xfId="49493"/>
    <cellStyle name="Comma 8 7 2" xfId="49494"/>
    <cellStyle name="Comma 8 7 2 2" xfId="49495"/>
    <cellStyle name="Comma 8 7 2 2 2" xfId="49496"/>
    <cellStyle name="Comma 8 7 2 2 3" xfId="49497"/>
    <cellStyle name="Comma 8 7 2 3" xfId="49498"/>
    <cellStyle name="Comma 8 7 2 3 2" xfId="49499"/>
    <cellStyle name="Comma 8 7 2 3 3" xfId="49500"/>
    <cellStyle name="Comma 8 7 2 4" xfId="49501"/>
    <cellStyle name="Comma 8 7 2 4 2" xfId="49502"/>
    <cellStyle name="Comma 8 7 2 5" xfId="49503"/>
    <cellStyle name="Comma 8 7 2 6" xfId="49504"/>
    <cellStyle name="Comma 8 7 3" xfId="49505"/>
    <cellStyle name="Comma 8 7 3 2" xfId="49506"/>
    <cellStyle name="Comma 8 7 3 2 2" xfId="49507"/>
    <cellStyle name="Comma 8 7 3 2 3" xfId="49508"/>
    <cellStyle name="Comma 8 7 3 3" xfId="49509"/>
    <cellStyle name="Comma 8 7 3 3 2" xfId="49510"/>
    <cellStyle name="Comma 8 7 3 3 3" xfId="49511"/>
    <cellStyle name="Comma 8 7 3 4" xfId="49512"/>
    <cellStyle name="Comma 8 7 3 4 2" xfId="49513"/>
    <cellStyle name="Comma 8 7 3 5" xfId="49514"/>
    <cellStyle name="Comma 8 7 3 6" xfId="49515"/>
    <cellStyle name="Comma 8 7 4" xfId="49516"/>
    <cellStyle name="Comma 8 7 4 2" xfId="49517"/>
    <cellStyle name="Comma 8 7 4 2 2" xfId="49518"/>
    <cellStyle name="Comma 8 7 4 2 3" xfId="49519"/>
    <cellStyle name="Comma 8 7 4 3" xfId="49520"/>
    <cellStyle name="Comma 8 7 4 3 2" xfId="49521"/>
    <cellStyle name="Comma 8 7 4 4" xfId="49522"/>
    <cellStyle name="Comma 8 7 4 5" xfId="49523"/>
    <cellStyle name="Comma 8 7 5" xfId="49524"/>
    <cellStyle name="Comma 8 7 5 2" xfId="49525"/>
    <cellStyle name="Comma 8 7 5 3" xfId="49526"/>
    <cellStyle name="Comma 8 7 6" xfId="49527"/>
    <cellStyle name="Comma 8 7 6 2" xfId="49528"/>
    <cellStyle name="Comma 8 7 6 3" xfId="49529"/>
    <cellStyle name="Comma 8 7 7" xfId="49530"/>
    <cellStyle name="Comma 8 7 7 2" xfId="49531"/>
    <cellStyle name="Comma 8 7 8" xfId="49532"/>
    <cellStyle name="Comma 8 7 9" xfId="49533"/>
    <cellStyle name="Comma 8 8" xfId="49534"/>
    <cellStyle name="Comma 8 8 2" xfId="49535"/>
    <cellStyle name="Comma 8 8 2 2" xfId="49536"/>
    <cellStyle name="Comma 8 8 2 3" xfId="49537"/>
    <cellStyle name="Comma 8 8 3" xfId="49538"/>
    <cellStyle name="Comma 8 8 3 2" xfId="49539"/>
    <cellStyle name="Comma 8 8 3 3" xfId="49540"/>
    <cellStyle name="Comma 8 8 4" xfId="49541"/>
    <cellStyle name="Comma 8 8 4 2" xfId="49542"/>
    <cellStyle name="Comma 8 8 5" xfId="49543"/>
    <cellStyle name="Comma 8 8 6" xfId="49544"/>
    <cellStyle name="Comma 8 9" xfId="49545"/>
    <cellStyle name="Comma 8 9 2" xfId="49546"/>
    <cellStyle name="Comma 8 9 2 2" xfId="49547"/>
    <cellStyle name="Comma 8 9 2 3" xfId="49548"/>
    <cellStyle name="Comma 8 9 3" xfId="49549"/>
    <cellStyle name="Comma 8 9 3 2" xfId="49550"/>
    <cellStyle name="Comma 8 9 3 3" xfId="49551"/>
    <cellStyle name="Comma 8 9 4" xfId="49552"/>
    <cellStyle name="Comma 8 9 4 2" xfId="49553"/>
    <cellStyle name="Comma 8 9 5" xfId="49554"/>
    <cellStyle name="Comma 8 9 6" xfId="49555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6"/>
    <cellStyle name="Comma 9 10 2 2" xfId="49557"/>
    <cellStyle name="Comma 9 10 2 3" xfId="49558"/>
    <cellStyle name="Comma 9 10 3" xfId="49559"/>
    <cellStyle name="Comma 9 10 3 2" xfId="49560"/>
    <cellStyle name="Comma 9 10 4" xfId="49561"/>
    <cellStyle name="Comma 9 10 5" xfId="49562"/>
    <cellStyle name="Comma 9 11" xfId="49563"/>
    <cellStyle name="Comma 9 11 2" xfId="49564"/>
    <cellStyle name="Comma 9 11 3" xfId="49565"/>
    <cellStyle name="Comma 9 12" xfId="49566"/>
    <cellStyle name="Comma 9 12 2" xfId="49567"/>
    <cellStyle name="Comma 9 12 3" xfId="49568"/>
    <cellStyle name="Comma 9 13" xfId="49569"/>
    <cellStyle name="Comma 9 13 2" xfId="49570"/>
    <cellStyle name="Comma 9 14" xfId="49571"/>
    <cellStyle name="Comma 9 15" xfId="49572"/>
    <cellStyle name="Comma 9 16" xfId="49573"/>
    <cellStyle name="Comma 9 2" xfId="3753"/>
    <cellStyle name="Comma 9 2 10" xfId="49574"/>
    <cellStyle name="Comma 9 2 10 2" xfId="49575"/>
    <cellStyle name="Comma 9 2 10 3" xfId="49576"/>
    <cellStyle name="Comma 9 2 11" xfId="49577"/>
    <cellStyle name="Comma 9 2 11 2" xfId="49578"/>
    <cellStyle name="Comma 9 2 11 3" xfId="49579"/>
    <cellStyle name="Comma 9 2 12" xfId="49580"/>
    <cellStyle name="Comma 9 2 12 2" xfId="49581"/>
    <cellStyle name="Comma 9 2 13" xfId="49582"/>
    <cellStyle name="Comma 9 2 14" xfId="49583"/>
    <cellStyle name="Comma 9 2 15" xfId="49584"/>
    <cellStyle name="Comma 9 2 2" xfId="3754"/>
    <cellStyle name="Comma 9 2 2 10" xfId="49585"/>
    <cellStyle name="Comma 9 2 2 10 2" xfId="49586"/>
    <cellStyle name="Comma 9 2 2 10 3" xfId="49587"/>
    <cellStyle name="Comma 9 2 2 11" xfId="49588"/>
    <cellStyle name="Comma 9 2 2 11 2" xfId="49589"/>
    <cellStyle name="Comma 9 2 2 12" xfId="49590"/>
    <cellStyle name="Comma 9 2 2 13" xfId="49591"/>
    <cellStyle name="Comma 9 2 2 14" xfId="49592"/>
    <cellStyle name="Comma 9 2 2 2" xfId="3755"/>
    <cellStyle name="Comma 9 2 2 2 10" xfId="49593"/>
    <cellStyle name="Comma 9 2 2 2 10 2" xfId="49594"/>
    <cellStyle name="Comma 9 2 2 2 11" xfId="49595"/>
    <cellStyle name="Comma 9 2 2 2 12" xfId="49596"/>
    <cellStyle name="Comma 9 2 2 2 2" xfId="3756"/>
    <cellStyle name="Comma 9 2 2 2 2 10" xfId="49597"/>
    <cellStyle name="Comma 9 2 2 2 2 2" xfId="3757"/>
    <cellStyle name="Comma 9 2 2 2 2 2 2" xfId="3758"/>
    <cellStyle name="Comma 9 2 2 2 2 2 2 2" xfId="49598"/>
    <cellStyle name="Comma 9 2 2 2 2 2 2 2 2" xfId="49599"/>
    <cellStyle name="Comma 9 2 2 2 2 2 2 2 3" xfId="49600"/>
    <cellStyle name="Comma 9 2 2 2 2 2 2 3" xfId="49601"/>
    <cellStyle name="Comma 9 2 2 2 2 2 2 3 2" xfId="49602"/>
    <cellStyle name="Comma 9 2 2 2 2 2 2 3 3" xfId="49603"/>
    <cellStyle name="Comma 9 2 2 2 2 2 2 4" xfId="49604"/>
    <cellStyle name="Comma 9 2 2 2 2 2 2 4 2" xfId="49605"/>
    <cellStyle name="Comma 9 2 2 2 2 2 2 5" xfId="49606"/>
    <cellStyle name="Comma 9 2 2 2 2 2 2 6" xfId="49607"/>
    <cellStyle name="Comma 9 2 2 2 2 2 3" xfId="49608"/>
    <cellStyle name="Comma 9 2 2 2 2 2 3 2" xfId="49609"/>
    <cellStyle name="Comma 9 2 2 2 2 2 3 2 2" xfId="49610"/>
    <cellStyle name="Comma 9 2 2 2 2 2 3 2 3" xfId="49611"/>
    <cellStyle name="Comma 9 2 2 2 2 2 3 3" xfId="49612"/>
    <cellStyle name="Comma 9 2 2 2 2 2 3 3 2" xfId="49613"/>
    <cellStyle name="Comma 9 2 2 2 2 2 3 3 3" xfId="49614"/>
    <cellStyle name="Comma 9 2 2 2 2 2 3 4" xfId="49615"/>
    <cellStyle name="Comma 9 2 2 2 2 2 3 4 2" xfId="49616"/>
    <cellStyle name="Comma 9 2 2 2 2 2 3 5" xfId="49617"/>
    <cellStyle name="Comma 9 2 2 2 2 2 3 6" xfId="49618"/>
    <cellStyle name="Comma 9 2 2 2 2 2 4" xfId="49619"/>
    <cellStyle name="Comma 9 2 2 2 2 2 4 2" xfId="49620"/>
    <cellStyle name="Comma 9 2 2 2 2 2 4 2 2" xfId="49621"/>
    <cellStyle name="Comma 9 2 2 2 2 2 4 2 3" xfId="49622"/>
    <cellStyle name="Comma 9 2 2 2 2 2 4 3" xfId="49623"/>
    <cellStyle name="Comma 9 2 2 2 2 2 4 3 2" xfId="49624"/>
    <cellStyle name="Comma 9 2 2 2 2 2 4 4" xfId="49625"/>
    <cellStyle name="Comma 9 2 2 2 2 2 4 5" xfId="49626"/>
    <cellStyle name="Comma 9 2 2 2 2 2 5" xfId="49627"/>
    <cellStyle name="Comma 9 2 2 2 2 2 5 2" xfId="49628"/>
    <cellStyle name="Comma 9 2 2 2 2 2 5 3" xfId="49629"/>
    <cellStyle name="Comma 9 2 2 2 2 2 6" xfId="49630"/>
    <cellStyle name="Comma 9 2 2 2 2 2 6 2" xfId="49631"/>
    <cellStyle name="Comma 9 2 2 2 2 2 6 3" xfId="49632"/>
    <cellStyle name="Comma 9 2 2 2 2 2 7" xfId="49633"/>
    <cellStyle name="Comma 9 2 2 2 2 2 7 2" xfId="49634"/>
    <cellStyle name="Comma 9 2 2 2 2 2 8" xfId="49635"/>
    <cellStyle name="Comma 9 2 2 2 2 2 9" xfId="49636"/>
    <cellStyle name="Comma 9 2 2 2 2 3" xfId="3759"/>
    <cellStyle name="Comma 9 2 2 2 2 3 2" xfId="49637"/>
    <cellStyle name="Comma 9 2 2 2 2 3 2 2" xfId="49638"/>
    <cellStyle name="Comma 9 2 2 2 2 3 2 3" xfId="49639"/>
    <cellStyle name="Comma 9 2 2 2 2 3 3" xfId="49640"/>
    <cellStyle name="Comma 9 2 2 2 2 3 3 2" xfId="49641"/>
    <cellStyle name="Comma 9 2 2 2 2 3 3 3" xfId="49642"/>
    <cellStyle name="Comma 9 2 2 2 2 3 4" xfId="49643"/>
    <cellStyle name="Comma 9 2 2 2 2 3 4 2" xfId="49644"/>
    <cellStyle name="Comma 9 2 2 2 2 3 5" xfId="49645"/>
    <cellStyle name="Comma 9 2 2 2 2 3 6" xfId="49646"/>
    <cellStyle name="Comma 9 2 2 2 2 4" xfId="49647"/>
    <cellStyle name="Comma 9 2 2 2 2 4 2" xfId="49648"/>
    <cellStyle name="Comma 9 2 2 2 2 4 2 2" xfId="49649"/>
    <cellStyle name="Comma 9 2 2 2 2 4 2 3" xfId="49650"/>
    <cellStyle name="Comma 9 2 2 2 2 4 3" xfId="49651"/>
    <cellStyle name="Comma 9 2 2 2 2 4 3 2" xfId="49652"/>
    <cellStyle name="Comma 9 2 2 2 2 4 3 3" xfId="49653"/>
    <cellStyle name="Comma 9 2 2 2 2 4 4" xfId="49654"/>
    <cellStyle name="Comma 9 2 2 2 2 4 4 2" xfId="49655"/>
    <cellStyle name="Comma 9 2 2 2 2 4 5" xfId="49656"/>
    <cellStyle name="Comma 9 2 2 2 2 4 6" xfId="49657"/>
    <cellStyle name="Comma 9 2 2 2 2 5" xfId="49658"/>
    <cellStyle name="Comma 9 2 2 2 2 5 2" xfId="49659"/>
    <cellStyle name="Comma 9 2 2 2 2 5 2 2" xfId="49660"/>
    <cellStyle name="Comma 9 2 2 2 2 5 2 3" xfId="49661"/>
    <cellStyle name="Comma 9 2 2 2 2 5 3" xfId="49662"/>
    <cellStyle name="Comma 9 2 2 2 2 5 3 2" xfId="49663"/>
    <cellStyle name="Comma 9 2 2 2 2 5 4" xfId="49664"/>
    <cellStyle name="Comma 9 2 2 2 2 5 5" xfId="49665"/>
    <cellStyle name="Comma 9 2 2 2 2 6" xfId="49666"/>
    <cellStyle name="Comma 9 2 2 2 2 6 2" xfId="49667"/>
    <cellStyle name="Comma 9 2 2 2 2 6 3" xfId="49668"/>
    <cellStyle name="Comma 9 2 2 2 2 7" xfId="49669"/>
    <cellStyle name="Comma 9 2 2 2 2 7 2" xfId="49670"/>
    <cellStyle name="Comma 9 2 2 2 2 7 3" xfId="49671"/>
    <cellStyle name="Comma 9 2 2 2 2 8" xfId="49672"/>
    <cellStyle name="Comma 9 2 2 2 2 8 2" xfId="49673"/>
    <cellStyle name="Comma 9 2 2 2 2 9" xfId="49674"/>
    <cellStyle name="Comma 9 2 2 2 3" xfId="3760"/>
    <cellStyle name="Comma 9 2 2 2 3 2" xfId="3761"/>
    <cellStyle name="Comma 9 2 2 2 3 2 2" xfId="49675"/>
    <cellStyle name="Comma 9 2 2 2 3 2 2 2" xfId="49676"/>
    <cellStyle name="Comma 9 2 2 2 3 2 2 3" xfId="49677"/>
    <cellStyle name="Comma 9 2 2 2 3 2 3" xfId="49678"/>
    <cellStyle name="Comma 9 2 2 2 3 2 3 2" xfId="49679"/>
    <cellStyle name="Comma 9 2 2 2 3 2 3 3" xfId="49680"/>
    <cellStyle name="Comma 9 2 2 2 3 2 4" xfId="49681"/>
    <cellStyle name="Comma 9 2 2 2 3 2 4 2" xfId="49682"/>
    <cellStyle name="Comma 9 2 2 2 3 2 5" xfId="49683"/>
    <cellStyle name="Comma 9 2 2 2 3 2 6" xfId="49684"/>
    <cellStyle name="Comma 9 2 2 2 3 3" xfId="49685"/>
    <cellStyle name="Comma 9 2 2 2 3 3 2" xfId="49686"/>
    <cellStyle name="Comma 9 2 2 2 3 3 2 2" xfId="49687"/>
    <cellStyle name="Comma 9 2 2 2 3 3 2 3" xfId="49688"/>
    <cellStyle name="Comma 9 2 2 2 3 3 3" xfId="49689"/>
    <cellStyle name="Comma 9 2 2 2 3 3 3 2" xfId="49690"/>
    <cellStyle name="Comma 9 2 2 2 3 3 3 3" xfId="49691"/>
    <cellStyle name="Comma 9 2 2 2 3 3 4" xfId="49692"/>
    <cellStyle name="Comma 9 2 2 2 3 3 4 2" xfId="49693"/>
    <cellStyle name="Comma 9 2 2 2 3 3 5" xfId="49694"/>
    <cellStyle name="Comma 9 2 2 2 3 3 6" xfId="49695"/>
    <cellStyle name="Comma 9 2 2 2 3 4" xfId="49696"/>
    <cellStyle name="Comma 9 2 2 2 3 4 2" xfId="49697"/>
    <cellStyle name="Comma 9 2 2 2 3 4 2 2" xfId="49698"/>
    <cellStyle name="Comma 9 2 2 2 3 4 2 3" xfId="49699"/>
    <cellStyle name="Comma 9 2 2 2 3 4 3" xfId="49700"/>
    <cellStyle name="Comma 9 2 2 2 3 4 3 2" xfId="49701"/>
    <cellStyle name="Comma 9 2 2 2 3 4 4" xfId="49702"/>
    <cellStyle name="Comma 9 2 2 2 3 4 5" xfId="49703"/>
    <cellStyle name="Comma 9 2 2 2 3 5" xfId="49704"/>
    <cellStyle name="Comma 9 2 2 2 3 5 2" xfId="49705"/>
    <cellStyle name="Comma 9 2 2 2 3 5 3" xfId="49706"/>
    <cellStyle name="Comma 9 2 2 2 3 6" xfId="49707"/>
    <cellStyle name="Comma 9 2 2 2 3 6 2" xfId="49708"/>
    <cellStyle name="Comma 9 2 2 2 3 6 3" xfId="49709"/>
    <cellStyle name="Comma 9 2 2 2 3 7" xfId="49710"/>
    <cellStyle name="Comma 9 2 2 2 3 7 2" xfId="49711"/>
    <cellStyle name="Comma 9 2 2 2 3 8" xfId="49712"/>
    <cellStyle name="Comma 9 2 2 2 3 9" xfId="49713"/>
    <cellStyle name="Comma 9 2 2 2 4" xfId="3762"/>
    <cellStyle name="Comma 9 2 2 2 4 2" xfId="49714"/>
    <cellStyle name="Comma 9 2 2 2 4 2 2" xfId="49715"/>
    <cellStyle name="Comma 9 2 2 2 4 2 2 2" xfId="49716"/>
    <cellStyle name="Comma 9 2 2 2 4 2 2 3" xfId="49717"/>
    <cellStyle name="Comma 9 2 2 2 4 2 3" xfId="49718"/>
    <cellStyle name="Comma 9 2 2 2 4 2 3 2" xfId="49719"/>
    <cellStyle name="Comma 9 2 2 2 4 2 3 3" xfId="49720"/>
    <cellStyle name="Comma 9 2 2 2 4 2 4" xfId="49721"/>
    <cellStyle name="Comma 9 2 2 2 4 2 4 2" xfId="49722"/>
    <cellStyle name="Comma 9 2 2 2 4 2 5" xfId="49723"/>
    <cellStyle name="Comma 9 2 2 2 4 2 6" xfId="49724"/>
    <cellStyle name="Comma 9 2 2 2 4 3" xfId="49725"/>
    <cellStyle name="Comma 9 2 2 2 4 3 2" xfId="49726"/>
    <cellStyle name="Comma 9 2 2 2 4 3 2 2" xfId="49727"/>
    <cellStyle name="Comma 9 2 2 2 4 3 2 3" xfId="49728"/>
    <cellStyle name="Comma 9 2 2 2 4 3 3" xfId="49729"/>
    <cellStyle name="Comma 9 2 2 2 4 3 3 2" xfId="49730"/>
    <cellStyle name="Comma 9 2 2 2 4 3 3 3" xfId="49731"/>
    <cellStyle name="Comma 9 2 2 2 4 3 4" xfId="49732"/>
    <cellStyle name="Comma 9 2 2 2 4 3 4 2" xfId="49733"/>
    <cellStyle name="Comma 9 2 2 2 4 3 5" xfId="49734"/>
    <cellStyle name="Comma 9 2 2 2 4 3 6" xfId="49735"/>
    <cellStyle name="Comma 9 2 2 2 4 4" xfId="49736"/>
    <cellStyle name="Comma 9 2 2 2 4 4 2" xfId="49737"/>
    <cellStyle name="Comma 9 2 2 2 4 4 2 2" xfId="49738"/>
    <cellStyle name="Comma 9 2 2 2 4 4 2 3" xfId="49739"/>
    <cellStyle name="Comma 9 2 2 2 4 4 3" xfId="49740"/>
    <cellStyle name="Comma 9 2 2 2 4 4 3 2" xfId="49741"/>
    <cellStyle name="Comma 9 2 2 2 4 4 4" xfId="49742"/>
    <cellStyle name="Comma 9 2 2 2 4 4 5" xfId="49743"/>
    <cellStyle name="Comma 9 2 2 2 4 5" xfId="49744"/>
    <cellStyle name="Comma 9 2 2 2 4 5 2" xfId="49745"/>
    <cellStyle name="Comma 9 2 2 2 4 5 3" xfId="49746"/>
    <cellStyle name="Comma 9 2 2 2 4 6" xfId="49747"/>
    <cellStyle name="Comma 9 2 2 2 4 6 2" xfId="49748"/>
    <cellStyle name="Comma 9 2 2 2 4 6 3" xfId="49749"/>
    <cellStyle name="Comma 9 2 2 2 4 7" xfId="49750"/>
    <cellStyle name="Comma 9 2 2 2 4 7 2" xfId="49751"/>
    <cellStyle name="Comma 9 2 2 2 4 8" xfId="49752"/>
    <cellStyle name="Comma 9 2 2 2 4 9" xfId="49753"/>
    <cellStyle name="Comma 9 2 2 2 5" xfId="49754"/>
    <cellStyle name="Comma 9 2 2 2 5 2" xfId="49755"/>
    <cellStyle name="Comma 9 2 2 2 5 2 2" xfId="49756"/>
    <cellStyle name="Comma 9 2 2 2 5 2 3" xfId="49757"/>
    <cellStyle name="Comma 9 2 2 2 5 3" xfId="49758"/>
    <cellStyle name="Comma 9 2 2 2 5 3 2" xfId="49759"/>
    <cellStyle name="Comma 9 2 2 2 5 3 3" xfId="49760"/>
    <cellStyle name="Comma 9 2 2 2 5 4" xfId="49761"/>
    <cellStyle name="Comma 9 2 2 2 5 4 2" xfId="49762"/>
    <cellStyle name="Comma 9 2 2 2 5 5" xfId="49763"/>
    <cellStyle name="Comma 9 2 2 2 5 6" xfId="49764"/>
    <cellStyle name="Comma 9 2 2 2 6" xfId="49765"/>
    <cellStyle name="Comma 9 2 2 2 6 2" xfId="49766"/>
    <cellStyle name="Comma 9 2 2 2 6 2 2" xfId="49767"/>
    <cellStyle name="Comma 9 2 2 2 6 2 3" xfId="49768"/>
    <cellStyle name="Comma 9 2 2 2 6 3" xfId="49769"/>
    <cellStyle name="Comma 9 2 2 2 6 3 2" xfId="49770"/>
    <cellStyle name="Comma 9 2 2 2 6 3 3" xfId="49771"/>
    <cellStyle name="Comma 9 2 2 2 6 4" xfId="49772"/>
    <cellStyle name="Comma 9 2 2 2 6 4 2" xfId="49773"/>
    <cellStyle name="Comma 9 2 2 2 6 5" xfId="49774"/>
    <cellStyle name="Comma 9 2 2 2 6 6" xfId="49775"/>
    <cellStyle name="Comma 9 2 2 2 7" xfId="49776"/>
    <cellStyle name="Comma 9 2 2 2 7 2" xfId="49777"/>
    <cellStyle name="Comma 9 2 2 2 7 2 2" xfId="49778"/>
    <cellStyle name="Comma 9 2 2 2 7 2 3" xfId="49779"/>
    <cellStyle name="Comma 9 2 2 2 7 3" xfId="49780"/>
    <cellStyle name="Comma 9 2 2 2 7 3 2" xfId="49781"/>
    <cellStyle name="Comma 9 2 2 2 7 4" xfId="49782"/>
    <cellStyle name="Comma 9 2 2 2 7 5" xfId="49783"/>
    <cellStyle name="Comma 9 2 2 2 8" xfId="49784"/>
    <cellStyle name="Comma 9 2 2 2 8 2" xfId="49785"/>
    <cellStyle name="Comma 9 2 2 2 8 3" xfId="49786"/>
    <cellStyle name="Comma 9 2 2 2 9" xfId="49787"/>
    <cellStyle name="Comma 9 2 2 2 9 2" xfId="49788"/>
    <cellStyle name="Comma 9 2 2 2 9 3" xfId="49789"/>
    <cellStyle name="Comma 9 2 2 3" xfId="3763"/>
    <cellStyle name="Comma 9 2 2 3 10" xfId="49790"/>
    <cellStyle name="Comma 9 2 2 3 2" xfId="3764"/>
    <cellStyle name="Comma 9 2 2 3 2 2" xfId="3765"/>
    <cellStyle name="Comma 9 2 2 3 2 2 2" xfId="49791"/>
    <cellStyle name="Comma 9 2 2 3 2 2 2 2" xfId="49792"/>
    <cellStyle name="Comma 9 2 2 3 2 2 2 3" xfId="49793"/>
    <cellStyle name="Comma 9 2 2 3 2 2 3" xfId="49794"/>
    <cellStyle name="Comma 9 2 2 3 2 2 3 2" xfId="49795"/>
    <cellStyle name="Comma 9 2 2 3 2 2 3 3" xfId="49796"/>
    <cellStyle name="Comma 9 2 2 3 2 2 4" xfId="49797"/>
    <cellStyle name="Comma 9 2 2 3 2 2 4 2" xfId="49798"/>
    <cellStyle name="Comma 9 2 2 3 2 2 5" xfId="49799"/>
    <cellStyle name="Comma 9 2 2 3 2 2 6" xfId="49800"/>
    <cellStyle name="Comma 9 2 2 3 2 3" xfId="49801"/>
    <cellStyle name="Comma 9 2 2 3 2 3 2" xfId="49802"/>
    <cellStyle name="Comma 9 2 2 3 2 3 2 2" xfId="49803"/>
    <cellStyle name="Comma 9 2 2 3 2 3 2 3" xfId="49804"/>
    <cellStyle name="Comma 9 2 2 3 2 3 3" xfId="49805"/>
    <cellStyle name="Comma 9 2 2 3 2 3 3 2" xfId="49806"/>
    <cellStyle name="Comma 9 2 2 3 2 3 3 3" xfId="49807"/>
    <cellStyle name="Comma 9 2 2 3 2 3 4" xfId="49808"/>
    <cellStyle name="Comma 9 2 2 3 2 3 4 2" xfId="49809"/>
    <cellStyle name="Comma 9 2 2 3 2 3 5" xfId="49810"/>
    <cellStyle name="Comma 9 2 2 3 2 3 6" xfId="49811"/>
    <cellStyle name="Comma 9 2 2 3 2 4" xfId="49812"/>
    <cellStyle name="Comma 9 2 2 3 2 4 2" xfId="49813"/>
    <cellStyle name="Comma 9 2 2 3 2 4 2 2" xfId="49814"/>
    <cellStyle name="Comma 9 2 2 3 2 4 2 3" xfId="49815"/>
    <cellStyle name="Comma 9 2 2 3 2 4 3" xfId="49816"/>
    <cellStyle name="Comma 9 2 2 3 2 4 3 2" xfId="49817"/>
    <cellStyle name="Comma 9 2 2 3 2 4 4" xfId="49818"/>
    <cellStyle name="Comma 9 2 2 3 2 4 5" xfId="49819"/>
    <cellStyle name="Comma 9 2 2 3 2 5" xfId="49820"/>
    <cellStyle name="Comma 9 2 2 3 2 5 2" xfId="49821"/>
    <cellStyle name="Comma 9 2 2 3 2 5 3" xfId="49822"/>
    <cellStyle name="Comma 9 2 2 3 2 6" xfId="49823"/>
    <cellStyle name="Comma 9 2 2 3 2 6 2" xfId="49824"/>
    <cellStyle name="Comma 9 2 2 3 2 6 3" xfId="49825"/>
    <cellStyle name="Comma 9 2 2 3 2 7" xfId="49826"/>
    <cellStyle name="Comma 9 2 2 3 2 7 2" xfId="49827"/>
    <cellStyle name="Comma 9 2 2 3 2 8" xfId="49828"/>
    <cellStyle name="Comma 9 2 2 3 2 9" xfId="49829"/>
    <cellStyle name="Comma 9 2 2 3 3" xfId="3766"/>
    <cellStyle name="Comma 9 2 2 3 3 2" xfId="49830"/>
    <cellStyle name="Comma 9 2 2 3 3 2 2" xfId="49831"/>
    <cellStyle name="Comma 9 2 2 3 3 2 3" xfId="49832"/>
    <cellStyle name="Comma 9 2 2 3 3 3" xfId="49833"/>
    <cellStyle name="Comma 9 2 2 3 3 3 2" xfId="49834"/>
    <cellStyle name="Comma 9 2 2 3 3 3 3" xfId="49835"/>
    <cellStyle name="Comma 9 2 2 3 3 4" xfId="49836"/>
    <cellStyle name="Comma 9 2 2 3 3 4 2" xfId="49837"/>
    <cellStyle name="Comma 9 2 2 3 3 5" xfId="49838"/>
    <cellStyle name="Comma 9 2 2 3 3 6" xfId="49839"/>
    <cellStyle name="Comma 9 2 2 3 4" xfId="49840"/>
    <cellStyle name="Comma 9 2 2 3 4 2" xfId="49841"/>
    <cellStyle name="Comma 9 2 2 3 4 2 2" xfId="49842"/>
    <cellStyle name="Comma 9 2 2 3 4 2 3" xfId="49843"/>
    <cellStyle name="Comma 9 2 2 3 4 3" xfId="49844"/>
    <cellStyle name="Comma 9 2 2 3 4 3 2" xfId="49845"/>
    <cellStyle name="Comma 9 2 2 3 4 3 3" xfId="49846"/>
    <cellStyle name="Comma 9 2 2 3 4 4" xfId="49847"/>
    <cellStyle name="Comma 9 2 2 3 4 4 2" xfId="49848"/>
    <cellStyle name="Comma 9 2 2 3 4 5" xfId="49849"/>
    <cellStyle name="Comma 9 2 2 3 4 6" xfId="49850"/>
    <cellStyle name="Comma 9 2 2 3 5" xfId="49851"/>
    <cellStyle name="Comma 9 2 2 3 5 2" xfId="49852"/>
    <cellStyle name="Comma 9 2 2 3 5 2 2" xfId="49853"/>
    <cellStyle name="Comma 9 2 2 3 5 2 3" xfId="49854"/>
    <cellStyle name="Comma 9 2 2 3 5 3" xfId="49855"/>
    <cellStyle name="Comma 9 2 2 3 5 3 2" xfId="49856"/>
    <cellStyle name="Comma 9 2 2 3 5 4" xfId="49857"/>
    <cellStyle name="Comma 9 2 2 3 5 5" xfId="49858"/>
    <cellStyle name="Comma 9 2 2 3 6" xfId="49859"/>
    <cellStyle name="Comma 9 2 2 3 6 2" xfId="49860"/>
    <cellStyle name="Comma 9 2 2 3 6 3" xfId="49861"/>
    <cellStyle name="Comma 9 2 2 3 7" xfId="49862"/>
    <cellStyle name="Comma 9 2 2 3 7 2" xfId="49863"/>
    <cellStyle name="Comma 9 2 2 3 7 3" xfId="49864"/>
    <cellStyle name="Comma 9 2 2 3 8" xfId="49865"/>
    <cellStyle name="Comma 9 2 2 3 8 2" xfId="49866"/>
    <cellStyle name="Comma 9 2 2 3 9" xfId="49867"/>
    <cellStyle name="Comma 9 2 2 4" xfId="3767"/>
    <cellStyle name="Comma 9 2 2 4 2" xfId="3768"/>
    <cellStyle name="Comma 9 2 2 4 2 2" xfId="49868"/>
    <cellStyle name="Comma 9 2 2 4 2 2 2" xfId="49869"/>
    <cellStyle name="Comma 9 2 2 4 2 2 3" xfId="49870"/>
    <cellStyle name="Comma 9 2 2 4 2 3" xfId="49871"/>
    <cellStyle name="Comma 9 2 2 4 2 3 2" xfId="49872"/>
    <cellStyle name="Comma 9 2 2 4 2 3 3" xfId="49873"/>
    <cellStyle name="Comma 9 2 2 4 2 4" xfId="49874"/>
    <cellStyle name="Comma 9 2 2 4 2 4 2" xfId="49875"/>
    <cellStyle name="Comma 9 2 2 4 2 5" xfId="49876"/>
    <cellStyle name="Comma 9 2 2 4 2 6" xfId="49877"/>
    <cellStyle name="Comma 9 2 2 4 3" xfId="49878"/>
    <cellStyle name="Comma 9 2 2 4 3 2" xfId="49879"/>
    <cellStyle name="Comma 9 2 2 4 3 2 2" xfId="49880"/>
    <cellStyle name="Comma 9 2 2 4 3 2 3" xfId="49881"/>
    <cellStyle name="Comma 9 2 2 4 3 3" xfId="49882"/>
    <cellStyle name="Comma 9 2 2 4 3 3 2" xfId="49883"/>
    <cellStyle name="Comma 9 2 2 4 3 3 3" xfId="49884"/>
    <cellStyle name="Comma 9 2 2 4 3 4" xfId="49885"/>
    <cellStyle name="Comma 9 2 2 4 3 4 2" xfId="49886"/>
    <cellStyle name="Comma 9 2 2 4 3 5" xfId="49887"/>
    <cellStyle name="Comma 9 2 2 4 3 6" xfId="49888"/>
    <cellStyle name="Comma 9 2 2 4 4" xfId="49889"/>
    <cellStyle name="Comma 9 2 2 4 4 2" xfId="49890"/>
    <cellStyle name="Comma 9 2 2 4 4 2 2" xfId="49891"/>
    <cellStyle name="Comma 9 2 2 4 4 2 3" xfId="49892"/>
    <cellStyle name="Comma 9 2 2 4 4 3" xfId="49893"/>
    <cellStyle name="Comma 9 2 2 4 4 3 2" xfId="49894"/>
    <cellStyle name="Comma 9 2 2 4 4 4" xfId="49895"/>
    <cellStyle name="Comma 9 2 2 4 4 5" xfId="49896"/>
    <cellStyle name="Comma 9 2 2 4 5" xfId="49897"/>
    <cellStyle name="Comma 9 2 2 4 5 2" xfId="49898"/>
    <cellStyle name="Comma 9 2 2 4 5 3" xfId="49899"/>
    <cellStyle name="Comma 9 2 2 4 6" xfId="49900"/>
    <cellStyle name="Comma 9 2 2 4 6 2" xfId="49901"/>
    <cellStyle name="Comma 9 2 2 4 6 3" xfId="49902"/>
    <cellStyle name="Comma 9 2 2 4 7" xfId="49903"/>
    <cellStyle name="Comma 9 2 2 4 7 2" xfId="49904"/>
    <cellStyle name="Comma 9 2 2 4 8" xfId="49905"/>
    <cellStyle name="Comma 9 2 2 4 9" xfId="49906"/>
    <cellStyle name="Comma 9 2 2 5" xfId="3769"/>
    <cellStyle name="Comma 9 2 2 5 2" xfId="49907"/>
    <cellStyle name="Comma 9 2 2 5 2 2" xfId="49908"/>
    <cellStyle name="Comma 9 2 2 5 2 2 2" xfId="49909"/>
    <cellStyle name="Comma 9 2 2 5 2 2 3" xfId="49910"/>
    <cellStyle name="Comma 9 2 2 5 2 3" xfId="49911"/>
    <cellStyle name="Comma 9 2 2 5 2 3 2" xfId="49912"/>
    <cellStyle name="Comma 9 2 2 5 2 3 3" xfId="49913"/>
    <cellStyle name="Comma 9 2 2 5 2 4" xfId="49914"/>
    <cellStyle name="Comma 9 2 2 5 2 4 2" xfId="49915"/>
    <cellStyle name="Comma 9 2 2 5 2 5" xfId="49916"/>
    <cellStyle name="Comma 9 2 2 5 2 6" xfId="49917"/>
    <cellStyle name="Comma 9 2 2 5 3" xfId="49918"/>
    <cellStyle name="Comma 9 2 2 5 3 2" xfId="49919"/>
    <cellStyle name="Comma 9 2 2 5 3 2 2" xfId="49920"/>
    <cellStyle name="Comma 9 2 2 5 3 2 3" xfId="49921"/>
    <cellStyle name="Comma 9 2 2 5 3 3" xfId="49922"/>
    <cellStyle name="Comma 9 2 2 5 3 3 2" xfId="49923"/>
    <cellStyle name="Comma 9 2 2 5 3 3 3" xfId="49924"/>
    <cellStyle name="Comma 9 2 2 5 3 4" xfId="49925"/>
    <cellStyle name="Comma 9 2 2 5 3 4 2" xfId="49926"/>
    <cellStyle name="Comma 9 2 2 5 3 5" xfId="49927"/>
    <cellStyle name="Comma 9 2 2 5 3 6" xfId="49928"/>
    <cellStyle name="Comma 9 2 2 5 4" xfId="49929"/>
    <cellStyle name="Comma 9 2 2 5 4 2" xfId="49930"/>
    <cellStyle name="Comma 9 2 2 5 4 2 2" xfId="49931"/>
    <cellStyle name="Comma 9 2 2 5 4 2 3" xfId="49932"/>
    <cellStyle name="Comma 9 2 2 5 4 3" xfId="49933"/>
    <cellStyle name="Comma 9 2 2 5 4 3 2" xfId="49934"/>
    <cellStyle name="Comma 9 2 2 5 4 4" xfId="49935"/>
    <cellStyle name="Comma 9 2 2 5 4 5" xfId="49936"/>
    <cellStyle name="Comma 9 2 2 5 5" xfId="49937"/>
    <cellStyle name="Comma 9 2 2 5 5 2" xfId="49938"/>
    <cellStyle name="Comma 9 2 2 5 5 3" xfId="49939"/>
    <cellStyle name="Comma 9 2 2 5 6" xfId="49940"/>
    <cellStyle name="Comma 9 2 2 5 6 2" xfId="49941"/>
    <cellStyle name="Comma 9 2 2 5 6 3" xfId="49942"/>
    <cellStyle name="Comma 9 2 2 5 7" xfId="49943"/>
    <cellStyle name="Comma 9 2 2 5 7 2" xfId="49944"/>
    <cellStyle name="Comma 9 2 2 5 8" xfId="49945"/>
    <cellStyle name="Comma 9 2 2 5 9" xfId="49946"/>
    <cellStyle name="Comma 9 2 2 6" xfId="49947"/>
    <cellStyle name="Comma 9 2 2 6 2" xfId="49948"/>
    <cellStyle name="Comma 9 2 2 6 2 2" xfId="49949"/>
    <cellStyle name="Comma 9 2 2 6 2 3" xfId="49950"/>
    <cellStyle name="Comma 9 2 2 6 3" xfId="49951"/>
    <cellStyle name="Comma 9 2 2 6 3 2" xfId="49952"/>
    <cellStyle name="Comma 9 2 2 6 3 3" xfId="49953"/>
    <cellStyle name="Comma 9 2 2 6 4" xfId="49954"/>
    <cellStyle name="Comma 9 2 2 6 4 2" xfId="49955"/>
    <cellStyle name="Comma 9 2 2 6 5" xfId="49956"/>
    <cellStyle name="Comma 9 2 2 6 6" xfId="49957"/>
    <cellStyle name="Comma 9 2 2 7" xfId="49958"/>
    <cellStyle name="Comma 9 2 2 7 2" xfId="49959"/>
    <cellStyle name="Comma 9 2 2 7 2 2" xfId="49960"/>
    <cellStyle name="Comma 9 2 2 7 2 3" xfId="49961"/>
    <cellStyle name="Comma 9 2 2 7 3" xfId="49962"/>
    <cellStyle name="Comma 9 2 2 7 3 2" xfId="49963"/>
    <cellStyle name="Comma 9 2 2 7 3 3" xfId="49964"/>
    <cellStyle name="Comma 9 2 2 7 4" xfId="49965"/>
    <cellStyle name="Comma 9 2 2 7 4 2" xfId="49966"/>
    <cellStyle name="Comma 9 2 2 7 5" xfId="49967"/>
    <cellStyle name="Comma 9 2 2 7 6" xfId="49968"/>
    <cellStyle name="Comma 9 2 2 8" xfId="49969"/>
    <cellStyle name="Comma 9 2 2 8 2" xfId="49970"/>
    <cellStyle name="Comma 9 2 2 8 2 2" xfId="49971"/>
    <cellStyle name="Comma 9 2 2 8 2 3" xfId="49972"/>
    <cellStyle name="Comma 9 2 2 8 3" xfId="49973"/>
    <cellStyle name="Comma 9 2 2 8 3 2" xfId="49974"/>
    <cellStyle name="Comma 9 2 2 8 4" xfId="49975"/>
    <cellStyle name="Comma 9 2 2 8 5" xfId="49976"/>
    <cellStyle name="Comma 9 2 2 9" xfId="49977"/>
    <cellStyle name="Comma 9 2 2 9 2" xfId="49978"/>
    <cellStyle name="Comma 9 2 2 9 3" xfId="49979"/>
    <cellStyle name="Comma 9 2 3" xfId="3770"/>
    <cellStyle name="Comma 9 2 3 10" xfId="49980"/>
    <cellStyle name="Comma 9 2 3 10 2" xfId="49981"/>
    <cellStyle name="Comma 9 2 3 11" xfId="49982"/>
    <cellStyle name="Comma 9 2 3 12" xfId="49983"/>
    <cellStyle name="Comma 9 2 3 2" xfId="3771"/>
    <cellStyle name="Comma 9 2 3 2 10" xfId="49984"/>
    <cellStyle name="Comma 9 2 3 2 2" xfId="3772"/>
    <cellStyle name="Comma 9 2 3 2 2 2" xfId="3773"/>
    <cellStyle name="Comma 9 2 3 2 2 2 2" xfId="49985"/>
    <cellStyle name="Comma 9 2 3 2 2 2 2 2" xfId="49986"/>
    <cellStyle name="Comma 9 2 3 2 2 2 2 3" xfId="49987"/>
    <cellStyle name="Comma 9 2 3 2 2 2 3" xfId="49988"/>
    <cellStyle name="Comma 9 2 3 2 2 2 3 2" xfId="49989"/>
    <cellStyle name="Comma 9 2 3 2 2 2 3 3" xfId="49990"/>
    <cellStyle name="Comma 9 2 3 2 2 2 4" xfId="49991"/>
    <cellStyle name="Comma 9 2 3 2 2 2 4 2" xfId="49992"/>
    <cellStyle name="Comma 9 2 3 2 2 2 5" xfId="49993"/>
    <cellStyle name="Comma 9 2 3 2 2 2 6" xfId="49994"/>
    <cellStyle name="Comma 9 2 3 2 2 3" xfId="49995"/>
    <cellStyle name="Comma 9 2 3 2 2 3 2" xfId="49996"/>
    <cellStyle name="Comma 9 2 3 2 2 3 2 2" xfId="49997"/>
    <cellStyle name="Comma 9 2 3 2 2 3 2 3" xfId="49998"/>
    <cellStyle name="Comma 9 2 3 2 2 3 3" xfId="49999"/>
    <cellStyle name="Comma 9 2 3 2 2 3 3 2" xfId="50000"/>
    <cellStyle name="Comma 9 2 3 2 2 3 3 3" xfId="50001"/>
    <cellStyle name="Comma 9 2 3 2 2 3 4" xfId="50002"/>
    <cellStyle name="Comma 9 2 3 2 2 3 4 2" xfId="50003"/>
    <cellStyle name="Comma 9 2 3 2 2 3 5" xfId="50004"/>
    <cellStyle name="Comma 9 2 3 2 2 3 6" xfId="50005"/>
    <cellStyle name="Comma 9 2 3 2 2 4" xfId="50006"/>
    <cellStyle name="Comma 9 2 3 2 2 4 2" xfId="50007"/>
    <cellStyle name="Comma 9 2 3 2 2 4 2 2" xfId="50008"/>
    <cellStyle name="Comma 9 2 3 2 2 4 2 3" xfId="50009"/>
    <cellStyle name="Comma 9 2 3 2 2 4 3" xfId="50010"/>
    <cellStyle name="Comma 9 2 3 2 2 4 3 2" xfId="50011"/>
    <cellStyle name="Comma 9 2 3 2 2 4 4" xfId="50012"/>
    <cellStyle name="Comma 9 2 3 2 2 4 5" xfId="50013"/>
    <cellStyle name="Comma 9 2 3 2 2 5" xfId="50014"/>
    <cellStyle name="Comma 9 2 3 2 2 5 2" xfId="50015"/>
    <cellStyle name="Comma 9 2 3 2 2 5 3" xfId="50016"/>
    <cellStyle name="Comma 9 2 3 2 2 6" xfId="50017"/>
    <cellStyle name="Comma 9 2 3 2 2 6 2" xfId="50018"/>
    <cellStyle name="Comma 9 2 3 2 2 6 3" xfId="50019"/>
    <cellStyle name="Comma 9 2 3 2 2 7" xfId="50020"/>
    <cellStyle name="Comma 9 2 3 2 2 7 2" xfId="50021"/>
    <cellStyle name="Comma 9 2 3 2 2 8" xfId="50022"/>
    <cellStyle name="Comma 9 2 3 2 2 9" xfId="50023"/>
    <cellStyle name="Comma 9 2 3 2 3" xfId="3774"/>
    <cellStyle name="Comma 9 2 3 2 3 2" xfId="50024"/>
    <cellStyle name="Comma 9 2 3 2 3 2 2" xfId="50025"/>
    <cellStyle name="Comma 9 2 3 2 3 2 3" xfId="50026"/>
    <cellStyle name="Comma 9 2 3 2 3 3" xfId="50027"/>
    <cellStyle name="Comma 9 2 3 2 3 3 2" xfId="50028"/>
    <cellStyle name="Comma 9 2 3 2 3 3 3" xfId="50029"/>
    <cellStyle name="Comma 9 2 3 2 3 4" xfId="50030"/>
    <cellStyle name="Comma 9 2 3 2 3 4 2" xfId="50031"/>
    <cellStyle name="Comma 9 2 3 2 3 5" xfId="50032"/>
    <cellStyle name="Comma 9 2 3 2 3 6" xfId="50033"/>
    <cellStyle name="Comma 9 2 3 2 4" xfId="50034"/>
    <cellStyle name="Comma 9 2 3 2 4 2" xfId="50035"/>
    <cellStyle name="Comma 9 2 3 2 4 2 2" xfId="50036"/>
    <cellStyle name="Comma 9 2 3 2 4 2 3" xfId="50037"/>
    <cellStyle name="Comma 9 2 3 2 4 3" xfId="50038"/>
    <cellStyle name="Comma 9 2 3 2 4 3 2" xfId="50039"/>
    <cellStyle name="Comma 9 2 3 2 4 3 3" xfId="50040"/>
    <cellStyle name="Comma 9 2 3 2 4 4" xfId="50041"/>
    <cellStyle name="Comma 9 2 3 2 4 4 2" xfId="50042"/>
    <cellStyle name="Comma 9 2 3 2 4 5" xfId="50043"/>
    <cellStyle name="Comma 9 2 3 2 4 6" xfId="50044"/>
    <cellStyle name="Comma 9 2 3 2 5" xfId="50045"/>
    <cellStyle name="Comma 9 2 3 2 5 2" xfId="50046"/>
    <cellStyle name="Comma 9 2 3 2 5 2 2" xfId="50047"/>
    <cellStyle name="Comma 9 2 3 2 5 2 3" xfId="50048"/>
    <cellStyle name="Comma 9 2 3 2 5 3" xfId="50049"/>
    <cellStyle name="Comma 9 2 3 2 5 3 2" xfId="50050"/>
    <cellStyle name="Comma 9 2 3 2 5 4" xfId="50051"/>
    <cellStyle name="Comma 9 2 3 2 5 5" xfId="50052"/>
    <cellStyle name="Comma 9 2 3 2 6" xfId="50053"/>
    <cellStyle name="Comma 9 2 3 2 6 2" xfId="50054"/>
    <cellStyle name="Comma 9 2 3 2 6 3" xfId="50055"/>
    <cellStyle name="Comma 9 2 3 2 7" xfId="50056"/>
    <cellStyle name="Comma 9 2 3 2 7 2" xfId="50057"/>
    <cellStyle name="Comma 9 2 3 2 7 3" xfId="50058"/>
    <cellStyle name="Comma 9 2 3 2 8" xfId="50059"/>
    <cellStyle name="Comma 9 2 3 2 8 2" xfId="50060"/>
    <cellStyle name="Comma 9 2 3 2 9" xfId="50061"/>
    <cellStyle name="Comma 9 2 3 3" xfId="3775"/>
    <cellStyle name="Comma 9 2 3 3 2" xfId="3776"/>
    <cellStyle name="Comma 9 2 3 3 2 2" xfId="50062"/>
    <cellStyle name="Comma 9 2 3 3 2 2 2" xfId="50063"/>
    <cellStyle name="Comma 9 2 3 3 2 2 3" xfId="50064"/>
    <cellStyle name="Comma 9 2 3 3 2 3" xfId="50065"/>
    <cellStyle name="Comma 9 2 3 3 2 3 2" xfId="50066"/>
    <cellStyle name="Comma 9 2 3 3 2 3 3" xfId="50067"/>
    <cellStyle name="Comma 9 2 3 3 2 4" xfId="50068"/>
    <cellStyle name="Comma 9 2 3 3 2 4 2" xfId="50069"/>
    <cellStyle name="Comma 9 2 3 3 2 5" xfId="50070"/>
    <cellStyle name="Comma 9 2 3 3 2 6" xfId="50071"/>
    <cellStyle name="Comma 9 2 3 3 3" xfId="50072"/>
    <cellStyle name="Comma 9 2 3 3 3 2" xfId="50073"/>
    <cellStyle name="Comma 9 2 3 3 3 2 2" xfId="50074"/>
    <cellStyle name="Comma 9 2 3 3 3 2 3" xfId="50075"/>
    <cellStyle name="Comma 9 2 3 3 3 3" xfId="50076"/>
    <cellStyle name="Comma 9 2 3 3 3 3 2" xfId="50077"/>
    <cellStyle name="Comma 9 2 3 3 3 3 3" xfId="50078"/>
    <cellStyle name="Comma 9 2 3 3 3 4" xfId="50079"/>
    <cellStyle name="Comma 9 2 3 3 3 4 2" xfId="50080"/>
    <cellStyle name="Comma 9 2 3 3 3 5" xfId="50081"/>
    <cellStyle name="Comma 9 2 3 3 3 6" xfId="50082"/>
    <cellStyle name="Comma 9 2 3 3 4" xfId="50083"/>
    <cellStyle name="Comma 9 2 3 3 4 2" xfId="50084"/>
    <cellStyle name="Comma 9 2 3 3 4 2 2" xfId="50085"/>
    <cellStyle name="Comma 9 2 3 3 4 2 3" xfId="50086"/>
    <cellStyle name="Comma 9 2 3 3 4 3" xfId="50087"/>
    <cellStyle name="Comma 9 2 3 3 4 3 2" xfId="50088"/>
    <cellStyle name="Comma 9 2 3 3 4 4" xfId="50089"/>
    <cellStyle name="Comma 9 2 3 3 4 5" xfId="50090"/>
    <cellStyle name="Comma 9 2 3 3 5" xfId="50091"/>
    <cellStyle name="Comma 9 2 3 3 5 2" xfId="50092"/>
    <cellStyle name="Comma 9 2 3 3 5 3" xfId="50093"/>
    <cellStyle name="Comma 9 2 3 3 6" xfId="50094"/>
    <cellStyle name="Comma 9 2 3 3 6 2" xfId="50095"/>
    <cellStyle name="Comma 9 2 3 3 6 3" xfId="50096"/>
    <cellStyle name="Comma 9 2 3 3 7" xfId="50097"/>
    <cellStyle name="Comma 9 2 3 3 7 2" xfId="50098"/>
    <cellStyle name="Comma 9 2 3 3 8" xfId="50099"/>
    <cellStyle name="Comma 9 2 3 3 9" xfId="50100"/>
    <cellStyle name="Comma 9 2 3 4" xfId="3777"/>
    <cellStyle name="Comma 9 2 3 4 2" xfId="50101"/>
    <cellStyle name="Comma 9 2 3 4 2 2" xfId="50102"/>
    <cellStyle name="Comma 9 2 3 4 2 2 2" xfId="50103"/>
    <cellStyle name="Comma 9 2 3 4 2 2 3" xfId="50104"/>
    <cellStyle name="Comma 9 2 3 4 2 3" xfId="50105"/>
    <cellStyle name="Comma 9 2 3 4 2 3 2" xfId="50106"/>
    <cellStyle name="Comma 9 2 3 4 2 3 3" xfId="50107"/>
    <cellStyle name="Comma 9 2 3 4 2 4" xfId="50108"/>
    <cellStyle name="Comma 9 2 3 4 2 4 2" xfId="50109"/>
    <cellStyle name="Comma 9 2 3 4 2 5" xfId="50110"/>
    <cellStyle name="Comma 9 2 3 4 2 6" xfId="50111"/>
    <cellStyle name="Comma 9 2 3 4 3" xfId="50112"/>
    <cellStyle name="Comma 9 2 3 4 3 2" xfId="50113"/>
    <cellStyle name="Comma 9 2 3 4 3 2 2" xfId="50114"/>
    <cellStyle name="Comma 9 2 3 4 3 2 3" xfId="50115"/>
    <cellStyle name="Comma 9 2 3 4 3 3" xfId="50116"/>
    <cellStyle name="Comma 9 2 3 4 3 3 2" xfId="50117"/>
    <cellStyle name="Comma 9 2 3 4 3 3 3" xfId="50118"/>
    <cellStyle name="Comma 9 2 3 4 3 4" xfId="50119"/>
    <cellStyle name="Comma 9 2 3 4 3 4 2" xfId="50120"/>
    <cellStyle name="Comma 9 2 3 4 3 5" xfId="50121"/>
    <cellStyle name="Comma 9 2 3 4 3 6" xfId="50122"/>
    <cellStyle name="Comma 9 2 3 4 4" xfId="50123"/>
    <cellStyle name="Comma 9 2 3 4 4 2" xfId="50124"/>
    <cellStyle name="Comma 9 2 3 4 4 2 2" xfId="50125"/>
    <cellStyle name="Comma 9 2 3 4 4 2 3" xfId="50126"/>
    <cellStyle name="Comma 9 2 3 4 4 3" xfId="50127"/>
    <cellStyle name="Comma 9 2 3 4 4 3 2" xfId="50128"/>
    <cellStyle name="Comma 9 2 3 4 4 4" xfId="50129"/>
    <cellStyle name="Comma 9 2 3 4 4 5" xfId="50130"/>
    <cellStyle name="Comma 9 2 3 4 5" xfId="50131"/>
    <cellStyle name="Comma 9 2 3 4 5 2" xfId="50132"/>
    <cellStyle name="Comma 9 2 3 4 5 3" xfId="50133"/>
    <cellStyle name="Comma 9 2 3 4 6" xfId="50134"/>
    <cellStyle name="Comma 9 2 3 4 6 2" xfId="50135"/>
    <cellStyle name="Comma 9 2 3 4 6 3" xfId="50136"/>
    <cellStyle name="Comma 9 2 3 4 7" xfId="50137"/>
    <cellStyle name="Comma 9 2 3 4 7 2" xfId="50138"/>
    <cellStyle name="Comma 9 2 3 4 8" xfId="50139"/>
    <cellStyle name="Comma 9 2 3 4 9" xfId="50140"/>
    <cellStyle name="Comma 9 2 3 5" xfId="50141"/>
    <cellStyle name="Comma 9 2 3 5 2" xfId="50142"/>
    <cellStyle name="Comma 9 2 3 5 2 2" xfId="50143"/>
    <cellStyle name="Comma 9 2 3 5 2 3" xfId="50144"/>
    <cellStyle name="Comma 9 2 3 5 3" xfId="50145"/>
    <cellStyle name="Comma 9 2 3 5 3 2" xfId="50146"/>
    <cellStyle name="Comma 9 2 3 5 3 3" xfId="50147"/>
    <cellStyle name="Comma 9 2 3 5 4" xfId="50148"/>
    <cellStyle name="Comma 9 2 3 5 4 2" xfId="50149"/>
    <cellStyle name="Comma 9 2 3 5 5" xfId="50150"/>
    <cellStyle name="Comma 9 2 3 5 6" xfId="50151"/>
    <cellStyle name="Comma 9 2 3 6" xfId="50152"/>
    <cellStyle name="Comma 9 2 3 6 2" xfId="50153"/>
    <cellStyle name="Comma 9 2 3 6 2 2" xfId="50154"/>
    <cellStyle name="Comma 9 2 3 6 2 3" xfId="50155"/>
    <cellStyle name="Comma 9 2 3 6 3" xfId="50156"/>
    <cellStyle name="Comma 9 2 3 6 3 2" xfId="50157"/>
    <cellStyle name="Comma 9 2 3 6 3 3" xfId="50158"/>
    <cellStyle name="Comma 9 2 3 6 4" xfId="50159"/>
    <cellStyle name="Comma 9 2 3 6 4 2" xfId="50160"/>
    <cellStyle name="Comma 9 2 3 6 5" xfId="50161"/>
    <cellStyle name="Comma 9 2 3 6 6" xfId="50162"/>
    <cellStyle name="Comma 9 2 3 7" xfId="50163"/>
    <cellStyle name="Comma 9 2 3 7 2" xfId="50164"/>
    <cellStyle name="Comma 9 2 3 7 2 2" xfId="50165"/>
    <cellStyle name="Comma 9 2 3 7 2 3" xfId="50166"/>
    <cellStyle name="Comma 9 2 3 7 3" xfId="50167"/>
    <cellStyle name="Comma 9 2 3 7 3 2" xfId="50168"/>
    <cellStyle name="Comma 9 2 3 7 4" xfId="50169"/>
    <cellStyle name="Comma 9 2 3 7 5" xfId="50170"/>
    <cellStyle name="Comma 9 2 3 8" xfId="50171"/>
    <cellStyle name="Comma 9 2 3 8 2" xfId="50172"/>
    <cellStyle name="Comma 9 2 3 8 3" xfId="50173"/>
    <cellStyle name="Comma 9 2 3 9" xfId="50174"/>
    <cellStyle name="Comma 9 2 3 9 2" xfId="50175"/>
    <cellStyle name="Comma 9 2 3 9 3" xfId="50176"/>
    <cellStyle name="Comma 9 2 4" xfId="3778"/>
    <cellStyle name="Comma 9 2 4 10" xfId="50177"/>
    <cellStyle name="Comma 9 2 4 2" xfId="3779"/>
    <cellStyle name="Comma 9 2 4 2 2" xfId="3780"/>
    <cellStyle name="Comma 9 2 4 2 2 2" xfId="50178"/>
    <cellStyle name="Comma 9 2 4 2 2 2 2" xfId="50179"/>
    <cellStyle name="Comma 9 2 4 2 2 2 3" xfId="50180"/>
    <cellStyle name="Comma 9 2 4 2 2 3" xfId="50181"/>
    <cellStyle name="Comma 9 2 4 2 2 3 2" xfId="50182"/>
    <cellStyle name="Comma 9 2 4 2 2 3 3" xfId="50183"/>
    <cellStyle name="Comma 9 2 4 2 2 4" xfId="50184"/>
    <cellStyle name="Comma 9 2 4 2 2 4 2" xfId="50185"/>
    <cellStyle name="Comma 9 2 4 2 2 5" xfId="50186"/>
    <cellStyle name="Comma 9 2 4 2 2 6" xfId="50187"/>
    <cellStyle name="Comma 9 2 4 2 3" xfId="50188"/>
    <cellStyle name="Comma 9 2 4 2 3 2" xfId="50189"/>
    <cellStyle name="Comma 9 2 4 2 3 2 2" xfId="50190"/>
    <cellStyle name="Comma 9 2 4 2 3 2 3" xfId="50191"/>
    <cellStyle name="Comma 9 2 4 2 3 3" xfId="50192"/>
    <cellStyle name="Comma 9 2 4 2 3 3 2" xfId="50193"/>
    <cellStyle name="Comma 9 2 4 2 3 3 3" xfId="50194"/>
    <cellStyle name="Comma 9 2 4 2 3 4" xfId="50195"/>
    <cellStyle name="Comma 9 2 4 2 3 4 2" xfId="50196"/>
    <cellStyle name="Comma 9 2 4 2 3 5" xfId="50197"/>
    <cellStyle name="Comma 9 2 4 2 3 6" xfId="50198"/>
    <cellStyle name="Comma 9 2 4 2 4" xfId="50199"/>
    <cellStyle name="Comma 9 2 4 2 4 2" xfId="50200"/>
    <cellStyle name="Comma 9 2 4 2 4 2 2" xfId="50201"/>
    <cellStyle name="Comma 9 2 4 2 4 2 3" xfId="50202"/>
    <cellStyle name="Comma 9 2 4 2 4 3" xfId="50203"/>
    <cellStyle name="Comma 9 2 4 2 4 3 2" xfId="50204"/>
    <cellStyle name="Comma 9 2 4 2 4 4" xfId="50205"/>
    <cellStyle name="Comma 9 2 4 2 4 5" xfId="50206"/>
    <cellStyle name="Comma 9 2 4 2 5" xfId="50207"/>
    <cellStyle name="Comma 9 2 4 2 5 2" xfId="50208"/>
    <cellStyle name="Comma 9 2 4 2 5 3" xfId="50209"/>
    <cellStyle name="Comma 9 2 4 2 6" xfId="50210"/>
    <cellStyle name="Comma 9 2 4 2 6 2" xfId="50211"/>
    <cellStyle name="Comma 9 2 4 2 6 3" xfId="50212"/>
    <cellStyle name="Comma 9 2 4 2 7" xfId="50213"/>
    <cellStyle name="Comma 9 2 4 2 7 2" xfId="50214"/>
    <cellStyle name="Comma 9 2 4 2 8" xfId="50215"/>
    <cellStyle name="Comma 9 2 4 2 9" xfId="50216"/>
    <cellStyle name="Comma 9 2 4 3" xfId="3781"/>
    <cellStyle name="Comma 9 2 4 3 2" xfId="50217"/>
    <cellStyle name="Comma 9 2 4 3 2 2" xfId="50218"/>
    <cellStyle name="Comma 9 2 4 3 2 3" xfId="50219"/>
    <cellStyle name="Comma 9 2 4 3 3" xfId="50220"/>
    <cellStyle name="Comma 9 2 4 3 3 2" xfId="50221"/>
    <cellStyle name="Comma 9 2 4 3 3 3" xfId="50222"/>
    <cellStyle name="Comma 9 2 4 3 4" xfId="50223"/>
    <cellStyle name="Comma 9 2 4 3 4 2" xfId="50224"/>
    <cellStyle name="Comma 9 2 4 3 5" xfId="50225"/>
    <cellStyle name="Comma 9 2 4 3 6" xfId="50226"/>
    <cellStyle name="Comma 9 2 4 4" xfId="50227"/>
    <cellStyle name="Comma 9 2 4 4 2" xfId="50228"/>
    <cellStyle name="Comma 9 2 4 4 2 2" xfId="50229"/>
    <cellStyle name="Comma 9 2 4 4 2 3" xfId="50230"/>
    <cellStyle name="Comma 9 2 4 4 3" xfId="50231"/>
    <cellStyle name="Comma 9 2 4 4 3 2" xfId="50232"/>
    <cellStyle name="Comma 9 2 4 4 3 3" xfId="50233"/>
    <cellStyle name="Comma 9 2 4 4 4" xfId="50234"/>
    <cellStyle name="Comma 9 2 4 4 4 2" xfId="50235"/>
    <cellStyle name="Comma 9 2 4 4 5" xfId="50236"/>
    <cellStyle name="Comma 9 2 4 4 6" xfId="50237"/>
    <cellStyle name="Comma 9 2 4 5" xfId="50238"/>
    <cellStyle name="Comma 9 2 4 5 2" xfId="50239"/>
    <cellStyle name="Comma 9 2 4 5 2 2" xfId="50240"/>
    <cellStyle name="Comma 9 2 4 5 2 3" xfId="50241"/>
    <cellStyle name="Comma 9 2 4 5 3" xfId="50242"/>
    <cellStyle name="Comma 9 2 4 5 3 2" xfId="50243"/>
    <cellStyle name="Comma 9 2 4 5 4" xfId="50244"/>
    <cellStyle name="Comma 9 2 4 5 5" xfId="50245"/>
    <cellStyle name="Comma 9 2 4 6" xfId="50246"/>
    <cellStyle name="Comma 9 2 4 6 2" xfId="50247"/>
    <cellStyle name="Comma 9 2 4 6 3" xfId="50248"/>
    <cellStyle name="Comma 9 2 4 7" xfId="50249"/>
    <cellStyle name="Comma 9 2 4 7 2" xfId="50250"/>
    <cellStyle name="Comma 9 2 4 7 3" xfId="50251"/>
    <cellStyle name="Comma 9 2 4 8" xfId="50252"/>
    <cellStyle name="Comma 9 2 4 8 2" xfId="50253"/>
    <cellStyle name="Comma 9 2 4 9" xfId="50254"/>
    <cellStyle name="Comma 9 2 5" xfId="3782"/>
    <cellStyle name="Comma 9 2 5 2" xfId="3783"/>
    <cellStyle name="Comma 9 2 5 2 2" xfId="50255"/>
    <cellStyle name="Comma 9 2 5 2 2 2" xfId="50256"/>
    <cellStyle name="Comma 9 2 5 2 2 3" xfId="50257"/>
    <cellStyle name="Comma 9 2 5 2 3" xfId="50258"/>
    <cellStyle name="Comma 9 2 5 2 3 2" xfId="50259"/>
    <cellStyle name="Comma 9 2 5 2 3 3" xfId="50260"/>
    <cellStyle name="Comma 9 2 5 2 4" xfId="50261"/>
    <cellStyle name="Comma 9 2 5 2 4 2" xfId="50262"/>
    <cellStyle name="Comma 9 2 5 2 5" xfId="50263"/>
    <cellStyle name="Comma 9 2 5 2 6" xfId="50264"/>
    <cellStyle name="Comma 9 2 5 3" xfId="50265"/>
    <cellStyle name="Comma 9 2 5 3 2" xfId="50266"/>
    <cellStyle name="Comma 9 2 5 3 2 2" xfId="50267"/>
    <cellStyle name="Comma 9 2 5 3 2 3" xfId="50268"/>
    <cellStyle name="Comma 9 2 5 3 3" xfId="50269"/>
    <cellStyle name="Comma 9 2 5 3 3 2" xfId="50270"/>
    <cellStyle name="Comma 9 2 5 3 3 3" xfId="50271"/>
    <cellStyle name="Comma 9 2 5 3 4" xfId="50272"/>
    <cellStyle name="Comma 9 2 5 3 4 2" xfId="50273"/>
    <cellStyle name="Comma 9 2 5 3 5" xfId="50274"/>
    <cellStyle name="Comma 9 2 5 3 6" xfId="50275"/>
    <cellStyle name="Comma 9 2 5 4" xfId="50276"/>
    <cellStyle name="Comma 9 2 5 4 2" xfId="50277"/>
    <cellStyle name="Comma 9 2 5 4 2 2" xfId="50278"/>
    <cellStyle name="Comma 9 2 5 4 2 3" xfId="50279"/>
    <cellStyle name="Comma 9 2 5 4 3" xfId="50280"/>
    <cellStyle name="Comma 9 2 5 4 3 2" xfId="50281"/>
    <cellStyle name="Comma 9 2 5 4 4" xfId="50282"/>
    <cellStyle name="Comma 9 2 5 4 5" xfId="50283"/>
    <cellStyle name="Comma 9 2 5 5" xfId="50284"/>
    <cellStyle name="Comma 9 2 5 5 2" xfId="50285"/>
    <cellStyle name="Comma 9 2 5 5 3" xfId="50286"/>
    <cellStyle name="Comma 9 2 5 6" xfId="50287"/>
    <cellStyle name="Comma 9 2 5 6 2" xfId="50288"/>
    <cellStyle name="Comma 9 2 5 6 3" xfId="50289"/>
    <cellStyle name="Comma 9 2 5 7" xfId="50290"/>
    <cellStyle name="Comma 9 2 5 7 2" xfId="50291"/>
    <cellStyle name="Comma 9 2 5 8" xfId="50292"/>
    <cellStyle name="Comma 9 2 5 9" xfId="50293"/>
    <cellStyle name="Comma 9 2 6" xfId="3784"/>
    <cellStyle name="Comma 9 2 6 2" xfId="50294"/>
    <cellStyle name="Comma 9 2 6 2 2" xfId="50295"/>
    <cellStyle name="Comma 9 2 6 2 2 2" xfId="50296"/>
    <cellStyle name="Comma 9 2 6 2 2 3" xfId="50297"/>
    <cellStyle name="Comma 9 2 6 2 3" xfId="50298"/>
    <cellStyle name="Comma 9 2 6 2 3 2" xfId="50299"/>
    <cellStyle name="Comma 9 2 6 2 3 3" xfId="50300"/>
    <cellStyle name="Comma 9 2 6 2 4" xfId="50301"/>
    <cellStyle name="Comma 9 2 6 2 4 2" xfId="50302"/>
    <cellStyle name="Comma 9 2 6 2 5" xfId="50303"/>
    <cellStyle name="Comma 9 2 6 2 6" xfId="50304"/>
    <cellStyle name="Comma 9 2 6 3" xfId="50305"/>
    <cellStyle name="Comma 9 2 6 3 2" xfId="50306"/>
    <cellStyle name="Comma 9 2 6 3 2 2" xfId="50307"/>
    <cellStyle name="Comma 9 2 6 3 2 3" xfId="50308"/>
    <cellStyle name="Comma 9 2 6 3 3" xfId="50309"/>
    <cellStyle name="Comma 9 2 6 3 3 2" xfId="50310"/>
    <cellStyle name="Comma 9 2 6 3 3 3" xfId="50311"/>
    <cellStyle name="Comma 9 2 6 3 4" xfId="50312"/>
    <cellStyle name="Comma 9 2 6 3 4 2" xfId="50313"/>
    <cellStyle name="Comma 9 2 6 3 5" xfId="50314"/>
    <cellStyle name="Comma 9 2 6 3 6" xfId="50315"/>
    <cellStyle name="Comma 9 2 6 4" xfId="50316"/>
    <cellStyle name="Comma 9 2 6 4 2" xfId="50317"/>
    <cellStyle name="Comma 9 2 6 4 2 2" xfId="50318"/>
    <cellStyle name="Comma 9 2 6 4 2 3" xfId="50319"/>
    <cellStyle name="Comma 9 2 6 4 3" xfId="50320"/>
    <cellStyle name="Comma 9 2 6 4 3 2" xfId="50321"/>
    <cellStyle name="Comma 9 2 6 4 4" xfId="50322"/>
    <cellStyle name="Comma 9 2 6 4 5" xfId="50323"/>
    <cellStyle name="Comma 9 2 6 5" xfId="50324"/>
    <cellStyle name="Comma 9 2 6 5 2" xfId="50325"/>
    <cellStyle name="Comma 9 2 6 5 3" xfId="50326"/>
    <cellStyle name="Comma 9 2 6 6" xfId="50327"/>
    <cellStyle name="Comma 9 2 6 6 2" xfId="50328"/>
    <cellStyle name="Comma 9 2 6 6 3" xfId="50329"/>
    <cellStyle name="Comma 9 2 6 7" xfId="50330"/>
    <cellStyle name="Comma 9 2 6 7 2" xfId="50331"/>
    <cellStyle name="Comma 9 2 6 8" xfId="50332"/>
    <cellStyle name="Comma 9 2 6 9" xfId="50333"/>
    <cellStyle name="Comma 9 2 7" xfId="3785"/>
    <cellStyle name="Comma 9 2 7 2" xfId="50334"/>
    <cellStyle name="Comma 9 2 7 2 2" xfId="50335"/>
    <cellStyle name="Comma 9 2 7 2 3" xfId="50336"/>
    <cellStyle name="Comma 9 2 7 3" xfId="50337"/>
    <cellStyle name="Comma 9 2 7 3 2" xfId="50338"/>
    <cellStyle name="Comma 9 2 7 3 3" xfId="50339"/>
    <cellStyle name="Comma 9 2 7 4" xfId="50340"/>
    <cellStyle name="Comma 9 2 7 4 2" xfId="50341"/>
    <cellStyle name="Comma 9 2 7 5" xfId="50342"/>
    <cellStyle name="Comma 9 2 7 6" xfId="50343"/>
    <cellStyle name="Comma 9 2 8" xfId="50344"/>
    <cellStyle name="Comma 9 2 8 2" xfId="50345"/>
    <cellStyle name="Comma 9 2 8 2 2" xfId="50346"/>
    <cellStyle name="Comma 9 2 8 2 3" xfId="50347"/>
    <cellStyle name="Comma 9 2 8 3" xfId="50348"/>
    <cellStyle name="Comma 9 2 8 3 2" xfId="50349"/>
    <cellStyle name="Comma 9 2 8 3 3" xfId="50350"/>
    <cellStyle name="Comma 9 2 8 4" xfId="50351"/>
    <cellStyle name="Comma 9 2 8 4 2" xfId="50352"/>
    <cellStyle name="Comma 9 2 8 5" xfId="50353"/>
    <cellStyle name="Comma 9 2 8 6" xfId="50354"/>
    <cellStyle name="Comma 9 2 9" xfId="50355"/>
    <cellStyle name="Comma 9 2 9 2" xfId="50356"/>
    <cellStyle name="Comma 9 2 9 2 2" xfId="50357"/>
    <cellStyle name="Comma 9 2 9 2 3" xfId="50358"/>
    <cellStyle name="Comma 9 2 9 3" xfId="50359"/>
    <cellStyle name="Comma 9 2 9 3 2" xfId="50360"/>
    <cellStyle name="Comma 9 2 9 4" xfId="50361"/>
    <cellStyle name="Comma 9 2 9 5" xfId="50362"/>
    <cellStyle name="Comma 9 3" xfId="3786"/>
    <cellStyle name="Comma 9 3 10" xfId="50363"/>
    <cellStyle name="Comma 9 3 10 2" xfId="50364"/>
    <cellStyle name="Comma 9 3 10 3" xfId="50365"/>
    <cellStyle name="Comma 9 3 11" xfId="50366"/>
    <cellStyle name="Comma 9 3 11 2" xfId="50367"/>
    <cellStyle name="Comma 9 3 12" xfId="50368"/>
    <cellStyle name="Comma 9 3 13" xfId="50369"/>
    <cellStyle name="Comma 9 3 14" xfId="50370"/>
    <cellStyle name="Comma 9 3 2" xfId="3787"/>
    <cellStyle name="Comma 9 3 2 10" xfId="50371"/>
    <cellStyle name="Comma 9 3 2 10 2" xfId="50372"/>
    <cellStyle name="Comma 9 3 2 11" xfId="50373"/>
    <cellStyle name="Comma 9 3 2 12" xfId="50374"/>
    <cellStyle name="Comma 9 3 2 2" xfId="3788"/>
    <cellStyle name="Comma 9 3 2 2 10" xfId="50375"/>
    <cellStyle name="Comma 9 3 2 2 2" xfId="3789"/>
    <cellStyle name="Comma 9 3 2 2 2 2" xfId="3790"/>
    <cellStyle name="Comma 9 3 2 2 2 2 2" xfId="50376"/>
    <cellStyle name="Comma 9 3 2 2 2 2 2 2" xfId="50377"/>
    <cellStyle name="Comma 9 3 2 2 2 2 2 3" xfId="50378"/>
    <cellStyle name="Comma 9 3 2 2 2 2 3" xfId="50379"/>
    <cellStyle name="Comma 9 3 2 2 2 2 3 2" xfId="50380"/>
    <cellStyle name="Comma 9 3 2 2 2 2 3 3" xfId="50381"/>
    <cellStyle name="Comma 9 3 2 2 2 2 4" xfId="50382"/>
    <cellStyle name="Comma 9 3 2 2 2 2 4 2" xfId="50383"/>
    <cellStyle name="Comma 9 3 2 2 2 2 5" xfId="50384"/>
    <cellStyle name="Comma 9 3 2 2 2 2 6" xfId="50385"/>
    <cellStyle name="Comma 9 3 2 2 2 3" xfId="50386"/>
    <cellStyle name="Comma 9 3 2 2 2 3 2" xfId="50387"/>
    <cellStyle name="Comma 9 3 2 2 2 3 2 2" xfId="50388"/>
    <cellStyle name="Comma 9 3 2 2 2 3 2 3" xfId="50389"/>
    <cellStyle name="Comma 9 3 2 2 2 3 3" xfId="50390"/>
    <cellStyle name="Comma 9 3 2 2 2 3 3 2" xfId="50391"/>
    <cellStyle name="Comma 9 3 2 2 2 3 3 3" xfId="50392"/>
    <cellStyle name="Comma 9 3 2 2 2 3 4" xfId="50393"/>
    <cellStyle name="Comma 9 3 2 2 2 3 4 2" xfId="50394"/>
    <cellStyle name="Comma 9 3 2 2 2 3 5" xfId="50395"/>
    <cellStyle name="Comma 9 3 2 2 2 3 6" xfId="50396"/>
    <cellStyle name="Comma 9 3 2 2 2 4" xfId="50397"/>
    <cellStyle name="Comma 9 3 2 2 2 4 2" xfId="50398"/>
    <cellStyle name="Comma 9 3 2 2 2 4 2 2" xfId="50399"/>
    <cellStyle name="Comma 9 3 2 2 2 4 2 3" xfId="50400"/>
    <cellStyle name="Comma 9 3 2 2 2 4 3" xfId="50401"/>
    <cellStyle name="Comma 9 3 2 2 2 4 3 2" xfId="50402"/>
    <cellStyle name="Comma 9 3 2 2 2 4 4" xfId="50403"/>
    <cellStyle name="Comma 9 3 2 2 2 4 5" xfId="50404"/>
    <cellStyle name="Comma 9 3 2 2 2 5" xfId="50405"/>
    <cellStyle name="Comma 9 3 2 2 2 5 2" xfId="50406"/>
    <cellStyle name="Comma 9 3 2 2 2 5 3" xfId="50407"/>
    <cellStyle name="Comma 9 3 2 2 2 6" xfId="50408"/>
    <cellStyle name="Comma 9 3 2 2 2 6 2" xfId="50409"/>
    <cellStyle name="Comma 9 3 2 2 2 6 3" xfId="50410"/>
    <cellStyle name="Comma 9 3 2 2 2 7" xfId="50411"/>
    <cellStyle name="Comma 9 3 2 2 2 7 2" xfId="50412"/>
    <cellStyle name="Comma 9 3 2 2 2 8" xfId="50413"/>
    <cellStyle name="Comma 9 3 2 2 2 9" xfId="50414"/>
    <cellStyle name="Comma 9 3 2 2 3" xfId="3791"/>
    <cellStyle name="Comma 9 3 2 2 3 2" xfId="50415"/>
    <cellStyle name="Comma 9 3 2 2 3 2 2" xfId="50416"/>
    <cellStyle name="Comma 9 3 2 2 3 2 3" xfId="50417"/>
    <cellStyle name="Comma 9 3 2 2 3 3" xfId="50418"/>
    <cellStyle name="Comma 9 3 2 2 3 3 2" xfId="50419"/>
    <cellStyle name="Comma 9 3 2 2 3 3 3" xfId="50420"/>
    <cellStyle name="Comma 9 3 2 2 3 4" xfId="50421"/>
    <cellStyle name="Comma 9 3 2 2 3 4 2" xfId="50422"/>
    <cellStyle name="Comma 9 3 2 2 3 5" xfId="50423"/>
    <cellStyle name="Comma 9 3 2 2 3 6" xfId="50424"/>
    <cellStyle name="Comma 9 3 2 2 4" xfId="50425"/>
    <cellStyle name="Comma 9 3 2 2 4 2" xfId="50426"/>
    <cellStyle name="Comma 9 3 2 2 4 2 2" xfId="50427"/>
    <cellStyle name="Comma 9 3 2 2 4 2 3" xfId="50428"/>
    <cellStyle name="Comma 9 3 2 2 4 3" xfId="50429"/>
    <cellStyle name="Comma 9 3 2 2 4 3 2" xfId="50430"/>
    <cellStyle name="Comma 9 3 2 2 4 3 3" xfId="50431"/>
    <cellStyle name="Comma 9 3 2 2 4 4" xfId="50432"/>
    <cellStyle name="Comma 9 3 2 2 4 4 2" xfId="50433"/>
    <cellStyle name="Comma 9 3 2 2 4 5" xfId="50434"/>
    <cellStyle name="Comma 9 3 2 2 4 6" xfId="50435"/>
    <cellStyle name="Comma 9 3 2 2 5" xfId="50436"/>
    <cellStyle name="Comma 9 3 2 2 5 2" xfId="50437"/>
    <cellStyle name="Comma 9 3 2 2 5 2 2" xfId="50438"/>
    <cellStyle name="Comma 9 3 2 2 5 2 3" xfId="50439"/>
    <cellStyle name="Comma 9 3 2 2 5 3" xfId="50440"/>
    <cellStyle name="Comma 9 3 2 2 5 3 2" xfId="50441"/>
    <cellStyle name="Comma 9 3 2 2 5 4" xfId="50442"/>
    <cellStyle name="Comma 9 3 2 2 5 5" xfId="50443"/>
    <cellStyle name="Comma 9 3 2 2 6" xfId="50444"/>
    <cellStyle name="Comma 9 3 2 2 6 2" xfId="50445"/>
    <cellStyle name="Comma 9 3 2 2 6 3" xfId="50446"/>
    <cellStyle name="Comma 9 3 2 2 7" xfId="50447"/>
    <cellStyle name="Comma 9 3 2 2 7 2" xfId="50448"/>
    <cellStyle name="Comma 9 3 2 2 7 3" xfId="50449"/>
    <cellStyle name="Comma 9 3 2 2 8" xfId="50450"/>
    <cellStyle name="Comma 9 3 2 2 8 2" xfId="50451"/>
    <cellStyle name="Comma 9 3 2 2 9" xfId="50452"/>
    <cellStyle name="Comma 9 3 2 3" xfId="3792"/>
    <cellStyle name="Comma 9 3 2 3 2" xfId="3793"/>
    <cellStyle name="Comma 9 3 2 3 2 2" xfId="50453"/>
    <cellStyle name="Comma 9 3 2 3 2 2 2" xfId="50454"/>
    <cellStyle name="Comma 9 3 2 3 2 2 3" xfId="50455"/>
    <cellStyle name="Comma 9 3 2 3 2 3" xfId="50456"/>
    <cellStyle name="Comma 9 3 2 3 2 3 2" xfId="50457"/>
    <cellStyle name="Comma 9 3 2 3 2 3 3" xfId="50458"/>
    <cellStyle name="Comma 9 3 2 3 2 4" xfId="50459"/>
    <cellStyle name="Comma 9 3 2 3 2 4 2" xfId="50460"/>
    <cellStyle name="Comma 9 3 2 3 2 5" xfId="50461"/>
    <cellStyle name="Comma 9 3 2 3 2 6" xfId="50462"/>
    <cellStyle name="Comma 9 3 2 3 3" xfId="50463"/>
    <cellStyle name="Comma 9 3 2 3 3 2" xfId="50464"/>
    <cellStyle name="Comma 9 3 2 3 3 2 2" xfId="50465"/>
    <cellStyle name="Comma 9 3 2 3 3 2 3" xfId="50466"/>
    <cellStyle name="Comma 9 3 2 3 3 3" xfId="50467"/>
    <cellStyle name="Comma 9 3 2 3 3 3 2" xfId="50468"/>
    <cellStyle name="Comma 9 3 2 3 3 3 3" xfId="50469"/>
    <cellStyle name="Comma 9 3 2 3 3 4" xfId="50470"/>
    <cellStyle name="Comma 9 3 2 3 3 4 2" xfId="50471"/>
    <cellStyle name="Comma 9 3 2 3 3 5" xfId="50472"/>
    <cellStyle name="Comma 9 3 2 3 3 6" xfId="50473"/>
    <cellStyle name="Comma 9 3 2 3 4" xfId="50474"/>
    <cellStyle name="Comma 9 3 2 3 4 2" xfId="50475"/>
    <cellStyle name="Comma 9 3 2 3 4 2 2" xfId="50476"/>
    <cellStyle name="Comma 9 3 2 3 4 2 3" xfId="50477"/>
    <cellStyle name="Comma 9 3 2 3 4 3" xfId="50478"/>
    <cellStyle name="Comma 9 3 2 3 4 3 2" xfId="50479"/>
    <cellStyle name="Comma 9 3 2 3 4 4" xfId="50480"/>
    <cellStyle name="Comma 9 3 2 3 4 5" xfId="50481"/>
    <cellStyle name="Comma 9 3 2 3 5" xfId="50482"/>
    <cellStyle name="Comma 9 3 2 3 5 2" xfId="50483"/>
    <cellStyle name="Comma 9 3 2 3 5 3" xfId="50484"/>
    <cellStyle name="Comma 9 3 2 3 6" xfId="50485"/>
    <cellStyle name="Comma 9 3 2 3 6 2" xfId="50486"/>
    <cellStyle name="Comma 9 3 2 3 6 3" xfId="50487"/>
    <cellStyle name="Comma 9 3 2 3 7" xfId="50488"/>
    <cellStyle name="Comma 9 3 2 3 7 2" xfId="50489"/>
    <cellStyle name="Comma 9 3 2 3 8" xfId="50490"/>
    <cellStyle name="Comma 9 3 2 3 9" xfId="50491"/>
    <cellStyle name="Comma 9 3 2 4" xfId="3794"/>
    <cellStyle name="Comma 9 3 2 4 2" xfId="50492"/>
    <cellStyle name="Comma 9 3 2 4 2 2" xfId="50493"/>
    <cellStyle name="Comma 9 3 2 4 2 2 2" xfId="50494"/>
    <cellStyle name="Comma 9 3 2 4 2 2 3" xfId="50495"/>
    <cellStyle name="Comma 9 3 2 4 2 3" xfId="50496"/>
    <cellStyle name="Comma 9 3 2 4 2 3 2" xfId="50497"/>
    <cellStyle name="Comma 9 3 2 4 2 3 3" xfId="50498"/>
    <cellStyle name="Comma 9 3 2 4 2 4" xfId="50499"/>
    <cellStyle name="Comma 9 3 2 4 2 4 2" xfId="50500"/>
    <cellStyle name="Comma 9 3 2 4 2 5" xfId="50501"/>
    <cellStyle name="Comma 9 3 2 4 2 6" xfId="50502"/>
    <cellStyle name="Comma 9 3 2 4 3" xfId="50503"/>
    <cellStyle name="Comma 9 3 2 4 3 2" xfId="50504"/>
    <cellStyle name="Comma 9 3 2 4 3 2 2" xfId="50505"/>
    <cellStyle name="Comma 9 3 2 4 3 2 3" xfId="50506"/>
    <cellStyle name="Comma 9 3 2 4 3 3" xfId="50507"/>
    <cellStyle name="Comma 9 3 2 4 3 3 2" xfId="50508"/>
    <cellStyle name="Comma 9 3 2 4 3 3 3" xfId="50509"/>
    <cellStyle name="Comma 9 3 2 4 3 4" xfId="50510"/>
    <cellStyle name="Comma 9 3 2 4 3 4 2" xfId="50511"/>
    <cellStyle name="Comma 9 3 2 4 3 5" xfId="50512"/>
    <cellStyle name="Comma 9 3 2 4 3 6" xfId="50513"/>
    <cellStyle name="Comma 9 3 2 4 4" xfId="50514"/>
    <cellStyle name="Comma 9 3 2 4 4 2" xfId="50515"/>
    <cellStyle name="Comma 9 3 2 4 4 2 2" xfId="50516"/>
    <cellStyle name="Comma 9 3 2 4 4 2 3" xfId="50517"/>
    <cellStyle name="Comma 9 3 2 4 4 3" xfId="50518"/>
    <cellStyle name="Comma 9 3 2 4 4 3 2" xfId="50519"/>
    <cellStyle name="Comma 9 3 2 4 4 4" xfId="50520"/>
    <cellStyle name="Comma 9 3 2 4 4 5" xfId="50521"/>
    <cellStyle name="Comma 9 3 2 4 5" xfId="50522"/>
    <cellStyle name="Comma 9 3 2 4 5 2" xfId="50523"/>
    <cellStyle name="Comma 9 3 2 4 5 3" xfId="50524"/>
    <cellStyle name="Comma 9 3 2 4 6" xfId="50525"/>
    <cellStyle name="Comma 9 3 2 4 6 2" xfId="50526"/>
    <cellStyle name="Comma 9 3 2 4 6 3" xfId="50527"/>
    <cellStyle name="Comma 9 3 2 4 7" xfId="50528"/>
    <cellStyle name="Comma 9 3 2 4 7 2" xfId="50529"/>
    <cellStyle name="Comma 9 3 2 4 8" xfId="50530"/>
    <cellStyle name="Comma 9 3 2 4 9" xfId="50531"/>
    <cellStyle name="Comma 9 3 2 5" xfId="50532"/>
    <cellStyle name="Comma 9 3 2 5 2" xfId="50533"/>
    <cellStyle name="Comma 9 3 2 5 2 2" xfId="50534"/>
    <cellStyle name="Comma 9 3 2 5 2 3" xfId="50535"/>
    <cellStyle name="Comma 9 3 2 5 3" xfId="50536"/>
    <cellStyle name="Comma 9 3 2 5 3 2" xfId="50537"/>
    <cellStyle name="Comma 9 3 2 5 3 3" xfId="50538"/>
    <cellStyle name="Comma 9 3 2 5 4" xfId="50539"/>
    <cellStyle name="Comma 9 3 2 5 4 2" xfId="50540"/>
    <cellStyle name="Comma 9 3 2 5 5" xfId="50541"/>
    <cellStyle name="Comma 9 3 2 5 6" xfId="50542"/>
    <cellStyle name="Comma 9 3 2 6" xfId="50543"/>
    <cellStyle name="Comma 9 3 2 6 2" xfId="50544"/>
    <cellStyle name="Comma 9 3 2 6 2 2" xfId="50545"/>
    <cellStyle name="Comma 9 3 2 6 2 3" xfId="50546"/>
    <cellStyle name="Comma 9 3 2 6 3" xfId="50547"/>
    <cellStyle name="Comma 9 3 2 6 3 2" xfId="50548"/>
    <cellStyle name="Comma 9 3 2 6 3 3" xfId="50549"/>
    <cellStyle name="Comma 9 3 2 6 4" xfId="50550"/>
    <cellStyle name="Comma 9 3 2 6 4 2" xfId="50551"/>
    <cellStyle name="Comma 9 3 2 6 5" xfId="50552"/>
    <cellStyle name="Comma 9 3 2 6 6" xfId="50553"/>
    <cellStyle name="Comma 9 3 2 7" xfId="50554"/>
    <cellStyle name="Comma 9 3 2 7 2" xfId="50555"/>
    <cellStyle name="Comma 9 3 2 7 2 2" xfId="50556"/>
    <cellStyle name="Comma 9 3 2 7 2 3" xfId="50557"/>
    <cellStyle name="Comma 9 3 2 7 3" xfId="50558"/>
    <cellStyle name="Comma 9 3 2 7 3 2" xfId="50559"/>
    <cellStyle name="Comma 9 3 2 7 4" xfId="50560"/>
    <cellStyle name="Comma 9 3 2 7 5" xfId="50561"/>
    <cellStyle name="Comma 9 3 2 8" xfId="50562"/>
    <cellStyle name="Comma 9 3 2 8 2" xfId="50563"/>
    <cellStyle name="Comma 9 3 2 8 3" xfId="50564"/>
    <cellStyle name="Comma 9 3 2 9" xfId="50565"/>
    <cellStyle name="Comma 9 3 2 9 2" xfId="50566"/>
    <cellStyle name="Comma 9 3 2 9 3" xfId="50567"/>
    <cellStyle name="Comma 9 3 3" xfId="3795"/>
    <cellStyle name="Comma 9 3 3 10" xfId="50568"/>
    <cellStyle name="Comma 9 3 3 2" xfId="3796"/>
    <cellStyle name="Comma 9 3 3 2 2" xfId="3797"/>
    <cellStyle name="Comma 9 3 3 2 2 2" xfId="50569"/>
    <cellStyle name="Comma 9 3 3 2 2 2 2" xfId="50570"/>
    <cellStyle name="Comma 9 3 3 2 2 2 3" xfId="50571"/>
    <cellStyle name="Comma 9 3 3 2 2 3" xfId="50572"/>
    <cellStyle name="Comma 9 3 3 2 2 3 2" xfId="50573"/>
    <cellStyle name="Comma 9 3 3 2 2 3 3" xfId="50574"/>
    <cellStyle name="Comma 9 3 3 2 2 4" xfId="50575"/>
    <cellStyle name="Comma 9 3 3 2 2 4 2" xfId="50576"/>
    <cellStyle name="Comma 9 3 3 2 2 5" xfId="50577"/>
    <cellStyle name="Comma 9 3 3 2 2 6" xfId="50578"/>
    <cellStyle name="Comma 9 3 3 2 3" xfId="50579"/>
    <cellStyle name="Comma 9 3 3 2 3 2" xfId="50580"/>
    <cellStyle name="Comma 9 3 3 2 3 2 2" xfId="50581"/>
    <cellStyle name="Comma 9 3 3 2 3 2 3" xfId="50582"/>
    <cellStyle name="Comma 9 3 3 2 3 3" xfId="50583"/>
    <cellStyle name="Comma 9 3 3 2 3 3 2" xfId="50584"/>
    <cellStyle name="Comma 9 3 3 2 3 3 3" xfId="50585"/>
    <cellStyle name="Comma 9 3 3 2 3 4" xfId="50586"/>
    <cellStyle name="Comma 9 3 3 2 3 4 2" xfId="50587"/>
    <cellStyle name="Comma 9 3 3 2 3 5" xfId="50588"/>
    <cellStyle name="Comma 9 3 3 2 3 6" xfId="50589"/>
    <cellStyle name="Comma 9 3 3 2 4" xfId="50590"/>
    <cellStyle name="Comma 9 3 3 2 4 2" xfId="50591"/>
    <cellStyle name="Comma 9 3 3 2 4 2 2" xfId="50592"/>
    <cellStyle name="Comma 9 3 3 2 4 2 3" xfId="50593"/>
    <cellStyle name="Comma 9 3 3 2 4 3" xfId="50594"/>
    <cellStyle name="Comma 9 3 3 2 4 3 2" xfId="50595"/>
    <cellStyle name="Comma 9 3 3 2 4 4" xfId="50596"/>
    <cellStyle name="Comma 9 3 3 2 4 5" xfId="50597"/>
    <cellStyle name="Comma 9 3 3 2 5" xfId="50598"/>
    <cellStyle name="Comma 9 3 3 2 5 2" xfId="50599"/>
    <cellStyle name="Comma 9 3 3 2 5 3" xfId="50600"/>
    <cellStyle name="Comma 9 3 3 2 6" xfId="50601"/>
    <cellStyle name="Comma 9 3 3 2 6 2" xfId="50602"/>
    <cellStyle name="Comma 9 3 3 2 6 3" xfId="50603"/>
    <cellStyle name="Comma 9 3 3 2 7" xfId="50604"/>
    <cellStyle name="Comma 9 3 3 2 7 2" xfId="50605"/>
    <cellStyle name="Comma 9 3 3 2 8" xfId="50606"/>
    <cellStyle name="Comma 9 3 3 2 9" xfId="50607"/>
    <cellStyle name="Comma 9 3 3 3" xfId="3798"/>
    <cellStyle name="Comma 9 3 3 3 2" xfId="50608"/>
    <cellStyle name="Comma 9 3 3 3 2 2" xfId="50609"/>
    <cellStyle name="Comma 9 3 3 3 2 3" xfId="50610"/>
    <cellStyle name="Comma 9 3 3 3 3" xfId="50611"/>
    <cellStyle name="Comma 9 3 3 3 3 2" xfId="50612"/>
    <cellStyle name="Comma 9 3 3 3 3 3" xfId="50613"/>
    <cellStyle name="Comma 9 3 3 3 4" xfId="50614"/>
    <cellStyle name="Comma 9 3 3 3 4 2" xfId="50615"/>
    <cellStyle name="Comma 9 3 3 3 5" xfId="50616"/>
    <cellStyle name="Comma 9 3 3 3 6" xfId="50617"/>
    <cellStyle name="Comma 9 3 3 4" xfId="50618"/>
    <cellStyle name="Comma 9 3 3 4 2" xfId="50619"/>
    <cellStyle name="Comma 9 3 3 4 2 2" xfId="50620"/>
    <cellStyle name="Comma 9 3 3 4 2 3" xfId="50621"/>
    <cellStyle name="Comma 9 3 3 4 3" xfId="50622"/>
    <cellStyle name="Comma 9 3 3 4 3 2" xfId="50623"/>
    <cellStyle name="Comma 9 3 3 4 3 3" xfId="50624"/>
    <cellStyle name="Comma 9 3 3 4 4" xfId="50625"/>
    <cellStyle name="Comma 9 3 3 4 4 2" xfId="50626"/>
    <cellStyle name="Comma 9 3 3 4 5" xfId="50627"/>
    <cellStyle name="Comma 9 3 3 4 6" xfId="50628"/>
    <cellStyle name="Comma 9 3 3 5" xfId="50629"/>
    <cellStyle name="Comma 9 3 3 5 2" xfId="50630"/>
    <cellStyle name="Comma 9 3 3 5 2 2" xfId="50631"/>
    <cellStyle name="Comma 9 3 3 5 2 3" xfId="50632"/>
    <cellStyle name="Comma 9 3 3 5 3" xfId="50633"/>
    <cellStyle name="Comma 9 3 3 5 3 2" xfId="50634"/>
    <cellStyle name="Comma 9 3 3 5 4" xfId="50635"/>
    <cellStyle name="Comma 9 3 3 5 5" xfId="50636"/>
    <cellStyle name="Comma 9 3 3 6" xfId="50637"/>
    <cellStyle name="Comma 9 3 3 6 2" xfId="50638"/>
    <cellStyle name="Comma 9 3 3 6 3" xfId="50639"/>
    <cellStyle name="Comma 9 3 3 7" xfId="50640"/>
    <cellStyle name="Comma 9 3 3 7 2" xfId="50641"/>
    <cellStyle name="Comma 9 3 3 7 3" xfId="50642"/>
    <cellStyle name="Comma 9 3 3 8" xfId="50643"/>
    <cellStyle name="Comma 9 3 3 8 2" xfId="50644"/>
    <cellStyle name="Comma 9 3 3 9" xfId="50645"/>
    <cellStyle name="Comma 9 3 4" xfId="3799"/>
    <cellStyle name="Comma 9 3 4 2" xfId="3800"/>
    <cellStyle name="Comma 9 3 4 2 2" xfId="50646"/>
    <cellStyle name="Comma 9 3 4 2 2 2" xfId="50647"/>
    <cellStyle name="Comma 9 3 4 2 2 3" xfId="50648"/>
    <cellStyle name="Comma 9 3 4 2 3" xfId="50649"/>
    <cellStyle name="Comma 9 3 4 2 3 2" xfId="50650"/>
    <cellStyle name="Comma 9 3 4 2 3 3" xfId="50651"/>
    <cellStyle name="Comma 9 3 4 2 4" xfId="50652"/>
    <cellStyle name="Comma 9 3 4 2 4 2" xfId="50653"/>
    <cellStyle name="Comma 9 3 4 2 5" xfId="50654"/>
    <cellStyle name="Comma 9 3 4 2 6" xfId="50655"/>
    <cellStyle name="Comma 9 3 4 3" xfId="50656"/>
    <cellStyle name="Comma 9 3 4 3 2" xfId="50657"/>
    <cellStyle name="Comma 9 3 4 3 2 2" xfId="50658"/>
    <cellStyle name="Comma 9 3 4 3 2 3" xfId="50659"/>
    <cellStyle name="Comma 9 3 4 3 3" xfId="50660"/>
    <cellStyle name="Comma 9 3 4 3 3 2" xfId="50661"/>
    <cellStyle name="Comma 9 3 4 3 3 3" xfId="50662"/>
    <cellStyle name="Comma 9 3 4 3 4" xfId="50663"/>
    <cellStyle name="Comma 9 3 4 3 4 2" xfId="50664"/>
    <cellStyle name="Comma 9 3 4 3 5" xfId="50665"/>
    <cellStyle name="Comma 9 3 4 3 6" xfId="50666"/>
    <cellStyle name="Comma 9 3 4 4" xfId="50667"/>
    <cellStyle name="Comma 9 3 4 4 2" xfId="50668"/>
    <cellStyle name="Comma 9 3 4 4 2 2" xfId="50669"/>
    <cellStyle name="Comma 9 3 4 4 2 3" xfId="50670"/>
    <cellStyle name="Comma 9 3 4 4 3" xfId="50671"/>
    <cellStyle name="Comma 9 3 4 4 3 2" xfId="50672"/>
    <cellStyle name="Comma 9 3 4 4 4" xfId="50673"/>
    <cellStyle name="Comma 9 3 4 4 5" xfId="50674"/>
    <cellStyle name="Comma 9 3 4 5" xfId="50675"/>
    <cellStyle name="Comma 9 3 4 5 2" xfId="50676"/>
    <cellStyle name="Comma 9 3 4 5 3" xfId="50677"/>
    <cellStyle name="Comma 9 3 4 6" xfId="50678"/>
    <cellStyle name="Comma 9 3 4 6 2" xfId="50679"/>
    <cellStyle name="Comma 9 3 4 6 3" xfId="50680"/>
    <cellStyle name="Comma 9 3 4 7" xfId="50681"/>
    <cellStyle name="Comma 9 3 4 7 2" xfId="50682"/>
    <cellStyle name="Comma 9 3 4 8" xfId="50683"/>
    <cellStyle name="Comma 9 3 4 9" xfId="50684"/>
    <cellStyle name="Comma 9 3 5" xfId="3801"/>
    <cellStyle name="Comma 9 3 5 2" xfId="50685"/>
    <cellStyle name="Comma 9 3 5 2 2" xfId="50686"/>
    <cellStyle name="Comma 9 3 5 2 2 2" xfId="50687"/>
    <cellStyle name="Comma 9 3 5 2 2 3" xfId="50688"/>
    <cellStyle name="Comma 9 3 5 2 3" xfId="50689"/>
    <cellStyle name="Comma 9 3 5 2 3 2" xfId="50690"/>
    <cellStyle name="Comma 9 3 5 2 3 3" xfId="50691"/>
    <cellStyle name="Comma 9 3 5 2 4" xfId="50692"/>
    <cellStyle name="Comma 9 3 5 2 4 2" xfId="50693"/>
    <cellStyle name="Comma 9 3 5 2 5" xfId="50694"/>
    <cellStyle name="Comma 9 3 5 2 6" xfId="50695"/>
    <cellStyle name="Comma 9 3 5 3" xfId="50696"/>
    <cellStyle name="Comma 9 3 5 3 2" xfId="50697"/>
    <cellStyle name="Comma 9 3 5 3 2 2" xfId="50698"/>
    <cellStyle name="Comma 9 3 5 3 2 3" xfId="50699"/>
    <cellStyle name="Comma 9 3 5 3 3" xfId="50700"/>
    <cellStyle name="Comma 9 3 5 3 3 2" xfId="50701"/>
    <cellStyle name="Comma 9 3 5 3 3 3" xfId="50702"/>
    <cellStyle name="Comma 9 3 5 3 4" xfId="50703"/>
    <cellStyle name="Comma 9 3 5 3 4 2" xfId="50704"/>
    <cellStyle name="Comma 9 3 5 3 5" xfId="50705"/>
    <cellStyle name="Comma 9 3 5 3 6" xfId="50706"/>
    <cellStyle name="Comma 9 3 5 4" xfId="50707"/>
    <cellStyle name="Comma 9 3 5 4 2" xfId="50708"/>
    <cellStyle name="Comma 9 3 5 4 2 2" xfId="50709"/>
    <cellStyle name="Comma 9 3 5 4 2 3" xfId="50710"/>
    <cellStyle name="Comma 9 3 5 4 3" xfId="50711"/>
    <cellStyle name="Comma 9 3 5 4 3 2" xfId="50712"/>
    <cellStyle name="Comma 9 3 5 4 4" xfId="50713"/>
    <cellStyle name="Comma 9 3 5 4 5" xfId="50714"/>
    <cellStyle name="Comma 9 3 5 5" xfId="50715"/>
    <cellStyle name="Comma 9 3 5 5 2" xfId="50716"/>
    <cellStyle name="Comma 9 3 5 5 3" xfId="50717"/>
    <cellStyle name="Comma 9 3 5 6" xfId="50718"/>
    <cellStyle name="Comma 9 3 5 6 2" xfId="50719"/>
    <cellStyle name="Comma 9 3 5 6 3" xfId="50720"/>
    <cellStyle name="Comma 9 3 5 7" xfId="50721"/>
    <cellStyle name="Comma 9 3 5 7 2" xfId="50722"/>
    <cellStyle name="Comma 9 3 5 8" xfId="50723"/>
    <cellStyle name="Comma 9 3 5 9" xfId="50724"/>
    <cellStyle name="Comma 9 3 6" xfId="50725"/>
    <cellStyle name="Comma 9 3 6 2" xfId="50726"/>
    <cellStyle name="Comma 9 3 6 2 2" xfId="50727"/>
    <cellStyle name="Comma 9 3 6 2 3" xfId="50728"/>
    <cellStyle name="Comma 9 3 6 3" xfId="50729"/>
    <cellStyle name="Comma 9 3 6 3 2" xfId="50730"/>
    <cellStyle name="Comma 9 3 6 3 3" xfId="50731"/>
    <cellStyle name="Comma 9 3 6 4" xfId="50732"/>
    <cellStyle name="Comma 9 3 6 4 2" xfId="50733"/>
    <cellStyle name="Comma 9 3 6 5" xfId="50734"/>
    <cellStyle name="Comma 9 3 6 6" xfId="50735"/>
    <cellStyle name="Comma 9 3 7" xfId="50736"/>
    <cellStyle name="Comma 9 3 7 2" xfId="50737"/>
    <cellStyle name="Comma 9 3 7 2 2" xfId="50738"/>
    <cellStyle name="Comma 9 3 7 2 3" xfId="50739"/>
    <cellStyle name="Comma 9 3 7 3" xfId="50740"/>
    <cellStyle name="Comma 9 3 7 3 2" xfId="50741"/>
    <cellStyle name="Comma 9 3 7 3 3" xfId="50742"/>
    <cellStyle name="Comma 9 3 7 4" xfId="50743"/>
    <cellStyle name="Comma 9 3 7 4 2" xfId="50744"/>
    <cellStyle name="Comma 9 3 7 5" xfId="50745"/>
    <cellStyle name="Comma 9 3 7 6" xfId="50746"/>
    <cellStyle name="Comma 9 3 8" xfId="50747"/>
    <cellStyle name="Comma 9 3 8 2" xfId="50748"/>
    <cellStyle name="Comma 9 3 8 2 2" xfId="50749"/>
    <cellStyle name="Comma 9 3 8 2 3" xfId="50750"/>
    <cellStyle name="Comma 9 3 8 3" xfId="50751"/>
    <cellStyle name="Comma 9 3 8 3 2" xfId="50752"/>
    <cellStyle name="Comma 9 3 8 4" xfId="50753"/>
    <cellStyle name="Comma 9 3 8 5" xfId="50754"/>
    <cellStyle name="Comma 9 3 9" xfId="50755"/>
    <cellStyle name="Comma 9 3 9 2" xfId="50756"/>
    <cellStyle name="Comma 9 3 9 3" xfId="50757"/>
    <cellStyle name="Comma 9 4" xfId="3802"/>
    <cellStyle name="Comma 9 4 10" xfId="50758"/>
    <cellStyle name="Comma 9 4 10 2" xfId="50759"/>
    <cellStyle name="Comma 9 4 11" xfId="50760"/>
    <cellStyle name="Comma 9 4 12" xfId="50761"/>
    <cellStyle name="Comma 9 4 2" xfId="3803"/>
    <cellStyle name="Comma 9 4 2 10" xfId="50762"/>
    <cellStyle name="Comma 9 4 2 2" xfId="3804"/>
    <cellStyle name="Comma 9 4 2 2 2" xfId="3805"/>
    <cellStyle name="Comma 9 4 2 2 2 2" xfId="50763"/>
    <cellStyle name="Comma 9 4 2 2 2 2 2" xfId="50764"/>
    <cellStyle name="Comma 9 4 2 2 2 2 3" xfId="50765"/>
    <cellStyle name="Comma 9 4 2 2 2 3" xfId="50766"/>
    <cellStyle name="Comma 9 4 2 2 2 3 2" xfId="50767"/>
    <cellStyle name="Comma 9 4 2 2 2 3 3" xfId="50768"/>
    <cellStyle name="Comma 9 4 2 2 2 4" xfId="50769"/>
    <cellStyle name="Comma 9 4 2 2 2 4 2" xfId="50770"/>
    <cellStyle name="Comma 9 4 2 2 2 5" xfId="50771"/>
    <cellStyle name="Comma 9 4 2 2 2 6" xfId="50772"/>
    <cellStyle name="Comma 9 4 2 2 3" xfId="50773"/>
    <cellStyle name="Comma 9 4 2 2 3 2" xfId="50774"/>
    <cellStyle name="Comma 9 4 2 2 3 2 2" xfId="50775"/>
    <cellStyle name="Comma 9 4 2 2 3 2 3" xfId="50776"/>
    <cellStyle name="Comma 9 4 2 2 3 3" xfId="50777"/>
    <cellStyle name="Comma 9 4 2 2 3 3 2" xfId="50778"/>
    <cellStyle name="Comma 9 4 2 2 3 3 3" xfId="50779"/>
    <cellStyle name="Comma 9 4 2 2 3 4" xfId="50780"/>
    <cellStyle name="Comma 9 4 2 2 3 4 2" xfId="50781"/>
    <cellStyle name="Comma 9 4 2 2 3 5" xfId="50782"/>
    <cellStyle name="Comma 9 4 2 2 3 6" xfId="50783"/>
    <cellStyle name="Comma 9 4 2 2 4" xfId="50784"/>
    <cellStyle name="Comma 9 4 2 2 4 2" xfId="50785"/>
    <cellStyle name="Comma 9 4 2 2 4 2 2" xfId="50786"/>
    <cellStyle name="Comma 9 4 2 2 4 2 3" xfId="50787"/>
    <cellStyle name="Comma 9 4 2 2 4 3" xfId="50788"/>
    <cellStyle name="Comma 9 4 2 2 4 3 2" xfId="50789"/>
    <cellStyle name="Comma 9 4 2 2 4 4" xfId="50790"/>
    <cellStyle name="Comma 9 4 2 2 4 5" xfId="50791"/>
    <cellStyle name="Comma 9 4 2 2 5" xfId="50792"/>
    <cellStyle name="Comma 9 4 2 2 5 2" xfId="50793"/>
    <cellStyle name="Comma 9 4 2 2 5 3" xfId="50794"/>
    <cellStyle name="Comma 9 4 2 2 6" xfId="50795"/>
    <cellStyle name="Comma 9 4 2 2 6 2" xfId="50796"/>
    <cellStyle name="Comma 9 4 2 2 6 3" xfId="50797"/>
    <cellStyle name="Comma 9 4 2 2 7" xfId="50798"/>
    <cellStyle name="Comma 9 4 2 2 7 2" xfId="50799"/>
    <cellStyle name="Comma 9 4 2 2 8" xfId="50800"/>
    <cellStyle name="Comma 9 4 2 2 9" xfId="50801"/>
    <cellStyle name="Comma 9 4 2 3" xfId="3806"/>
    <cellStyle name="Comma 9 4 2 3 2" xfId="50802"/>
    <cellStyle name="Comma 9 4 2 3 2 2" xfId="50803"/>
    <cellStyle name="Comma 9 4 2 3 2 3" xfId="50804"/>
    <cellStyle name="Comma 9 4 2 3 3" xfId="50805"/>
    <cellStyle name="Comma 9 4 2 3 3 2" xfId="50806"/>
    <cellStyle name="Comma 9 4 2 3 3 3" xfId="50807"/>
    <cellStyle name="Comma 9 4 2 3 4" xfId="50808"/>
    <cellStyle name="Comma 9 4 2 3 4 2" xfId="50809"/>
    <cellStyle name="Comma 9 4 2 3 5" xfId="50810"/>
    <cellStyle name="Comma 9 4 2 3 6" xfId="50811"/>
    <cellStyle name="Comma 9 4 2 4" xfId="50812"/>
    <cellStyle name="Comma 9 4 2 4 2" xfId="50813"/>
    <cellStyle name="Comma 9 4 2 4 2 2" xfId="50814"/>
    <cellStyle name="Comma 9 4 2 4 2 3" xfId="50815"/>
    <cellStyle name="Comma 9 4 2 4 3" xfId="50816"/>
    <cellStyle name="Comma 9 4 2 4 3 2" xfId="50817"/>
    <cellStyle name="Comma 9 4 2 4 3 3" xfId="50818"/>
    <cellStyle name="Comma 9 4 2 4 4" xfId="50819"/>
    <cellStyle name="Comma 9 4 2 4 4 2" xfId="50820"/>
    <cellStyle name="Comma 9 4 2 4 5" xfId="50821"/>
    <cellStyle name="Comma 9 4 2 4 6" xfId="50822"/>
    <cellStyle name="Comma 9 4 2 5" xfId="50823"/>
    <cellStyle name="Comma 9 4 2 5 2" xfId="50824"/>
    <cellStyle name="Comma 9 4 2 5 2 2" xfId="50825"/>
    <cellStyle name="Comma 9 4 2 5 2 3" xfId="50826"/>
    <cellStyle name="Comma 9 4 2 5 3" xfId="50827"/>
    <cellStyle name="Comma 9 4 2 5 3 2" xfId="50828"/>
    <cellStyle name="Comma 9 4 2 5 4" xfId="50829"/>
    <cellStyle name="Comma 9 4 2 5 5" xfId="50830"/>
    <cellStyle name="Comma 9 4 2 6" xfId="50831"/>
    <cellStyle name="Comma 9 4 2 6 2" xfId="50832"/>
    <cellStyle name="Comma 9 4 2 6 3" xfId="50833"/>
    <cellStyle name="Comma 9 4 2 7" xfId="50834"/>
    <cellStyle name="Comma 9 4 2 7 2" xfId="50835"/>
    <cellStyle name="Comma 9 4 2 7 3" xfId="50836"/>
    <cellStyle name="Comma 9 4 2 8" xfId="50837"/>
    <cellStyle name="Comma 9 4 2 8 2" xfId="50838"/>
    <cellStyle name="Comma 9 4 2 9" xfId="50839"/>
    <cellStyle name="Comma 9 4 3" xfId="3807"/>
    <cellStyle name="Comma 9 4 3 2" xfId="3808"/>
    <cellStyle name="Comma 9 4 3 2 2" xfId="50840"/>
    <cellStyle name="Comma 9 4 3 2 2 2" xfId="50841"/>
    <cellStyle name="Comma 9 4 3 2 2 3" xfId="50842"/>
    <cellStyle name="Comma 9 4 3 2 3" xfId="50843"/>
    <cellStyle name="Comma 9 4 3 2 3 2" xfId="50844"/>
    <cellStyle name="Comma 9 4 3 2 3 3" xfId="50845"/>
    <cellStyle name="Comma 9 4 3 2 4" xfId="50846"/>
    <cellStyle name="Comma 9 4 3 2 4 2" xfId="50847"/>
    <cellStyle name="Comma 9 4 3 2 5" xfId="50848"/>
    <cellStyle name="Comma 9 4 3 2 6" xfId="50849"/>
    <cellStyle name="Comma 9 4 3 3" xfId="50850"/>
    <cellStyle name="Comma 9 4 3 3 2" xfId="50851"/>
    <cellStyle name="Comma 9 4 3 3 2 2" xfId="50852"/>
    <cellStyle name="Comma 9 4 3 3 2 3" xfId="50853"/>
    <cellStyle name="Comma 9 4 3 3 3" xfId="50854"/>
    <cellStyle name="Comma 9 4 3 3 3 2" xfId="50855"/>
    <cellStyle name="Comma 9 4 3 3 3 3" xfId="50856"/>
    <cellStyle name="Comma 9 4 3 3 4" xfId="50857"/>
    <cellStyle name="Comma 9 4 3 3 4 2" xfId="50858"/>
    <cellStyle name="Comma 9 4 3 3 5" xfId="50859"/>
    <cellStyle name="Comma 9 4 3 3 6" xfId="50860"/>
    <cellStyle name="Comma 9 4 3 4" xfId="50861"/>
    <cellStyle name="Comma 9 4 3 4 2" xfId="50862"/>
    <cellStyle name="Comma 9 4 3 4 2 2" xfId="50863"/>
    <cellStyle name="Comma 9 4 3 4 2 3" xfId="50864"/>
    <cellStyle name="Comma 9 4 3 4 3" xfId="50865"/>
    <cellStyle name="Comma 9 4 3 4 3 2" xfId="50866"/>
    <cellStyle name="Comma 9 4 3 4 4" xfId="50867"/>
    <cellStyle name="Comma 9 4 3 4 5" xfId="50868"/>
    <cellStyle name="Comma 9 4 3 5" xfId="50869"/>
    <cellStyle name="Comma 9 4 3 5 2" xfId="50870"/>
    <cellStyle name="Comma 9 4 3 5 3" xfId="50871"/>
    <cellStyle name="Comma 9 4 3 6" xfId="50872"/>
    <cellStyle name="Comma 9 4 3 6 2" xfId="50873"/>
    <cellStyle name="Comma 9 4 3 6 3" xfId="50874"/>
    <cellStyle name="Comma 9 4 3 7" xfId="50875"/>
    <cellStyle name="Comma 9 4 3 7 2" xfId="50876"/>
    <cellStyle name="Comma 9 4 3 8" xfId="50877"/>
    <cellStyle name="Comma 9 4 3 9" xfId="50878"/>
    <cellStyle name="Comma 9 4 4" xfId="3809"/>
    <cellStyle name="Comma 9 4 4 2" xfId="50879"/>
    <cellStyle name="Comma 9 4 4 2 2" xfId="50880"/>
    <cellStyle name="Comma 9 4 4 2 2 2" xfId="50881"/>
    <cellStyle name="Comma 9 4 4 2 2 3" xfId="50882"/>
    <cellStyle name="Comma 9 4 4 2 3" xfId="50883"/>
    <cellStyle name="Comma 9 4 4 2 3 2" xfId="50884"/>
    <cellStyle name="Comma 9 4 4 2 3 3" xfId="50885"/>
    <cellStyle name="Comma 9 4 4 2 4" xfId="50886"/>
    <cellStyle name="Comma 9 4 4 2 4 2" xfId="50887"/>
    <cellStyle name="Comma 9 4 4 2 5" xfId="50888"/>
    <cellStyle name="Comma 9 4 4 2 6" xfId="50889"/>
    <cellStyle name="Comma 9 4 4 3" xfId="50890"/>
    <cellStyle name="Comma 9 4 4 3 2" xfId="50891"/>
    <cellStyle name="Comma 9 4 4 3 2 2" xfId="50892"/>
    <cellStyle name="Comma 9 4 4 3 2 3" xfId="50893"/>
    <cellStyle name="Comma 9 4 4 3 3" xfId="50894"/>
    <cellStyle name="Comma 9 4 4 3 3 2" xfId="50895"/>
    <cellStyle name="Comma 9 4 4 3 3 3" xfId="50896"/>
    <cellStyle name="Comma 9 4 4 3 4" xfId="50897"/>
    <cellStyle name="Comma 9 4 4 3 4 2" xfId="50898"/>
    <cellStyle name="Comma 9 4 4 3 5" xfId="50899"/>
    <cellStyle name="Comma 9 4 4 3 6" xfId="50900"/>
    <cellStyle name="Comma 9 4 4 4" xfId="50901"/>
    <cellStyle name="Comma 9 4 4 4 2" xfId="50902"/>
    <cellStyle name="Comma 9 4 4 4 2 2" xfId="50903"/>
    <cellStyle name="Comma 9 4 4 4 2 3" xfId="50904"/>
    <cellStyle name="Comma 9 4 4 4 3" xfId="50905"/>
    <cellStyle name="Comma 9 4 4 4 3 2" xfId="50906"/>
    <cellStyle name="Comma 9 4 4 4 4" xfId="50907"/>
    <cellStyle name="Comma 9 4 4 4 5" xfId="50908"/>
    <cellStyle name="Comma 9 4 4 5" xfId="50909"/>
    <cellStyle name="Comma 9 4 4 5 2" xfId="50910"/>
    <cellStyle name="Comma 9 4 4 5 3" xfId="50911"/>
    <cellStyle name="Comma 9 4 4 6" xfId="50912"/>
    <cellStyle name="Comma 9 4 4 6 2" xfId="50913"/>
    <cellStyle name="Comma 9 4 4 6 3" xfId="50914"/>
    <cellStyle name="Comma 9 4 4 7" xfId="50915"/>
    <cellStyle name="Comma 9 4 4 7 2" xfId="50916"/>
    <cellStyle name="Comma 9 4 4 8" xfId="50917"/>
    <cellStyle name="Comma 9 4 4 9" xfId="50918"/>
    <cellStyle name="Comma 9 4 5" xfId="50919"/>
    <cellStyle name="Comma 9 4 5 2" xfId="50920"/>
    <cellStyle name="Comma 9 4 5 2 2" xfId="50921"/>
    <cellStyle name="Comma 9 4 5 2 3" xfId="50922"/>
    <cellStyle name="Comma 9 4 5 3" xfId="50923"/>
    <cellStyle name="Comma 9 4 5 3 2" xfId="50924"/>
    <cellStyle name="Comma 9 4 5 3 3" xfId="50925"/>
    <cellStyle name="Comma 9 4 5 4" xfId="50926"/>
    <cellStyle name="Comma 9 4 5 4 2" xfId="50927"/>
    <cellStyle name="Comma 9 4 5 5" xfId="50928"/>
    <cellStyle name="Comma 9 4 5 6" xfId="50929"/>
    <cellStyle name="Comma 9 4 6" xfId="50930"/>
    <cellStyle name="Comma 9 4 6 2" xfId="50931"/>
    <cellStyle name="Comma 9 4 6 2 2" xfId="50932"/>
    <cellStyle name="Comma 9 4 6 2 3" xfId="50933"/>
    <cellStyle name="Comma 9 4 6 3" xfId="50934"/>
    <cellStyle name="Comma 9 4 6 3 2" xfId="50935"/>
    <cellStyle name="Comma 9 4 6 3 3" xfId="50936"/>
    <cellStyle name="Comma 9 4 6 4" xfId="50937"/>
    <cellStyle name="Comma 9 4 6 4 2" xfId="50938"/>
    <cellStyle name="Comma 9 4 6 5" xfId="50939"/>
    <cellStyle name="Comma 9 4 6 6" xfId="50940"/>
    <cellStyle name="Comma 9 4 7" xfId="50941"/>
    <cellStyle name="Comma 9 4 7 2" xfId="50942"/>
    <cellStyle name="Comma 9 4 7 2 2" xfId="50943"/>
    <cellStyle name="Comma 9 4 7 2 3" xfId="50944"/>
    <cellStyle name="Comma 9 4 7 3" xfId="50945"/>
    <cellStyle name="Comma 9 4 7 3 2" xfId="50946"/>
    <cellStyle name="Comma 9 4 7 4" xfId="50947"/>
    <cellStyle name="Comma 9 4 7 5" xfId="50948"/>
    <cellStyle name="Comma 9 4 8" xfId="50949"/>
    <cellStyle name="Comma 9 4 8 2" xfId="50950"/>
    <cellStyle name="Comma 9 4 8 3" xfId="50951"/>
    <cellStyle name="Comma 9 4 9" xfId="50952"/>
    <cellStyle name="Comma 9 4 9 2" xfId="50953"/>
    <cellStyle name="Comma 9 4 9 3" xfId="50954"/>
    <cellStyle name="Comma 9 5" xfId="3810"/>
    <cellStyle name="Comma 9 5 10" xfId="50955"/>
    <cellStyle name="Comma 9 5 2" xfId="3811"/>
    <cellStyle name="Comma 9 5 2 2" xfId="3812"/>
    <cellStyle name="Comma 9 5 2 2 2" xfId="50956"/>
    <cellStyle name="Comma 9 5 2 2 2 2" xfId="50957"/>
    <cellStyle name="Comma 9 5 2 2 2 3" xfId="50958"/>
    <cellStyle name="Comma 9 5 2 2 3" xfId="50959"/>
    <cellStyle name="Comma 9 5 2 2 3 2" xfId="50960"/>
    <cellStyle name="Comma 9 5 2 2 3 3" xfId="50961"/>
    <cellStyle name="Comma 9 5 2 2 4" xfId="50962"/>
    <cellStyle name="Comma 9 5 2 2 4 2" xfId="50963"/>
    <cellStyle name="Comma 9 5 2 2 5" xfId="50964"/>
    <cellStyle name="Comma 9 5 2 2 6" xfId="50965"/>
    <cellStyle name="Comma 9 5 2 3" xfId="50966"/>
    <cellStyle name="Comma 9 5 2 3 2" xfId="50967"/>
    <cellStyle name="Comma 9 5 2 3 2 2" xfId="50968"/>
    <cellStyle name="Comma 9 5 2 3 2 3" xfId="50969"/>
    <cellStyle name="Comma 9 5 2 3 3" xfId="50970"/>
    <cellStyle name="Comma 9 5 2 3 3 2" xfId="50971"/>
    <cellStyle name="Comma 9 5 2 3 3 3" xfId="50972"/>
    <cellStyle name="Comma 9 5 2 3 4" xfId="50973"/>
    <cellStyle name="Comma 9 5 2 3 4 2" xfId="50974"/>
    <cellStyle name="Comma 9 5 2 3 5" xfId="50975"/>
    <cellStyle name="Comma 9 5 2 3 6" xfId="50976"/>
    <cellStyle name="Comma 9 5 2 4" xfId="50977"/>
    <cellStyle name="Comma 9 5 2 4 2" xfId="50978"/>
    <cellStyle name="Comma 9 5 2 4 2 2" xfId="50979"/>
    <cellStyle name="Comma 9 5 2 4 2 3" xfId="50980"/>
    <cellStyle name="Comma 9 5 2 4 3" xfId="50981"/>
    <cellStyle name="Comma 9 5 2 4 3 2" xfId="50982"/>
    <cellStyle name="Comma 9 5 2 4 4" xfId="50983"/>
    <cellStyle name="Comma 9 5 2 4 5" xfId="50984"/>
    <cellStyle name="Comma 9 5 2 5" xfId="50985"/>
    <cellStyle name="Comma 9 5 2 5 2" xfId="50986"/>
    <cellStyle name="Comma 9 5 2 5 3" xfId="50987"/>
    <cellStyle name="Comma 9 5 2 6" xfId="50988"/>
    <cellStyle name="Comma 9 5 2 6 2" xfId="50989"/>
    <cellStyle name="Comma 9 5 2 6 3" xfId="50990"/>
    <cellStyle name="Comma 9 5 2 7" xfId="50991"/>
    <cellStyle name="Comma 9 5 2 7 2" xfId="50992"/>
    <cellStyle name="Comma 9 5 2 8" xfId="50993"/>
    <cellStyle name="Comma 9 5 2 9" xfId="50994"/>
    <cellStyle name="Comma 9 5 3" xfId="3813"/>
    <cellStyle name="Comma 9 5 3 2" xfId="50995"/>
    <cellStyle name="Comma 9 5 3 2 2" xfId="50996"/>
    <cellStyle name="Comma 9 5 3 2 3" xfId="50997"/>
    <cellStyle name="Comma 9 5 3 3" xfId="50998"/>
    <cellStyle name="Comma 9 5 3 3 2" xfId="50999"/>
    <cellStyle name="Comma 9 5 3 3 3" xfId="51000"/>
    <cellStyle name="Comma 9 5 3 4" xfId="51001"/>
    <cellStyle name="Comma 9 5 3 4 2" xfId="51002"/>
    <cellStyle name="Comma 9 5 3 5" xfId="51003"/>
    <cellStyle name="Comma 9 5 3 6" xfId="51004"/>
    <cellStyle name="Comma 9 5 4" xfId="51005"/>
    <cellStyle name="Comma 9 5 4 2" xfId="51006"/>
    <cellStyle name="Comma 9 5 4 2 2" xfId="51007"/>
    <cellStyle name="Comma 9 5 4 2 3" xfId="51008"/>
    <cellStyle name="Comma 9 5 4 3" xfId="51009"/>
    <cellStyle name="Comma 9 5 4 3 2" xfId="51010"/>
    <cellStyle name="Comma 9 5 4 3 3" xfId="51011"/>
    <cellStyle name="Comma 9 5 4 4" xfId="51012"/>
    <cellStyle name="Comma 9 5 4 4 2" xfId="51013"/>
    <cellStyle name="Comma 9 5 4 5" xfId="51014"/>
    <cellStyle name="Comma 9 5 4 6" xfId="51015"/>
    <cellStyle name="Comma 9 5 5" xfId="51016"/>
    <cellStyle name="Comma 9 5 5 2" xfId="51017"/>
    <cellStyle name="Comma 9 5 5 2 2" xfId="51018"/>
    <cellStyle name="Comma 9 5 5 2 3" xfId="51019"/>
    <cellStyle name="Comma 9 5 5 3" xfId="51020"/>
    <cellStyle name="Comma 9 5 5 3 2" xfId="51021"/>
    <cellStyle name="Comma 9 5 5 4" xfId="51022"/>
    <cellStyle name="Comma 9 5 5 5" xfId="51023"/>
    <cellStyle name="Comma 9 5 6" xfId="51024"/>
    <cellStyle name="Comma 9 5 6 2" xfId="51025"/>
    <cellStyle name="Comma 9 5 6 3" xfId="51026"/>
    <cellStyle name="Comma 9 5 7" xfId="51027"/>
    <cellStyle name="Comma 9 5 7 2" xfId="51028"/>
    <cellStyle name="Comma 9 5 7 3" xfId="51029"/>
    <cellStyle name="Comma 9 5 8" xfId="51030"/>
    <cellStyle name="Comma 9 5 8 2" xfId="51031"/>
    <cellStyle name="Comma 9 5 9" xfId="51032"/>
    <cellStyle name="Comma 9 6" xfId="3814"/>
    <cellStyle name="Comma 9 6 2" xfId="3815"/>
    <cellStyle name="Comma 9 6 2 2" xfId="51033"/>
    <cellStyle name="Comma 9 6 2 2 2" xfId="51034"/>
    <cellStyle name="Comma 9 6 2 2 3" xfId="51035"/>
    <cellStyle name="Comma 9 6 2 3" xfId="51036"/>
    <cellStyle name="Comma 9 6 2 3 2" xfId="51037"/>
    <cellStyle name="Comma 9 6 2 3 3" xfId="51038"/>
    <cellStyle name="Comma 9 6 2 4" xfId="51039"/>
    <cellStyle name="Comma 9 6 2 4 2" xfId="51040"/>
    <cellStyle name="Comma 9 6 2 5" xfId="51041"/>
    <cellStyle name="Comma 9 6 2 6" xfId="51042"/>
    <cellStyle name="Comma 9 6 3" xfId="51043"/>
    <cellStyle name="Comma 9 6 3 2" xfId="51044"/>
    <cellStyle name="Comma 9 6 3 2 2" xfId="51045"/>
    <cellStyle name="Comma 9 6 3 2 3" xfId="51046"/>
    <cellStyle name="Comma 9 6 3 3" xfId="51047"/>
    <cellStyle name="Comma 9 6 3 3 2" xfId="51048"/>
    <cellStyle name="Comma 9 6 3 3 3" xfId="51049"/>
    <cellStyle name="Comma 9 6 3 4" xfId="51050"/>
    <cellStyle name="Comma 9 6 3 4 2" xfId="51051"/>
    <cellStyle name="Comma 9 6 3 5" xfId="51052"/>
    <cellStyle name="Comma 9 6 3 6" xfId="51053"/>
    <cellStyle name="Comma 9 6 4" xfId="51054"/>
    <cellStyle name="Comma 9 6 4 2" xfId="51055"/>
    <cellStyle name="Comma 9 6 4 2 2" xfId="51056"/>
    <cellStyle name="Comma 9 6 4 2 3" xfId="51057"/>
    <cellStyle name="Comma 9 6 4 3" xfId="51058"/>
    <cellStyle name="Comma 9 6 4 3 2" xfId="51059"/>
    <cellStyle name="Comma 9 6 4 4" xfId="51060"/>
    <cellStyle name="Comma 9 6 4 5" xfId="51061"/>
    <cellStyle name="Comma 9 6 5" xfId="51062"/>
    <cellStyle name="Comma 9 6 5 2" xfId="51063"/>
    <cellStyle name="Comma 9 6 5 3" xfId="51064"/>
    <cellStyle name="Comma 9 6 6" xfId="51065"/>
    <cellStyle name="Comma 9 6 6 2" xfId="51066"/>
    <cellStyle name="Comma 9 6 6 3" xfId="51067"/>
    <cellStyle name="Comma 9 6 7" xfId="51068"/>
    <cellStyle name="Comma 9 6 7 2" xfId="51069"/>
    <cellStyle name="Comma 9 6 8" xfId="51070"/>
    <cellStyle name="Comma 9 6 9" xfId="51071"/>
    <cellStyle name="Comma 9 7" xfId="3816"/>
    <cellStyle name="Comma 9 7 2" xfId="51072"/>
    <cellStyle name="Comma 9 7 2 2" xfId="51073"/>
    <cellStyle name="Comma 9 7 2 2 2" xfId="51074"/>
    <cellStyle name="Comma 9 7 2 2 3" xfId="51075"/>
    <cellStyle name="Comma 9 7 2 3" xfId="51076"/>
    <cellStyle name="Comma 9 7 2 3 2" xfId="51077"/>
    <cellStyle name="Comma 9 7 2 3 3" xfId="51078"/>
    <cellStyle name="Comma 9 7 2 4" xfId="51079"/>
    <cellStyle name="Comma 9 7 2 4 2" xfId="51080"/>
    <cellStyle name="Comma 9 7 2 5" xfId="51081"/>
    <cellStyle name="Comma 9 7 2 6" xfId="51082"/>
    <cellStyle name="Comma 9 7 3" xfId="51083"/>
    <cellStyle name="Comma 9 7 3 2" xfId="51084"/>
    <cellStyle name="Comma 9 7 3 2 2" xfId="51085"/>
    <cellStyle name="Comma 9 7 3 2 3" xfId="51086"/>
    <cellStyle name="Comma 9 7 3 3" xfId="51087"/>
    <cellStyle name="Comma 9 7 3 3 2" xfId="51088"/>
    <cellStyle name="Comma 9 7 3 3 3" xfId="51089"/>
    <cellStyle name="Comma 9 7 3 4" xfId="51090"/>
    <cellStyle name="Comma 9 7 3 4 2" xfId="51091"/>
    <cellStyle name="Comma 9 7 3 5" xfId="51092"/>
    <cellStyle name="Comma 9 7 3 6" xfId="51093"/>
    <cellStyle name="Comma 9 7 4" xfId="51094"/>
    <cellStyle name="Comma 9 7 4 2" xfId="51095"/>
    <cellStyle name="Comma 9 7 4 2 2" xfId="51096"/>
    <cellStyle name="Comma 9 7 4 2 3" xfId="51097"/>
    <cellStyle name="Comma 9 7 4 3" xfId="51098"/>
    <cellStyle name="Comma 9 7 4 3 2" xfId="51099"/>
    <cellStyle name="Comma 9 7 4 4" xfId="51100"/>
    <cellStyle name="Comma 9 7 4 5" xfId="51101"/>
    <cellStyle name="Comma 9 7 5" xfId="51102"/>
    <cellStyle name="Comma 9 7 5 2" xfId="51103"/>
    <cellStyle name="Comma 9 7 5 3" xfId="51104"/>
    <cellStyle name="Comma 9 7 6" xfId="51105"/>
    <cellStyle name="Comma 9 7 6 2" xfId="51106"/>
    <cellStyle name="Comma 9 7 6 3" xfId="51107"/>
    <cellStyle name="Comma 9 7 7" xfId="51108"/>
    <cellStyle name="Comma 9 7 7 2" xfId="51109"/>
    <cellStyle name="Comma 9 7 8" xfId="51110"/>
    <cellStyle name="Comma 9 7 9" xfId="51111"/>
    <cellStyle name="Comma 9 8" xfId="3817"/>
    <cellStyle name="Comma 9 8 2" xfId="51112"/>
    <cellStyle name="Comma 9 8 2 2" xfId="51113"/>
    <cellStyle name="Comma 9 8 2 3" xfId="51114"/>
    <cellStyle name="Comma 9 8 3" xfId="51115"/>
    <cellStyle name="Comma 9 8 3 2" xfId="51116"/>
    <cellStyle name="Comma 9 8 3 3" xfId="51117"/>
    <cellStyle name="Comma 9 8 4" xfId="51118"/>
    <cellStyle name="Comma 9 8 4 2" xfId="51119"/>
    <cellStyle name="Comma 9 8 5" xfId="51120"/>
    <cellStyle name="Comma 9 8 6" xfId="51121"/>
    <cellStyle name="Comma 9 9" xfId="3818"/>
    <cellStyle name="Comma 9 9 2" xfId="51122"/>
    <cellStyle name="Comma 9 9 2 2" xfId="51123"/>
    <cellStyle name="Comma 9 9 2 3" xfId="51124"/>
    <cellStyle name="Comma 9 9 3" xfId="51125"/>
    <cellStyle name="Comma 9 9 3 2" xfId="51126"/>
    <cellStyle name="Comma 9 9 3 3" xfId="51127"/>
    <cellStyle name="Comma 9 9 4" xfId="51128"/>
    <cellStyle name="Comma 9 9 4 2" xfId="51129"/>
    <cellStyle name="Comma 9 9 5" xfId="51130"/>
    <cellStyle name="Comma 9 9 6" xfId="51131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9"/>
    <cellStyle name="Comma0 2 4" xfId="59031"/>
    <cellStyle name="Comma0 3" xfId="3822"/>
    <cellStyle name="Comma0 3 2" xfId="51132"/>
    <cellStyle name="Comma0 3 2 2" xfId="59032"/>
    <cellStyle name="Comma0 3 3" xfId="59033"/>
    <cellStyle name="Comma0 3 4" xfId="59034"/>
    <cellStyle name="Comma0 4" xfId="57880"/>
    <cellStyle name="Comma0_SCH11 Not Done" xfId="51133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1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1134"/>
    <cellStyle name="Currency 101" xfId="51135"/>
    <cellStyle name="Currency 102" xfId="51136"/>
    <cellStyle name="Currency 103" xfId="51137"/>
    <cellStyle name="Currency 104" xfId="51138"/>
    <cellStyle name="Currency 105" xfId="51139"/>
    <cellStyle name="Currency 106" xfId="51140"/>
    <cellStyle name="Currency 107" xfId="51141"/>
    <cellStyle name="Currency 108" xfId="51142"/>
    <cellStyle name="Currency 109" xfId="51143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1144"/>
    <cellStyle name="Currency 111" xfId="51145"/>
    <cellStyle name="Currency 112" xfId="51146"/>
    <cellStyle name="Currency 113" xfId="51147"/>
    <cellStyle name="Currency 114" xfId="51148"/>
    <cellStyle name="Currency 115" xfId="51149"/>
    <cellStyle name="Currency 116" xfId="51150"/>
    <cellStyle name="Currency 117" xfId="51151"/>
    <cellStyle name="Currency 118" xfId="51152"/>
    <cellStyle name="Currency 119" xfId="51153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1154"/>
    <cellStyle name="Currency 120 2" xfId="51155"/>
    <cellStyle name="Currency 120 3" xfId="57810"/>
    <cellStyle name="Currency 121" xfId="51156"/>
    <cellStyle name="Currency 121 2" xfId="51157"/>
    <cellStyle name="Currency 121 3" xfId="57811"/>
    <cellStyle name="Currency 122" xfId="51158"/>
    <cellStyle name="Currency 122 2" xfId="59060"/>
    <cellStyle name="Currency 123" xfId="51159"/>
    <cellStyle name="Currency 123 2" xfId="59061"/>
    <cellStyle name="Currency 124" xfId="51160"/>
    <cellStyle name="Currency 124 2" xfId="59062"/>
    <cellStyle name="Currency 125" xfId="51161"/>
    <cellStyle name="Currency 126" xfId="57882"/>
    <cellStyle name="Currency 127" xfId="57883"/>
    <cellStyle name="Currency 128" xfId="57884"/>
    <cellStyle name="Currency 129" xfId="57885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6"/>
    <cellStyle name="Currency 131" xfId="57887"/>
    <cellStyle name="Currency 132" xfId="57888"/>
    <cellStyle name="Currency 133" xfId="57889"/>
    <cellStyle name="Currency 134" xfId="57890"/>
    <cellStyle name="Currency 135" xfId="57891"/>
    <cellStyle name="Currency 136" xfId="57892"/>
    <cellStyle name="Currency 136 2" xfId="59067"/>
    <cellStyle name="Currency 137" xfId="57893"/>
    <cellStyle name="Currency 138" xfId="57894"/>
    <cellStyle name="Currency 139" xfId="57895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6"/>
    <cellStyle name="Currency 141" xfId="57897"/>
    <cellStyle name="Currency 142" xfId="57898"/>
    <cellStyle name="Currency 143" xfId="57899"/>
    <cellStyle name="Currency 144" xfId="57900"/>
    <cellStyle name="Currency 145" xfId="57901"/>
    <cellStyle name="Currency 146" xfId="57902"/>
    <cellStyle name="Currency 147" xfId="57903"/>
    <cellStyle name="Currency 148" xfId="57904"/>
    <cellStyle name="Currency 149" xfId="57905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6"/>
    <cellStyle name="Currency 150 2" xfId="59077"/>
    <cellStyle name="Currency 151" xfId="57907"/>
    <cellStyle name="Currency 152" xfId="57908"/>
    <cellStyle name="Currency 153" xfId="57909"/>
    <cellStyle name="Currency 154" xfId="57910"/>
    <cellStyle name="Currency 155" xfId="57911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4 2" xfId="62049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9499"/>
    <cellStyle name="Currency 2 10 2" xfId="9500"/>
    <cellStyle name="Currency 2 11" xfId="9501"/>
    <cellStyle name="Currency 2 12" xfId="57912"/>
    <cellStyle name="Currency 2 2" xfId="3857"/>
    <cellStyle name="Currency 2 2 2" xfId="8400"/>
    <cellStyle name="Currency 2 2 2 2" xfId="9502"/>
    <cellStyle name="Currency 2 2 2 3" xfId="57913"/>
    <cellStyle name="Currency 2 2 3" xfId="9503"/>
    <cellStyle name="Currency 2 2 3 2" xfId="9504"/>
    <cellStyle name="Currency 2 2 4" xfId="9505"/>
    <cellStyle name="Currency 2 2 4 2" xfId="9506"/>
    <cellStyle name="Currency 2 2 5" xfId="57914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93"/>
    <cellStyle name="Currency 3 2 2 2 2" xfId="59172"/>
    <cellStyle name="Currency 3 2 2 3" xfId="9194"/>
    <cellStyle name="Currency 3 2 2 3 2" xfId="59173"/>
    <cellStyle name="Currency 3 2 2 4" xfId="59174"/>
    <cellStyle name="Currency 3 2 2 5" xfId="59175"/>
    <cellStyle name="Currency 3 2 2 6" xfId="59176"/>
    <cellStyle name="Currency 3 2 3" xfId="9195"/>
    <cellStyle name="Currency 3 2 3 2" xfId="59177"/>
    <cellStyle name="Currency 3 2 3 3" xfId="59178"/>
    <cellStyle name="Currency 3 2 3 4" xfId="59179"/>
    <cellStyle name="Currency 3 2 4" xfId="9196"/>
    <cellStyle name="Currency 3 2 5" xfId="59180"/>
    <cellStyle name="Currency 3 3" xfId="3883"/>
    <cellStyle name="Currency 3 3 2" xfId="9197"/>
    <cellStyle name="Currency 3 3 2 2" xfId="59181"/>
    <cellStyle name="Currency 3 3 3" xfId="9198"/>
    <cellStyle name="Currency 3 3 3 2" xfId="59182"/>
    <cellStyle name="Currency 3 3 4" xfId="59183"/>
    <cellStyle name="Currency 3 3 5" xfId="59184"/>
    <cellStyle name="Currency 3 4" xfId="3884"/>
    <cellStyle name="Currency 3 4 2" xfId="9199"/>
    <cellStyle name="Currency 3 4 3" xfId="59185"/>
    <cellStyle name="Currency 3 4 3 2" xfId="59186"/>
    <cellStyle name="Currency 3 4 4" xfId="59187"/>
    <cellStyle name="Currency 3 4 5" xfId="59188"/>
    <cellStyle name="Currency 3 5" xfId="9200"/>
    <cellStyle name="Currency 3 6" xfId="9525"/>
    <cellStyle name="Currency 3 7" xfId="57915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2"/>
    <cellStyle name="Currency 4 10 2" xfId="51163"/>
    <cellStyle name="Currency 4 10 2 2" xfId="51164"/>
    <cellStyle name="Currency 4 10 2 3" xfId="51165"/>
    <cellStyle name="Currency 4 10 3" xfId="51166"/>
    <cellStyle name="Currency 4 10 3 2" xfId="51167"/>
    <cellStyle name="Currency 4 10 4" xfId="51168"/>
    <cellStyle name="Currency 4 10 5" xfId="51169"/>
    <cellStyle name="Currency 4 11" xfId="51170"/>
    <cellStyle name="Currency 4 11 2" xfId="51171"/>
    <cellStyle name="Currency 4 11 3" xfId="51172"/>
    <cellStyle name="Currency 4 12" xfId="51173"/>
    <cellStyle name="Currency 4 12 2" xfId="51174"/>
    <cellStyle name="Currency 4 12 3" xfId="51175"/>
    <cellStyle name="Currency 4 13" xfId="51176"/>
    <cellStyle name="Currency 4 13 2" xfId="51177"/>
    <cellStyle name="Currency 4 14" xfId="51178"/>
    <cellStyle name="Currency 4 15" xfId="51179"/>
    <cellStyle name="Currency 4 16" xfId="51180"/>
    <cellStyle name="Currency 4 2" xfId="3899"/>
    <cellStyle name="Currency 4 2 10" xfId="51181"/>
    <cellStyle name="Currency 4 2 10 2" xfId="51182"/>
    <cellStyle name="Currency 4 2 10 3" xfId="51183"/>
    <cellStyle name="Currency 4 2 11" xfId="51184"/>
    <cellStyle name="Currency 4 2 11 2" xfId="51185"/>
    <cellStyle name="Currency 4 2 11 3" xfId="51186"/>
    <cellStyle name="Currency 4 2 12" xfId="51187"/>
    <cellStyle name="Currency 4 2 12 2" xfId="51188"/>
    <cellStyle name="Currency 4 2 13" xfId="51189"/>
    <cellStyle name="Currency 4 2 14" xfId="51190"/>
    <cellStyle name="Currency 4 2 15" xfId="51191"/>
    <cellStyle name="Currency 4 2 2" xfId="3900"/>
    <cellStyle name="Currency 4 2 2 10" xfId="51192"/>
    <cellStyle name="Currency 4 2 2 10 2" xfId="51193"/>
    <cellStyle name="Currency 4 2 2 10 3" xfId="51194"/>
    <cellStyle name="Currency 4 2 2 11" xfId="51195"/>
    <cellStyle name="Currency 4 2 2 11 2" xfId="51196"/>
    <cellStyle name="Currency 4 2 2 12" xfId="51197"/>
    <cellStyle name="Currency 4 2 2 13" xfId="51198"/>
    <cellStyle name="Currency 4 2 2 2" xfId="9201"/>
    <cellStyle name="Currency 4 2 2 2 10" xfId="51199"/>
    <cellStyle name="Currency 4 2 2 2 10 2" xfId="51200"/>
    <cellStyle name="Currency 4 2 2 2 11" xfId="51201"/>
    <cellStyle name="Currency 4 2 2 2 12" xfId="51202"/>
    <cellStyle name="Currency 4 2 2 2 2" xfId="51203"/>
    <cellStyle name="Currency 4 2 2 2 2 10" xfId="51204"/>
    <cellStyle name="Currency 4 2 2 2 2 2" xfId="51205"/>
    <cellStyle name="Currency 4 2 2 2 2 2 2" xfId="51206"/>
    <cellStyle name="Currency 4 2 2 2 2 2 2 2" xfId="51207"/>
    <cellStyle name="Currency 4 2 2 2 2 2 2 2 2" xfId="51208"/>
    <cellStyle name="Currency 4 2 2 2 2 2 2 2 3" xfId="51209"/>
    <cellStyle name="Currency 4 2 2 2 2 2 2 3" xfId="51210"/>
    <cellStyle name="Currency 4 2 2 2 2 2 2 3 2" xfId="51211"/>
    <cellStyle name="Currency 4 2 2 2 2 2 2 3 3" xfId="51212"/>
    <cellStyle name="Currency 4 2 2 2 2 2 2 4" xfId="51213"/>
    <cellStyle name="Currency 4 2 2 2 2 2 2 4 2" xfId="51214"/>
    <cellStyle name="Currency 4 2 2 2 2 2 2 5" xfId="51215"/>
    <cellStyle name="Currency 4 2 2 2 2 2 2 6" xfId="51216"/>
    <cellStyle name="Currency 4 2 2 2 2 2 3" xfId="51217"/>
    <cellStyle name="Currency 4 2 2 2 2 2 3 2" xfId="51218"/>
    <cellStyle name="Currency 4 2 2 2 2 2 3 2 2" xfId="51219"/>
    <cellStyle name="Currency 4 2 2 2 2 2 3 2 3" xfId="51220"/>
    <cellStyle name="Currency 4 2 2 2 2 2 3 3" xfId="51221"/>
    <cellStyle name="Currency 4 2 2 2 2 2 3 3 2" xfId="51222"/>
    <cellStyle name="Currency 4 2 2 2 2 2 3 3 3" xfId="51223"/>
    <cellStyle name="Currency 4 2 2 2 2 2 3 4" xfId="51224"/>
    <cellStyle name="Currency 4 2 2 2 2 2 3 4 2" xfId="51225"/>
    <cellStyle name="Currency 4 2 2 2 2 2 3 5" xfId="51226"/>
    <cellStyle name="Currency 4 2 2 2 2 2 3 6" xfId="51227"/>
    <cellStyle name="Currency 4 2 2 2 2 2 4" xfId="51228"/>
    <cellStyle name="Currency 4 2 2 2 2 2 4 2" xfId="51229"/>
    <cellStyle name="Currency 4 2 2 2 2 2 4 2 2" xfId="51230"/>
    <cellStyle name="Currency 4 2 2 2 2 2 4 2 3" xfId="51231"/>
    <cellStyle name="Currency 4 2 2 2 2 2 4 3" xfId="51232"/>
    <cellStyle name="Currency 4 2 2 2 2 2 4 3 2" xfId="51233"/>
    <cellStyle name="Currency 4 2 2 2 2 2 4 4" xfId="51234"/>
    <cellStyle name="Currency 4 2 2 2 2 2 4 5" xfId="51235"/>
    <cellStyle name="Currency 4 2 2 2 2 2 5" xfId="51236"/>
    <cellStyle name="Currency 4 2 2 2 2 2 5 2" xfId="51237"/>
    <cellStyle name="Currency 4 2 2 2 2 2 5 3" xfId="51238"/>
    <cellStyle name="Currency 4 2 2 2 2 2 6" xfId="51239"/>
    <cellStyle name="Currency 4 2 2 2 2 2 6 2" xfId="51240"/>
    <cellStyle name="Currency 4 2 2 2 2 2 6 3" xfId="51241"/>
    <cellStyle name="Currency 4 2 2 2 2 2 7" xfId="51242"/>
    <cellStyle name="Currency 4 2 2 2 2 2 7 2" xfId="51243"/>
    <cellStyle name="Currency 4 2 2 2 2 2 8" xfId="51244"/>
    <cellStyle name="Currency 4 2 2 2 2 2 9" xfId="51245"/>
    <cellStyle name="Currency 4 2 2 2 2 3" xfId="51246"/>
    <cellStyle name="Currency 4 2 2 2 2 3 2" xfId="51247"/>
    <cellStyle name="Currency 4 2 2 2 2 3 2 2" xfId="51248"/>
    <cellStyle name="Currency 4 2 2 2 2 3 2 3" xfId="51249"/>
    <cellStyle name="Currency 4 2 2 2 2 3 3" xfId="51250"/>
    <cellStyle name="Currency 4 2 2 2 2 3 3 2" xfId="51251"/>
    <cellStyle name="Currency 4 2 2 2 2 3 3 3" xfId="51252"/>
    <cellStyle name="Currency 4 2 2 2 2 3 4" xfId="51253"/>
    <cellStyle name="Currency 4 2 2 2 2 3 4 2" xfId="51254"/>
    <cellStyle name="Currency 4 2 2 2 2 3 5" xfId="51255"/>
    <cellStyle name="Currency 4 2 2 2 2 3 6" xfId="51256"/>
    <cellStyle name="Currency 4 2 2 2 2 4" xfId="51257"/>
    <cellStyle name="Currency 4 2 2 2 2 4 2" xfId="51258"/>
    <cellStyle name="Currency 4 2 2 2 2 4 2 2" xfId="51259"/>
    <cellStyle name="Currency 4 2 2 2 2 4 2 3" xfId="51260"/>
    <cellStyle name="Currency 4 2 2 2 2 4 3" xfId="51261"/>
    <cellStyle name="Currency 4 2 2 2 2 4 3 2" xfId="51262"/>
    <cellStyle name="Currency 4 2 2 2 2 4 3 3" xfId="51263"/>
    <cellStyle name="Currency 4 2 2 2 2 4 4" xfId="51264"/>
    <cellStyle name="Currency 4 2 2 2 2 4 4 2" xfId="51265"/>
    <cellStyle name="Currency 4 2 2 2 2 4 5" xfId="51266"/>
    <cellStyle name="Currency 4 2 2 2 2 4 6" xfId="51267"/>
    <cellStyle name="Currency 4 2 2 2 2 5" xfId="51268"/>
    <cellStyle name="Currency 4 2 2 2 2 5 2" xfId="51269"/>
    <cellStyle name="Currency 4 2 2 2 2 5 2 2" xfId="51270"/>
    <cellStyle name="Currency 4 2 2 2 2 5 2 3" xfId="51271"/>
    <cellStyle name="Currency 4 2 2 2 2 5 3" xfId="51272"/>
    <cellStyle name="Currency 4 2 2 2 2 5 3 2" xfId="51273"/>
    <cellStyle name="Currency 4 2 2 2 2 5 4" xfId="51274"/>
    <cellStyle name="Currency 4 2 2 2 2 5 5" xfId="51275"/>
    <cellStyle name="Currency 4 2 2 2 2 6" xfId="51276"/>
    <cellStyle name="Currency 4 2 2 2 2 6 2" xfId="51277"/>
    <cellStyle name="Currency 4 2 2 2 2 6 3" xfId="51278"/>
    <cellStyle name="Currency 4 2 2 2 2 7" xfId="51279"/>
    <cellStyle name="Currency 4 2 2 2 2 7 2" xfId="51280"/>
    <cellStyle name="Currency 4 2 2 2 2 7 3" xfId="51281"/>
    <cellStyle name="Currency 4 2 2 2 2 8" xfId="51282"/>
    <cellStyle name="Currency 4 2 2 2 2 8 2" xfId="51283"/>
    <cellStyle name="Currency 4 2 2 2 2 9" xfId="51284"/>
    <cellStyle name="Currency 4 2 2 2 3" xfId="51285"/>
    <cellStyle name="Currency 4 2 2 2 3 2" xfId="51286"/>
    <cellStyle name="Currency 4 2 2 2 3 2 2" xfId="51287"/>
    <cellStyle name="Currency 4 2 2 2 3 2 2 2" xfId="51288"/>
    <cellStyle name="Currency 4 2 2 2 3 2 2 3" xfId="51289"/>
    <cellStyle name="Currency 4 2 2 2 3 2 3" xfId="51290"/>
    <cellStyle name="Currency 4 2 2 2 3 2 3 2" xfId="51291"/>
    <cellStyle name="Currency 4 2 2 2 3 2 3 3" xfId="51292"/>
    <cellStyle name="Currency 4 2 2 2 3 2 4" xfId="51293"/>
    <cellStyle name="Currency 4 2 2 2 3 2 4 2" xfId="51294"/>
    <cellStyle name="Currency 4 2 2 2 3 2 5" xfId="51295"/>
    <cellStyle name="Currency 4 2 2 2 3 2 6" xfId="51296"/>
    <cellStyle name="Currency 4 2 2 2 3 3" xfId="51297"/>
    <cellStyle name="Currency 4 2 2 2 3 3 2" xfId="51298"/>
    <cellStyle name="Currency 4 2 2 2 3 3 2 2" xfId="51299"/>
    <cellStyle name="Currency 4 2 2 2 3 3 2 3" xfId="51300"/>
    <cellStyle name="Currency 4 2 2 2 3 3 3" xfId="51301"/>
    <cellStyle name="Currency 4 2 2 2 3 3 3 2" xfId="51302"/>
    <cellStyle name="Currency 4 2 2 2 3 3 3 3" xfId="51303"/>
    <cellStyle name="Currency 4 2 2 2 3 3 4" xfId="51304"/>
    <cellStyle name="Currency 4 2 2 2 3 3 4 2" xfId="51305"/>
    <cellStyle name="Currency 4 2 2 2 3 3 5" xfId="51306"/>
    <cellStyle name="Currency 4 2 2 2 3 3 6" xfId="51307"/>
    <cellStyle name="Currency 4 2 2 2 3 4" xfId="51308"/>
    <cellStyle name="Currency 4 2 2 2 3 4 2" xfId="51309"/>
    <cellStyle name="Currency 4 2 2 2 3 4 2 2" xfId="51310"/>
    <cellStyle name="Currency 4 2 2 2 3 4 2 3" xfId="51311"/>
    <cellStyle name="Currency 4 2 2 2 3 4 3" xfId="51312"/>
    <cellStyle name="Currency 4 2 2 2 3 4 3 2" xfId="51313"/>
    <cellStyle name="Currency 4 2 2 2 3 4 4" xfId="51314"/>
    <cellStyle name="Currency 4 2 2 2 3 4 5" xfId="51315"/>
    <cellStyle name="Currency 4 2 2 2 3 5" xfId="51316"/>
    <cellStyle name="Currency 4 2 2 2 3 5 2" xfId="51317"/>
    <cellStyle name="Currency 4 2 2 2 3 5 3" xfId="51318"/>
    <cellStyle name="Currency 4 2 2 2 3 6" xfId="51319"/>
    <cellStyle name="Currency 4 2 2 2 3 6 2" xfId="51320"/>
    <cellStyle name="Currency 4 2 2 2 3 6 3" xfId="51321"/>
    <cellStyle name="Currency 4 2 2 2 3 7" xfId="51322"/>
    <cellStyle name="Currency 4 2 2 2 3 7 2" xfId="51323"/>
    <cellStyle name="Currency 4 2 2 2 3 8" xfId="51324"/>
    <cellStyle name="Currency 4 2 2 2 3 9" xfId="51325"/>
    <cellStyle name="Currency 4 2 2 2 4" xfId="51326"/>
    <cellStyle name="Currency 4 2 2 2 4 2" xfId="51327"/>
    <cellStyle name="Currency 4 2 2 2 4 2 2" xfId="51328"/>
    <cellStyle name="Currency 4 2 2 2 4 2 2 2" xfId="51329"/>
    <cellStyle name="Currency 4 2 2 2 4 2 2 3" xfId="51330"/>
    <cellStyle name="Currency 4 2 2 2 4 2 3" xfId="51331"/>
    <cellStyle name="Currency 4 2 2 2 4 2 3 2" xfId="51332"/>
    <cellStyle name="Currency 4 2 2 2 4 2 3 3" xfId="51333"/>
    <cellStyle name="Currency 4 2 2 2 4 2 4" xfId="51334"/>
    <cellStyle name="Currency 4 2 2 2 4 2 4 2" xfId="51335"/>
    <cellStyle name="Currency 4 2 2 2 4 2 5" xfId="51336"/>
    <cellStyle name="Currency 4 2 2 2 4 2 6" xfId="51337"/>
    <cellStyle name="Currency 4 2 2 2 4 3" xfId="51338"/>
    <cellStyle name="Currency 4 2 2 2 4 3 2" xfId="51339"/>
    <cellStyle name="Currency 4 2 2 2 4 3 2 2" xfId="51340"/>
    <cellStyle name="Currency 4 2 2 2 4 3 2 3" xfId="51341"/>
    <cellStyle name="Currency 4 2 2 2 4 3 3" xfId="51342"/>
    <cellStyle name="Currency 4 2 2 2 4 3 3 2" xfId="51343"/>
    <cellStyle name="Currency 4 2 2 2 4 3 3 3" xfId="51344"/>
    <cellStyle name="Currency 4 2 2 2 4 3 4" xfId="51345"/>
    <cellStyle name="Currency 4 2 2 2 4 3 4 2" xfId="51346"/>
    <cellStyle name="Currency 4 2 2 2 4 3 5" xfId="51347"/>
    <cellStyle name="Currency 4 2 2 2 4 3 6" xfId="51348"/>
    <cellStyle name="Currency 4 2 2 2 4 4" xfId="51349"/>
    <cellStyle name="Currency 4 2 2 2 4 4 2" xfId="51350"/>
    <cellStyle name="Currency 4 2 2 2 4 4 2 2" xfId="51351"/>
    <cellStyle name="Currency 4 2 2 2 4 4 2 3" xfId="51352"/>
    <cellStyle name="Currency 4 2 2 2 4 4 3" xfId="51353"/>
    <cellStyle name="Currency 4 2 2 2 4 4 3 2" xfId="51354"/>
    <cellStyle name="Currency 4 2 2 2 4 4 4" xfId="51355"/>
    <cellStyle name="Currency 4 2 2 2 4 4 5" xfId="51356"/>
    <cellStyle name="Currency 4 2 2 2 4 5" xfId="51357"/>
    <cellStyle name="Currency 4 2 2 2 4 5 2" xfId="51358"/>
    <cellStyle name="Currency 4 2 2 2 4 5 3" xfId="51359"/>
    <cellStyle name="Currency 4 2 2 2 4 6" xfId="51360"/>
    <cellStyle name="Currency 4 2 2 2 4 6 2" xfId="51361"/>
    <cellStyle name="Currency 4 2 2 2 4 6 3" xfId="51362"/>
    <cellStyle name="Currency 4 2 2 2 4 7" xfId="51363"/>
    <cellStyle name="Currency 4 2 2 2 4 7 2" xfId="51364"/>
    <cellStyle name="Currency 4 2 2 2 4 8" xfId="51365"/>
    <cellStyle name="Currency 4 2 2 2 4 9" xfId="51366"/>
    <cellStyle name="Currency 4 2 2 2 5" xfId="51367"/>
    <cellStyle name="Currency 4 2 2 2 5 2" xfId="51368"/>
    <cellStyle name="Currency 4 2 2 2 5 2 2" xfId="51369"/>
    <cellStyle name="Currency 4 2 2 2 5 2 3" xfId="51370"/>
    <cellStyle name="Currency 4 2 2 2 5 3" xfId="51371"/>
    <cellStyle name="Currency 4 2 2 2 5 3 2" xfId="51372"/>
    <cellStyle name="Currency 4 2 2 2 5 3 3" xfId="51373"/>
    <cellStyle name="Currency 4 2 2 2 5 4" xfId="51374"/>
    <cellStyle name="Currency 4 2 2 2 5 4 2" xfId="51375"/>
    <cellStyle name="Currency 4 2 2 2 5 5" xfId="51376"/>
    <cellStyle name="Currency 4 2 2 2 5 6" xfId="51377"/>
    <cellStyle name="Currency 4 2 2 2 6" xfId="51378"/>
    <cellStyle name="Currency 4 2 2 2 6 2" xfId="51379"/>
    <cellStyle name="Currency 4 2 2 2 6 2 2" xfId="51380"/>
    <cellStyle name="Currency 4 2 2 2 6 2 3" xfId="51381"/>
    <cellStyle name="Currency 4 2 2 2 6 3" xfId="51382"/>
    <cellStyle name="Currency 4 2 2 2 6 3 2" xfId="51383"/>
    <cellStyle name="Currency 4 2 2 2 6 3 3" xfId="51384"/>
    <cellStyle name="Currency 4 2 2 2 6 4" xfId="51385"/>
    <cellStyle name="Currency 4 2 2 2 6 4 2" xfId="51386"/>
    <cellStyle name="Currency 4 2 2 2 6 5" xfId="51387"/>
    <cellStyle name="Currency 4 2 2 2 6 6" xfId="51388"/>
    <cellStyle name="Currency 4 2 2 2 7" xfId="51389"/>
    <cellStyle name="Currency 4 2 2 2 7 2" xfId="51390"/>
    <cellStyle name="Currency 4 2 2 2 7 2 2" xfId="51391"/>
    <cellStyle name="Currency 4 2 2 2 7 2 3" xfId="51392"/>
    <cellStyle name="Currency 4 2 2 2 7 3" xfId="51393"/>
    <cellStyle name="Currency 4 2 2 2 7 3 2" xfId="51394"/>
    <cellStyle name="Currency 4 2 2 2 7 4" xfId="51395"/>
    <cellStyle name="Currency 4 2 2 2 7 5" xfId="51396"/>
    <cellStyle name="Currency 4 2 2 2 8" xfId="51397"/>
    <cellStyle name="Currency 4 2 2 2 8 2" xfId="51398"/>
    <cellStyle name="Currency 4 2 2 2 8 3" xfId="51399"/>
    <cellStyle name="Currency 4 2 2 2 9" xfId="51400"/>
    <cellStyle name="Currency 4 2 2 2 9 2" xfId="51401"/>
    <cellStyle name="Currency 4 2 2 2 9 3" xfId="51402"/>
    <cellStyle name="Currency 4 2 2 3" xfId="9202"/>
    <cellStyle name="Currency 4 2 2 3 10" xfId="51403"/>
    <cellStyle name="Currency 4 2 2 3 2" xfId="51404"/>
    <cellStyle name="Currency 4 2 2 3 2 2" xfId="51405"/>
    <cellStyle name="Currency 4 2 2 3 2 2 2" xfId="51406"/>
    <cellStyle name="Currency 4 2 2 3 2 2 2 2" xfId="51407"/>
    <cellStyle name="Currency 4 2 2 3 2 2 2 3" xfId="51408"/>
    <cellStyle name="Currency 4 2 2 3 2 2 3" xfId="51409"/>
    <cellStyle name="Currency 4 2 2 3 2 2 3 2" xfId="51410"/>
    <cellStyle name="Currency 4 2 2 3 2 2 3 3" xfId="51411"/>
    <cellStyle name="Currency 4 2 2 3 2 2 4" xfId="51412"/>
    <cellStyle name="Currency 4 2 2 3 2 2 4 2" xfId="51413"/>
    <cellStyle name="Currency 4 2 2 3 2 2 5" xfId="51414"/>
    <cellStyle name="Currency 4 2 2 3 2 2 6" xfId="51415"/>
    <cellStyle name="Currency 4 2 2 3 2 3" xfId="51416"/>
    <cellStyle name="Currency 4 2 2 3 2 3 2" xfId="51417"/>
    <cellStyle name="Currency 4 2 2 3 2 3 2 2" xfId="51418"/>
    <cellStyle name="Currency 4 2 2 3 2 3 2 3" xfId="51419"/>
    <cellStyle name="Currency 4 2 2 3 2 3 3" xfId="51420"/>
    <cellStyle name="Currency 4 2 2 3 2 3 3 2" xfId="51421"/>
    <cellStyle name="Currency 4 2 2 3 2 3 3 3" xfId="51422"/>
    <cellStyle name="Currency 4 2 2 3 2 3 4" xfId="51423"/>
    <cellStyle name="Currency 4 2 2 3 2 3 4 2" xfId="51424"/>
    <cellStyle name="Currency 4 2 2 3 2 3 5" xfId="51425"/>
    <cellStyle name="Currency 4 2 2 3 2 3 6" xfId="51426"/>
    <cellStyle name="Currency 4 2 2 3 2 4" xfId="51427"/>
    <cellStyle name="Currency 4 2 2 3 2 4 2" xfId="51428"/>
    <cellStyle name="Currency 4 2 2 3 2 4 2 2" xfId="51429"/>
    <cellStyle name="Currency 4 2 2 3 2 4 2 3" xfId="51430"/>
    <cellStyle name="Currency 4 2 2 3 2 4 3" xfId="51431"/>
    <cellStyle name="Currency 4 2 2 3 2 4 3 2" xfId="51432"/>
    <cellStyle name="Currency 4 2 2 3 2 4 4" xfId="51433"/>
    <cellStyle name="Currency 4 2 2 3 2 4 5" xfId="51434"/>
    <cellStyle name="Currency 4 2 2 3 2 5" xfId="51435"/>
    <cellStyle name="Currency 4 2 2 3 2 5 2" xfId="51436"/>
    <cellStyle name="Currency 4 2 2 3 2 5 3" xfId="51437"/>
    <cellStyle name="Currency 4 2 2 3 2 6" xfId="51438"/>
    <cellStyle name="Currency 4 2 2 3 2 6 2" xfId="51439"/>
    <cellStyle name="Currency 4 2 2 3 2 6 3" xfId="51440"/>
    <cellStyle name="Currency 4 2 2 3 2 7" xfId="51441"/>
    <cellStyle name="Currency 4 2 2 3 2 7 2" xfId="51442"/>
    <cellStyle name="Currency 4 2 2 3 2 8" xfId="51443"/>
    <cellStyle name="Currency 4 2 2 3 2 9" xfId="51444"/>
    <cellStyle name="Currency 4 2 2 3 3" xfId="51445"/>
    <cellStyle name="Currency 4 2 2 3 3 2" xfId="51446"/>
    <cellStyle name="Currency 4 2 2 3 3 2 2" xfId="51447"/>
    <cellStyle name="Currency 4 2 2 3 3 2 3" xfId="51448"/>
    <cellStyle name="Currency 4 2 2 3 3 3" xfId="51449"/>
    <cellStyle name="Currency 4 2 2 3 3 3 2" xfId="51450"/>
    <cellStyle name="Currency 4 2 2 3 3 3 3" xfId="51451"/>
    <cellStyle name="Currency 4 2 2 3 3 4" xfId="51452"/>
    <cellStyle name="Currency 4 2 2 3 3 4 2" xfId="51453"/>
    <cellStyle name="Currency 4 2 2 3 3 5" xfId="51454"/>
    <cellStyle name="Currency 4 2 2 3 3 6" xfId="51455"/>
    <cellStyle name="Currency 4 2 2 3 4" xfId="51456"/>
    <cellStyle name="Currency 4 2 2 3 4 2" xfId="51457"/>
    <cellStyle name="Currency 4 2 2 3 4 2 2" xfId="51458"/>
    <cellStyle name="Currency 4 2 2 3 4 2 3" xfId="51459"/>
    <cellStyle name="Currency 4 2 2 3 4 3" xfId="51460"/>
    <cellStyle name="Currency 4 2 2 3 4 3 2" xfId="51461"/>
    <cellStyle name="Currency 4 2 2 3 4 3 3" xfId="51462"/>
    <cellStyle name="Currency 4 2 2 3 4 4" xfId="51463"/>
    <cellStyle name="Currency 4 2 2 3 4 4 2" xfId="51464"/>
    <cellStyle name="Currency 4 2 2 3 4 5" xfId="51465"/>
    <cellStyle name="Currency 4 2 2 3 4 6" xfId="51466"/>
    <cellStyle name="Currency 4 2 2 3 5" xfId="51467"/>
    <cellStyle name="Currency 4 2 2 3 5 2" xfId="51468"/>
    <cellStyle name="Currency 4 2 2 3 5 2 2" xfId="51469"/>
    <cellStyle name="Currency 4 2 2 3 5 2 3" xfId="51470"/>
    <cellStyle name="Currency 4 2 2 3 5 3" xfId="51471"/>
    <cellStyle name="Currency 4 2 2 3 5 3 2" xfId="51472"/>
    <cellStyle name="Currency 4 2 2 3 5 4" xfId="51473"/>
    <cellStyle name="Currency 4 2 2 3 5 5" xfId="51474"/>
    <cellStyle name="Currency 4 2 2 3 6" xfId="51475"/>
    <cellStyle name="Currency 4 2 2 3 6 2" xfId="51476"/>
    <cellStyle name="Currency 4 2 2 3 6 3" xfId="51477"/>
    <cellStyle name="Currency 4 2 2 3 7" xfId="51478"/>
    <cellStyle name="Currency 4 2 2 3 7 2" xfId="51479"/>
    <cellStyle name="Currency 4 2 2 3 7 3" xfId="51480"/>
    <cellStyle name="Currency 4 2 2 3 8" xfId="51481"/>
    <cellStyle name="Currency 4 2 2 3 8 2" xfId="51482"/>
    <cellStyle name="Currency 4 2 2 3 9" xfId="51483"/>
    <cellStyle name="Currency 4 2 2 4" xfId="51484"/>
    <cellStyle name="Currency 4 2 2 4 2" xfId="51485"/>
    <cellStyle name="Currency 4 2 2 4 2 2" xfId="51486"/>
    <cellStyle name="Currency 4 2 2 4 2 2 2" xfId="51487"/>
    <cellStyle name="Currency 4 2 2 4 2 2 3" xfId="51488"/>
    <cellStyle name="Currency 4 2 2 4 2 3" xfId="51489"/>
    <cellStyle name="Currency 4 2 2 4 2 3 2" xfId="51490"/>
    <cellStyle name="Currency 4 2 2 4 2 3 3" xfId="51491"/>
    <cellStyle name="Currency 4 2 2 4 2 4" xfId="51492"/>
    <cellStyle name="Currency 4 2 2 4 2 4 2" xfId="51493"/>
    <cellStyle name="Currency 4 2 2 4 2 5" xfId="51494"/>
    <cellStyle name="Currency 4 2 2 4 2 6" xfId="51495"/>
    <cellStyle name="Currency 4 2 2 4 3" xfId="51496"/>
    <cellStyle name="Currency 4 2 2 4 3 2" xfId="51497"/>
    <cellStyle name="Currency 4 2 2 4 3 2 2" xfId="51498"/>
    <cellStyle name="Currency 4 2 2 4 3 2 3" xfId="51499"/>
    <cellStyle name="Currency 4 2 2 4 3 3" xfId="51500"/>
    <cellStyle name="Currency 4 2 2 4 3 3 2" xfId="51501"/>
    <cellStyle name="Currency 4 2 2 4 3 3 3" xfId="51502"/>
    <cellStyle name="Currency 4 2 2 4 3 4" xfId="51503"/>
    <cellStyle name="Currency 4 2 2 4 3 4 2" xfId="51504"/>
    <cellStyle name="Currency 4 2 2 4 3 5" xfId="51505"/>
    <cellStyle name="Currency 4 2 2 4 3 6" xfId="51506"/>
    <cellStyle name="Currency 4 2 2 4 4" xfId="51507"/>
    <cellStyle name="Currency 4 2 2 4 4 2" xfId="51508"/>
    <cellStyle name="Currency 4 2 2 4 4 2 2" xfId="51509"/>
    <cellStyle name="Currency 4 2 2 4 4 2 3" xfId="51510"/>
    <cellStyle name="Currency 4 2 2 4 4 3" xfId="51511"/>
    <cellStyle name="Currency 4 2 2 4 4 3 2" xfId="51512"/>
    <cellStyle name="Currency 4 2 2 4 4 4" xfId="51513"/>
    <cellStyle name="Currency 4 2 2 4 4 5" xfId="51514"/>
    <cellStyle name="Currency 4 2 2 4 5" xfId="51515"/>
    <cellStyle name="Currency 4 2 2 4 5 2" xfId="51516"/>
    <cellStyle name="Currency 4 2 2 4 5 3" xfId="51517"/>
    <cellStyle name="Currency 4 2 2 4 6" xfId="51518"/>
    <cellStyle name="Currency 4 2 2 4 6 2" xfId="51519"/>
    <cellStyle name="Currency 4 2 2 4 6 3" xfId="51520"/>
    <cellStyle name="Currency 4 2 2 4 7" xfId="51521"/>
    <cellStyle name="Currency 4 2 2 4 7 2" xfId="51522"/>
    <cellStyle name="Currency 4 2 2 4 8" xfId="51523"/>
    <cellStyle name="Currency 4 2 2 4 9" xfId="51524"/>
    <cellStyle name="Currency 4 2 2 5" xfId="51525"/>
    <cellStyle name="Currency 4 2 2 5 2" xfId="51526"/>
    <cellStyle name="Currency 4 2 2 5 2 2" xfId="51527"/>
    <cellStyle name="Currency 4 2 2 5 2 2 2" xfId="51528"/>
    <cellStyle name="Currency 4 2 2 5 2 2 3" xfId="51529"/>
    <cellStyle name="Currency 4 2 2 5 2 3" xfId="51530"/>
    <cellStyle name="Currency 4 2 2 5 2 3 2" xfId="51531"/>
    <cellStyle name="Currency 4 2 2 5 2 3 3" xfId="51532"/>
    <cellStyle name="Currency 4 2 2 5 2 4" xfId="51533"/>
    <cellStyle name="Currency 4 2 2 5 2 4 2" xfId="51534"/>
    <cellStyle name="Currency 4 2 2 5 2 5" xfId="51535"/>
    <cellStyle name="Currency 4 2 2 5 2 6" xfId="51536"/>
    <cellStyle name="Currency 4 2 2 5 3" xfId="51537"/>
    <cellStyle name="Currency 4 2 2 5 3 2" xfId="51538"/>
    <cellStyle name="Currency 4 2 2 5 3 2 2" xfId="51539"/>
    <cellStyle name="Currency 4 2 2 5 3 2 3" xfId="51540"/>
    <cellStyle name="Currency 4 2 2 5 3 3" xfId="51541"/>
    <cellStyle name="Currency 4 2 2 5 3 3 2" xfId="51542"/>
    <cellStyle name="Currency 4 2 2 5 3 3 3" xfId="51543"/>
    <cellStyle name="Currency 4 2 2 5 3 4" xfId="51544"/>
    <cellStyle name="Currency 4 2 2 5 3 4 2" xfId="51545"/>
    <cellStyle name="Currency 4 2 2 5 3 5" xfId="51546"/>
    <cellStyle name="Currency 4 2 2 5 3 6" xfId="51547"/>
    <cellStyle name="Currency 4 2 2 5 4" xfId="51548"/>
    <cellStyle name="Currency 4 2 2 5 4 2" xfId="51549"/>
    <cellStyle name="Currency 4 2 2 5 4 2 2" xfId="51550"/>
    <cellStyle name="Currency 4 2 2 5 4 2 3" xfId="51551"/>
    <cellStyle name="Currency 4 2 2 5 4 3" xfId="51552"/>
    <cellStyle name="Currency 4 2 2 5 4 3 2" xfId="51553"/>
    <cellStyle name="Currency 4 2 2 5 4 4" xfId="51554"/>
    <cellStyle name="Currency 4 2 2 5 4 5" xfId="51555"/>
    <cellStyle name="Currency 4 2 2 5 5" xfId="51556"/>
    <cellStyle name="Currency 4 2 2 5 5 2" xfId="51557"/>
    <cellStyle name="Currency 4 2 2 5 5 3" xfId="51558"/>
    <cellStyle name="Currency 4 2 2 5 6" xfId="51559"/>
    <cellStyle name="Currency 4 2 2 5 6 2" xfId="51560"/>
    <cellStyle name="Currency 4 2 2 5 6 3" xfId="51561"/>
    <cellStyle name="Currency 4 2 2 5 7" xfId="51562"/>
    <cellStyle name="Currency 4 2 2 5 7 2" xfId="51563"/>
    <cellStyle name="Currency 4 2 2 5 8" xfId="51564"/>
    <cellStyle name="Currency 4 2 2 5 9" xfId="51565"/>
    <cellStyle name="Currency 4 2 2 6" xfId="51566"/>
    <cellStyle name="Currency 4 2 2 6 2" xfId="51567"/>
    <cellStyle name="Currency 4 2 2 6 2 2" xfId="51568"/>
    <cellStyle name="Currency 4 2 2 6 2 3" xfId="51569"/>
    <cellStyle name="Currency 4 2 2 6 3" xfId="51570"/>
    <cellStyle name="Currency 4 2 2 6 3 2" xfId="51571"/>
    <cellStyle name="Currency 4 2 2 6 3 3" xfId="51572"/>
    <cellStyle name="Currency 4 2 2 6 4" xfId="51573"/>
    <cellStyle name="Currency 4 2 2 6 4 2" xfId="51574"/>
    <cellStyle name="Currency 4 2 2 6 5" xfId="51575"/>
    <cellStyle name="Currency 4 2 2 6 6" xfId="51576"/>
    <cellStyle name="Currency 4 2 2 7" xfId="51577"/>
    <cellStyle name="Currency 4 2 2 7 2" xfId="51578"/>
    <cellStyle name="Currency 4 2 2 7 2 2" xfId="51579"/>
    <cellStyle name="Currency 4 2 2 7 2 3" xfId="51580"/>
    <cellStyle name="Currency 4 2 2 7 3" xfId="51581"/>
    <cellStyle name="Currency 4 2 2 7 3 2" xfId="51582"/>
    <cellStyle name="Currency 4 2 2 7 3 3" xfId="51583"/>
    <cellStyle name="Currency 4 2 2 7 4" xfId="51584"/>
    <cellStyle name="Currency 4 2 2 7 4 2" xfId="51585"/>
    <cellStyle name="Currency 4 2 2 7 5" xfId="51586"/>
    <cellStyle name="Currency 4 2 2 7 6" xfId="51587"/>
    <cellStyle name="Currency 4 2 2 8" xfId="51588"/>
    <cellStyle name="Currency 4 2 2 8 2" xfId="51589"/>
    <cellStyle name="Currency 4 2 2 8 2 2" xfId="51590"/>
    <cellStyle name="Currency 4 2 2 8 2 3" xfId="51591"/>
    <cellStyle name="Currency 4 2 2 8 3" xfId="51592"/>
    <cellStyle name="Currency 4 2 2 8 3 2" xfId="51593"/>
    <cellStyle name="Currency 4 2 2 8 4" xfId="51594"/>
    <cellStyle name="Currency 4 2 2 8 5" xfId="51595"/>
    <cellStyle name="Currency 4 2 2 9" xfId="51596"/>
    <cellStyle name="Currency 4 2 2 9 2" xfId="51597"/>
    <cellStyle name="Currency 4 2 2 9 3" xfId="51598"/>
    <cellStyle name="Currency 4 2 3" xfId="3901"/>
    <cellStyle name="Currency 4 2 3 10" xfId="51599"/>
    <cellStyle name="Currency 4 2 3 10 2" xfId="51600"/>
    <cellStyle name="Currency 4 2 3 11" xfId="51601"/>
    <cellStyle name="Currency 4 2 3 12" xfId="51602"/>
    <cellStyle name="Currency 4 2 3 2" xfId="9203"/>
    <cellStyle name="Currency 4 2 3 2 10" xfId="51603"/>
    <cellStyle name="Currency 4 2 3 2 2" xfId="51604"/>
    <cellStyle name="Currency 4 2 3 2 2 2" xfId="51605"/>
    <cellStyle name="Currency 4 2 3 2 2 2 2" xfId="51606"/>
    <cellStyle name="Currency 4 2 3 2 2 2 2 2" xfId="51607"/>
    <cellStyle name="Currency 4 2 3 2 2 2 2 3" xfId="51608"/>
    <cellStyle name="Currency 4 2 3 2 2 2 3" xfId="51609"/>
    <cellStyle name="Currency 4 2 3 2 2 2 3 2" xfId="51610"/>
    <cellStyle name="Currency 4 2 3 2 2 2 3 3" xfId="51611"/>
    <cellStyle name="Currency 4 2 3 2 2 2 4" xfId="51612"/>
    <cellStyle name="Currency 4 2 3 2 2 2 4 2" xfId="51613"/>
    <cellStyle name="Currency 4 2 3 2 2 2 5" xfId="51614"/>
    <cellStyle name="Currency 4 2 3 2 2 2 6" xfId="51615"/>
    <cellStyle name="Currency 4 2 3 2 2 3" xfId="51616"/>
    <cellStyle name="Currency 4 2 3 2 2 3 2" xfId="51617"/>
    <cellStyle name="Currency 4 2 3 2 2 3 2 2" xfId="51618"/>
    <cellStyle name="Currency 4 2 3 2 2 3 2 3" xfId="51619"/>
    <cellStyle name="Currency 4 2 3 2 2 3 3" xfId="51620"/>
    <cellStyle name="Currency 4 2 3 2 2 3 3 2" xfId="51621"/>
    <cellStyle name="Currency 4 2 3 2 2 3 3 3" xfId="51622"/>
    <cellStyle name="Currency 4 2 3 2 2 3 4" xfId="51623"/>
    <cellStyle name="Currency 4 2 3 2 2 3 4 2" xfId="51624"/>
    <cellStyle name="Currency 4 2 3 2 2 3 5" xfId="51625"/>
    <cellStyle name="Currency 4 2 3 2 2 3 6" xfId="51626"/>
    <cellStyle name="Currency 4 2 3 2 2 4" xfId="51627"/>
    <cellStyle name="Currency 4 2 3 2 2 4 2" xfId="51628"/>
    <cellStyle name="Currency 4 2 3 2 2 4 2 2" xfId="51629"/>
    <cellStyle name="Currency 4 2 3 2 2 4 2 3" xfId="51630"/>
    <cellStyle name="Currency 4 2 3 2 2 4 3" xfId="51631"/>
    <cellStyle name="Currency 4 2 3 2 2 4 3 2" xfId="51632"/>
    <cellStyle name="Currency 4 2 3 2 2 4 4" xfId="51633"/>
    <cellStyle name="Currency 4 2 3 2 2 4 5" xfId="51634"/>
    <cellStyle name="Currency 4 2 3 2 2 5" xfId="51635"/>
    <cellStyle name="Currency 4 2 3 2 2 5 2" xfId="51636"/>
    <cellStyle name="Currency 4 2 3 2 2 5 3" xfId="51637"/>
    <cellStyle name="Currency 4 2 3 2 2 6" xfId="51638"/>
    <cellStyle name="Currency 4 2 3 2 2 6 2" xfId="51639"/>
    <cellStyle name="Currency 4 2 3 2 2 6 3" xfId="51640"/>
    <cellStyle name="Currency 4 2 3 2 2 7" xfId="51641"/>
    <cellStyle name="Currency 4 2 3 2 2 7 2" xfId="51642"/>
    <cellStyle name="Currency 4 2 3 2 2 8" xfId="51643"/>
    <cellStyle name="Currency 4 2 3 2 2 9" xfId="51644"/>
    <cellStyle name="Currency 4 2 3 2 3" xfId="51645"/>
    <cellStyle name="Currency 4 2 3 2 3 2" xfId="51646"/>
    <cellStyle name="Currency 4 2 3 2 3 2 2" xfId="51647"/>
    <cellStyle name="Currency 4 2 3 2 3 2 3" xfId="51648"/>
    <cellStyle name="Currency 4 2 3 2 3 3" xfId="51649"/>
    <cellStyle name="Currency 4 2 3 2 3 3 2" xfId="51650"/>
    <cellStyle name="Currency 4 2 3 2 3 3 3" xfId="51651"/>
    <cellStyle name="Currency 4 2 3 2 3 4" xfId="51652"/>
    <cellStyle name="Currency 4 2 3 2 3 4 2" xfId="51653"/>
    <cellStyle name="Currency 4 2 3 2 3 5" xfId="51654"/>
    <cellStyle name="Currency 4 2 3 2 3 6" xfId="51655"/>
    <cellStyle name="Currency 4 2 3 2 4" xfId="51656"/>
    <cellStyle name="Currency 4 2 3 2 4 2" xfId="51657"/>
    <cellStyle name="Currency 4 2 3 2 4 2 2" xfId="51658"/>
    <cellStyle name="Currency 4 2 3 2 4 2 3" xfId="51659"/>
    <cellStyle name="Currency 4 2 3 2 4 3" xfId="51660"/>
    <cellStyle name="Currency 4 2 3 2 4 3 2" xfId="51661"/>
    <cellStyle name="Currency 4 2 3 2 4 3 3" xfId="51662"/>
    <cellStyle name="Currency 4 2 3 2 4 4" xfId="51663"/>
    <cellStyle name="Currency 4 2 3 2 4 4 2" xfId="51664"/>
    <cellStyle name="Currency 4 2 3 2 4 5" xfId="51665"/>
    <cellStyle name="Currency 4 2 3 2 4 6" xfId="51666"/>
    <cellStyle name="Currency 4 2 3 2 5" xfId="51667"/>
    <cellStyle name="Currency 4 2 3 2 5 2" xfId="51668"/>
    <cellStyle name="Currency 4 2 3 2 5 2 2" xfId="51669"/>
    <cellStyle name="Currency 4 2 3 2 5 2 3" xfId="51670"/>
    <cellStyle name="Currency 4 2 3 2 5 3" xfId="51671"/>
    <cellStyle name="Currency 4 2 3 2 5 3 2" xfId="51672"/>
    <cellStyle name="Currency 4 2 3 2 5 4" xfId="51673"/>
    <cellStyle name="Currency 4 2 3 2 5 5" xfId="51674"/>
    <cellStyle name="Currency 4 2 3 2 6" xfId="51675"/>
    <cellStyle name="Currency 4 2 3 2 6 2" xfId="51676"/>
    <cellStyle name="Currency 4 2 3 2 6 3" xfId="51677"/>
    <cellStyle name="Currency 4 2 3 2 7" xfId="51678"/>
    <cellStyle name="Currency 4 2 3 2 7 2" xfId="51679"/>
    <cellStyle name="Currency 4 2 3 2 7 3" xfId="51680"/>
    <cellStyle name="Currency 4 2 3 2 8" xfId="51681"/>
    <cellStyle name="Currency 4 2 3 2 8 2" xfId="51682"/>
    <cellStyle name="Currency 4 2 3 2 9" xfId="51683"/>
    <cellStyle name="Currency 4 2 3 3" xfId="51684"/>
    <cellStyle name="Currency 4 2 3 3 2" xfId="51685"/>
    <cellStyle name="Currency 4 2 3 3 2 2" xfId="51686"/>
    <cellStyle name="Currency 4 2 3 3 2 2 2" xfId="51687"/>
    <cellStyle name="Currency 4 2 3 3 2 2 3" xfId="51688"/>
    <cellStyle name="Currency 4 2 3 3 2 3" xfId="51689"/>
    <cellStyle name="Currency 4 2 3 3 2 3 2" xfId="51690"/>
    <cellStyle name="Currency 4 2 3 3 2 3 3" xfId="51691"/>
    <cellStyle name="Currency 4 2 3 3 2 4" xfId="51692"/>
    <cellStyle name="Currency 4 2 3 3 2 4 2" xfId="51693"/>
    <cellStyle name="Currency 4 2 3 3 2 5" xfId="51694"/>
    <cellStyle name="Currency 4 2 3 3 2 6" xfId="51695"/>
    <cellStyle name="Currency 4 2 3 3 3" xfId="51696"/>
    <cellStyle name="Currency 4 2 3 3 3 2" xfId="51697"/>
    <cellStyle name="Currency 4 2 3 3 3 2 2" xfId="51698"/>
    <cellStyle name="Currency 4 2 3 3 3 2 3" xfId="51699"/>
    <cellStyle name="Currency 4 2 3 3 3 3" xfId="51700"/>
    <cellStyle name="Currency 4 2 3 3 3 3 2" xfId="51701"/>
    <cellStyle name="Currency 4 2 3 3 3 3 3" xfId="51702"/>
    <cellStyle name="Currency 4 2 3 3 3 4" xfId="51703"/>
    <cellStyle name="Currency 4 2 3 3 3 4 2" xfId="51704"/>
    <cellStyle name="Currency 4 2 3 3 3 5" xfId="51705"/>
    <cellStyle name="Currency 4 2 3 3 3 6" xfId="51706"/>
    <cellStyle name="Currency 4 2 3 3 4" xfId="51707"/>
    <cellStyle name="Currency 4 2 3 3 4 2" xfId="51708"/>
    <cellStyle name="Currency 4 2 3 3 4 2 2" xfId="51709"/>
    <cellStyle name="Currency 4 2 3 3 4 2 3" xfId="51710"/>
    <cellStyle name="Currency 4 2 3 3 4 3" xfId="51711"/>
    <cellStyle name="Currency 4 2 3 3 4 3 2" xfId="51712"/>
    <cellStyle name="Currency 4 2 3 3 4 4" xfId="51713"/>
    <cellStyle name="Currency 4 2 3 3 4 5" xfId="51714"/>
    <cellStyle name="Currency 4 2 3 3 5" xfId="51715"/>
    <cellStyle name="Currency 4 2 3 3 5 2" xfId="51716"/>
    <cellStyle name="Currency 4 2 3 3 5 3" xfId="51717"/>
    <cellStyle name="Currency 4 2 3 3 6" xfId="51718"/>
    <cellStyle name="Currency 4 2 3 3 6 2" xfId="51719"/>
    <cellStyle name="Currency 4 2 3 3 6 3" xfId="51720"/>
    <cellStyle name="Currency 4 2 3 3 7" xfId="51721"/>
    <cellStyle name="Currency 4 2 3 3 7 2" xfId="51722"/>
    <cellStyle name="Currency 4 2 3 3 8" xfId="51723"/>
    <cellStyle name="Currency 4 2 3 3 9" xfId="51724"/>
    <cellStyle name="Currency 4 2 3 4" xfId="51725"/>
    <cellStyle name="Currency 4 2 3 4 2" xfId="51726"/>
    <cellStyle name="Currency 4 2 3 4 2 2" xfId="51727"/>
    <cellStyle name="Currency 4 2 3 4 2 2 2" xfId="51728"/>
    <cellStyle name="Currency 4 2 3 4 2 2 3" xfId="51729"/>
    <cellStyle name="Currency 4 2 3 4 2 3" xfId="51730"/>
    <cellStyle name="Currency 4 2 3 4 2 3 2" xfId="51731"/>
    <cellStyle name="Currency 4 2 3 4 2 3 3" xfId="51732"/>
    <cellStyle name="Currency 4 2 3 4 2 4" xfId="51733"/>
    <cellStyle name="Currency 4 2 3 4 2 4 2" xfId="51734"/>
    <cellStyle name="Currency 4 2 3 4 2 5" xfId="51735"/>
    <cellStyle name="Currency 4 2 3 4 2 6" xfId="51736"/>
    <cellStyle name="Currency 4 2 3 4 3" xfId="51737"/>
    <cellStyle name="Currency 4 2 3 4 3 2" xfId="51738"/>
    <cellStyle name="Currency 4 2 3 4 3 2 2" xfId="51739"/>
    <cellStyle name="Currency 4 2 3 4 3 2 3" xfId="51740"/>
    <cellStyle name="Currency 4 2 3 4 3 3" xfId="51741"/>
    <cellStyle name="Currency 4 2 3 4 3 3 2" xfId="51742"/>
    <cellStyle name="Currency 4 2 3 4 3 3 3" xfId="51743"/>
    <cellStyle name="Currency 4 2 3 4 3 4" xfId="51744"/>
    <cellStyle name="Currency 4 2 3 4 3 4 2" xfId="51745"/>
    <cellStyle name="Currency 4 2 3 4 3 5" xfId="51746"/>
    <cellStyle name="Currency 4 2 3 4 3 6" xfId="51747"/>
    <cellStyle name="Currency 4 2 3 4 4" xfId="51748"/>
    <cellStyle name="Currency 4 2 3 4 4 2" xfId="51749"/>
    <cellStyle name="Currency 4 2 3 4 4 2 2" xfId="51750"/>
    <cellStyle name="Currency 4 2 3 4 4 2 3" xfId="51751"/>
    <cellStyle name="Currency 4 2 3 4 4 3" xfId="51752"/>
    <cellStyle name="Currency 4 2 3 4 4 3 2" xfId="51753"/>
    <cellStyle name="Currency 4 2 3 4 4 4" xfId="51754"/>
    <cellStyle name="Currency 4 2 3 4 4 5" xfId="51755"/>
    <cellStyle name="Currency 4 2 3 4 5" xfId="51756"/>
    <cellStyle name="Currency 4 2 3 4 5 2" xfId="51757"/>
    <cellStyle name="Currency 4 2 3 4 5 3" xfId="51758"/>
    <cellStyle name="Currency 4 2 3 4 6" xfId="51759"/>
    <cellStyle name="Currency 4 2 3 4 6 2" xfId="51760"/>
    <cellStyle name="Currency 4 2 3 4 6 3" xfId="51761"/>
    <cellStyle name="Currency 4 2 3 4 7" xfId="51762"/>
    <cellStyle name="Currency 4 2 3 4 7 2" xfId="51763"/>
    <cellStyle name="Currency 4 2 3 4 8" xfId="51764"/>
    <cellStyle name="Currency 4 2 3 4 9" xfId="51765"/>
    <cellStyle name="Currency 4 2 3 5" xfId="51766"/>
    <cellStyle name="Currency 4 2 3 5 2" xfId="51767"/>
    <cellStyle name="Currency 4 2 3 5 2 2" xfId="51768"/>
    <cellStyle name="Currency 4 2 3 5 2 3" xfId="51769"/>
    <cellStyle name="Currency 4 2 3 5 3" xfId="51770"/>
    <cellStyle name="Currency 4 2 3 5 3 2" xfId="51771"/>
    <cellStyle name="Currency 4 2 3 5 3 3" xfId="51772"/>
    <cellStyle name="Currency 4 2 3 5 4" xfId="51773"/>
    <cellStyle name="Currency 4 2 3 5 4 2" xfId="51774"/>
    <cellStyle name="Currency 4 2 3 5 5" xfId="51775"/>
    <cellStyle name="Currency 4 2 3 5 6" xfId="51776"/>
    <cellStyle name="Currency 4 2 3 6" xfId="51777"/>
    <cellStyle name="Currency 4 2 3 6 2" xfId="51778"/>
    <cellStyle name="Currency 4 2 3 6 2 2" xfId="51779"/>
    <cellStyle name="Currency 4 2 3 6 2 3" xfId="51780"/>
    <cellStyle name="Currency 4 2 3 6 3" xfId="51781"/>
    <cellStyle name="Currency 4 2 3 6 3 2" xfId="51782"/>
    <cellStyle name="Currency 4 2 3 6 3 3" xfId="51783"/>
    <cellStyle name="Currency 4 2 3 6 4" xfId="51784"/>
    <cellStyle name="Currency 4 2 3 6 4 2" xfId="51785"/>
    <cellStyle name="Currency 4 2 3 6 5" xfId="51786"/>
    <cellStyle name="Currency 4 2 3 6 6" xfId="51787"/>
    <cellStyle name="Currency 4 2 3 7" xfId="51788"/>
    <cellStyle name="Currency 4 2 3 7 2" xfId="51789"/>
    <cellStyle name="Currency 4 2 3 7 2 2" xfId="51790"/>
    <cellStyle name="Currency 4 2 3 7 2 3" xfId="51791"/>
    <cellStyle name="Currency 4 2 3 7 3" xfId="51792"/>
    <cellStyle name="Currency 4 2 3 7 3 2" xfId="51793"/>
    <cellStyle name="Currency 4 2 3 7 4" xfId="51794"/>
    <cellStyle name="Currency 4 2 3 7 5" xfId="51795"/>
    <cellStyle name="Currency 4 2 3 8" xfId="51796"/>
    <cellStyle name="Currency 4 2 3 8 2" xfId="51797"/>
    <cellStyle name="Currency 4 2 3 8 3" xfId="51798"/>
    <cellStyle name="Currency 4 2 3 9" xfId="51799"/>
    <cellStyle name="Currency 4 2 3 9 2" xfId="51800"/>
    <cellStyle name="Currency 4 2 3 9 3" xfId="51801"/>
    <cellStyle name="Currency 4 2 4" xfId="9204"/>
    <cellStyle name="Currency 4 2 4 10" xfId="51802"/>
    <cellStyle name="Currency 4 2 4 2" xfId="51803"/>
    <cellStyle name="Currency 4 2 4 2 2" xfId="51804"/>
    <cellStyle name="Currency 4 2 4 2 2 2" xfId="51805"/>
    <cellStyle name="Currency 4 2 4 2 2 2 2" xfId="51806"/>
    <cellStyle name="Currency 4 2 4 2 2 2 3" xfId="51807"/>
    <cellStyle name="Currency 4 2 4 2 2 3" xfId="51808"/>
    <cellStyle name="Currency 4 2 4 2 2 3 2" xfId="51809"/>
    <cellStyle name="Currency 4 2 4 2 2 3 3" xfId="51810"/>
    <cellStyle name="Currency 4 2 4 2 2 4" xfId="51811"/>
    <cellStyle name="Currency 4 2 4 2 2 4 2" xfId="51812"/>
    <cellStyle name="Currency 4 2 4 2 2 5" xfId="51813"/>
    <cellStyle name="Currency 4 2 4 2 2 6" xfId="51814"/>
    <cellStyle name="Currency 4 2 4 2 3" xfId="51815"/>
    <cellStyle name="Currency 4 2 4 2 3 2" xfId="51816"/>
    <cellStyle name="Currency 4 2 4 2 3 2 2" xfId="51817"/>
    <cellStyle name="Currency 4 2 4 2 3 2 3" xfId="51818"/>
    <cellStyle name="Currency 4 2 4 2 3 3" xfId="51819"/>
    <cellStyle name="Currency 4 2 4 2 3 3 2" xfId="51820"/>
    <cellStyle name="Currency 4 2 4 2 3 3 3" xfId="51821"/>
    <cellStyle name="Currency 4 2 4 2 3 4" xfId="51822"/>
    <cellStyle name="Currency 4 2 4 2 3 4 2" xfId="51823"/>
    <cellStyle name="Currency 4 2 4 2 3 5" xfId="51824"/>
    <cellStyle name="Currency 4 2 4 2 3 6" xfId="51825"/>
    <cellStyle name="Currency 4 2 4 2 4" xfId="51826"/>
    <cellStyle name="Currency 4 2 4 2 4 2" xfId="51827"/>
    <cellStyle name="Currency 4 2 4 2 4 2 2" xfId="51828"/>
    <cellStyle name="Currency 4 2 4 2 4 2 3" xfId="51829"/>
    <cellStyle name="Currency 4 2 4 2 4 3" xfId="51830"/>
    <cellStyle name="Currency 4 2 4 2 4 3 2" xfId="51831"/>
    <cellStyle name="Currency 4 2 4 2 4 4" xfId="51832"/>
    <cellStyle name="Currency 4 2 4 2 4 5" xfId="51833"/>
    <cellStyle name="Currency 4 2 4 2 5" xfId="51834"/>
    <cellStyle name="Currency 4 2 4 2 5 2" xfId="51835"/>
    <cellStyle name="Currency 4 2 4 2 5 3" xfId="51836"/>
    <cellStyle name="Currency 4 2 4 2 6" xfId="51837"/>
    <cellStyle name="Currency 4 2 4 2 6 2" xfId="51838"/>
    <cellStyle name="Currency 4 2 4 2 6 3" xfId="51839"/>
    <cellStyle name="Currency 4 2 4 2 7" xfId="51840"/>
    <cellStyle name="Currency 4 2 4 2 7 2" xfId="51841"/>
    <cellStyle name="Currency 4 2 4 2 8" xfId="51842"/>
    <cellStyle name="Currency 4 2 4 2 9" xfId="51843"/>
    <cellStyle name="Currency 4 2 4 3" xfId="51844"/>
    <cellStyle name="Currency 4 2 4 3 2" xfId="51845"/>
    <cellStyle name="Currency 4 2 4 3 2 2" xfId="51846"/>
    <cellStyle name="Currency 4 2 4 3 2 3" xfId="51847"/>
    <cellStyle name="Currency 4 2 4 3 3" xfId="51848"/>
    <cellStyle name="Currency 4 2 4 3 3 2" xfId="51849"/>
    <cellStyle name="Currency 4 2 4 3 3 3" xfId="51850"/>
    <cellStyle name="Currency 4 2 4 3 4" xfId="51851"/>
    <cellStyle name="Currency 4 2 4 3 4 2" xfId="51852"/>
    <cellStyle name="Currency 4 2 4 3 5" xfId="51853"/>
    <cellStyle name="Currency 4 2 4 3 6" xfId="51854"/>
    <cellStyle name="Currency 4 2 4 4" xfId="51855"/>
    <cellStyle name="Currency 4 2 4 4 2" xfId="51856"/>
    <cellStyle name="Currency 4 2 4 4 2 2" xfId="51857"/>
    <cellStyle name="Currency 4 2 4 4 2 3" xfId="51858"/>
    <cellStyle name="Currency 4 2 4 4 3" xfId="51859"/>
    <cellStyle name="Currency 4 2 4 4 3 2" xfId="51860"/>
    <cellStyle name="Currency 4 2 4 4 3 3" xfId="51861"/>
    <cellStyle name="Currency 4 2 4 4 4" xfId="51862"/>
    <cellStyle name="Currency 4 2 4 4 4 2" xfId="51863"/>
    <cellStyle name="Currency 4 2 4 4 5" xfId="51864"/>
    <cellStyle name="Currency 4 2 4 4 6" xfId="51865"/>
    <cellStyle name="Currency 4 2 4 5" xfId="51866"/>
    <cellStyle name="Currency 4 2 4 5 2" xfId="51867"/>
    <cellStyle name="Currency 4 2 4 5 2 2" xfId="51868"/>
    <cellStyle name="Currency 4 2 4 5 2 3" xfId="51869"/>
    <cellStyle name="Currency 4 2 4 5 3" xfId="51870"/>
    <cellStyle name="Currency 4 2 4 5 3 2" xfId="51871"/>
    <cellStyle name="Currency 4 2 4 5 4" xfId="51872"/>
    <cellStyle name="Currency 4 2 4 5 5" xfId="51873"/>
    <cellStyle name="Currency 4 2 4 6" xfId="51874"/>
    <cellStyle name="Currency 4 2 4 6 2" xfId="51875"/>
    <cellStyle name="Currency 4 2 4 6 3" xfId="51876"/>
    <cellStyle name="Currency 4 2 4 7" xfId="51877"/>
    <cellStyle name="Currency 4 2 4 7 2" xfId="51878"/>
    <cellStyle name="Currency 4 2 4 7 3" xfId="51879"/>
    <cellStyle name="Currency 4 2 4 8" xfId="51880"/>
    <cellStyle name="Currency 4 2 4 8 2" xfId="51881"/>
    <cellStyle name="Currency 4 2 4 9" xfId="51882"/>
    <cellStyle name="Currency 4 2 5" xfId="9526"/>
    <cellStyle name="Currency 4 2 5 2" xfId="51883"/>
    <cellStyle name="Currency 4 2 5 2 2" xfId="51884"/>
    <cellStyle name="Currency 4 2 5 2 2 2" xfId="51885"/>
    <cellStyle name="Currency 4 2 5 2 2 3" xfId="51886"/>
    <cellStyle name="Currency 4 2 5 2 3" xfId="51887"/>
    <cellStyle name="Currency 4 2 5 2 3 2" xfId="51888"/>
    <cellStyle name="Currency 4 2 5 2 3 3" xfId="51889"/>
    <cellStyle name="Currency 4 2 5 2 4" xfId="51890"/>
    <cellStyle name="Currency 4 2 5 2 4 2" xfId="51891"/>
    <cellStyle name="Currency 4 2 5 2 5" xfId="51892"/>
    <cellStyle name="Currency 4 2 5 2 6" xfId="51893"/>
    <cellStyle name="Currency 4 2 5 3" xfId="51894"/>
    <cellStyle name="Currency 4 2 5 3 2" xfId="51895"/>
    <cellStyle name="Currency 4 2 5 3 2 2" xfId="51896"/>
    <cellStyle name="Currency 4 2 5 3 2 3" xfId="51897"/>
    <cellStyle name="Currency 4 2 5 3 3" xfId="51898"/>
    <cellStyle name="Currency 4 2 5 3 3 2" xfId="51899"/>
    <cellStyle name="Currency 4 2 5 3 3 3" xfId="51900"/>
    <cellStyle name="Currency 4 2 5 3 4" xfId="51901"/>
    <cellStyle name="Currency 4 2 5 3 4 2" xfId="51902"/>
    <cellStyle name="Currency 4 2 5 3 5" xfId="51903"/>
    <cellStyle name="Currency 4 2 5 3 6" xfId="51904"/>
    <cellStyle name="Currency 4 2 5 4" xfId="51905"/>
    <cellStyle name="Currency 4 2 5 4 2" xfId="51906"/>
    <cellStyle name="Currency 4 2 5 4 2 2" xfId="51907"/>
    <cellStyle name="Currency 4 2 5 4 2 3" xfId="51908"/>
    <cellStyle name="Currency 4 2 5 4 3" xfId="51909"/>
    <cellStyle name="Currency 4 2 5 4 3 2" xfId="51910"/>
    <cellStyle name="Currency 4 2 5 4 4" xfId="51911"/>
    <cellStyle name="Currency 4 2 5 4 5" xfId="51912"/>
    <cellStyle name="Currency 4 2 5 5" xfId="51913"/>
    <cellStyle name="Currency 4 2 5 5 2" xfId="51914"/>
    <cellStyle name="Currency 4 2 5 5 3" xfId="51915"/>
    <cellStyle name="Currency 4 2 5 6" xfId="51916"/>
    <cellStyle name="Currency 4 2 5 6 2" xfId="51917"/>
    <cellStyle name="Currency 4 2 5 6 3" xfId="51918"/>
    <cellStyle name="Currency 4 2 5 7" xfId="51919"/>
    <cellStyle name="Currency 4 2 5 7 2" xfId="51920"/>
    <cellStyle name="Currency 4 2 5 8" xfId="51921"/>
    <cellStyle name="Currency 4 2 5 9" xfId="51922"/>
    <cellStyle name="Currency 4 2 6" xfId="51923"/>
    <cellStyle name="Currency 4 2 6 2" xfId="51924"/>
    <cellStyle name="Currency 4 2 6 2 2" xfId="51925"/>
    <cellStyle name="Currency 4 2 6 2 2 2" xfId="51926"/>
    <cellStyle name="Currency 4 2 6 2 2 3" xfId="51927"/>
    <cellStyle name="Currency 4 2 6 2 3" xfId="51928"/>
    <cellStyle name="Currency 4 2 6 2 3 2" xfId="51929"/>
    <cellStyle name="Currency 4 2 6 2 3 3" xfId="51930"/>
    <cellStyle name="Currency 4 2 6 2 4" xfId="51931"/>
    <cellStyle name="Currency 4 2 6 2 4 2" xfId="51932"/>
    <cellStyle name="Currency 4 2 6 2 5" xfId="51933"/>
    <cellStyle name="Currency 4 2 6 2 6" xfId="51934"/>
    <cellStyle name="Currency 4 2 6 3" xfId="51935"/>
    <cellStyle name="Currency 4 2 6 3 2" xfId="51936"/>
    <cellStyle name="Currency 4 2 6 3 2 2" xfId="51937"/>
    <cellStyle name="Currency 4 2 6 3 2 3" xfId="51938"/>
    <cellStyle name="Currency 4 2 6 3 3" xfId="51939"/>
    <cellStyle name="Currency 4 2 6 3 3 2" xfId="51940"/>
    <cellStyle name="Currency 4 2 6 3 3 3" xfId="51941"/>
    <cellStyle name="Currency 4 2 6 3 4" xfId="51942"/>
    <cellStyle name="Currency 4 2 6 3 4 2" xfId="51943"/>
    <cellStyle name="Currency 4 2 6 3 5" xfId="51944"/>
    <cellStyle name="Currency 4 2 6 3 6" xfId="51945"/>
    <cellStyle name="Currency 4 2 6 4" xfId="51946"/>
    <cellStyle name="Currency 4 2 6 4 2" xfId="51947"/>
    <cellStyle name="Currency 4 2 6 4 2 2" xfId="51948"/>
    <cellStyle name="Currency 4 2 6 4 2 3" xfId="51949"/>
    <cellStyle name="Currency 4 2 6 4 3" xfId="51950"/>
    <cellStyle name="Currency 4 2 6 4 3 2" xfId="51951"/>
    <cellStyle name="Currency 4 2 6 4 4" xfId="51952"/>
    <cellStyle name="Currency 4 2 6 4 5" xfId="51953"/>
    <cellStyle name="Currency 4 2 6 5" xfId="51954"/>
    <cellStyle name="Currency 4 2 6 5 2" xfId="51955"/>
    <cellStyle name="Currency 4 2 6 5 3" xfId="51956"/>
    <cellStyle name="Currency 4 2 6 6" xfId="51957"/>
    <cellStyle name="Currency 4 2 6 6 2" xfId="51958"/>
    <cellStyle name="Currency 4 2 6 6 3" xfId="51959"/>
    <cellStyle name="Currency 4 2 6 7" xfId="51960"/>
    <cellStyle name="Currency 4 2 6 7 2" xfId="51961"/>
    <cellStyle name="Currency 4 2 6 8" xfId="51962"/>
    <cellStyle name="Currency 4 2 6 9" xfId="51963"/>
    <cellStyle name="Currency 4 2 7" xfId="51964"/>
    <cellStyle name="Currency 4 2 7 2" xfId="51965"/>
    <cellStyle name="Currency 4 2 7 2 2" xfId="51966"/>
    <cellStyle name="Currency 4 2 7 2 3" xfId="51967"/>
    <cellStyle name="Currency 4 2 7 3" xfId="51968"/>
    <cellStyle name="Currency 4 2 7 3 2" xfId="51969"/>
    <cellStyle name="Currency 4 2 7 3 3" xfId="51970"/>
    <cellStyle name="Currency 4 2 7 4" xfId="51971"/>
    <cellStyle name="Currency 4 2 7 4 2" xfId="51972"/>
    <cellStyle name="Currency 4 2 7 5" xfId="51973"/>
    <cellStyle name="Currency 4 2 7 6" xfId="51974"/>
    <cellStyle name="Currency 4 2 8" xfId="51975"/>
    <cellStyle name="Currency 4 2 8 2" xfId="51976"/>
    <cellStyle name="Currency 4 2 8 2 2" xfId="51977"/>
    <cellStyle name="Currency 4 2 8 2 3" xfId="51978"/>
    <cellStyle name="Currency 4 2 8 3" xfId="51979"/>
    <cellStyle name="Currency 4 2 8 3 2" xfId="51980"/>
    <cellStyle name="Currency 4 2 8 3 3" xfId="51981"/>
    <cellStyle name="Currency 4 2 8 4" xfId="51982"/>
    <cellStyle name="Currency 4 2 8 4 2" xfId="51983"/>
    <cellStyle name="Currency 4 2 8 5" xfId="51984"/>
    <cellStyle name="Currency 4 2 8 6" xfId="51985"/>
    <cellStyle name="Currency 4 2 9" xfId="51986"/>
    <cellStyle name="Currency 4 2 9 2" xfId="51987"/>
    <cellStyle name="Currency 4 2 9 2 2" xfId="51988"/>
    <cellStyle name="Currency 4 2 9 2 3" xfId="51989"/>
    <cellStyle name="Currency 4 2 9 3" xfId="51990"/>
    <cellStyle name="Currency 4 2 9 3 2" xfId="51991"/>
    <cellStyle name="Currency 4 2 9 4" xfId="51992"/>
    <cellStyle name="Currency 4 2 9 5" xfId="51993"/>
    <cellStyle name="Currency 4 3" xfId="3902"/>
    <cellStyle name="Currency 4 3 10" xfId="51994"/>
    <cellStyle name="Currency 4 3 10 2" xfId="51995"/>
    <cellStyle name="Currency 4 3 10 3" xfId="51996"/>
    <cellStyle name="Currency 4 3 11" xfId="51997"/>
    <cellStyle name="Currency 4 3 11 2" xfId="51998"/>
    <cellStyle name="Currency 4 3 12" xfId="51999"/>
    <cellStyle name="Currency 4 3 13" xfId="52000"/>
    <cellStyle name="Currency 4 3 14" xfId="52001"/>
    <cellStyle name="Currency 4 3 2" xfId="9205"/>
    <cellStyle name="Currency 4 3 2 10" xfId="52002"/>
    <cellStyle name="Currency 4 3 2 10 2" xfId="52003"/>
    <cellStyle name="Currency 4 3 2 11" xfId="52004"/>
    <cellStyle name="Currency 4 3 2 12" xfId="52005"/>
    <cellStyle name="Currency 4 3 2 2" xfId="52006"/>
    <cellStyle name="Currency 4 3 2 2 10" xfId="52007"/>
    <cellStyle name="Currency 4 3 2 2 2" xfId="52008"/>
    <cellStyle name="Currency 4 3 2 2 2 2" xfId="52009"/>
    <cellStyle name="Currency 4 3 2 2 2 2 2" xfId="52010"/>
    <cellStyle name="Currency 4 3 2 2 2 2 2 2" xfId="52011"/>
    <cellStyle name="Currency 4 3 2 2 2 2 2 3" xfId="52012"/>
    <cellStyle name="Currency 4 3 2 2 2 2 3" xfId="52013"/>
    <cellStyle name="Currency 4 3 2 2 2 2 3 2" xfId="52014"/>
    <cellStyle name="Currency 4 3 2 2 2 2 3 3" xfId="52015"/>
    <cellStyle name="Currency 4 3 2 2 2 2 4" xfId="52016"/>
    <cellStyle name="Currency 4 3 2 2 2 2 4 2" xfId="52017"/>
    <cellStyle name="Currency 4 3 2 2 2 2 5" xfId="52018"/>
    <cellStyle name="Currency 4 3 2 2 2 2 6" xfId="52019"/>
    <cellStyle name="Currency 4 3 2 2 2 3" xfId="52020"/>
    <cellStyle name="Currency 4 3 2 2 2 3 2" xfId="52021"/>
    <cellStyle name="Currency 4 3 2 2 2 3 2 2" xfId="52022"/>
    <cellStyle name="Currency 4 3 2 2 2 3 2 3" xfId="52023"/>
    <cellStyle name="Currency 4 3 2 2 2 3 3" xfId="52024"/>
    <cellStyle name="Currency 4 3 2 2 2 3 3 2" xfId="52025"/>
    <cellStyle name="Currency 4 3 2 2 2 3 3 3" xfId="52026"/>
    <cellStyle name="Currency 4 3 2 2 2 3 4" xfId="52027"/>
    <cellStyle name="Currency 4 3 2 2 2 3 4 2" xfId="52028"/>
    <cellStyle name="Currency 4 3 2 2 2 3 5" xfId="52029"/>
    <cellStyle name="Currency 4 3 2 2 2 3 6" xfId="52030"/>
    <cellStyle name="Currency 4 3 2 2 2 4" xfId="52031"/>
    <cellStyle name="Currency 4 3 2 2 2 4 2" xfId="52032"/>
    <cellStyle name="Currency 4 3 2 2 2 4 2 2" xfId="52033"/>
    <cellStyle name="Currency 4 3 2 2 2 4 2 3" xfId="52034"/>
    <cellStyle name="Currency 4 3 2 2 2 4 3" xfId="52035"/>
    <cellStyle name="Currency 4 3 2 2 2 4 3 2" xfId="52036"/>
    <cellStyle name="Currency 4 3 2 2 2 4 4" xfId="52037"/>
    <cellStyle name="Currency 4 3 2 2 2 4 5" xfId="52038"/>
    <cellStyle name="Currency 4 3 2 2 2 5" xfId="52039"/>
    <cellStyle name="Currency 4 3 2 2 2 5 2" xfId="52040"/>
    <cellStyle name="Currency 4 3 2 2 2 5 3" xfId="52041"/>
    <cellStyle name="Currency 4 3 2 2 2 6" xfId="52042"/>
    <cellStyle name="Currency 4 3 2 2 2 6 2" xfId="52043"/>
    <cellStyle name="Currency 4 3 2 2 2 6 3" xfId="52044"/>
    <cellStyle name="Currency 4 3 2 2 2 7" xfId="52045"/>
    <cellStyle name="Currency 4 3 2 2 2 7 2" xfId="52046"/>
    <cellStyle name="Currency 4 3 2 2 2 8" xfId="52047"/>
    <cellStyle name="Currency 4 3 2 2 2 9" xfId="52048"/>
    <cellStyle name="Currency 4 3 2 2 3" xfId="52049"/>
    <cellStyle name="Currency 4 3 2 2 3 2" xfId="52050"/>
    <cellStyle name="Currency 4 3 2 2 3 2 2" xfId="52051"/>
    <cellStyle name="Currency 4 3 2 2 3 2 3" xfId="52052"/>
    <cellStyle name="Currency 4 3 2 2 3 3" xfId="52053"/>
    <cellStyle name="Currency 4 3 2 2 3 3 2" xfId="52054"/>
    <cellStyle name="Currency 4 3 2 2 3 3 3" xfId="52055"/>
    <cellStyle name="Currency 4 3 2 2 3 4" xfId="52056"/>
    <cellStyle name="Currency 4 3 2 2 3 4 2" xfId="52057"/>
    <cellStyle name="Currency 4 3 2 2 3 5" xfId="52058"/>
    <cellStyle name="Currency 4 3 2 2 3 6" xfId="52059"/>
    <cellStyle name="Currency 4 3 2 2 4" xfId="52060"/>
    <cellStyle name="Currency 4 3 2 2 4 2" xfId="52061"/>
    <cellStyle name="Currency 4 3 2 2 4 2 2" xfId="52062"/>
    <cellStyle name="Currency 4 3 2 2 4 2 3" xfId="52063"/>
    <cellStyle name="Currency 4 3 2 2 4 3" xfId="52064"/>
    <cellStyle name="Currency 4 3 2 2 4 3 2" xfId="52065"/>
    <cellStyle name="Currency 4 3 2 2 4 3 3" xfId="52066"/>
    <cellStyle name="Currency 4 3 2 2 4 4" xfId="52067"/>
    <cellStyle name="Currency 4 3 2 2 4 4 2" xfId="52068"/>
    <cellStyle name="Currency 4 3 2 2 4 5" xfId="52069"/>
    <cellStyle name="Currency 4 3 2 2 4 6" xfId="52070"/>
    <cellStyle name="Currency 4 3 2 2 5" xfId="52071"/>
    <cellStyle name="Currency 4 3 2 2 5 2" xfId="52072"/>
    <cellStyle name="Currency 4 3 2 2 5 2 2" xfId="52073"/>
    <cellStyle name="Currency 4 3 2 2 5 2 3" xfId="52074"/>
    <cellStyle name="Currency 4 3 2 2 5 3" xfId="52075"/>
    <cellStyle name="Currency 4 3 2 2 5 3 2" xfId="52076"/>
    <cellStyle name="Currency 4 3 2 2 5 4" xfId="52077"/>
    <cellStyle name="Currency 4 3 2 2 5 5" xfId="52078"/>
    <cellStyle name="Currency 4 3 2 2 6" xfId="52079"/>
    <cellStyle name="Currency 4 3 2 2 6 2" xfId="52080"/>
    <cellStyle name="Currency 4 3 2 2 6 3" xfId="52081"/>
    <cellStyle name="Currency 4 3 2 2 7" xfId="52082"/>
    <cellStyle name="Currency 4 3 2 2 7 2" xfId="52083"/>
    <cellStyle name="Currency 4 3 2 2 7 3" xfId="52084"/>
    <cellStyle name="Currency 4 3 2 2 8" xfId="52085"/>
    <cellStyle name="Currency 4 3 2 2 8 2" xfId="52086"/>
    <cellStyle name="Currency 4 3 2 2 9" xfId="52087"/>
    <cellStyle name="Currency 4 3 2 3" xfId="52088"/>
    <cellStyle name="Currency 4 3 2 3 2" xfId="52089"/>
    <cellStyle name="Currency 4 3 2 3 2 2" xfId="52090"/>
    <cellStyle name="Currency 4 3 2 3 2 2 2" xfId="52091"/>
    <cellStyle name="Currency 4 3 2 3 2 2 3" xfId="52092"/>
    <cellStyle name="Currency 4 3 2 3 2 3" xfId="52093"/>
    <cellStyle name="Currency 4 3 2 3 2 3 2" xfId="52094"/>
    <cellStyle name="Currency 4 3 2 3 2 3 3" xfId="52095"/>
    <cellStyle name="Currency 4 3 2 3 2 4" xfId="52096"/>
    <cellStyle name="Currency 4 3 2 3 2 4 2" xfId="52097"/>
    <cellStyle name="Currency 4 3 2 3 2 5" xfId="52098"/>
    <cellStyle name="Currency 4 3 2 3 2 6" xfId="52099"/>
    <cellStyle name="Currency 4 3 2 3 3" xfId="52100"/>
    <cellStyle name="Currency 4 3 2 3 3 2" xfId="52101"/>
    <cellStyle name="Currency 4 3 2 3 3 2 2" xfId="52102"/>
    <cellStyle name="Currency 4 3 2 3 3 2 3" xfId="52103"/>
    <cellStyle name="Currency 4 3 2 3 3 3" xfId="52104"/>
    <cellStyle name="Currency 4 3 2 3 3 3 2" xfId="52105"/>
    <cellStyle name="Currency 4 3 2 3 3 3 3" xfId="52106"/>
    <cellStyle name="Currency 4 3 2 3 3 4" xfId="52107"/>
    <cellStyle name="Currency 4 3 2 3 3 4 2" xfId="52108"/>
    <cellStyle name="Currency 4 3 2 3 3 5" xfId="52109"/>
    <cellStyle name="Currency 4 3 2 3 3 6" xfId="52110"/>
    <cellStyle name="Currency 4 3 2 3 4" xfId="52111"/>
    <cellStyle name="Currency 4 3 2 3 4 2" xfId="52112"/>
    <cellStyle name="Currency 4 3 2 3 4 2 2" xfId="52113"/>
    <cellStyle name="Currency 4 3 2 3 4 2 3" xfId="52114"/>
    <cellStyle name="Currency 4 3 2 3 4 3" xfId="52115"/>
    <cellStyle name="Currency 4 3 2 3 4 3 2" xfId="52116"/>
    <cellStyle name="Currency 4 3 2 3 4 4" xfId="52117"/>
    <cellStyle name="Currency 4 3 2 3 4 5" xfId="52118"/>
    <cellStyle name="Currency 4 3 2 3 5" xfId="52119"/>
    <cellStyle name="Currency 4 3 2 3 5 2" xfId="52120"/>
    <cellStyle name="Currency 4 3 2 3 5 3" xfId="52121"/>
    <cellStyle name="Currency 4 3 2 3 6" xfId="52122"/>
    <cellStyle name="Currency 4 3 2 3 6 2" xfId="52123"/>
    <cellStyle name="Currency 4 3 2 3 6 3" xfId="52124"/>
    <cellStyle name="Currency 4 3 2 3 7" xfId="52125"/>
    <cellStyle name="Currency 4 3 2 3 7 2" xfId="52126"/>
    <cellStyle name="Currency 4 3 2 3 8" xfId="52127"/>
    <cellStyle name="Currency 4 3 2 3 9" xfId="52128"/>
    <cellStyle name="Currency 4 3 2 4" xfId="52129"/>
    <cellStyle name="Currency 4 3 2 4 2" xfId="52130"/>
    <cellStyle name="Currency 4 3 2 4 2 2" xfId="52131"/>
    <cellStyle name="Currency 4 3 2 4 2 2 2" xfId="52132"/>
    <cellStyle name="Currency 4 3 2 4 2 2 3" xfId="52133"/>
    <cellStyle name="Currency 4 3 2 4 2 3" xfId="52134"/>
    <cellStyle name="Currency 4 3 2 4 2 3 2" xfId="52135"/>
    <cellStyle name="Currency 4 3 2 4 2 3 3" xfId="52136"/>
    <cellStyle name="Currency 4 3 2 4 2 4" xfId="52137"/>
    <cellStyle name="Currency 4 3 2 4 2 4 2" xfId="52138"/>
    <cellStyle name="Currency 4 3 2 4 2 5" xfId="52139"/>
    <cellStyle name="Currency 4 3 2 4 2 6" xfId="52140"/>
    <cellStyle name="Currency 4 3 2 4 3" xfId="52141"/>
    <cellStyle name="Currency 4 3 2 4 3 2" xfId="52142"/>
    <cellStyle name="Currency 4 3 2 4 3 2 2" xfId="52143"/>
    <cellStyle name="Currency 4 3 2 4 3 2 3" xfId="52144"/>
    <cellStyle name="Currency 4 3 2 4 3 3" xfId="52145"/>
    <cellStyle name="Currency 4 3 2 4 3 3 2" xfId="52146"/>
    <cellStyle name="Currency 4 3 2 4 3 3 3" xfId="52147"/>
    <cellStyle name="Currency 4 3 2 4 3 4" xfId="52148"/>
    <cellStyle name="Currency 4 3 2 4 3 4 2" xfId="52149"/>
    <cellStyle name="Currency 4 3 2 4 3 5" xfId="52150"/>
    <cellStyle name="Currency 4 3 2 4 3 6" xfId="52151"/>
    <cellStyle name="Currency 4 3 2 4 4" xfId="52152"/>
    <cellStyle name="Currency 4 3 2 4 4 2" xfId="52153"/>
    <cellStyle name="Currency 4 3 2 4 4 2 2" xfId="52154"/>
    <cellStyle name="Currency 4 3 2 4 4 2 3" xfId="52155"/>
    <cellStyle name="Currency 4 3 2 4 4 3" xfId="52156"/>
    <cellStyle name="Currency 4 3 2 4 4 3 2" xfId="52157"/>
    <cellStyle name="Currency 4 3 2 4 4 4" xfId="52158"/>
    <cellStyle name="Currency 4 3 2 4 4 5" xfId="52159"/>
    <cellStyle name="Currency 4 3 2 4 5" xfId="52160"/>
    <cellStyle name="Currency 4 3 2 4 5 2" xfId="52161"/>
    <cellStyle name="Currency 4 3 2 4 5 3" xfId="52162"/>
    <cellStyle name="Currency 4 3 2 4 6" xfId="52163"/>
    <cellStyle name="Currency 4 3 2 4 6 2" xfId="52164"/>
    <cellStyle name="Currency 4 3 2 4 6 3" xfId="52165"/>
    <cellStyle name="Currency 4 3 2 4 7" xfId="52166"/>
    <cellStyle name="Currency 4 3 2 4 7 2" xfId="52167"/>
    <cellStyle name="Currency 4 3 2 4 8" xfId="52168"/>
    <cellStyle name="Currency 4 3 2 4 9" xfId="52169"/>
    <cellStyle name="Currency 4 3 2 5" xfId="52170"/>
    <cellStyle name="Currency 4 3 2 5 2" xfId="52171"/>
    <cellStyle name="Currency 4 3 2 5 2 2" xfId="52172"/>
    <cellStyle name="Currency 4 3 2 5 2 3" xfId="52173"/>
    <cellStyle name="Currency 4 3 2 5 3" xfId="52174"/>
    <cellStyle name="Currency 4 3 2 5 3 2" xfId="52175"/>
    <cellStyle name="Currency 4 3 2 5 3 3" xfId="52176"/>
    <cellStyle name="Currency 4 3 2 5 4" xfId="52177"/>
    <cellStyle name="Currency 4 3 2 5 4 2" xfId="52178"/>
    <cellStyle name="Currency 4 3 2 5 5" xfId="52179"/>
    <cellStyle name="Currency 4 3 2 5 6" xfId="52180"/>
    <cellStyle name="Currency 4 3 2 6" xfId="52181"/>
    <cellStyle name="Currency 4 3 2 6 2" xfId="52182"/>
    <cellStyle name="Currency 4 3 2 6 2 2" xfId="52183"/>
    <cellStyle name="Currency 4 3 2 6 2 3" xfId="52184"/>
    <cellStyle name="Currency 4 3 2 6 3" xfId="52185"/>
    <cellStyle name="Currency 4 3 2 6 3 2" xfId="52186"/>
    <cellStyle name="Currency 4 3 2 6 3 3" xfId="52187"/>
    <cellStyle name="Currency 4 3 2 6 4" xfId="52188"/>
    <cellStyle name="Currency 4 3 2 6 4 2" xfId="52189"/>
    <cellStyle name="Currency 4 3 2 6 5" xfId="52190"/>
    <cellStyle name="Currency 4 3 2 6 6" xfId="52191"/>
    <cellStyle name="Currency 4 3 2 7" xfId="52192"/>
    <cellStyle name="Currency 4 3 2 7 2" xfId="52193"/>
    <cellStyle name="Currency 4 3 2 7 2 2" xfId="52194"/>
    <cellStyle name="Currency 4 3 2 7 2 3" xfId="52195"/>
    <cellStyle name="Currency 4 3 2 7 3" xfId="52196"/>
    <cellStyle name="Currency 4 3 2 7 3 2" xfId="52197"/>
    <cellStyle name="Currency 4 3 2 7 4" xfId="52198"/>
    <cellStyle name="Currency 4 3 2 7 5" xfId="52199"/>
    <cellStyle name="Currency 4 3 2 8" xfId="52200"/>
    <cellStyle name="Currency 4 3 2 8 2" xfId="52201"/>
    <cellStyle name="Currency 4 3 2 8 3" xfId="52202"/>
    <cellStyle name="Currency 4 3 2 9" xfId="52203"/>
    <cellStyle name="Currency 4 3 2 9 2" xfId="52204"/>
    <cellStyle name="Currency 4 3 2 9 3" xfId="52205"/>
    <cellStyle name="Currency 4 3 3" xfId="9206"/>
    <cellStyle name="Currency 4 3 3 10" xfId="52206"/>
    <cellStyle name="Currency 4 3 3 2" xfId="52207"/>
    <cellStyle name="Currency 4 3 3 2 2" xfId="52208"/>
    <cellStyle name="Currency 4 3 3 2 2 2" xfId="52209"/>
    <cellStyle name="Currency 4 3 3 2 2 2 2" xfId="52210"/>
    <cellStyle name="Currency 4 3 3 2 2 2 3" xfId="52211"/>
    <cellStyle name="Currency 4 3 3 2 2 3" xfId="52212"/>
    <cellStyle name="Currency 4 3 3 2 2 3 2" xfId="52213"/>
    <cellStyle name="Currency 4 3 3 2 2 3 3" xfId="52214"/>
    <cellStyle name="Currency 4 3 3 2 2 4" xfId="52215"/>
    <cellStyle name="Currency 4 3 3 2 2 4 2" xfId="52216"/>
    <cellStyle name="Currency 4 3 3 2 2 5" xfId="52217"/>
    <cellStyle name="Currency 4 3 3 2 2 6" xfId="52218"/>
    <cellStyle name="Currency 4 3 3 2 3" xfId="52219"/>
    <cellStyle name="Currency 4 3 3 2 3 2" xfId="52220"/>
    <cellStyle name="Currency 4 3 3 2 3 2 2" xfId="52221"/>
    <cellStyle name="Currency 4 3 3 2 3 2 3" xfId="52222"/>
    <cellStyle name="Currency 4 3 3 2 3 3" xfId="52223"/>
    <cellStyle name="Currency 4 3 3 2 3 3 2" xfId="52224"/>
    <cellStyle name="Currency 4 3 3 2 3 3 3" xfId="52225"/>
    <cellStyle name="Currency 4 3 3 2 3 4" xfId="52226"/>
    <cellStyle name="Currency 4 3 3 2 3 4 2" xfId="52227"/>
    <cellStyle name="Currency 4 3 3 2 3 5" xfId="52228"/>
    <cellStyle name="Currency 4 3 3 2 3 6" xfId="52229"/>
    <cellStyle name="Currency 4 3 3 2 4" xfId="52230"/>
    <cellStyle name="Currency 4 3 3 2 4 2" xfId="52231"/>
    <cellStyle name="Currency 4 3 3 2 4 2 2" xfId="52232"/>
    <cellStyle name="Currency 4 3 3 2 4 2 3" xfId="52233"/>
    <cellStyle name="Currency 4 3 3 2 4 3" xfId="52234"/>
    <cellStyle name="Currency 4 3 3 2 4 3 2" xfId="52235"/>
    <cellStyle name="Currency 4 3 3 2 4 4" xfId="52236"/>
    <cellStyle name="Currency 4 3 3 2 4 5" xfId="52237"/>
    <cellStyle name="Currency 4 3 3 2 5" xfId="52238"/>
    <cellStyle name="Currency 4 3 3 2 5 2" xfId="52239"/>
    <cellStyle name="Currency 4 3 3 2 5 3" xfId="52240"/>
    <cellStyle name="Currency 4 3 3 2 6" xfId="52241"/>
    <cellStyle name="Currency 4 3 3 2 6 2" xfId="52242"/>
    <cellStyle name="Currency 4 3 3 2 6 3" xfId="52243"/>
    <cellStyle name="Currency 4 3 3 2 7" xfId="52244"/>
    <cellStyle name="Currency 4 3 3 2 7 2" xfId="52245"/>
    <cellStyle name="Currency 4 3 3 2 8" xfId="52246"/>
    <cellStyle name="Currency 4 3 3 2 9" xfId="52247"/>
    <cellStyle name="Currency 4 3 3 3" xfId="52248"/>
    <cellStyle name="Currency 4 3 3 3 2" xfId="52249"/>
    <cellStyle name="Currency 4 3 3 3 2 2" xfId="52250"/>
    <cellStyle name="Currency 4 3 3 3 2 3" xfId="52251"/>
    <cellStyle name="Currency 4 3 3 3 3" xfId="52252"/>
    <cellStyle name="Currency 4 3 3 3 3 2" xfId="52253"/>
    <cellStyle name="Currency 4 3 3 3 3 3" xfId="52254"/>
    <cellStyle name="Currency 4 3 3 3 4" xfId="52255"/>
    <cellStyle name="Currency 4 3 3 3 4 2" xfId="52256"/>
    <cellStyle name="Currency 4 3 3 3 5" xfId="52257"/>
    <cellStyle name="Currency 4 3 3 3 6" xfId="52258"/>
    <cellStyle name="Currency 4 3 3 4" xfId="52259"/>
    <cellStyle name="Currency 4 3 3 4 2" xfId="52260"/>
    <cellStyle name="Currency 4 3 3 4 2 2" xfId="52261"/>
    <cellStyle name="Currency 4 3 3 4 2 3" xfId="52262"/>
    <cellStyle name="Currency 4 3 3 4 3" xfId="52263"/>
    <cellStyle name="Currency 4 3 3 4 3 2" xfId="52264"/>
    <cellStyle name="Currency 4 3 3 4 3 3" xfId="52265"/>
    <cellStyle name="Currency 4 3 3 4 4" xfId="52266"/>
    <cellStyle name="Currency 4 3 3 4 4 2" xfId="52267"/>
    <cellStyle name="Currency 4 3 3 4 5" xfId="52268"/>
    <cellStyle name="Currency 4 3 3 4 6" xfId="52269"/>
    <cellStyle name="Currency 4 3 3 5" xfId="52270"/>
    <cellStyle name="Currency 4 3 3 5 2" xfId="52271"/>
    <cellStyle name="Currency 4 3 3 5 2 2" xfId="52272"/>
    <cellStyle name="Currency 4 3 3 5 2 3" xfId="52273"/>
    <cellStyle name="Currency 4 3 3 5 3" xfId="52274"/>
    <cellStyle name="Currency 4 3 3 5 3 2" xfId="52275"/>
    <cellStyle name="Currency 4 3 3 5 4" xfId="52276"/>
    <cellStyle name="Currency 4 3 3 5 5" xfId="52277"/>
    <cellStyle name="Currency 4 3 3 6" xfId="52278"/>
    <cellStyle name="Currency 4 3 3 6 2" xfId="52279"/>
    <cellStyle name="Currency 4 3 3 6 3" xfId="52280"/>
    <cellStyle name="Currency 4 3 3 7" xfId="52281"/>
    <cellStyle name="Currency 4 3 3 7 2" xfId="52282"/>
    <cellStyle name="Currency 4 3 3 7 3" xfId="52283"/>
    <cellStyle name="Currency 4 3 3 8" xfId="52284"/>
    <cellStyle name="Currency 4 3 3 8 2" xfId="52285"/>
    <cellStyle name="Currency 4 3 3 9" xfId="52286"/>
    <cellStyle name="Currency 4 3 4" xfId="52287"/>
    <cellStyle name="Currency 4 3 4 2" xfId="52288"/>
    <cellStyle name="Currency 4 3 4 2 2" xfId="52289"/>
    <cellStyle name="Currency 4 3 4 2 2 2" xfId="52290"/>
    <cellStyle name="Currency 4 3 4 2 2 3" xfId="52291"/>
    <cellStyle name="Currency 4 3 4 2 3" xfId="52292"/>
    <cellStyle name="Currency 4 3 4 2 3 2" xfId="52293"/>
    <cellStyle name="Currency 4 3 4 2 3 3" xfId="52294"/>
    <cellStyle name="Currency 4 3 4 2 4" xfId="52295"/>
    <cellStyle name="Currency 4 3 4 2 4 2" xfId="52296"/>
    <cellStyle name="Currency 4 3 4 2 5" xfId="52297"/>
    <cellStyle name="Currency 4 3 4 2 6" xfId="52298"/>
    <cellStyle name="Currency 4 3 4 3" xfId="52299"/>
    <cellStyle name="Currency 4 3 4 3 2" xfId="52300"/>
    <cellStyle name="Currency 4 3 4 3 2 2" xfId="52301"/>
    <cellStyle name="Currency 4 3 4 3 2 3" xfId="52302"/>
    <cellStyle name="Currency 4 3 4 3 3" xfId="52303"/>
    <cellStyle name="Currency 4 3 4 3 3 2" xfId="52304"/>
    <cellStyle name="Currency 4 3 4 3 3 3" xfId="52305"/>
    <cellStyle name="Currency 4 3 4 3 4" xfId="52306"/>
    <cellStyle name="Currency 4 3 4 3 4 2" xfId="52307"/>
    <cellStyle name="Currency 4 3 4 3 5" xfId="52308"/>
    <cellStyle name="Currency 4 3 4 3 6" xfId="52309"/>
    <cellStyle name="Currency 4 3 4 4" xfId="52310"/>
    <cellStyle name="Currency 4 3 4 4 2" xfId="52311"/>
    <cellStyle name="Currency 4 3 4 4 2 2" xfId="52312"/>
    <cellStyle name="Currency 4 3 4 4 2 3" xfId="52313"/>
    <cellStyle name="Currency 4 3 4 4 3" xfId="52314"/>
    <cellStyle name="Currency 4 3 4 4 3 2" xfId="52315"/>
    <cellStyle name="Currency 4 3 4 4 4" xfId="52316"/>
    <cellStyle name="Currency 4 3 4 4 5" xfId="52317"/>
    <cellStyle name="Currency 4 3 4 5" xfId="52318"/>
    <cellStyle name="Currency 4 3 4 5 2" xfId="52319"/>
    <cellStyle name="Currency 4 3 4 5 3" xfId="52320"/>
    <cellStyle name="Currency 4 3 4 6" xfId="52321"/>
    <cellStyle name="Currency 4 3 4 6 2" xfId="52322"/>
    <cellStyle name="Currency 4 3 4 6 3" xfId="52323"/>
    <cellStyle name="Currency 4 3 4 7" xfId="52324"/>
    <cellStyle name="Currency 4 3 4 7 2" xfId="52325"/>
    <cellStyle name="Currency 4 3 4 8" xfId="52326"/>
    <cellStyle name="Currency 4 3 4 9" xfId="52327"/>
    <cellStyle name="Currency 4 3 5" xfId="52328"/>
    <cellStyle name="Currency 4 3 5 2" xfId="52329"/>
    <cellStyle name="Currency 4 3 5 2 2" xfId="52330"/>
    <cellStyle name="Currency 4 3 5 2 2 2" xfId="52331"/>
    <cellStyle name="Currency 4 3 5 2 2 3" xfId="52332"/>
    <cellStyle name="Currency 4 3 5 2 3" xfId="52333"/>
    <cellStyle name="Currency 4 3 5 2 3 2" xfId="52334"/>
    <cellStyle name="Currency 4 3 5 2 3 3" xfId="52335"/>
    <cellStyle name="Currency 4 3 5 2 4" xfId="52336"/>
    <cellStyle name="Currency 4 3 5 2 4 2" xfId="52337"/>
    <cellStyle name="Currency 4 3 5 2 5" xfId="52338"/>
    <cellStyle name="Currency 4 3 5 2 6" xfId="52339"/>
    <cellStyle name="Currency 4 3 5 3" xfId="52340"/>
    <cellStyle name="Currency 4 3 5 3 2" xfId="52341"/>
    <cellStyle name="Currency 4 3 5 3 2 2" xfId="52342"/>
    <cellStyle name="Currency 4 3 5 3 2 3" xfId="52343"/>
    <cellStyle name="Currency 4 3 5 3 3" xfId="52344"/>
    <cellStyle name="Currency 4 3 5 3 3 2" xfId="52345"/>
    <cellStyle name="Currency 4 3 5 3 3 3" xfId="52346"/>
    <cellStyle name="Currency 4 3 5 3 4" xfId="52347"/>
    <cellStyle name="Currency 4 3 5 3 4 2" xfId="52348"/>
    <cellStyle name="Currency 4 3 5 3 5" xfId="52349"/>
    <cellStyle name="Currency 4 3 5 3 6" xfId="52350"/>
    <cellStyle name="Currency 4 3 5 4" xfId="52351"/>
    <cellStyle name="Currency 4 3 5 4 2" xfId="52352"/>
    <cellStyle name="Currency 4 3 5 4 2 2" xfId="52353"/>
    <cellStyle name="Currency 4 3 5 4 2 3" xfId="52354"/>
    <cellStyle name="Currency 4 3 5 4 3" xfId="52355"/>
    <cellStyle name="Currency 4 3 5 4 3 2" xfId="52356"/>
    <cellStyle name="Currency 4 3 5 4 4" xfId="52357"/>
    <cellStyle name="Currency 4 3 5 4 5" xfId="52358"/>
    <cellStyle name="Currency 4 3 5 5" xfId="52359"/>
    <cellStyle name="Currency 4 3 5 5 2" xfId="52360"/>
    <cellStyle name="Currency 4 3 5 5 3" xfId="52361"/>
    <cellStyle name="Currency 4 3 5 6" xfId="52362"/>
    <cellStyle name="Currency 4 3 5 6 2" xfId="52363"/>
    <cellStyle name="Currency 4 3 5 6 3" xfId="52364"/>
    <cellStyle name="Currency 4 3 5 7" xfId="52365"/>
    <cellStyle name="Currency 4 3 5 7 2" xfId="52366"/>
    <cellStyle name="Currency 4 3 5 8" xfId="52367"/>
    <cellStyle name="Currency 4 3 5 9" xfId="52368"/>
    <cellStyle name="Currency 4 3 6" xfId="52369"/>
    <cellStyle name="Currency 4 3 6 2" xfId="52370"/>
    <cellStyle name="Currency 4 3 6 2 2" xfId="52371"/>
    <cellStyle name="Currency 4 3 6 2 3" xfId="52372"/>
    <cellStyle name="Currency 4 3 6 3" xfId="52373"/>
    <cellStyle name="Currency 4 3 6 3 2" xfId="52374"/>
    <cellStyle name="Currency 4 3 6 3 3" xfId="52375"/>
    <cellStyle name="Currency 4 3 6 4" xfId="52376"/>
    <cellStyle name="Currency 4 3 6 4 2" xfId="52377"/>
    <cellStyle name="Currency 4 3 6 5" xfId="52378"/>
    <cellStyle name="Currency 4 3 6 6" xfId="52379"/>
    <cellStyle name="Currency 4 3 7" xfId="52380"/>
    <cellStyle name="Currency 4 3 7 2" xfId="52381"/>
    <cellStyle name="Currency 4 3 7 2 2" xfId="52382"/>
    <cellStyle name="Currency 4 3 7 2 3" xfId="52383"/>
    <cellStyle name="Currency 4 3 7 3" xfId="52384"/>
    <cellStyle name="Currency 4 3 7 3 2" xfId="52385"/>
    <cellStyle name="Currency 4 3 7 3 3" xfId="52386"/>
    <cellStyle name="Currency 4 3 7 4" xfId="52387"/>
    <cellStyle name="Currency 4 3 7 4 2" xfId="52388"/>
    <cellStyle name="Currency 4 3 7 5" xfId="52389"/>
    <cellStyle name="Currency 4 3 7 6" xfId="52390"/>
    <cellStyle name="Currency 4 3 8" xfId="52391"/>
    <cellStyle name="Currency 4 3 8 2" xfId="52392"/>
    <cellStyle name="Currency 4 3 8 2 2" xfId="52393"/>
    <cellStyle name="Currency 4 3 8 2 3" xfId="52394"/>
    <cellStyle name="Currency 4 3 8 3" xfId="52395"/>
    <cellStyle name="Currency 4 3 8 3 2" xfId="52396"/>
    <cellStyle name="Currency 4 3 8 4" xfId="52397"/>
    <cellStyle name="Currency 4 3 8 5" xfId="52398"/>
    <cellStyle name="Currency 4 3 9" xfId="52399"/>
    <cellStyle name="Currency 4 3 9 2" xfId="52400"/>
    <cellStyle name="Currency 4 3 9 3" xfId="52401"/>
    <cellStyle name="Currency 4 4" xfId="3903"/>
    <cellStyle name="Currency 4 4 10" xfId="52402"/>
    <cellStyle name="Currency 4 4 10 2" xfId="52403"/>
    <cellStyle name="Currency 4 4 11" xfId="52404"/>
    <cellStyle name="Currency 4 4 12" xfId="52405"/>
    <cellStyle name="Currency 4 4 2" xfId="9207"/>
    <cellStyle name="Currency 4 4 2 10" xfId="52406"/>
    <cellStyle name="Currency 4 4 2 2" xfId="52407"/>
    <cellStyle name="Currency 4 4 2 2 2" xfId="52408"/>
    <cellStyle name="Currency 4 4 2 2 2 2" xfId="52409"/>
    <cellStyle name="Currency 4 4 2 2 2 2 2" xfId="52410"/>
    <cellStyle name="Currency 4 4 2 2 2 2 3" xfId="52411"/>
    <cellStyle name="Currency 4 4 2 2 2 3" xfId="52412"/>
    <cellStyle name="Currency 4 4 2 2 2 3 2" xfId="52413"/>
    <cellStyle name="Currency 4 4 2 2 2 3 3" xfId="52414"/>
    <cellStyle name="Currency 4 4 2 2 2 4" xfId="52415"/>
    <cellStyle name="Currency 4 4 2 2 2 4 2" xfId="52416"/>
    <cellStyle name="Currency 4 4 2 2 2 5" xfId="52417"/>
    <cellStyle name="Currency 4 4 2 2 2 6" xfId="52418"/>
    <cellStyle name="Currency 4 4 2 2 3" xfId="52419"/>
    <cellStyle name="Currency 4 4 2 2 3 2" xfId="52420"/>
    <cellStyle name="Currency 4 4 2 2 3 2 2" xfId="52421"/>
    <cellStyle name="Currency 4 4 2 2 3 2 3" xfId="52422"/>
    <cellStyle name="Currency 4 4 2 2 3 3" xfId="52423"/>
    <cellStyle name="Currency 4 4 2 2 3 3 2" xfId="52424"/>
    <cellStyle name="Currency 4 4 2 2 3 3 3" xfId="52425"/>
    <cellStyle name="Currency 4 4 2 2 3 4" xfId="52426"/>
    <cellStyle name="Currency 4 4 2 2 3 4 2" xfId="52427"/>
    <cellStyle name="Currency 4 4 2 2 3 5" xfId="52428"/>
    <cellStyle name="Currency 4 4 2 2 3 6" xfId="52429"/>
    <cellStyle name="Currency 4 4 2 2 4" xfId="52430"/>
    <cellStyle name="Currency 4 4 2 2 4 2" xfId="52431"/>
    <cellStyle name="Currency 4 4 2 2 4 2 2" xfId="52432"/>
    <cellStyle name="Currency 4 4 2 2 4 2 3" xfId="52433"/>
    <cellStyle name="Currency 4 4 2 2 4 3" xfId="52434"/>
    <cellStyle name="Currency 4 4 2 2 4 3 2" xfId="52435"/>
    <cellStyle name="Currency 4 4 2 2 4 4" xfId="52436"/>
    <cellStyle name="Currency 4 4 2 2 4 5" xfId="52437"/>
    <cellStyle name="Currency 4 4 2 2 5" xfId="52438"/>
    <cellStyle name="Currency 4 4 2 2 5 2" xfId="52439"/>
    <cellStyle name="Currency 4 4 2 2 5 3" xfId="52440"/>
    <cellStyle name="Currency 4 4 2 2 6" xfId="52441"/>
    <cellStyle name="Currency 4 4 2 2 6 2" xfId="52442"/>
    <cellStyle name="Currency 4 4 2 2 6 3" xfId="52443"/>
    <cellStyle name="Currency 4 4 2 2 7" xfId="52444"/>
    <cellStyle name="Currency 4 4 2 2 7 2" xfId="52445"/>
    <cellStyle name="Currency 4 4 2 2 8" xfId="52446"/>
    <cellStyle name="Currency 4 4 2 2 9" xfId="52447"/>
    <cellStyle name="Currency 4 4 2 3" xfId="52448"/>
    <cellStyle name="Currency 4 4 2 3 2" xfId="52449"/>
    <cellStyle name="Currency 4 4 2 3 2 2" xfId="52450"/>
    <cellStyle name="Currency 4 4 2 3 2 3" xfId="52451"/>
    <cellStyle name="Currency 4 4 2 3 3" xfId="52452"/>
    <cellStyle name="Currency 4 4 2 3 3 2" xfId="52453"/>
    <cellStyle name="Currency 4 4 2 3 3 3" xfId="52454"/>
    <cellStyle name="Currency 4 4 2 3 4" xfId="52455"/>
    <cellStyle name="Currency 4 4 2 3 4 2" xfId="52456"/>
    <cellStyle name="Currency 4 4 2 3 5" xfId="52457"/>
    <cellStyle name="Currency 4 4 2 3 6" xfId="52458"/>
    <cellStyle name="Currency 4 4 2 4" xfId="52459"/>
    <cellStyle name="Currency 4 4 2 4 2" xfId="52460"/>
    <cellStyle name="Currency 4 4 2 4 2 2" xfId="52461"/>
    <cellStyle name="Currency 4 4 2 4 2 3" xfId="52462"/>
    <cellStyle name="Currency 4 4 2 4 3" xfId="52463"/>
    <cellStyle name="Currency 4 4 2 4 3 2" xfId="52464"/>
    <cellStyle name="Currency 4 4 2 4 3 3" xfId="52465"/>
    <cellStyle name="Currency 4 4 2 4 4" xfId="52466"/>
    <cellStyle name="Currency 4 4 2 4 4 2" xfId="52467"/>
    <cellStyle name="Currency 4 4 2 4 5" xfId="52468"/>
    <cellStyle name="Currency 4 4 2 4 6" xfId="52469"/>
    <cellStyle name="Currency 4 4 2 5" xfId="52470"/>
    <cellStyle name="Currency 4 4 2 5 2" xfId="52471"/>
    <cellStyle name="Currency 4 4 2 5 2 2" xfId="52472"/>
    <cellStyle name="Currency 4 4 2 5 2 3" xfId="52473"/>
    <cellStyle name="Currency 4 4 2 5 3" xfId="52474"/>
    <cellStyle name="Currency 4 4 2 5 3 2" xfId="52475"/>
    <cellStyle name="Currency 4 4 2 5 4" xfId="52476"/>
    <cellStyle name="Currency 4 4 2 5 5" xfId="52477"/>
    <cellStyle name="Currency 4 4 2 6" xfId="52478"/>
    <cellStyle name="Currency 4 4 2 6 2" xfId="52479"/>
    <cellStyle name="Currency 4 4 2 6 3" xfId="52480"/>
    <cellStyle name="Currency 4 4 2 7" xfId="52481"/>
    <cellStyle name="Currency 4 4 2 7 2" xfId="52482"/>
    <cellStyle name="Currency 4 4 2 7 3" xfId="52483"/>
    <cellStyle name="Currency 4 4 2 8" xfId="52484"/>
    <cellStyle name="Currency 4 4 2 8 2" xfId="52485"/>
    <cellStyle name="Currency 4 4 2 9" xfId="52486"/>
    <cellStyle name="Currency 4 4 3" xfId="52487"/>
    <cellStyle name="Currency 4 4 3 2" xfId="52488"/>
    <cellStyle name="Currency 4 4 3 2 2" xfId="52489"/>
    <cellStyle name="Currency 4 4 3 2 2 2" xfId="52490"/>
    <cellStyle name="Currency 4 4 3 2 2 3" xfId="52491"/>
    <cellStyle name="Currency 4 4 3 2 3" xfId="52492"/>
    <cellStyle name="Currency 4 4 3 2 3 2" xfId="52493"/>
    <cellStyle name="Currency 4 4 3 2 3 3" xfId="52494"/>
    <cellStyle name="Currency 4 4 3 2 4" xfId="52495"/>
    <cellStyle name="Currency 4 4 3 2 4 2" xfId="52496"/>
    <cellStyle name="Currency 4 4 3 2 5" xfId="52497"/>
    <cellStyle name="Currency 4 4 3 2 6" xfId="52498"/>
    <cellStyle name="Currency 4 4 3 3" xfId="52499"/>
    <cellStyle name="Currency 4 4 3 3 2" xfId="52500"/>
    <cellStyle name="Currency 4 4 3 3 2 2" xfId="52501"/>
    <cellStyle name="Currency 4 4 3 3 2 3" xfId="52502"/>
    <cellStyle name="Currency 4 4 3 3 3" xfId="52503"/>
    <cellStyle name="Currency 4 4 3 3 3 2" xfId="52504"/>
    <cellStyle name="Currency 4 4 3 3 3 3" xfId="52505"/>
    <cellStyle name="Currency 4 4 3 3 4" xfId="52506"/>
    <cellStyle name="Currency 4 4 3 3 4 2" xfId="52507"/>
    <cellStyle name="Currency 4 4 3 3 5" xfId="52508"/>
    <cellStyle name="Currency 4 4 3 3 6" xfId="52509"/>
    <cellStyle name="Currency 4 4 3 4" xfId="52510"/>
    <cellStyle name="Currency 4 4 3 4 2" xfId="52511"/>
    <cellStyle name="Currency 4 4 3 4 2 2" xfId="52512"/>
    <cellStyle name="Currency 4 4 3 4 2 3" xfId="52513"/>
    <cellStyle name="Currency 4 4 3 4 3" xfId="52514"/>
    <cellStyle name="Currency 4 4 3 4 3 2" xfId="52515"/>
    <cellStyle name="Currency 4 4 3 4 4" xfId="52516"/>
    <cellStyle name="Currency 4 4 3 4 5" xfId="52517"/>
    <cellStyle name="Currency 4 4 3 5" xfId="52518"/>
    <cellStyle name="Currency 4 4 3 5 2" xfId="52519"/>
    <cellStyle name="Currency 4 4 3 5 3" xfId="52520"/>
    <cellStyle name="Currency 4 4 3 6" xfId="52521"/>
    <cellStyle name="Currency 4 4 3 6 2" xfId="52522"/>
    <cellStyle name="Currency 4 4 3 6 3" xfId="52523"/>
    <cellStyle name="Currency 4 4 3 7" xfId="52524"/>
    <cellStyle name="Currency 4 4 3 7 2" xfId="52525"/>
    <cellStyle name="Currency 4 4 3 8" xfId="52526"/>
    <cellStyle name="Currency 4 4 3 9" xfId="52527"/>
    <cellStyle name="Currency 4 4 4" xfId="52528"/>
    <cellStyle name="Currency 4 4 4 2" xfId="52529"/>
    <cellStyle name="Currency 4 4 4 2 2" xfId="52530"/>
    <cellStyle name="Currency 4 4 4 2 2 2" xfId="52531"/>
    <cellStyle name="Currency 4 4 4 2 2 3" xfId="52532"/>
    <cellStyle name="Currency 4 4 4 2 3" xfId="52533"/>
    <cellStyle name="Currency 4 4 4 2 3 2" xfId="52534"/>
    <cellStyle name="Currency 4 4 4 2 3 3" xfId="52535"/>
    <cellStyle name="Currency 4 4 4 2 4" xfId="52536"/>
    <cellStyle name="Currency 4 4 4 2 4 2" xfId="52537"/>
    <cellStyle name="Currency 4 4 4 2 5" xfId="52538"/>
    <cellStyle name="Currency 4 4 4 2 6" xfId="52539"/>
    <cellStyle name="Currency 4 4 4 3" xfId="52540"/>
    <cellStyle name="Currency 4 4 4 3 2" xfId="52541"/>
    <cellStyle name="Currency 4 4 4 3 2 2" xfId="52542"/>
    <cellStyle name="Currency 4 4 4 3 2 3" xfId="52543"/>
    <cellStyle name="Currency 4 4 4 3 3" xfId="52544"/>
    <cellStyle name="Currency 4 4 4 3 3 2" xfId="52545"/>
    <cellStyle name="Currency 4 4 4 3 3 3" xfId="52546"/>
    <cellStyle name="Currency 4 4 4 3 4" xfId="52547"/>
    <cellStyle name="Currency 4 4 4 3 4 2" xfId="52548"/>
    <cellStyle name="Currency 4 4 4 3 5" xfId="52549"/>
    <cellStyle name="Currency 4 4 4 3 6" xfId="52550"/>
    <cellStyle name="Currency 4 4 4 4" xfId="52551"/>
    <cellStyle name="Currency 4 4 4 4 2" xfId="52552"/>
    <cellStyle name="Currency 4 4 4 4 2 2" xfId="52553"/>
    <cellStyle name="Currency 4 4 4 4 2 3" xfId="52554"/>
    <cellStyle name="Currency 4 4 4 4 3" xfId="52555"/>
    <cellStyle name="Currency 4 4 4 4 3 2" xfId="52556"/>
    <cellStyle name="Currency 4 4 4 4 4" xfId="52557"/>
    <cellStyle name="Currency 4 4 4 4 5" xfId="52558"/>
    <cellStyle name="Currency 4 4 4 5" xfId="52559"/>
    <cellStyle name="Currency 4 4 4 5 2" xfId="52560"/>
    <cellStyle name="Currency 4 4 4 5 3" xfId="52561"/>
    <cellStyle name="Currency 4 4 4 6" xfId="52562"/>
    <cellStyle name="Currency 4 4 4 6 2" xfId="52563"/>
    <cellStyle name="Currency 4 4 4 6 3" xfId="52564"/>
    <cellStyle name="Currency 4 4 4 7" xfId="52565"/>
    <cellStyle name="Currency 4 4 4 7 2" xfId="52566"/>
    <cellStyle name="Currency 4 4 4 8" xfId="52567"/>
    <cellStyle name="Currency 4 4 4 9" xfId="52568"/>
    <cellStyle name="Currency 4 4 5" xfId="52569"/>
    <cellStyle name="Currency 4 4 5 2" xfId="52570"/>
    <cellStyle name="Currency 4 4 5 2 2" xfId="52571"/>
    <cellStyle name="Currency 4 4 5 2 3" xfId="52572"/>
    <cellStyle name="Currency 4 4 5 3" xfId="52573"/>
    <cellStyle name="Currency 4 4 5 3 2" xfId="52574"/>
    <cellStyle name="Currency 4 4 5 3 3" xfId="52575"/>
    <cellStyle name="Currency 4 4 5 4" xfId="52576"/>
    <cellStyle name="Currency 4 4 5 4 2" xfId="52577"/>
    <cellStyle name="Currency 4 4 5 5" xfId="52578"/>
    <cellStyle name="Currency 4 4 5 6" xfId="52579"/>
    <cellStyle name="Currency 4 4 6" xfId="52580"/>
    <cellStyle name="Currency 4 4 6 2" xfId="52581"/>
    <cellStyle name="Currency 4 4 6 2 2" xfId="52582"/>
    <cellStyle name="Currency 4 4 6 2 3" xfId="52583"/>
    <cellStyle name="Currency 4 4 6 3" xfId="52584"/>
    <cellStyle name="Currency 4 4 6 3 2" xfId="52585"/>
    <cellStyle name="Currency 4 4 6 3 3" xfId="52586"/>
    <cellStyle name="Currency 4 4 6 4" xfId="52587"/>
    <cellStyle name="Currency 4 4 6 4 2" xfId="52588"/>
    <cellStyle name="Currency 4 4 6 5" xfId="52589"/>
    <cellStyle name="Currency 4 4 6 6" xfId="52590"/>
    <cellStyle name="Currency 4 4 7" xfId="52591"/>
    <cellStyle name="Currency 4 4 7 2" xfId="52592"/>
    <cellStyle name="Currency 4 4 7 2 2" xfId="52593"/>
    <cellStyle name="Currency 4 4 7 2 3" xfId="52594"/>
    <cellStyle name="Currency 4 4 7 3" xfId="52595"/>
    <cellStyle name="Currency 4 4 7 3 2" xfId="52596"/>
    <cellStyle name="Currency 4 4 7 4" xfId="52597"/>
    <cellStyle name="Currency 4 4 7 5" xfId="52598"/>
    <cellStyle name="Currency 4 4 8" xfId="52599"/>
    <cellStyle name="Currency 4 4 8 2" xfId="52600"/>
    <cellStyle name="Currency 4 4 8 3" xfId="52601"/>
    <cellStyle name="Currency 4 4 9" xfId="52602"/>
    <cellStyle name="Currency 4 4 9 2" xfId="52603"/>
    <cellStyle name="Currency 4 4 9 3" xfId="52604"/>
    <cellStyle name="Currency 4 5" xfId="3904"/>
    <cellStyle name="Currency 4 5 10" xfId="52605"/>
    <cellStyle name="Currency 4 5 2" xfId="52606"/>
    <cellStyle name="Currency 4 5 2 2" xfId="52607"/>
    <cellStyle name="Currency 4 5 2 2 2" xfId="52608"/>
    <cellStyle name="Currency 4 5 2 2 2 2" xfId="52609"/>
    <cellStyle name="Currency 4 5 2 2 2 3" xfId="52610"/>
    <cellStyle name="Currency 4 5 2 2 3" xfId="52611"/>
    <cellStyle name="Currency 4 5 2 2 3 2" xfId="52612"/>
    <cellStyle name="Currency 4 5 2 2 3 3" xfId="52613"/>
    <cellStyle name="Currency 4 5 2 2 4" xfId="52614"/>
    <cellStyle name="Currency 4 5 2 2 4 2" xfId="52615"/>
    <cellStyle name="Currency 4 5 2 2 5" xfId="52616"/>
    <cellStyle name="Currency 4 5 2 2 6" xfId="52617"/>
    <cellStyle name="Currency 4 5 2 3" xfId="52618"/>
    <cellStyle name="Currency 4 5 2 3 2" xfId="52619"/>
    <cellStyle name="Currency 4 5 2 3 2 2" xfId="52620"/>
    <cellStyle name="Currency 4 5 2 3 2 3" xfId="52621"/>
    <cellStyle name="Currency 4 5 2 3 3" xfId="52622"/>
    <cellStyle name="Currency 4 5 2 3 3 2" xfId="52623"/>
    <cellStyle name="Currency 4 5 2 3 3 3" xfId="52624"/>
    <cellStyle name="Currency 4 5 2 3 4" xfId="52625"/>
    <cellStyle name="Currency 4 5 2 3 4 2" xfId="52626"/>
    <cellStyle name="Currency 4 5 2 3 5" xfId="52627"/>
    <cellStyle name="Currency 4 5 2 3 6" xfId="52628"/>
    <cellStyle name="Currency 4 5 2 4" xfId="52629"/>
    <cellStyle name="Currency 4 5 2 4 2" xfId="52630"/>
    <cellStyle name="Currency 4 5 2 4 2 2" xfId="52631"/>
    <cellStyle name="Currency 4 5 2 4 2 3" xfId="52632"/>
    <cellStyle name="Currency 4 5 2 4 3" xfId="52633"/>
    <cellStyle name="Currency 4 5 2 4 3 2" xfId="52634"/>
    <cellStyle name="Currency 4 5 2 4 4" xfId="52635"/>
    <cellStyle name="Currency 4 5 2 4 5" xfId="52636"/>
    <cellStyle name="Currency 4 5 2 5" xfId="52637"/>
    <cellStyle name="Currency 4 5 2 5 2" xfId="52638"/>
    <cellStyle name="Currency 4 5 2 5 3" xfId="52639"/>
    <cellStyle name="Currency 4 5 2 6" xfId="52640"/>
    <cellStyle name="Currency 4 5 2 6 2" xfId="52641"/>
    <cellStyle name="Currency 4 5 2 6 3" xfId="52642"/>
    <cellStyle name="Currency 4 5 2 7" xfId="52643"/>
    <cellStyle name="Currency 4 5 2 7 2" xfId="52644"/>
    <cellStyle name="Currency 4 5 2 8" xfId="52645"/>
    <cellStyle name="Currency 4 5 2 9" xfId="52646"/>
    <cellStyle name="Currency 4 5 3" xfId="52647"/>
    <cellStyle name="Currency 4 5 3 2" xfId="52648"/>
    <cellStyle name="Currency 4 5 3 2 2" xfId="52649"/>
    <cellStyle name="Currency 4 5 3 2 3" xfId="52650"/>
    <cellStyle name="Currency 4 5 3 3" xfId="52651"/>
    <cellStyle name="Currency 4 5 3 3 2" xfId="52652"/>
    <cellStyle name="Currency 4 5 3 3 3" xfId="52653"/>
    <cellStyle name="Currency 4 5 3 4" xfId="52654"/>
    <cellStyle name="Currency 4 5 3 4 2" xfId="52655"/>
    <cellStyle name="Currency 4 5 3 5" xfId="52656"/>
    <cellStyle name="Currency 4 5 3 6" xfId="52657"/>
    <cellStyle name="Currency 4 5 4" xfId="52658"/>
    <cellStyle name="Currency 4 5 4 2" xfId="52659"/>
    <cellStyle name="Currency 4 5 4 2 2" xfId="52660"/>
    <cellStyle name="Currency 4 5 4 2 3" xfId="52661"/>
    <cellStyle name="Currency 4 5 4 3" xfId="52662"/>
    <cellStyle name="Currency 4 5 4 3 2" xfId="52663"/>
    <cellStyle name="Currency 4 5 4 3 3" xfId="52664"/>
    <cellStyle name="Currency 4 5 4 4" xfId="52665"/>
    <cellStyle name="Currency 4 5 4 4 2" xfId="52666"/>
    <cellStyle name="Currency 4 5 4 5" xfId="52667"/>
    <cellStyle name="Currency 4 5 4 6" xfId="52668"/>
    <cellStyle name="Currency 4 5 5" xfId="52669"/>
    <cellStyle name="Currency 4 5 5 2" xfId="52670"/>
    <cellStyle name="Currency 4 5 5 2 2" xfId="52671"/>
    <cellStyle name="Currency 4 5 5 2 3" xfId="52672"/>
    <cellStyle name="Currency 4 5 5 3" xfId="52673"/>
    <cellStyle name="Currency 4 5 5 3 2" xfId="52674"/>
    <cellStyle name="Currency 4 5 5 4" xfId="52675"/>
    <cellStyle name="Currency 4 5 5 5" xfId="52676"/>
    <cellStyle name="Currency 4 5 6" xfId="52677"/>
    <cellStyle name="Currency 4 5 6 2" xfId="52678"/>
    <cellStyle name="Currency 4 5 6 3" xfId="52679"/>
    <cellStyle name="Currency 4 5 7" xfId="52680"/>
    <cellStyle name="Currency 4 5 7 2" xfId="52681"/>
    <cellStyle name="Currency 4 5 7 3" xfId="52682"/>
    <cellStyle name="Currency 4 5 8" xfId="52683"/>
    <cellStyle name="Currency 4 5 8 2" xfId="52684"/>
    <cellStyle name="Currency 4 5 9" xfId="52685"/>
    <cellStyle name="Currency 4 6" xfId="9208"/>
    <cellStyle name="Currency 4 6 2" xfId="52686"/>
    <cellStyle name="Currency 4 6 2 2" xfId="52687"/>
    <cellStyle name="Currency 4 6 2 2 2" xfId="52688"/>
    <cellStyle name="Currency 4 6 2 2 3" xfId="52689"/>
    <cellStyle name="Currency 4 6 2 3" xfId="52690"/>
    <cellStyle name="Currency 4 6 2 3 2" xfId="52691"/>
    <cellStyle name="Currency 4 6 2 3 3" xfId="52692"/>
    <cellStyle name="Currency 4 6 2 4" xfId="52693"/>
    <cellStyle name="Currency 4 6 2 4 2" xfId="52694"/>
    <cellStyle name="Currency 4 6 2 5" xfId="52695"/>
    <cellStyle name="Currency 4 6 2 6" xfId="52696"/>
    <cellStyle name="Currency 4 6 3" xfId="52697"/>
    <cellStyle name="Currency 4 6 3 2" xfId="52698"/>
    <cellStyle name="Currency 4 6 3 2 2" xfId="52699"/>
    <cellStyle name="Currency 4 6 3 2 3" xfId="52700"/>
    <cellStyle name="Currency 4 6 3 3" xfId="52701"/>
    <cellStyle name="Currency 4 6 3 3 2" xfId="52702"/>
    <cellStyle name="Currency 4 6 3 3 3" xfId="52703"/>
    <cellStyle name="Currency 4 6 3 4" xfId="52704"/>
    <cellStyle name="Currency 4 6 3 4 2" xfId="52705"/>
    <cellStyle name="Currency 4 6 3 5" xfId="52706"/>
    <cellStyle name="Currency 4 6 3 6" xfId="52707"/>
    <cellStyle name="Currency 4 6 4" xfId="52708"/>
    <cellStyle name="Currency 4 6 4 2" xfId="52709"/>
    <cellStyle name="Currency 4 6 4 2 2" xfId="52710"/>
    <cellStyle name="Currency 4 6 4 2 3" xfId="52711"/>
    <cellStyle name="Currency 4 6 4 3" xfId="52712"/>
    <cellStyle name="Currency 4 6 4 3 2" xfId="52713"/>
    <cellStyle name="Currency 4 6 4 4" xfId="52714"/>
    <cellStyle name="Currency 4 6 4 5" xfId="52715"/>
    <cellStyle name="Currency 4 6 5" xfId="52716"/>
    <cellStyle name="Currency 4 6 5 2" xfId="52717"/>
    <cellStyle name="Currency 4 6 5 3" xfId="52718"/>
    <cellStyle name="Currency 4 6 6" xfId="52719"/>
    <cellStyle name="Currency 4 6 6 2" xfId="52720"/>
    <cellStyle name="Currency 4 6 6 3" xfId="52721"/>
    <cellStyle name="Currency 4 6 7" xfId="52722"/>
    <cellStyle name="Currency 4 6 7 2" xfId="52723"/>
    <cellStyle name="Currency 4 6 8" xfId="52724"/>
    <cellStyle name="Currency 4 6 9" xfId="52725"/>
    <cellStyle name="Currency 4 7" xfId="52726"/>
    <cellStyle name="Currency 4 7 2" xfId="52727"/>
    <cellStyle name="Currency 4 7 2 2" xfId="52728"/>
    <cellStyle name="Currency 4 7 2 2 2" xfId="52729"/>
    <cellStyle name="Currency 4 7 2 2 3" xfId="52730"/>
    <cellStyle name="Currency 4 7 2 3" xfId="52731"/>
    <cellStyle name="Currency 4 7 2 3 2" xfId="52732"/>
    <cellStyle name="Currency 4 7 2 3 3" xfId="52733"/>
    <cellStyle name="Currency 4 7 2 4" xfId="52734"/>
    <cellStyle name="Currency 4 7 2 4 2" xfId="52735"/>
    <cellStyle name="Currency 4 7 2 5" xfId="52736"/>
    <cellStyle name="Currency 4 7 2 6" xfId="52737"/>
    <cellStyle name="Currency 4 7 3" xfId="52738"/>
    <cellStyle name="Currency 4 7 3 2" xfId="52739"/>
    <cellStyle name="Currency 4 7 3 2 2" xfId="52740"/>
    <cellStyle name="Currency 4 7 3 2 3" xfId="52741"/>
    <cellStyle name="Currency 4 7 3 3" xfId="52742"/>
    <cellStyle name="Currency 4 7 3 3 2" xfId="52743"/>
    <cellStyle name="Currency 4 7 3 3 3" xfId="52744"/>
    <cellStyle name="Currency 4 7 3 4" xfId="52745"/>
    <cellStyle name="Currency 4 7 3 4 2" xfId="52746"/>
    <cellStyle name="Currency 4 7 3 5" xfId="52747"/>
    <cellStyle name="Currency 4 7 3 6" xfId="52748"/>
    <cellStyle name="Currency 4 7 4" xfId="52749"/>
    <cellStyle name="Currency 4 7 4 2" xfId="52750"/>
    <cellStyle name="Currency 4 7 4 2 2" xfId="52751"/>
    <cellStyle name="Currency 4 7 4 2 3" xfId="52752"/>
    <cellStyle name="Currency 4 7 4 3" xfId="52753"/>
    <cellStyle name="Currency 4 7 4 3 2" xfId="52754"/>
    <cellStyle name="Currency 4 7 4 4" xfId="52755"/>
    <cellStyle name="Currency 4 7 4 5" xfId="52756"/>
    <cellStyle name="Currency 4 7 5" xfId="52757"/>
    <cellStyle name="Currency 4 7 5 2" xfId="52758"/>
    <cellStyle name="Currency 4 7 5 3" xfId="52759"/>
    <cellStyle name="Currency 4 7 6" xfId="52760"/>
    <cellStyle name="Currency 4 7 6 2" xfId="52761"/>
    <cellStyle name="Currency 4 7 6 3" xfId="52762"/>
    <cellStyle name="Currency 4 7 7" xfId="52763"/>
    <cellStyle name="Currency 4 7 7 2" xfId="52764"/>
    <cellStyle name="Currency 4 7 8" xfId="52765"/>
    <cellStyle name="Currency 4 7 9" xfId="52766"/>
    <cellStyle name="Currency 4 8" xfId="52767"/>
    <cellStyle name="Currency 4 8 2" xfId="52768"/>
    <cellStyle name="Currency 4 8 2 2" xfId="52769"/>
    <cellStyle name="Currency 4 8 2 3" xfId="52770"/>
    <cellStyle name="Currency 4 8 3" xfId="52771"/>
    <cellStyle name="Currency 4 8 3 2" xfId="52772"/>
    <cellStyle name="Currency 4 8 3 3" xfId="52773"/>
    <cellStyle name="Currency 4 8 4" xfId="52774"/>
    <cellStyle name="Currency 4 8 4 2" xfId="52775"/>
    <cellStyle name="Currency 4 8 5" xfId="52776"/>
    <cellStyle name="Currency 4 8 6" xfId="52777"/>
    <cellStyle name="Currency 4 9" xfId="52778"/>
    <cellStyle name="Currency 4 9 2" xfId="52779"/>
    <cellStyle name="Currency 4 9 2 2" xfId="52780"/>
    <cellStyle name="Currency 4 9 2 3" xfId="52781"/>
    <cellStyle name="Currency 4 9 3" xfId="52782"/>
    <cellStyle name="Currency 4 9 3 2" xfId="52783"/>
    <cellStyle name="Currency 4 9 3 3" xfId="52784"/>
    <cellStyle name="Currency 4 9 4" xfId="52785"/>
    <cellStyle name="Currency 4 9 4 2" xfId="52786"/>
    <cellStyle name="Currency 4 9 5" xfId="52787"/>
    <cellStyle name="Currency 4 9 6" xfId="52788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4"/>
    <cellStyle name="Currency 5 2 2 4" xfId="59205"/>
    <cellStyle name="Currency 5 2 3" xfId="9210"/>
    <cellStyle name="Currency 5 2 3 2" xfId="59206"/>
    <cellStyle name="Currency 5 2 4" xfId="9211"/>
    <cellStyle name="Currency 5 2 5" xfId="59207"/>
    <cellStyle name="Currency 5 2 6" xfId="59208"/>
    <cellStyle name="Currency 5 2 7" xfId="59209"/>
    <cellStyle name="Currency 5 3" xfId="3917"/>
    <cellStyle name="Currency 5 3 2" xfId="9212"/>
    <cellStyle name="Currency 5 3 3" xfId="9213"/>
    <cellStyle name="Currency 5 3 4" xfId="59210"/>
    <cellStyle name="Currency 5 4" xfId="9214"/>
    <cellStyle name="Currency 5 4 2" xfId="9527"/>
    <cellStyle name="Currency 5 5" xfId="9215"/>
    <cellStyle name="Currency 5 6" xfId="9528"/>
    <cellStyle name="Currency 5 7" xfId="57916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9529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9530"/>
    <cellStyle name="Currency 6 8" xfId="57917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1"/>
    <cellStyle name="Currency 7 4" xfId="9221"/>
    <cellStyle name="Currency 7 4 2" xfId="59242"/>
    <cellStyle name="Currency 7 5" xfId="9222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6"/>
    <cellStyle name="Currency 8 2 4" xfId="9228"/>
    <cellStyle name="Currency 8 2 5" xfId="59247"/>
    <cellStyle name="Currency 8 3" xfId="8791"/>
    <cellStyle name="Currency 8 3 2" xfId="9229"/>
    <cellStyle name="Currency 8 3 3" xfId="59248"/>
    <cellStyle name="Currency 8 4" xfId="9230"/>
    <cellStyle name="Currency 8 5" xfId="9231"/>
    <cellStyle name="Currency 8 6" xfId="59249"/>
    <cellStyle name="Currency 8 7" xfId="59250"/>
    <cellStyle name="Currency 80" xfId="8832"/>
    <cellStyle name="Currency 81" xfId="52789"/>
    <cellStyle name="Currency 82" xfId="52790"/>
    <cellStyle name="Currency 83" xfId="52791"/>
    <cellStyle name="Currency 84" xfId="52792"/>
    <cellStyle name="Currency 85" xfId="52793"/>
    <cellStyle name="Currency 86" xfId="52794"/>
    <cellStyle name="Currency 87" xfId="52795"/>
    <cellStyle name="Currency 88" xfId="52796"/>
    <cellStyle name="Currency 89" xfId="52797"/>
    <cellStyle name="Currency 9" xfId="3955"/>
    <cellStyle name="Currency 9 2" xfId="3956"/>
    <cellStyle name="Currency 9 2 2" xfId="59251"/>
    <cellStyle name="Currency 9 2 3" xfId="59252"/>
    <cellStyle name="Currency 9 3" xfId="9232"/>
    <cellStyle name="Currency 9 3 2" xfId="59253"/>
    <cellStyle name="Currency 9 4" xfId="59254"/>
    <cellStyle name="Currency 9 5" xfId="59255"/>
    <cellStyle name="Currency 9 6" xfId="59256"/>
    <cellStyle name="Currency 90" xfId="52798"/>
    <cellStyle name="Currency 91" xfId="52799"/>
    <cellStyle name="Currency 92" xfId="52800"/>
    <cellStyle name="Currency 93" xfId="52801"/>
    <cellStyle name="Currency 94" xfId="52802"/>
    <cellStyle name="Currency 95" xfId="52803"/>
    <cellStyle name="Currency 96" xfId="52804"/>
    <cellStyle name="Currency 97" xfId="52805"/>
    <cellStyle name="Currency 98" xfId="52806"/>
    <cellStyle name="Currency 99" xfId="52807"/>
    <cellStyle name="Currency0" xfId="3957"/>
    <cellStyle name="Currency0 2" xfId="3958"/>
    <cellStyle name="Currency0 2 2" xfId="52808"/>
    <cellStyle name="Currency0 2 3" xfId="59257"/>
    <cellStyle name="Currency0 3" xfId="3959"/>
    <cellStyle name="Currency0 3 2" xfId="52809"/>
    <cellStyle name="Currency0 3 3" xfId="59258"/>
    <cellStyle name="Currency0 4" xfId="57918"/>
    <cellStyle name="Custom - Style1" xfId="57919"/>
    <cellStyle name="Data   - Style2" xfId="57920"/>
    <cellStyle name="Date" xfId="3960"/>
    <cellStyle name="Date 2" xfId="3961"/>
    <cellStyle name="Date 2 2" xfId="52810"/>
    <cellStyle name="Date 2 3" xfId="59259"/>
    <cellStyle name="Date 3" xfId="3962"/>
    <cellStyle name="Date 3 2" xfId="52811"/>
    <cellStyle name="Date 3 3" xfId="59260"/>
    <cellStyle name="Date 4" xfId="57921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1"/>
    <cellStyle name="Euro 2 3" xfId="57922"/>
    <cellStyle name="Euro 3" xfId="3968"/>
    <cellStyle name="Euro 3 2" xfId="52812"/>
    <cellStyle name="Euro 3 3" xfId="59262"/>
    <cellStyle name="Euro 4" xfId="57923"/>
    <cellStyle name="Explanatory Text 10" xfId="52813"/>
    <cellStyle name="Explanatory Text 11" xfId="52814"/>
    <cellStyle name="Explanatory Text 12" xfId="52815"/>
    <cellStyle name="Explanatory Text 13" xfId="52816"/>
    <cellStyle name="Explanatory Text 14" xfId="52817"/>
    <cellStyle name="Explanatory Text 15" xfId="52818"/>
    <cellStyle name="Explanatory Text 16" xfId="52819"/>
    <cellStyle name="Explanatory Text 17" xfId="52820"/>
    <cellStyle name="Explanatory Text 2" xfId="3969"/>
    <cellStyle name="Explanatory Text 2 2" xfId="3970"/>
    <cellStyle name="Explanatory Text 2 2 2" xfId="59263"/>
    <cellStyle name="Explanatory Text 2 3" xfId="52821"/>
    <cellStyle name="Explanatory Text 2 4" xfId="52822"/>
    <cellStyle name="Explanatory Text 2 5" xfId="52823"/>
    <cellStyle name="Explanatory Text 3" xfId="3971"/>
    <cellStyle name="Explanatory Text 3 2" xfId="9233"/>
    <cellStyle name="Explanatory Text 4" xfId="8822"/>
    <cellStyle name="Explanatory Text 4 2" xfId="52824"/>
    <cellStyle name="Explanatory Text 5" xfId="52825"/>
    <cellStyle name="Explanatory Text 5 2" xfId="52826"/>
    <cellStyle name="Explanatory Text 6" xfId="52827"/>
    <cellStyle name="Explanatory Text 6 2" xfId="52828"/>
    <cellStyle name="Explanatory Text 7" xfId="52829"/>
    <cellStyle name="Explanatory Text 7 2" xfId="52830"/>
    <cellStyle name="Explanatory Text 8" xfId="52831"/>
    <cellStyle name="Explanatory Text 9" xfId="52832"/>
    <cellStyle name="F2" xfId="3972"/>
    <cellStyle name="F2 2" xfId="3973"/>
    <cellStyle name="F2 2 2" xfId="9532"/>
    <cellStyle name="F2 3" xfId="52833"/>
    <cellStyle name="F2 3 2" xfId="52834"/>
    <cellStyle name="F2 4" xfId="52835"/>
    <cellStyle name="F2 5" xfId="52836"/>
    <cellStyle name="F2 6" xfId="52837"/>
    <cellStyle name="F2 7" xfId="52838"/>
    <cellStyle name="F2 8" xfId="52839"/>
    <cellStyle name="F2 9" xfId="52840"/>
    <cellStyle name="F2_Regenerated Revenues LGE Gas 2008-04 with Elec Gen-Seelye final version " xfId="52841"/>
    <cellStyle name="F3" xfId="3974"/>
    <cellStyle name="F3 2" xfId="3975"/>
    <cellStyle name="F3 2 2" xfId="52842"/>
    <cellStyle name="F3 3" xfId="9533"/>
    <cellStyle name="F3 3 2" xfId="52843"/>
    <cellStyle name="F3 4" xfId="52844"/>
    <cellStyle name="F3 5" xfId="52845"/>
    <cellStyle name="F3 6" xfId="52846"/>
    <cellStyle name="F3 7" xfId="52847"/>
    <cellStyle name="F3 8" xfId="52848"/>
    <cellStyle name="F3 9" xfId="52849"/>
    <cellStyle name="F3_Regenerated Revenues LGE Gas 2008-04 with Elec Gen-Seelye final version " xfId="52850"/>
    <cellStyle name="F4" xfId="3976"/>
    <cellStyle name="F4 2" xfId="3977"/>
    <cellStyle name="F4 2 2" xfId="9534"/>
    <cellStyle name="F4 3" xfId="52851"/>
    <cellStyle name="F4 3 2" xfId="52852"/>
    <cellStyle name="F4 4" xfId="52853"/>
    <cellStyle name="F4 5" xfId="52854"/>
    <cellStyle name="F4 6" xfId="52855"/>
    <cellStyle name="F4 7" xfId="52856"/>
    <cellStyle name="F4 8" xfId="52857"/>
    <cellStyle name="F4 9" xfId="52858"/>
    <cellStyle name="F4_Regenerated Revenues LGE Gas 2008-04 with Elec Gen-Seelye final version " xfId="52859"/>
    <cellStyle name="F5" xfId="3978"/>
    <cellStyle name="F5 2" xfId="3979"/>
    <cellStyle name="F5 2 2" xfId="9535"/>
    <cellStyle name="F5 3" xfId="3980"/>
    <cellStyle name="F5 3 2" xfId="52860"/>
    <cellStyle name="F5 4" xfId="52861"/>
    <cellStyle name="F5 5" xfId="52862"/>
    <cellStyle name="F5 6" xfId="52863"/>
    <cellStyle name="F5 7" xfId="52864"/>
    <cellStyle name="F5 8" xfId="52865"/>
    <cellStyle name="F5 9" xfId="52866"/>
    <cellStyle name="F5_Regenerated Revenues LGE Gas 2008-04 with Elec Gen-Seelye final version " xfId="52867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868"/>
    <cellStyle name="F6 4" xfId="52869"/>
    <cellStyle name="F6 5" xfId="52870"/>
    <cellStyle name="F6 6" xfId="52871"/>
    <cellStyle name="F6 7" xfId="52872"/>
    <cellStyle name="F6 8" xfId="52873"/>
    <cellStyle name="F6 9" xfId="52874"/>
    <cellStyle name="F6_Regenerated Revenues LGE Gas 2008-04 with Elec Gen-Seelye final version " xfId="52875"/>
    <cellStyle name="F7" xfId="3985"/>
    <cellStyle name="F7 2" xfId="3986"/>
    <cellStyle name="F7 2 2" xfId="9536"/>
    <cellStyle name="F7 3" xfId="52876"/>
    <cellStyle name="F7 3 2" xfId="52877"/>
    <cellStyle name="F7 4" xfId="52878"/>
    <cellStyle name="F7 5" xfId="52879"/>
    <cellStyle name="F7 6" xfId="52880"/>
    <cellStyle name="F7 7" xfId="52881"/>
    <cellStyle name="F7 8" xfId="52882"/>
    <cellStyle name="F7 9" xfId="52883"/>
    <cellStyle name="F7_Regenerated Revenues LGE Gas 2008-04 with Elec Gen-Seelye final version " xfId="52884"/>
    <cellStyle name="F8" xfId="3987"/>
    <cellStyle name="F8 2" xfId="3988"/>
    <cellStyle name="F8 2 2" xfId="9537"/>
    <cellStyle name="F8 3" xfId="52885"/>
    <cellStyle name="F8 3 2" xfId="52886"/>
    <cellStyle name="F8 4" xfId="52887"/>
    <cellStyle name="F8 5" xfId="52888"/>
    <cellStyle name="F8 6" xfId="52889"/>
    <cellStyle name="F8 7" xfId="52890"/>
    <cellStyle name="F8 8" xfId="52891"/>
    <cellStyle name="F8 9" xfId="52892"/>
    <cellStyle name="F8_Regenerated Revenues LGE Gas 2008-04 with Elec Gen-Seelye final version " xfId="52893"/>
    <cellStyle name="Fixed" xfId="3989"/>
    <cellStyle name="Fixed 2" xfId="3990"/>
    <cellStyle name="Fixed 2 2" xfId="52894"/>
    <cellStyle name="Fixed 2 3" xfId="59268"/>
    <cellStyle name="Fixed 3" xfId="3991"/>
    <cellStyle name="Fixed 3 2" xfId="52895"/>
    <cellStyle name="Fixed 3 3" xfId="59269"/>
    <cellStyle name="Fixed 4" xfId="57924"/>
    <cellStyle name="Good 10" xfId="52896"/>
    <cellStyle name="Good 11" xfId="52897"/>
    <cellStyle name="Good 12" xfId="52898"/>
    <cellStyle name="Good 13" xfId="52899"/>
    <cellStyle name="Good 14" xfId="52900"/>
    <cellStyle name="Good 15" xfId="52901"/>
    <cellStyle name="Good 16" xfId="52902"/>
    <cellStyle name="Good 17" xfId="52903"/>
    <cellStyle name="Good 17 2" xfId="59270"/>
    <cellStyle name="Good 2" xfId="3992"/>
    <cellStyle name="Good 2 2" xfId="3993"/>
    <cellStyle name="Good 2 2 2" xfId="9538"/>
    <cellStyle name="Good 2 3" xfId="52904"/>
    <cellStyle name="Good 2 4" xfId="52905"/>
    <cellStyle name="Good 2 5" xfId="52906"/>
    <cellStyle name="Good 3" xfId="3994"/>
    <cellStyle name="Good 3 2" xfId="9234"/>
    <cellStyle name="Good 4" xfId="8823"/>
    <cellStyle name="Good 4 2" xfId="52907"/>
    <cellStyle name="Good 5" xfId="52908"/>
    <cellStyle name="Good 5 2" xfId="52909"/>
    <cellStyle name="Good 6" xfId="52910"/>
    <cellStyle name="Good 6 2" xfId="52911"/>
    <cellStyle name="Good 7" xfId="52912"/>
    <cellStyle name="Good 7 2" xfId="52913"/>
    <cellStyle name="Good 8" xfId="52914"/>
    <cellStyle name="Good 9" xfId="52915"/>
    <cellStyle name="Heading 1 10" xfId="52916"/>
    <cellStyle name="Heading 1 11" xfId="52917"/>
    <cellStyle name="Heading 1 12" xfId="52918"/>
    <cellStyle name="Heading 1 13" xfId="52919"/>
    <cellStyle name="Heading 1 14" xfId="52920"/>
    <cellStyle name="Heading 1 15" xfId="52921"/>
    <cellStyle name="Heading 1 16" xfId="52922"/>
    <cellStyle name="Heading 1 17" xfId="52923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9539"/>
    <cellStyle name="Heading 1 2 3" xfId="52924"/>
    <cellStyle name="Heading 1 2 4" xfId="52925"/>
    <cellStyle name="Heading 1 2 5" xfId="52926"/>
    <cellStyle name="Heading 1 3" xfId="3997"/>
    <cellStyle name="Heading 1 3 2" xfId="3998"/>
    <cellStyle name="Heading 1 3 2 2" xfId="57925"/>
    <cellStyle name="Heading 1 3 3" xfId="52927"/>
    <cellStyle name="Heading 1 4" xfId="8824"/>
    <cellStyle name="Heading 1 4 2" xfId="52928"/>
    <cellStyle name="Heading 1 5" xfId="9235"/>
    <cellStyle name="Heading 1 5 2" xfId="52929"/>
    <cellStyle name="Heading 1 6" xfId="52930"/>
    <cellStyle name="Heading 1 6 2" xfId="52931"/>
    <cellStyle name="Heading 1 7" xfId="52932"/>
    <cellStyle name="Heading 1 7 2" xfId="52933"/>
    <cellStyle name="Heading 1 8" xfId="52934"/>
    <cellStyle name="Heading 1 9" xfId="52935"/>
    <cellStyle name="Heading 2 10" xfId="52936"/>
    <cellStyle name="Heading 2 11" xfId="52937"/>
    <cellStyle name="Heading 2 12" xfId="52938"/>
    <cellStyle name="Heading 2 13" xfId="52939"/>
    <cellStyle name="Heading 2 14" xfId="52940"/>
    <cellStyle name="Heading 2 15" xfId="52941"/>
    <cellStyle name="Heading 2 16" xfId="52942"/>
    <cellStyle name="Heading 2 17" xfId="52943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9540"/>
    <cellStyle name="Heading 2 2 3" xfId="52944"/>
    <cellStyle name="Heading 2 2 4" xfId="52945"/>
    <cellStyle name="Heading 2 2 5" xfId="52946"/>
    <cellStyle name="Heading 2 3" xfId="4001"/>
    <cellStyle name="Heading 2 3 2" xfId="4002"/>
    <cellStyle name="Heading 2 3 2 2" xfId="52947"/>
    <cellStyle name="Heading 2 3 3" xfId="52948"/>
    <cellStyle name="Heading 2 4" xfId="8825"/>
    <cellStyle name="Heading 2 4 2" xfId="52949"/>
    <cellStyle name="Heading 2 5" xfId="9236"/>
    <cellStyle name="Heading 2 5 2" xfId="52950"/>
    <cellStyle name="Heading 2 6" xfId="52951"/>
    <cellStyle name="Heading 2 6 2" xfId="52952"/>
    <cellStyle name="Heading 2 7" xfId="52953"/>
    <cellStyle name="Heading 2 7 2" xfId="52954"/>
    <cellStyle name="Heading 2 8" xfId="52955"/>
    <cellStyle name="Heading 2 9" xfId="52956"/>
    <cellStyle name="Heading 3 10" xfId="52957"/>
    <cellStyle name="Heading 3 11" xfId="52958"/>
    <cellStyle name="Heading 3 12" xfId="52959"/>
    <cellStyle name="Heading 3 13" xfId="52960"/>
    <cellStyle name="Heading 3 14" xfId="52961"/>
    <cellStyle name="Heading 3 15" xfId="52962"/>
    <cellStyle name="Heading 3 16" xfId="52963"/>
    <cellStyle name="Heading 3 17" xfId="52964"/>
    <cellStyle name="Heading 3 17 2" xfId="59277"/>
    <cellStyle name="Heading 3 2" xfId="4003"/>
    <cellStyle name="Heading 3 2 2" xfId="4004"/>
    <cellStyle name="Heading 3 2 2 2" xfId="9541"/>
    <cellStyle name="Heading 3 2 3" xfId="4005"/>
    <cellStyle name="Heading 3 2 4" xfId="52965"/>
    <cellStyle name="Heading 3 2 5" xfId="52966"/>
    <cellStyle name="Heading 3 2 6" xfId="52967"/>
    <cellStyle name="Heading 3 2 7" xfId="52968"/>
    <cellStyle name="Heading 3 3" xfId="4006"/>
    <cellStyle name="Heading 3 3 2" xfId="9237"/>
    <cellStyle name="Heading 3 3 3" xfId="52969"/>
    <cellStyle name="Heading 3 4" xfId="4007"/>
    <cellStyle name="Heading 3 4 2" xfId="52970"/>
    <cellStyle name="Heading 3 5" xfId="4008"/>
    <cellStyle name="Heading 3 5 2" xfId="52971"/>
    <cellStyle name="Heading 3 6" xfId="9238"/>
    <cellStyle name="Heading 3 6 2" xfId="52972"/>
    <cellStyle name="Heading 3 7" xfId="52973"/>
    <cellStyle name="Heading 3 7 2" xfId="52974"/>
    <cellStyle name="Heading 3 8" xfId="52975"/>
    <cellStyle name="Heading 3 8 2" xfId="52976"/>
    <cellStyle name="Heading 3 9" xfId="52977"/>
    <cellStyle name="Heading 3 9 2" xfId="52978"/>
    <cellStyle name="Heading 4 10" xfId="52979"/>
    <cellStyle name="Heading 4 11" xfId="52980"/>
    <cellStyle name="Heading 4 12" xfId="52981"/>
    <cellStyle name="Heading 4 13" xfId="52982"/>
    <cellStyle name="Heading 4 14" xfId="52983"/>
    <cellStyle name="Heading 4 15" xfId="52984"/>
    <cellStyle name="Heading 4 16" xfId="52985"/>
    <cellStyle name="Heading 4 17" xfId="52986"/>
    <cellStyle name="Heading 4 17 2" xfId="59278"/>
    <cellStyle name="Heading 4 2" xfId="4009"/>
    <cellStyle name="Heading 4 2 2" xfId="4010"/>
    <cellStyle name="Heading 4 2 2 2" xfId="9542"/>
    <cellStyle name="Heading 4 2 3" xfId="52987"/>
    <cellStyle name="Heading 4 2 4" xfId="52988"/>
    <cellStyle name="Heading 4 2 5" xfId="52989"/>
    <cellStyle name="Heading 4 3" xfId="4011"/>
    <cellStyle name="Heading 4 3 2" xfId="9239"/>
    <cellStyle name="Heading 4 4" xfId="8826"/>
    <cellStyle name="Heading 4 4 2" xfId="52990"/>
    <cellStyle name="Heading 4 5" xfId="52991"/>
    <cellStyle name="Heading 4 5 2" xfId="52992"/>
    <cellStyle name="Heading 4 6" xfId="52993"/>
    <cellStyle name="Heading 4 6 2" xfId="52994"/>
    <cellStyle name="Heading 4 7" xfId="52995"/>
    <cellStyle name="Heading 4 7 2" xfId="52996"/>
    <cellStyle name="Heading 4 8" xfId="52997"/>
    <cellStyle name="Heading 4 9" xfId="52998"/>
    <cellStyle name="Hyperlink 2" xfId="4012"/>
    <cellStyle name="Hyperlink 2 2" xfId="9543"/>
    <cellStyle name="Input 10" xfId="4013"/>
    <cellStyle name="Input 10 10" xfId="4014"/>
    <cellStyle name="Input 10 11" xfId="57926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7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8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9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30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1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2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3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4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5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6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7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8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9"/>
    <cellStyle name="LineItemPrompt" xfId="4383"/>
    <cellStyle name="LineItemPrompt 2" xfId="4384"/>
    <cellStyle name="LineItemPrompt 2 2" xfId="52999"/>
    <cellStyle name="LineItemPrompt 2 3" xfId="53000"/>
    <cellStyle name="LineItemPrompt 3" xfId="4385"/>
    <cellStyle name="LineItemPrompt 4" xfId="9242"/>
    <cellStyle name="LineItemValue" xfId="4386"/>
    <cellStyle name="LineItemValue 2" xfId="4387"/>
    <cellStyle name="LineItemValue 2 2" xfId="53001"/>
    <cellStyle name="LineItemValue 2 3" xfId="53002"/>
    <cellStyle name="LineItemValue 3" xfId="4388"/>
    <cellStyle name="LineItemValue 4" xfId="4389"/>
    <cellStyle name="LineItemValue 5" xfId="9243"/>
    <cellStyle name="Linked Cell 10" xfId="53003"/>
    <cellStyle name="Linked Cell 11" xfId="53004"/>
    <cellStyle name="Linked Cell 12" xfId="53005"/>
    <cellStyle name="Linked Cell 13" xfId="53006"/>
    <cellStyle name="Linked Cell 14" xfId="53007"/>
    <cellStyle name="Linked Cell 15" xfId="53008"/>
    <cellStyle name="Linked Cell 16" xfId="53009"/>
    <cellStyle name="Linked Cell 17" xfId="53010"/>
    <cellStyle name="Linked Cell 17 2" xfId="59581"/>
    <cellStyle name="Linked Cell 2" xfId="4390"/>
    <cellStyle name="Linked Cell 2 2" xfId="4391"/>
    <cellStyle name="Linked Cell 2 2 2" xfId="9544"/>
    <cellStyle name="Linked Cell 2 3" xfId="53011"/>
    <cellStyle name="Linked Cell 2 4" xfId="53012"/>
    <cellStyle name="Linked Cell 2 5" xfId="53013"/>
    <cellStyle name="Linked Cell 3" xfId="4392"/>
    <cellStyle name="Linked Cell 3 2" xfId="9244"/>
    <cellStyle name="Linked Cell 4" xfId="8827"/>
    <cellStyle name="Linked Cell 4 2" xfId="53014"/>
    <cellStyle name="Linked Cell 5" xfId="53015"/>
    <cellStyle name="Linked Cell 5 2" xfId="53016"/>
    <cellStyle name="Linked Cell 6" xfId="53017"/>
    <cellStyle name="Linked Cell 6 2" xfId="53018"/>
    <cellStyle name="Linked Cell 7" xfId="53019"/>
    <cellStyle name="Linked Cell 7 2" xfId="53020"/>
    <cellStyle name="Linked Cell 8" xfId="53021"/>
    <cellStyle name="Linked Cell 9" xfId="53022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3"/>
    <cellStyle name="Neutral 11" xfId="53024"/>
    <cellStyle name="Neutral 12" xfId="53025"/>
    <cellStyle name="Neutral 13" xfId="53026"/>
    <cellStyle name="Neutral 14" xfId="53027"/>
    <cellStyle name="Neutral 15" xfId="53028"/>
    <cellStyle name="Neutral 16" xfId="53029"/>
    <cellStyle name="Neutral 17" xfId="53030"/>
    <cellStyle name="Neutral 17 2" xfId="59582"/>
    <cellStyle name="Neutral 2" xfId="4393"/>
    <cellStyle name="Neutral 2 2" xfId="4394"/>
    <cellStyle name="Neutral 2 2 2" xfId="9550"/>
    <cellStyle name="Neutral 2 3" xfId="53031"/>
    <cellStyle name="Neutral 2 4" xfId="53032"/>
    <cellStyle name="Neutral 2 5" xfId="53033"/>
    <cellStyle name="Neutral 3" xfId="4395"/>
    <cellStyle name="Neutral 3 2" xfId="9245"/>
    <cellStyle name="Neutral 4" xfId="8828"/>
    <cellStyle name="Neutral 4 2" xfId="53034"/>
    <cellStyle name="Neutral 5" xfId="53035"/>
    <cellStyle name="Neutral 5 2" xfId="53036"/>
    <cellStyle name="Neutral 6" xfId="53037"/>
    <cellStyle name="Neutral 6 2" xfId="53038"/>
    <cellStyle name="Neutral 7" xfId="53039"/>
    <cellStyle name="Neutral 7 2" xfId="53040"/>
    <cellStyle name="Neutral 8" xfId="53041"/>
    <cellStyle name="Neutral 9" xfId="53042"/>
    <cellStyle name="Normal" xfId="0" builtinId="0"/>
    <cellStyle name="Normal - Style1" xfId="9551"/>
    <cellStyle name="Normal - Style1 2" xfId="59583"/>
    <cellStyle name="Normal - Style2" xfId="57940"/>
    <cellStyle name="Normal - Style3" xfId="57941"/>
    <cellStyle name="Normal - Style4" xfId="57942"/>
    <cellStyle name="Normal - Style5" xfId="57943"/>
    <cellStyle name="Normal - Style6" xfId="57944"/>
    <cellStyle name="Normal - Style7" xfId="57945"/>
    <cellStyle name="Normal - Style8" xfId="57946"/>
    <cellStyle name="Normal 10" xfId="4396"/>
    <cellStyle name="Normal 10 2" xfId="4397"/>
    <cellStyle name="Normal 10 2 2" xfId="59584"/>
    <cellStyle name="Normal 10 3" xfId="4398"/>
    <cellStyle name="Normal 10 3 2" xfId="9552"/>
    <cellStyle name="Normal 10 3 3" xfId="9553"/>
    <cellStyle name="Normal 10 4" xfId="9246"/>
    <cellStyle name="Normal 10 5" xfId="57947"/>
    <cellStyle name="Normal 11" xfId="4399"/>
    <cellStyle name="Normal 11 10" xfId="53043"/>
    <cellStyle name="Normal 11 10 2" xfId="53044"/>
    <cellStyle name="Normal 11 10 2 2" xfId="53045"/>
    <cellStyle name="Normal 11 10 2 3" xfId="53046"/>
    <cellStyle name="Normal 11 10 3" xfId="53047"/>
    <cellStyle name="Normal 11 10 3 2" xfId="53048"/>
    <cellStyle name="Normal 11 10 4" xfId="53049"/>
    <cellStyle name="Normal 11 10 5" xfId="53050"/>
    <cellStyle name="Normal 11 11" xfId="53051"/>
    <cellStyle name="Normal 11 11 2" xfId="53052"/>
    <cellStyle name="Normal 11 11 3" xfId="53053"/>
    <cellStyle name="Normal 11 12" xfId="53054"/>
    <cellStyle name="Normal 11 12 2" xfId="53055"/>
    <cellStyle name="Normal 11 12 3" xfId="53056"/>
    <cellStyle name="Normal 11 13" xfId="53057"/>
    <cellStyle name="Normal 11 13 2" xfId="53058"/>
    <cellStyle name="Normal 11 14" xfId="53059"/>
    <cellStyle name="Normal 11 15" xfId="53060"/>
    <cellStyle name="Normal 11 16" xfId="53061"/>
    <cellStyle name="Normal 11 2" xfId="4400"/>
    <cellStyle name="Normal 11 2 10" xfId="53062"/>
    <cellStyle name="Normal 11 2 10 2" xfId="53063"/>
    <cellStyle name="Normal 11 2 10 3" xfId="53064"/>
    <cellStyle name="Normal 11 2 11" xfId="53065"/>
    <cellStyle name="Normal 11 2 11 2" xfId="53066"/>
    <cellStyle name="Normal 11 2 11 3" xfId="53067"/>
    <cellStyle name="Normal 11 2 12" xfId="53068"/>
    <cellStyle name="Normal 11 2 12 2" xfId="53069"/>
    <cellStyle name="Normal 11 2 13" xfId="53070"/>
    <cellStyle name="Normal 11 2 14" xfId="53071"/>
    <cellStyle name="Normal 11 2 15" xfId="53072"/>
    <cellStyle name="Normal 11 2 2" xfId="9554"/>
    <cellStyle name="Normal 11 2 2 10" xfId="53073"/>
    <cellStyle name="Normal 11 2 2 10 2" xfId="53074"/>
    <cellStyle name="Normal 11 2 2 10 3" xfId="53075"/>
    <cellStyle name="Normal 11 2 2 11" xfId="53076"/>
    <cellStyle name="Normal 11 2 2 11 2" xfId="53077"/>
    <cellStyle name="Normal 11 2 2 12" xfId="53078"/>
    <cellStyle name="Normal 11 2 2 13" xfId="53079"/>
    <cellStyle name="Normal 11 2 2 2" xfId="9555"/>
    <cellStyle name="Normal 11 2 2 2 10" xfId="53080"/>
    <cellStyle name="Normal 11 2 2 2 10 2" xfId="53081"/>
    <cellStyle name="Normal 11 2 2 2 11" xfId="53082"/>
    <cellStyle name="Normal 11 2 2 2 12" xfId="53083"/>
    <cellStyle name="Normal 11 2 2 2 2" xfId="9556"/>
    <cellStyle name="Normal 11 2 2 2 2 10" xfId="53084"/>
    <cellStyle name="Normal 11 2 2 2 2 2" xfId="53085"/>
    <cellStyle name="Normal 11 2 2 2 2 2 2" xfId="53086"/>
    <cellStyle name="Normal 11 2 2 2 2 2 2 2" xfId="53087"/>
    <cellStyle name="Normal 11 2 2 2 2 2 2 2 2" xfId="53088"/>
    <cellStyle name="Normal 11 2 2 2 2 2 2 2 3" xfId="53089"/>
    <cellStyle name="Normal 11 2 2 2 2 2 2 3" xfId="53090"/>
    <cellStyle name="Normal 11 2 2 2 2 2 2 3 2" xfId="53091"/>
    <cellStyle name="Normal 11 2 2 2 2 2 2 3 3" xfId="53092"/>
    <cellStyle name="Normal 11 2 2 2 2 2 2 4" xfId="53093"/>
    <cellStyle name="Normal 11 2 2 2 2 2 2 4 2" xfId="53094"/>
    <cellStyle name="Normal 11 2 2 2 2 2 2 5" xfId="53095"/>
    <cellStyle name="Normal 11 2 2 2 2 2 2 6" xfId="53096"/>
    <cellStyle name="Normal 11 2 2 2 2 2 3" xfId="53097"/>
    <cellStyle name="Normal 11 2 2 2 2 2 3 2" xfId="53098"/>
    <cellStyle name="Normal 11 2 2 2 2 2 3 2 2" xfId="53099"/>
    <cellStyle name="Normal 11 2 2 2 2 2 3 2 3" xfId="53100"/>
    <cellStyle name="Normal 11 2 2 2 2 2 3 3" xfId="53101"/>
    <cellStyle name="Normal 11 2 2 2 2 2 3 3 2" xfId="53102"/>
    <cellStyle name="Normal 11 2 2 2 2 2 3 3 3" xfId="53103"/>
    <cellStyle name="Normal 11 2 2 2 2 2 3 4" xfId="53104"/>
    <cellStyle name="Normal 11 2 2 2 2 2 3 4 2" xfId="53105"/>
    <cellStyle name="Normal 11 2 2 2 2 2 3 5" xfId="53106"/>
    <cellStyle name="Normal 11 2 2 2 2 2 3 6" xfId="53107"/>
    <cellStyle name="Normal 11 2 2 2 2 2 4" xfId="53108"/>
    <cellStyle name="Normal 11 2 2 2 2 2 4 2" xfId="53109"/>
    <cellStyle name="Normal 11 2 2 2 2 2 4 2 2" xfId="53110"/>
    <cellStyle name="Normal 11 2 2 2 2 2 4 2 3" xfId="53111"/>
    <cellStyle name="Normal 11 2 2 2 2 2 4 3" xfId="53112"/>
    <cellStyle name="Normal 11 2 2 2 2 2 4 3 2" xfId="53113"/>
    <cellStyle name="Normal 11 2 2 2 2 2 4 4" xfId="53114"/>
    <cellStyle name="Normal 11 2 2 2 2 2 4 5" xfId="53115"/>
    <cellStyle name="Normal 11 2 2 2 2 2 5" xfId="53116"/>
    <cellStyle name="Normal 11 2 2 2 2 2 5 2" xfId="53117"/>
    <cellStyle name="Normal 11 2 2 2 2 2 5 3" xfId="53118"/>
    <cellStyle name="Normal 11 2 2 2 2 2 6" xfId="53119"/>
    <cellStyle name="Normal 11 2 2 2 2 2 6 2" xfId="53120"/>
    <cellStyle name="Normal 11 2 2 2 2 2 6 3" xfId="53121"/>
    <cellStyle name="Normal 11 2 2 2 2 2 7" xfId="53122"/>
    <cellStyle name="Normal 11 2 2 2 2 2 7 2" xfId="53123"/>
    <cellStyle name="Normal 11 2 2 2 2 2 8" xfId="53124"/>
    <cellStyle name="Normal 11 2 2 2 2 2 9" xfId="53125"/>
    <cellStyle name="Normal 11 2 2 2 2 3" xfId="53126"/>
    <cellStyle name="Normal 11 2 2 2 2 3 2" xfId="53127"/>
    <cellStyle name="Normal 11 2 2 2 2 3 2 2" xfId="53128"/>
    <cellStyle name="Normal 11 2 2 2 2 3 2 3" xfId="53129"/>
    <cellStyle name="Normal 11 2 2 2 2 3 3" xfId="53130"/>
    <cellStyle name="Normal 11 2 2 2 2 3 3 2" xfId="53131"/>
    <cellStyle name="Normal 11 2 2 2 2 3 3 3" xfId="53132"/>
    <cellStyle name="Normal 11 2 2 2 2 3 4" xfId="53133"/>
    <cellStyle name="Normal 11 2 2 2 2 3 4 2" xfId="53134"/>
    <cellStyle name="Normal 11 2 2 2 2 3 5" xfId="53135"/>
    <cellStyle name="Normal 11 2 2 2 2 3 6" xfId="53136"/>
    <cellStyle name="Normal 11 2 2 2 2 4" xfId="53137"/>
    <cellStyle name="Normal 11 2 2 2 2 4 2" xfId="53138"/>
    <cellStyle name="Normal 11 2 2 2 2 4 2 2" xfId="53139"/>
    <cellStyle name="Normal 11 2 2 2 2 4 2 3" xfId="53140"/>
    <cellStyle name="Normal 11 2 2 2 2 4 3" xfId="53141"/>
    <cellStyle name="Normal 11 2 2 2 2 4 3 2" xfId="53142"/>
    <cellStyle name="Normal 11 2 2 2 2 4 3 3" xfId="53143"/>
    <cellStyle name="Normal 11 2 2 2 2 4 4" xfId="53144"/>
    <cellStyle name="Normal 11 2 2 2 2 4 4 2" xfId="53145"/>
    <cellStyle name="Normal 11 2 2 2 2 4 5" xfId="53146"/>
    <cellStyle name="Normal 11 2 2 2 2 4 6" xfId="53147"/>
    <cellStyle name="Normal 11 2 2 2 2 5" xfId="53148"/>
    <cellStyle name="Normal 11 2 2 2 2 5 2" xfId="53149"/>
    <cellStyle name="Normal 11 2 2 2 2 5 2 2" xfId="53150"/>
    <cellStyle name="Normal 11 2 2 2 2 5 2 3" xfId="53151"/>
    <cellStyle name="Normal 11 2 2 2 2 5 3" xfId="53152"/>
    <cellStyle name="Normal 11 2 2 2 2 5 3 2" xfId="53153"/>
    <cellStyle name="Normal 11 2 2 2 2 5 4" xfId="53154"/>
    <cellStyle name="Normal 11 2 2 2 2 5 5" xfId="53155"/>
    <cellStyle name="Normal 11 2 2 2 2 6" xfId="53156"/>
    <cellStyle name="Normal 11 2 2 2 2 6 2" xfId="53157"/>
    <cellStyle name="Normal 11 2 2 2 2 6 3" xfId="53158"/>
    <cellStyle name="Normal 11 2 2 2 2 7" xfId="53159"/>
    <cellStyle name="Normal 11 2 2 2 2 7 2" xfId="53160"/>
    <cellStyle name="Normal 11 2 2 2 2 7 3" xfId="53161"/>
    <cellStyle name="Normal 11 2 2 2 2 8" xfId="53162"/>
    <cellStyle name="Normal 11 2 2 2 2 8 2" xfId="53163"/>
    <cellStyle name="Normal 11 2 2 2 2 9" xfId="53164"/>
    <cellStyle name="Normal 11 2 2 2 3" xfId="53165"/>
    <cellStyle name="Normal 11 2 2 2 3 2" xfId="53166"/>
    <cellStyle name="Normal 11 2 2 2 3 2 2" xfId="53167"/>
    <cellStyle name="Normal 11 2 2 2 3 2 2 2" xfId="53168"/>
    <cellStyle name="Normal 11 2 2 2 3 2 2 3" xfId="53169"/>
    <cellStyle name="Normal 11 2 2 2 3 2 3" xfId="53170"/>
    <cellStyle name="Normal 11 2 2 2 3 2 3 2" xfId="53171"/>
    <cellStyle name="Normal 11 2 2 2 3 2 3 3" xfId="53172"/>
    <cellStyle name="Normal 11 2 2 2 3 2 4" xfId="53173"/>
    <cellStyle name="Normal 11 2 2 2 3 2 4 2" xfId="53174"/>
    <cellStyle name="Normal 11 2 2 2 3 2 5" xfId="53175"/>
    <cellStyle name="Normal 11 2 2 2 3 2 6" xfId="53176"/>
    <cellStyle name="Normal 11 2 2 2 3 3" xfId="53177"/>
    <cellStyle name="Normal 11 2 2 2 3 3 2" xfId="53178"/>
    <cellStyle name="Normal 11 2 2 2 3 3 2 2" xfId="53179"/>
    <cellStyle name="Normal 11 2 2 2 3 3 2 3" xfId="53180"/>
    <cellStyle name="Normal 11 2 2 2 3 3 3" xfId="53181"/>
    <cellStyle name="Normal 11 2 2 2 3 3 3 2" xfId="53182"/>
    <cellStyle name="Normal 11 2 2 2 3 3 3 3" xfId="53183"/>
    <cellStyle name="Normal 11 2 2 2 3 3 4" xfId="53184"/>
    <cellStyle name="Normal 11 2 2 2 3 3 4 2" xfId="53185"/>
    <cellStyle name="Normal 11 2 2 2 3 3 5" xfId="53186"/>
    <cellStyle name="Normal 11 2 2 2 3 3 6" xfId="53187"/>
    <cellStyle name="Normal 11 2 2 2 3 4" xfId="53188"/>
    <cellStyle name="Normal 11 2 2 2 3 4 2" xfId="53189"/>
    <cellStyle name="Normal 11 2 2 2 3 4 2 2" xfId="53190"/>
    <cellStyle name="Normal 11 2 2 2 3 4 2 3" xfId="53191"/>
    <cellStyle name="Normal 11 2 2 2 3 4 3" xfId="53192"/>
    <cellStyle name="Normal 11 2 2 2 3 4 3 2" xfId="53193"/>
    <cellStyle name="Normal 11 2 2 2 3 4 4" xfId="53194"/>
    <cellStyle name="Normal 11 2 2 2 3 4 5" xfId="53195"/>
    <cellStyle name="Normal 11 2 2 2 3 5" xfId="53196"/>
    <cellStyle name="Normal 11 2 2 2 3 5 2" xfId="53197"/>
    <cellStyle name="Normal 11 2 2 2 3 5 3" xfId="53198"/>
    <cellStyle name="Normal 11 2 2 2 3 6" xfId="53199"/>
    <cellStyle name="Normal 11 2 2 2 3 6 2" xfId="53200"/>
    <cellStyle name="Normal 11 2 2 2 3 6 3" xfId="53201"/>
    <cellStyle name="Normal 11 2 2 2 3 7" xfId="53202"/>
    <cellStyle name="Normal 11 2 2 2 3 7 2" xfId="53203"/>
    <cellStyle name="Normal 11 2 2 2 3 8" xfId="53204"/>
    <cellStyle name="Normal 11 2 2 2 3 9" xfId="53205"/>
    <cellStyle name="Normal 11 2 2 2 4" xfId="53206"/>
    <cellStyle name="Normal 11 2 2 2 4 2" xfId="53207"/>
    <cellStyle name="Normal 11 2 2 2 4 2 2" xfId="53208"/>
    <cellStyle name="Normal 11 2 2 2 4 2 2 2" xfId="53209"/>
    <cellStyle name="Normal 11 2 2 2 4 2 2 3" xfId="53210"/>
    <cellStyle name="Normal 11 2 2 2 4 2 3" xfId="53211"/>
    <cellStyle name="Normal 11 2 2 2 4 2 3 2" xfId="53212"/>
    <cellStyle name="Normal 11 2 2 2 4 2 3 3" xfId="53213"/>
    <cellStyle name="Normal 11 2 2 2 4 2 4" xfId="53214"/>
    <cellStyle name="Normal 11 2 2 2 4 2 4 2" xfId="53215"/>
    <cellStyle name="Normal 11 2 2 2 4 2 5" xfId="53216"/>
    <cellStyle name="Normal 11 2 2 2 4 2 6" xfId="53217"/>
    <cellStyle name="Normal 11 2 2 2 4 3" xfId="53218"/>
    <cellStyle name="Normal 11 2 2 2 4 3 2" xfId="53219"/>
    <cellStyle name="Normal 11 2 2 2 4 3 2 2" xfId="53220"/>
    <cellStyle name="Normal 11 2 2 2 4 3 2 3" xfId="53221"/>
    <cellStyle name="Normal 11 2 2 2 4 3 3" xfId="53222"/>
    <cellStyle name="Normal 11 2 2 2 4 3 3 2" xfId="53223"/>
    <cellStyle name="Normal 11 2 2 2 4 3 3 3" xfId="53224"/>
    <cellStyle name="Normal 11 2 2 2 4 3 4" xfId="53225"/>
    <cellStyle name="Normal 11 2 2 2 4 3 4 2" xfId="53226"/>
    <cellStyle name="Normal 11 2 2 2 4 3 5" xfId="53227"/>
    <cellStyle name="Normal 11 2 2 2 4 3 6" xfId="53228"/>
    <cellStyle name="Normal 11 2 2 2 4 4" xfId="53229"/>
    <cellStyle name="Normal 11 2 2 2 4 4 2" xfId="53230"/>
    <cellStyle name="Normal 11 2 2 2 4 4 2 2" xfId="53231"/>
    <cellStyle name="Normal 11 2 2 2 4 4 2 3" xfId="53232"/>
    <cellStyle name="Normal 11 2 2 2 4 4 3" xfId="53233"/>
    <cellStyle name="Normal 11 2 2 2 4 4 3 2" xfId="53234"/>
    <cellStyle name="Normal 11 2 2 2 4 4 4" xfId="53235"/>
    <cellStyle name="Normal 11 2 2 2 4 4 5" xfId="53236"/>
    <cellStyle name="Normal 11 2 2 2 4 5" xfId="53237"/>
    <cellStyle name="Normal 11 2 2 2 4 5 2" xfId="53238"/>
    <cellStyle name="Normal 11 2 2 2 4 5 3" xfId="53239"/>
    <cellStyle name="Normal 11 2 2 2 4 6" xfId="53240"/>
    <cellStyle name="Normal 11 2 2 2 4 6 2" xfId="53241"/>
    <cellStyle name="Normal 11 2 2 2 4 6 3" xfId="53242"/>
    <cellStyle name="Normal 11 2 2 2 4 7" xfId="53243"/>
    <cellStyle name="Normal 11 2 2 2 4 7 2" xfId="53244"/>
    <cellStyle name="Normal 11 2 2 2 4 8" xfId="53245"/>
    <cellStyle name="Normal 11 2 2 2 4 9" xfId="53246"/>
    <cellStyle name="Normal 11 2 2 2 5" xfId="53247"/>
    <cellStyle name="Normal 11 2 2 2 5 2" xfId="53248"/>
    <cellStyle name="Normal 11 2 2 2 5 2 2" xfId="53249"/>
    <cellStyle name="Normal 11 2 2 2 5 2 3" xfId="53250"/>
    <cellStyle name="Normal 11 2 2 2 5 3" xfId="53251"/>
    <cellStyle name="Normal 11 2 2 2 5 3 2" xfId="53252"/>
    <cellStyle name="Normal 11 2 2 2 5 3 3" xfId="53253"/>
    <cellStyle name="Normal 11 2 2 2 5 4" xfId="53254"/>
    <cellStyle name="Normal 11 2 2 2 5 4 2" xfId="53255"/>
    <cellStyle name="Normal 11 2 2 2 5 5" xfId="53256"/>
    <cellStyle name="Normal 11 2 2 2 5 6" xfId="53257"/>
    <cellStyle name="Normal 11 2 2 2 6" xfId="53258"/>
    <cellStyle name="Normal 11 2 2 2 6 2" xfId="53259"/>
    <cellStyle name="Normal 11 2 2 2 6 2 2" xfId="53260"/>
    <cellStyle name="Normal 11 2 2 2 6 2 3" xfId="53261"/>
    <cellStyle name="Normal 11 2 2 2 6 3" xfId="53262"/>
    <cellStyle name="Normal 11 2 2 2 6 3 2" xfId="53263"/>
    <cellStyle name="Normal 11 2 2 2 6 3 3" xfId="53264"/>
    <cellStyle name="Normal 11 2 2 2 6 4" xfId="53265"/>
    <cellStyle name="Normal 11 2 2 2 6 4 2" xfId="53266"/>
    <cellStyle name="Normal 11 2 2 2 6 5" xfId="53267"/>
    <cellStyle name="Normal 11 2 2 2 6 6" xfId="53268"/>
    <cellStyle name="Normal 11 2 2 2 7" xfId="53269"/>
    <cellStyle name="Normal 11 2 2 2 7 2" xfId="53270"/>
    <cellStyle name="Normal 11 2 2 2 7 2 2" xfId="53271"/>
    <cellStyle name="Normal 11 2 2 2 7 2 3" xfId="53272"/>
    <cellStyle name="Normal 11 2 2 2 7 3" xfId="53273"/>
    <cellStyle name="Normal 11 2 2 2 7 3 2" xfId="53274"/>
    <cellStyle name="Normal 11 2 2 2 7 4" xfId="53275"/>
    <cellStyle name="Normal 11 2 2 2 7 5" xfId="53276"/>
    <cellStyle name="Normal 11 2 2 2 8" xfId="53277"/>
    <cellStyle name="Normal 11 2 2 2 8 2" xfId="53278"/>
    <cellStyle name="Normal 11 2 2 2 8 3" xfId="53279"/>
    <cellStyle name="Normal 11 2 2 2 9" xfId="53280"/>
    <cellStyle name="Normal 11 2 2 2 9 2" xfId="53281"/>
    <cellStyle name="Normal 11 2 2 2 9 3" xfId="53282"/>
    <cellStyle name="Normal 11 2 2 3" xfId="9557"/>
    <cellStyle name="Normal 11 2 2 3 10" xfId="53283"/>
    <cellStyle name="Normal 11 2 2 3 2" xfId="9558"/>
    <cellStyle name="Normal 11 2 2 3 2 2" xfId="53284"/>
    <cellStyle name="Normal 11 2 2 3 2 2 2" xfId="53285"/>
    <cellStyle name="Normal 11 2 2 3 2 2 2 2" xfId="53286"/>
    <cellStyle name="Normal 11 2 2 3 2 2 2 3" xfId="53287"/>
    <cellStyle name="Normal 11 2 2 3 2 2 3" xfId="53288"/>
    <cellStyle name="Normal 11 2 2 3 2 2 3 2" xfId="53289"/>
    <cellStyle name="Normal 11 2 2 3 2 2 3 3" xfId="53290"/>
    <cellStyle name="Normal 11 2 2 3 2 2 4" xfId="53291"/>
    <cellStyle name="Normal 11 2 2 3 2 2 4 2" xfId="53292"/>
    <cellStyle name="Normal 11 2 2 3 2 2 5" xfId="53293"/>
    <cellStyle name="Normal 11 2 2 3 2 2 6" xfId="53294"/>
    <cellStyle name="Normal 11 2 2 3 2 3" xfId="53295"/>
    <cellStyle name="Normal 11 2 2 3 2 3 2" xfId="53296"/>
    <cellStyle name="Normal 11 2 2 3 2 3 2 2" xfId="53297"/>
    <cellStyle name="Normal 11 2 2 3 2 3 2 3" xfId="53298"/>
    <cellStyle name="Normal 11 2 2 3 2 3 3" xfId="53299"/>
    <cellStyle name="Normal 11 2 2 3 2 3 3 2" xfId="53300"/>
    <cellStyle name="Normal 11 2 2 3 2 3 3 3" xfId="53301"/>
    <cellStyle name="Normal 11 2 2 3 2 3 4" xfId="53302"/>
    <cellStyle name="Normal 11 2 2 3 2 3 4 2" xfId="53303"/>
    <cellStyle name="Normal 11 2 2 3 2 3 5" xfId="53304"/>
    <cellStyle name="Normal 11 2 2 3 2 3 6" xfId="53305"/>
    <cellStyle name="Normal 11 2 2 3 2 4" xfId="53306"/>
    <cellStyle name="Normal 11 2 2 3 2 4 2" xfId="53307"/>
    <cellStyle name="Normal 11 2 2 3 2 4 2 2" xfId="53308"/>
    <cellStyle name="Normal 11 2 2 3 2 4 2 3" xfId="53309"/>
    <cellStyle name="Normal 11 2 2 3 2 4 3" xfId="53310"/>
    <cellStyle name="Normal 11 2 2 3 2 4 3 2" xfId="53311"/>
    <cellStyle name="Normal 11 2 2 3 2 4 4" xfId="53312"/>
    <cellStyle name="Normal 11 2 2 3 2 4 5" xfId="53313"/>
    <cellStyle name="Normal 11 2 2 3 2 5" xfId="53314"/>
    <cellStyle name="Normal 11 2 2 3 2 5 2" xfId="53315"/>
    <cellStyle name="Normal 11 2 2 3 2 5 3" xfId="53316"/>
    <cellStyle name="Normal 11 2 2 3 2 6" xfId="53317"/>
    <cellStyle name="Normal 11 2 2 3 2 6 2" xfId="53318"/>
    <cellStyle name="Normal 11 2 2 3 2 6 3" xfId="53319"/>
    <cellStyle name="Normal 11 2 2 3 2 7" xfId="53320"/>
    <cellStyle name="Normal 11 2 2 3 2 7 2" xfId="53321"/>
    <cellStyle name="Normal 11 2 2 3 2 8" xfId="53322"/>
    <cellStyle name="Normal 11 2 2 3 2 9" xfId="53323"/>
    <cellStyle name="Normal 11 2 2 3 3" xfId="53324"/>
    <cellStyle name="Normal 11 2 2 3 3 2" xfId="53325"/>
    <cellStyle name="Normal 11 2 2 3 3 2 2" xfId="53326"/>
    <cellStyle name="Normal 11 2 2 3 3 2 3" xfId="53327"/>
    <cellStyle name="Normal 11 2 2 3 3 3" xfId="53328"/>
    <cellStyle name="Normal 11 2 2 3 3 3 2" xfId="53329"/>
    <cellStyle name="Normal 11 2 2 3 3 3 3" xfId="53330"/>
    <cellStyle name="Normal 11 2 2 3 3 4" xfId="53331"/>
    <cellStyle name="Normal 11 2 2 3 3 4 2" xfId="53332"/>
    <cellStyle name="Normal 11 2 2 3 3 5" xfId="53333"/>
    <cellStyle name="Normal 11 2 2 3 3 6" xfId="53334"/>
    <cellStyle name="Normal 11 2 2 3 4" xfId="53335"/>
    <cellStyle name="Normal 11 2 2 3 4 2" xfId="53336"/>
    <cellStyle name="Normal 11 2 2 3 4 2 2" xfId="53337"/>
    <cellStyle name="Normal 11 2 2 3 4 2 3" xfId="53338"/>
    <cellStyle name="Normal 11 2 2 3 4 3" xfId="53339"/>
    <cellStyle name="Normal 11 2 2 3 4 3 2" xfId="53340"/>
    <cellStyle name="Normal 11 2 2 3 4 3 3" xfId="53341"/>
    <cellStyle name="Normal 11 2 2 3 4 4" xfId="53342"/>
    <cellStyle name="Normal 11 2 2 3 4 4 2" xfId="53343"/>
    <cellStyle name="Normal 11 2 2 3 4 5" xfId="53344"/>
    <cellStyle name="Normal 11 2 2 3 4 6" xfId="53345"/>
    <cellStyle name="Normal 11 2 2 3 5" xfId="53346"/>
    <cellStyle name="Normal 11 2 2 3 5 2" xfId="53347"/>
    <cellStyle name="Normal 11 2 2 3 5 2 2" xfId="53348"/>
    <cellStyle name="Normal 11 2 2 3 5 2 3" xfId="53349"/>
    <cellStyle name="Normal 11 2 2 3 5 3" xfId="53350"/>
    <cellStyle name="Normal 11 2 2 3 5 3 2" xfId="53351"/>
    <cellStyle name="Normal 11 2 2 3 5 4" xfId="53352"/>
    <cellStyle name="Normal 11 2 2 3 5 5" xfId="53353"/>
    <cellStyle name="Normal 11 2 2 3 6" xfId="53354"/>
    <cellStyle name="Normal 11 2 2 3 6 2" xfId="53355"/>
    <cellStyle name="Normal 11 2 2 3 6 3" xfId="53356"/>
    <cellStyle name="Normal 11 2 2 3 7" xfId="53357"/>
    <cellStyle name="Normal 11 2 2 3 7 2" xfId="53358"/>
    <cellStyle name="Normal 11 2 2 3 7 3" xfId="53359"/>
    <cellStyle name="Normal 11 2 2 3 8" xfId="53360"/>
    <cellStyle name="Normal 11 2 2 3 8 2" xfId="53361"/>
    <cellStyle name="Normal 11 2 2 3 9" xfId="53362"/>
    <cellStyle name="Normal 11 2 2 4" xfId="9559"/>
    <cellStyle name="Normal 11 2 2 4 2" xfId="53363"/>
    <cellStyle name="Normal 11 2 2 4 2 2" xfId="53364"/>
    <cellStyle name="Normal 11 2 2 4 2 2 2" xfId="53365"/>
    <cellStyle name="Normal 11 2 2 4 2 2 3" xfId="53366"/>
    <cellStyle name="Normal 11 2 2 4 2 3" xfId="53367"/>
    <cellStyle name="Normal 11 2 2 4 2 3 2" xfId="53368"/>
    <cellStyle name="Normal 11 2 2 4 2 3 3" xfId="53369"/>
    <cellStyle name="Normal 11 2 2 4 2 4" xfId="53370"/>
    <cellStyle name="Normal 11 2 2 4 2 4 2" xfId="53371"/>
    <cellStyle name="Normal 11 2 2 4 2 5" xfId="53372"/>
    <cellStyle name="Normal 11 2 2 4 2 6" xfId="53373"/>
    <cellStyle name="Normal 11 2 2 4 3" xfId="53374"/>
    <cellStyle name="Normal 11 2 2 4 3 2" xfId="53375"/>
    <cellStyle name="Normal 11 2 2 4 3 2 2" xfId="53376"/>
    <cellStyle name="Normal 11 2 2 4 3 2 3" xfId="53377"/>
    <cellStyle name="Normal 11 2 2 4 3 3" xfId="53378"/>
    <cellStyle name="Normal 11 2 2 4 3 3 2" xfId="53379"/>
    <cellStyle name="Normal 11 2 2 4 3 3 3" xfId="53380"/>
    <cellStyle name="Normal 11 2 2 4 3 4" xfId="53381"/>
    <cellStyle name="Normal 11 2 2 4 3 4 2" xfId="53382"/>
    <cellStyle name="Normal 11 2 2 4 3 5" xfId="53383"/>
    <cellStyle name="Normal 11 2 2 4 3 6" xfId="53384"/>
    <cellStyle name="Normal 11 2 2 4 4" xfId="53385"/>
    <cellStyle name="Normal 11 2 2 4 4 2" xfId="53386"/>
    <cellStyle name="Normal 11 2 2 4 4 2 2" xfId="53387"/>
    <cellStyle name="Normal 11 2 2 4 4 2 3" xfId="53388"/>
    <cellStyle name="Normal 11 2 2 4 4 3" xfId="53389"/>
    <cellStyle name="Normal 11 2 2 4 4 3 2" xfId="53390"/>
    <cellStyle name="Normal 11 2 2 4 4 4" xfId="53391"/>
    <cellStyle name="Normal 11 2 2 4 4 5" xfId="53392"/>
    <cellStyle name="Normal 11 2 2 4 5" xfId="53393"/>
    <cellStyle name="Normal 11 2 2 4 5 2" xfId="53394"/>
    <cellStyle name="Normal 11 2 2 4 5 3" xfId="53395"/>
    <cellStyle name="Normal 11 2 2 4 6" xfId="53396"/>
    <cellStyle name="Normal 11 2 2 4 6 2" xfId="53397"/>
    <cellStyle name="Normal 11 2 2 4 6 3" xfId="53398"/>
    <cellStyle name="Normal 11 2 2 4 7" xfId="53399"/>
    <cellStyle name="Normal 11 2 2 4 7 2" xfId="53400"/>
    <cellStyle name="Normal 11 2 2 4 8" xfId="53401"/>
    <cellStyle name="Normal 11 2 2 4 9" xfId="53402"/>
    <cellStyle name="Normal 11 2 2 5" xfId="9560"/>
    <cellStyle name="Normal 11 2 2 5 2" xfId="53403"/>
    <cellStyle name="Normal 11 2 2 5 2 2" xfId="53404"/>
    <cellStyle name="Normal 11 2 2 5 2 2 2" xfId="53405"/>
    <cellStyle name="Normal 11 2 2 5 2 2 3" xfId="53406"/>
    <cellStyle name="Normal 11 2 2 5 2 3" xfId="53407"/>
    <cellStyle name="Normal 11 2 2 5 2 3 2" xfId="53408"/>
    <cellStyle name="Normal 11 2 2 5 2 3 3" xfId="53409"/>
    <cellStyle name="Normal 11 2 2 5 2 4" xfId="53410"/>
    <cellStyle name="Normal 11 2 2 5 2 4 2" xfId="53411"/>
    <cellStyle name="Normal 11 2 2 5 2 5" xfId="53412"/>
    <cellStyle name="Normal 11 2 2 5 2 6" xfId="53413"/>
    <cellStyle name="Normal 11 2 2 5 3" xfId="53414"/>
    <cellStyle name="Normal 11 2 2 5 3 2" xfId="53415"/>
    <cellStyle name="Normal 11 2 2 5 3 2 2" xfId="53416"/>
    <cellStyle name="Normal 11 2 2 5 3 2 3" xfId="53417"/>
    <cellStyle name="Normal 11 2 2 5 3 3" xfId="53418"/>
    <cellStyle name="Normal 11 2 2 5 3 3 2" xfId="53419"/>
    <cellStyle name="Normal 11 2 2 5 3 3 3" xfId="53420"/>
    <cellStyle name="Normal 11 2 2 5 3 4" xfId="53421"/>
    <cellStyle name="Normal 11 2 2 5 3 4 2" xfId="53422"/>
    <cellStyle name="Normal 11 2 2 5 3 5" xfId="53423"/>
    <cellStyle name="Normal 11 2 2 5 3 6" xfId="53424"/>
    <cellStyle name="Normal 11 2 2 5 4" xfId="53425"/>
    <cellStyle name="Normal 11 2 2 5 4 2" xfId="53426"/>
    <cellStyle name="Normal 11 2 2 5 4 2 2" xfId="53427"/>
    <cellStyle name="Normal 11 2 2 5 4 2 3" xfId="53428"/>
    <cellStyle name="Normal 11 2 2 5 4 3" xfId="53429"/>
    <cellStyle name="Normal 11 2 2 5 4 3 2" xfId="53430"/>
    <cellStyle name="Normal 11 2 2 5 4 4" xfId="53431"/>
    <cellStyle name="Normal 11 2 2 5 4 5" xfId="53432"/>
    <cellStyle name="Normal 11 2 2 5 5" xfId="53433"/>
    <cellStyle name="Normal 11 2 2 5 5 2" xfId="53434"/>
    <cellStyle name="Normal 11 2 2 5 5 3" xfId="53435"/>
    <cellStyle name="Normal 11 2 2 5 6" xfId="53436"/>
    <cellStyle name="Normal 11 2 2 5 6 2" xfId="53437"/>
    <cellStyle name="Normal 11 2 2 5 6 3" xfId="53438"/>
    <cellStyle name="Normal 11 2 2 5 7" xfId="53439"/>
    <cellStyle name="Normal 11 2 2 5 7 2" xfId="53440"/>
    <cellStyle name="Normal 11 2 2 5 8" xfId="53441"/>
    <cellStyle name="Normal 11 2 2 5 9" xfId="53442"/>
    <cellStyle name="Normal 11 2 2 6" xfId="53443"/>
    <cellStyle name="Normal 11 2 2 6 2" xfId="53444"/>
    <cellStyle name="Normal 11 2 2 6 2 2" xfId="53445"/>
    <cellStyle name="Normal 11 2 2 6 2 3" xfId="53446"/>
    <cellStyle name="Normal 11 2 2 6 3" xfId="53447"/>
    <cellStyle name="Normal 11 2 2 6 3 2" xfId="53448"/>
    <cellStyle name="Normal 11 2 2 6 3 3" xfId="53449"/>
    <cellStyle name="Normal 11 2 2 6 4" xfId="53450"/>
    <cellStyle name="Normal 11 2 2 6 4 2" xfId="53451"/>
    <cellStyle name="Normal 11 2 2 6 5" xfId="53452"/>
    <cellStyle name="Normal 11 2 2 6 6" xfId="53453"/>
    <cellStyle name="Normal 11 2 2 7" xfId="53454"/>
    <cellStyle name="Normal 11 2 2 7 2" xfId="53455"/>
    <cellStyle name="Normal 11 2 2 7 2 2" xfId="53456"/>
    <cellStyle name="Normal 11 2 2 7 2 3" xfId="53457"/>
    <cellStyle name="Normal 11 2 2 7 3" xfId="53458"/>
    <cellStyle name="Normal 11 2 2 7 3 2" xfId="53459"/>
    <cellStyle name="Normal 11 2 2 7 3 3" xfId="53460"/>
    <cellStyle name="Normal 11 2 2 7 4" xfId="53461"/>
    <cellStyle name="Normal 11 2 2 7 4 2" xfId="53462"/>
    <cellStyle name="Normal 11 2 2 7 5" xfId="53463"/>
    <cellStyle name="Normal 11 2 2 7 6" xfId="53464"/>
    <cellStyle name="Normal 11 2 2 8" xfId="53465"/>
    <cellStyle name="Normal 11 2 2 8 2" xfId="53466"/>
    <cellStyle name="Normal 11 2 2 8 2 2" xfId="53467"/>
    <cellStyle name="Normal 11 2 2 8 2 3" xfId="53468"/>
    <cellStyle name="Normal 11 2 2 8 3" xfId="53469"/>
    <cellStyle name="Normal 11 2 2 8 3 2" xfId="53470"/>
    <cellStyle name="Normal 11 2 2 8 4" xfId="53471"/>
    <cellStyle name="Normal 11 2 2 8 5" xfId="53472"/>
    <cellStyle name="Normal 11 2 2 9" xfId="53473"/>
    <cellStyle name="Normal 11 2 2 9 2" xfId="53474"/>
    <cellStyle name="Normal 11 2 2 9 3" xfId="53475"/>
    <cellStyle name="Normal 11 2 3" xfId="9561"/>
    <cellStyle name="Normal 11 2 3 10" xfId="53476"/>
    <cellStyle name="Normal 11 2 3 10 2" xfId="53477"/>
    <cellStyle name="Normal 11 2 3 11" xfId="53478"/>
    <cellStyle name="Normal 11 2 3 12" xfId="53479"/>
    <cellStyle name="Normal 11 2 3 2" xfId="9562"/>
    <cellStyle name="Normal 11 2 3 2 10" xfId="53480"/>
    <cellStyle name="Normal 11 2 3 2 2" xfId="53481"/>
    <cellStyle name="Normal 11 2 3 2 2 2" xfId="53482"/>
    <cellStyle name="Normal 11 2 3 2 2 2 2" xfId="53483"/>
    <cellStyle name="Normal 11 2 3 2 2 2 2 2" xfId="53484"/>
    <cellStyle name="Normal 11 2 3 2 2 2 2 3" xfId="53485"/>
    <cellStyle name="Normal 11 2 3 2 2 2 3" xfId="53486"/>
    <cellStyle name="Normal 11 2 3 2 2 2 3 2" xfId="53487"/>
    <cellStyle name="Normal 11 2 3 2 2 2 3 3" xfId="53488"/>
    <cellStyle name="Normal 11 2 3 2 2 2 4" xfId="53489"/>
    <cellStyle name="Normal 11 2 3 2 2 2 4 2" xfId="53490"/>
    <cellStyle name="Normal 11 2 3 2 2 2 5" xfId="53491"/>
    <cellStyle name="Normal 11 2 3 2 2 2 6" xfId="53492"/>
    <cellStyle name="Normal 11 2 3 2 2 3" xfId="53493"/>
    <cellStyle name="Normal 11 2 3 2 2 3 2" xfId="53494"/>
    <cellStyle name="Normal 11 2 3 2 2 3 2 2" xfId="53495"/>
    <cellStyle name="Normal 11 2 3 2 2 3 2 3" xfId="53496"/>
    <cellStyle name="Normal 11 2 3 2 2 3 3" xfId="53497"/>
    <cellStyle name="Normal 11 2 3 2 2 3 3 2" xfId="53498"/>
    <cellStyle name="Normal 11 2 3 2 2 3 3 3" xfId="53499"/>
    <cellStyle name="Normal 11 2 3 2 2 3 4" xfId="53500"/>
    <cellStyle name="Normal 11 2 3 2 2 3 4 2" xfId="53501"/>
    <cellStyle name="Normal 11 2 3 2 2 3 5" xfId="53502"/>
    <cellStyle name="Normal 11 2 3 2 2 3 6" xfId="53503"/>
    <cellStyle name="Normal 11 2 3 2 2 4" xfId="53504"/>
    <cellStyle name="Normal 11 2 3 2 2 4 2" xfId="53505"/>
    <cellStyle name="Normal 11 2 3 2 2 4 2 2" xfId="53506"/>
    <cellStyle name="Normal 11 2 3 2 2 4 2 3" xfId="53507"/>
    <cellStyle name="Normal 11 2 3 2 2 4 3" xfId="53508"/>
    <cellStyle name="Normal 11 2 3 2 2 4 3 2" xfId="53509"/>
    <cellStyle name="Normal 11 2 3 2 2 4 4" xfId="53510"/>
    <cellStyle name="Normal 11 2 3 2 2 4 5" xfId="53511"/>
    <cellStyle name="Normal 11 2 3 2 2 5" xfId="53512"/>
    <cellStyle name="Normal 11 2 3 2 2 5 2" xfId="53513"/>
    <cellStyle name="Normal 11 2 3 2 2 5 3" xfId="53514"/>
    <cellStyle name="Normal 11 2 3 2 2 6" xfId="53515"/>
    <cellStyle name="Normal 11 2 3 2 2 6 2" xfId="53516"/>
    <cellStyle name="Normal 11 2 3 2 2 6 3" xfId="53517"/>
    <cellStyle name="Normal 11 2 3 2 2 7" xfId="53518"/>
    <cellStyle name="Normal 11 2 3 2 2 7 2" xfId="53519"/>
    <cellStyle name="Normal 11 2 3 2 2 8" xfId="53520"/>
    <cellStyle name="Normal 11 2 3 2 2 9" xfId="53521"/>
    <cellStyle name="Normal 11 2 3 2 3" xfId="53522"/>
    <cellStyle name="Normal 11 2 3 2 3 2" xfId="53523"/>
    <cellStyle name="Normal 11 2 3 2 3 2 2" xfId="53524"/>
    <cellStyle name="Normal 11 2 3 2 3 2 3" xfId="53525"/>
    <cellStyle name="Normal 11 2 3 2 3 3" xfId="53526"/>
    <cellStyle name="Normal 11 2 3 2 3 3 2" xfId="53527"/>
    <cellStyle name="Normal 11 2 3 2 3 3 3" xfId="53528"/>
    <cellStyle name="Normal 11 2 3 2 3 4" xfId="53529"/>
    <cellStyle name="Normal 11 2 3 2 3 4 2" xfId="53530"/>
    <cellStyle name="Normal 11 2 3 2 3 5" xfId="53531"/>
    <cellStyle name="Normal 11 2 3 2 3 6" xfId="53532"/>
    <cellStyle name="Normal 11 2 3 2 4" xfId="53533"/>
    <cellStyle name="Normal 11 2 3 2 4 2" xfId="53534"/>
    <cellStyle name="Normal 11 2 3 2 4 2 2" xfId="53535"/>
    <cellStyle name="Normal 11 2 3 2 4 2 3" xfId="53536"/>
    <cellStyle name="Normal 11 2 3 2 4 3" xfId="53537"/>
    <cellStyle name="Normal 11 2 3 2 4 3 2" xfId="53538"/>
    <cellStyle name="Normal 11 2 3 2 4 3 3" xfId="53539"/>
    <cellStyle name="Normal 11 2 3 2 4 4" xfId="53540"/>
    <cellStyle name="Normal 11 2 3 2 4 4 2" xfId="53541"/>
    <cellStyle name="Normal 11 2 3 2 4 5" xfId="53542"/>
    <cellStyle name="Normal 11 2 3 2 4 6" xfId="53543"/>
    <cellStyle name="Normal 11 2 3 2 5" xfId="53544"/>
    <cellStyle name="Normal 11 2 3 2 5 2" xfId="53545"/>
    <cellStyle name="Normal 11 2 3 2 5 2 2" xfId="53546"/>
    <cellStyle name="Normal 11 2 3 2 5 2 3" xfId="53547"/>
    <cellStyle name="Normal 11 2 3 2 5 3" xfId="53548"/>
    <cellStyle name="Normal 11 2 3 2 5 3 2" xfId="53549"/>
    <cellStyle name="Normal 11 2 3 2 5 4" xfId="53550"/>
    <cellStyle name="Normal 11 2 3 2 5 5" xfId="53551"/>
    <cellStyle name="Normal 11 2 3 2 6" xfId="53552"/>
    <cellStyle name="Normal 11 2 3 2 6 2" xfId="53553"/>
    <cellStyle name="Normal 11 2 3 2 6 3" xfId="53554"/>
    <cellStyle name="Normal 11 2 3 2 7" xfId="53555"/>
    <cellStyle name="Normal 11 2 3 2 7 2" xfId="53556"/>
    <cellStyle name="Normal 11 2 3 2 7 3" xfId="53557"/>
    <cellStyle name="Normal 11 2 3 2 8" xfId="53558"/>
    <cellStyle name="Normal 11 2 3 2 8 2" xfId="53559"/>
    <cellStyle name="Normal 11 2 3 2 9" xfId="53560"/>
    <cellStyle name="Normal 11 2 3 3" xfId="53561"/>
    <cellStyle name="Normal 11 2 3 3 2" xfId="53562"/>
    <cellStyle name="Normal 11 2 3 3 2 2" xfId="53563"/>
    <cellStyle name="Normal 11 2 3 3 2 2 2" xfId="53564"/>
    <cellStyle name="Normal 11 2 3 3 2 2 3" xfId="53565"/>
    <cellStyle name="Normal 11 2 3 3 2 3" xfId="53566"/>
    <cellStyle name="Normal 11 2 3 3 2 3 2" xfId="53567"/>
    <cellStyle name="Normal 11 2 3 3 2 3 3" xfId="53568"/>
    <cellStyle name="Normal 11 2 3 3 2 4" xfId="53569"/>
    <cellStyle name="Normal 11 2 3 3 2 4 2" xfId="53570"/>
    <cellStyle name="Normal 11 2 3 3 2 5" xfId="53571"/>
    <cellStyle name="Normal 11 2 3 3 2 6" xfId="53572"/>
    <cellStyle name="Normal 11 2 3 3 3" xfId="53573"/>
    <cellStyle name="Normal 11 2 3 3 3 2" xfId="53574"/>
    <cellStyle name="Normal 11 2 3 3 3 2 2" xfId="53575"/>
    <cellStyle name="Normal 11 2 3 3 3 2 3" xfId="53576"/>
    <cellStyle name="Normal 11 2 3 3 3 3" xfId="53577"/>
    <cellStyle name="Normal 11 2 3 3 3 3 2" xfId="53578"/>
    <cellStyle name="Normal 11 2 3 3 3 3 3" xfId="53579"/>
    <cellStyle name="Normal 11 2 3 3 3 4" xfId="53580"/>
    <cellStyle name="Normal 11 2 3 3 3 4 2" xfId="53581"/>
    <cellStyle name="Normal 11 2 3 3 3 5" xfId="53582"/>
    <cellStyle name="Normal 11 2 3 3 3 6" xfId="53583"/>
    <cellStyle name="Normal 11 2 3 3 4" xfId="53584"/>
    <cellStyle name="Normal 11 2 3 3 4 2" xfId="53585"/>
    <cellStyle name="Normal 11 2 3 3 4 2 2" xfId="53586"/>
    <cellStyle name="Normal 11 2 3 3 4 2 3" xfId="53587"/>
    <cellStyle name="Normal 11 2 3 3 4 3" xfId="53588"/>
    <cellStyle name="Normal 11 2 3 3 4 3 2" xfId="53589"/>
    <cellStyle name="Normal 11 2 3 3 4 4" xfId="53590"/>
    <cellStyle name="Normal 11 2 3 3 4 5" xfId="53591"/>
    <cellStyle name="Normal 11 2 3 3 5" xfId="53592"/>
    <cellStyle name="Normal 11 2 3 3 5 2" xfId="53593"/>
    <cellStyle name="Normal 11 2 3 3 5 3" xfId="53594"/>
    <cellStyle name="Normal 11 2 3 3 6" xfId="53595"/>
    <cellStyle name="Normal 11 2 3 3 6 2" xfId="53596"/>
    <cellStyle name="Normal 11 2 3 3 6 3" xfId="53597"/>
    <cellStyle name="Normal 11 2 3 3 7" xfId="53598"/>
    <cellStyle name="Normal 11 2 3 3 7 2" xfId="53599"/>
    <cellStyle name="Normal 11 2 3 3 8" xfId="53600"/>
    <cellStyle name="Normal 11 2 3 3 9" xfId="53601"/>
    <cellStyle name="Normal 11 2 3 4" xfId="53602"/>
    <cellStyle name="Normal 11 2 3 4 2" xfId="53603"/>
    <cellStyle name="Normal 11 2 3 4 2 2" xfId="53604"/>
    <cellStyle name="Normal 11 2 3 4 2 2 2" xfId="53605"/>
    <cellStyle name="Normal 11 2 3 4 2 2 3" xfId="53606"/>
    <cellStyle name="Normal 11 2 3 4 2 3" xfId="53607"/>
    <cellStyle name="Normal 11 2 3 4 2 3 2" xfId="53608"/>
    <cellStyle name="Normal 11 2 3 4 2 3 3" xfId="53609"/>
    <cellStyle name="Normal 11 2 3 4 2 4" xfId="53610"/>
    <cellStyle name="Normal 11 2 3 4 2 4 2" xfId="53611"/>
    <cellStyle name="Normal 11 2 3 4 2 5" xfId="53612"/>
    <cellStyle name="Normal 11 2 3 4 2 6" xfId="53613"/>
    <cellStyle name="Normal 11 2 3 4 3" xfId="53614"/>
    <cellStyle name="Normal 11 2 3 4 3 2" xfId="53615"/>
    <cellStyle name="Normal 11 2 3 4 3 2 2" xfId="53616"/>
    <cellStyle name="Normal 11 2 3 4 3 2 3" xfId="53617"/>
    <cellStyle name="Normal 11 2 3 4 3 3" xfId="53618"/>
    <cellStyle name="Normal 11 2 3 4 3 3 2" xfId="53619"/>
    <cellStyle name="Normal 11 2 3 4 3 3 3" xfId="53620"/>
    <cellStyle name="Normal 11 2 3 4 3 4" xfId="53621"/>
    <cellStyle name="Normal 11 2 3 4 3 4 2" xfId="53622"/>
    <cellStyle name="Normal 11 2 3 4 3 5" xfId="53623"/>
    <cellStyle name="Normal 11 2 3 4 3 6" xfId="53624"/>
    <cellStyle name="Normal 11 2 3 4 4" xfId="53625"/>
    <cellStyle name="Normal 11 2 3 4 4 2" xfId="53626"/>
    <cellStyle name="Normal 11 2 3 4 4 2 2" xfId="53627"/>
    <cellStyle name="Normal 11 2 3 4 4 2 3" xfId="53628"/>
    <cellStyle name="Normal 11 2 3 4 4 3" xfId="53629"/>
    <cellStyle name="Normal 11 2 3 4 4 3 2" xfId="53630"/>
    <cellStyle name="Normal 11 2 3 4 4 4" xfId="53631"/>
    <cellStyle name="Normal 11 2 3 4 4 5" xfId="53632"/>
    <cellStyle name="Normal 11 2 3 4 5" xfId="53633"/>
    <cellStyle name="Normal 11 2 3 4 5 2" xfId="53634"/>
    <cellStyle name="Normal 11 2 3 4 5 3" xfId="53635"/>
    <cellStyle name="Normal 11 2 3 4 6" xfId="53636"/>
    <cellStyle name="Normal 11 2 3 4 6 2" xfId="53637"/>
    <cellStyle name="Normal 11 2 3 4 6 3" xfId="53638"/>
    <cellStyle name="Normal 11 2 3 4 7" xfId="53639"/>
    <cellStyle name="Normal 11 2 3 4 7 2" xfId="53640"/>
    <cellStyle name="Normal 11 2 3 4 8" xfId="53641"/>
    <cellStyle name="Normal 11 2 3 4 9" xfId="53642"/>
    <cellStyle name="Normal 11 2 3 5" xfId="53643"/>
    <cellStyle name="Normal 11 2 3 5 2" xfId="53644"/>
    <cellStyle name="Normal 11 2 3 5 2 2" xfId="53645"/>
    <cellStyle name="Normal 11 2 3 5 2 3" xfId="53646"/>
    <cellStyle name="Normal 11 2 3 5 3" xfId="53647"/>
    <cellStyle name="Normal 11 2 3 5 3 2" xfId="53648"/>
    <cellStyle name="Normal 11 2 3 5 3 3" xfId="53649"/>
    <cellStyle name="Normal 11 2 3 5 4" xfId="53650"/>
    <cellStyle name="Normal 11 2 3 5 4 2" xfId="53651"/>
    <cellStyle name="Normal 11 2 3 5 5" xfId="53652"/>
    <cellStyle name="Normal 11 2 3 5 6" xfId="53653"/>
    <cellStyle name="Normal 11 2 3 6" xfId="53654"/>
    <cellStyle name="Normal 11 2 3 6 2" xfId="53655"/>
    <cellStyle name="Normal 11 2 3 6 2 2" xfId="53656"/>
    <cellStyle name="Normal 11 2 3 6 2 3" xfId="53657"/>
    <cellStyle name="Normal 11 2 3 6 3" xfId="53658"/>
    <cellStyle name="Normal 11 2 3 6 3 2" xfId="53659"/>
    <cellStyle name="Normal 11 2 3 6 3 3" xfId="53660"/>
    <cellStyle name="Normal 11 2 3 6 4" xfId="53661"/>
    <cellStyle name="Normal 11 2 3 6 4 2" xfId="53662"/>
    <cellStyle name="Normal 11 2 3 6 5" xfId="53663"/>
    <cellStyle name="Normal 11 2 3 6 6" xfId="53664"/>
    <cellStyle name="Normal 11 2 3 7" xfId="53665"/>
    <cellStyle name="Normal 11 2 3 7 2" xfId="53666"/>
    <cellStyle name="Normal 11 2 3 7 2 2" xfId="53667"/>
    <cellStyle name="Normal 11 2 3 7 2 3" xfId="53668"/>
    <cellStyle name="Normal 11 2 3 7 3" xfId="53669"/>
    <cellStyle name="Normal 11 2 3 7 3 2" xfId="53670"/>
    <cellStyle name="Normal 11 2 3 7 4" xfId="53671"/>
    <cellStyle name="Normal 11 2 3 7 5" xfId="53672"/>
    <cellStyle name="Normal 11 2 3 8" xfId="53673"/>
    <cellStyle name="Normal 11 2 3 8 2" xfId="53674"/>
    <cellStyle name="Normal 11 2 3 8 3" xfId="53675"/>
    <cellStyle name="Normal 11 2 3 9" xfId="53676"/>
    <cellStyle name="Normal 11 2 3 9 2" xfId="53677"/>
    <cellStyle name="Normal 11 2 3 9 3" xfId="53678"/>
    <cellStyle name="Normal 11 2 4" xfId="9563"/>
    <cellStyle name="Normal 11 2 4 10" xfId="53679"/>
    <cellStyle name="Normal 11 2 4 2" xfId="9564"/>
    <cellStyle name="Normal 11 2 4 2 2" xfId="53680"/>
    <cellStyle name="Normal 11 2 4 2 2 2" xfId="53681"/>
    <cellStyle name="Normal 11 2 4 2 2 2 2" xfId="53682"/>
    <cellStyle name="Normal 11 2 4 2 2 2 3" xfId="53683"/>
    <cellStyle name="Normal 11 2 4 2 2 3" xfId="53684"/>
    <cellStyle name="Normal 11 2 4 2 2 3 2" xfId="53685"/>
    <cellStyle name="Normal 11 2 4 2 2 3 3" xfId="53686"/>
    <cellStyle name="Normal 11 2 4 2 2 4" xfId="53687"/>
    <cellStyle name="Normal 11 2 4 2 2 4 2" xfId="53688"/>
    <cellStyle name="Normal 11 2 4 2 2 5" xfId="53689"/>
    <cellStyle name="Normal 11 2 4 2 2 6" xfId="53690"/>
    <cellStyle name="Normal 11 2 4 2 3" xfId="53691"/>
    <cellStyle name="Normal 11 2 4 2 3 2" xfId="53692"/>
    <cellStyle name="Normal 11 2 4 2 3 2 2" xfId="53693"/>
    <cellStyle name="Normal 11 2 4 2 3 2 3" xfId="53694"/>
    <cellStyle name="Normal 11 2 4 2 3 3" xfId="53695"/>
    <cellStyle name="Normal 11 2 4 2 3 3 2" xfId="53696"/>
    <cellStyle name="Normal 11 2 4 2 3 3 3" xfId="53697"/>
    <cellStyle name="Normal 11 2 4 2 3 4" xfId="53698"/>
    <cellStyle name="Normal 11 2 4 2 3 4 2" xfId="53699"/>
    <cellStyle name="Normal 11 2 4 2 3 5" xfId="53700"/>
    <cellStyle name="Normal 11 2 4 2 3 6" xfId="53701"/>
    <cellStyle name="Normal 11 2 4 2 4" xfId="53702"/>
    <cellStyle name="Normal 11 2 4 2 4 2" xfId="53703"/>
    <cellStyle name="Normal 11 2 4 2 4 2 2" xfId="53704"/>
    <cellStyle name="Normal 11 2 4 2 4 2 3" xfId="53705"/>
    <cellStyle name="Normal 11 2 4 2 4 3" xfId="53706"/>
    <cellStyle name="Normal 11 2 4 2 4 3 2" xfId="53707"/>
    <cellStyle name="Normal 11 2 4 2 4 4" xfId="53708"/>
    <cellStyle name="Normal 11 2 4 2 4 5" xfId="53709"/>
    <cellStyle name="Normal 11 2 4 2 5" xfId="53710"/>
    <cellStyle name="Normal 11 2 4 2 5 2" xfId="53711"/>
    <cellStyle name="Normal 11 2 4 2 5 3" xfId="53712"/>
    <cellStyle name="Normal 11 2 4 2 6" xfId="53713"/>
    <cellStyle name="Normal 11 2 4 2 6 2" xfId="53714"/>
    <cellStyle name="Normal 11 2 4 2 6 3" xfId="53715"/>
    <cellStyle name="Normal 11 2 4 2 7" xfId="53716"/>
    <cellStyle name="Normal 11 2 4 2 7 2" xfId="53717"/>
    <cellStyle name="Normal 11 2 4 2 8" xfId="53718"/>
    <cellStyle name="Normal 11 2 4 2 9" xfId="53719"/>
    <cellStyle name="Normal 11 2 4 3" xfId="53720"/>
    <cellStyle name="Normal 11 2 4 3 2" xfId="53721"/>
    <cellStyle name="Normal 11 2 4 3 2 2" xfId="53722"/>
    <cellStyle name="Normal 11 2 4 3 2 3" xfId="53723"/>
    <cellStyle name="Normal 11 2 4 3 3" xfId="53724"/>
    <cellStyle name="Normal 11 2 4 3 3 2" xfId="53725"/>
    <cellStyle name="Normal 11 2 4 3 3 3" xfId="53726"/>
    <cellStyle name="Normal 11 2 4 3 4" xfId="53727"/>
    <cellStyle name="Normal 11 2 4 3 4 2" xfId="53728"/>
    <cellStyle name="Normal 11 2 4 3 5" xfId="53729"/>
    <cellStyle name="Normal 11 2 4 3 6" xfId="53730"/>
    <cellStyle name="Normal 11 2 4 4" xfId="53731"/>
    <cellStyle name="Normal 11 2 4 4 2" xfId="53732"/>
    <cellStyle name="Normal 11 2 4 4 2 2" xfId="53733"/>
    <cellStyle name="Normal 11 2 4 4 2 3" xfId="53734"/>
    <cellStyle name="Normal 11 2 4 4 3" xfId="53735"/>
    <cellStyle name="Normal 11 2 4 4 3 2" xfId="53736"/>
    <cellStyle name="Normal 11 2 4 4 3 3" xfId="53737"/>
    <cellStyle name="Normal 11 2 4 4 4" xfId="53738"/>
    <cellStyle name="Normal 11 2 4 4 4 2" xfId="53739"/>
    <cellStyle name="Normal 11 2 4 4 5" xfId="53740"/>
    <cellStyle name="Normal 11 2 4 4 6" xfId="53741"/>
    <cellStyle name="Normal 11 2 4 5" xfId="53742"/>
    <cellStyle name="Normal 11 2 4 5 2" xfId="53743"/>
    <cellStyle name="Normal 11 2 4 5 2 2" xfId="53744"/>
    <cellStyle name="Normal 11 2 4 5 2 3" xfId="53745"/>
    <cellStyle name="Normal 11 2 4 5 3" xfId="53746"/>
    <cellStyle name="Normal 11 2 4 5 3 2" xfId="53747"/>
    <cellStyle name="Normal 11 2 4 5 4" xfId="53748"/>
    <cellStyle name="Normal 11 2 4 5 5" xfId="53749"/>
    <cellStyle name="Normal 11 2 4 6" xfId="53750"/>
    <cellStyle name="Normal 11 2 4 6 2" xfId="53751"/>
    <cellStyle name="Normal 11 2 4 6 3" xfId="53752"/>
    <cellStyle name="Normal 11 2 4 7" xfId="53753"/>
    <cellStyle name="Normal 11 2 4 7 2" xfId="53754"/>
    <cellStyle name="Normal 11 2 4 7 3" xfId="53755"/>
    <cellStyle name="Normal 11 2 4 8" xfId="53756"/>
    <cellStyle name="Normal 11 2 4 8 2" xfId="53757"/>
    <cellStyle name="Normal 11 2 4 9" xfId="53758"/>
    <cellStyle name="Normal 11 2 5" xfId="9565"/>
    <cellStyle name="Normal 11 2 5 2" xfId="9566"/>
    <cellStyle name="Normal 11 2 5 2 2" xfId="53759"/>
    <cellStyle name="Normal 11 2 5 2 2 2" xfId="53760"/>
    <cellStyle name="Normal 11 2 5 2 2 3" xfId="53761"/>
    <cellStyle name="Normal 11 2 5 2 3" xfId="53762"/>
    <cellStyle name="Normal 11 2 5 2 3 2" xfId="53763"/>
    <cellStyle name="Normal 11 2 5 2 3 3" xfId="53764"/>
    <cellStyle name="Normal 11 2 5 2 4" xfId="53765"/>
    <cellStyle name="Normal 11 2 5 2 4 2" xfId="53766"/>
    <cellStyle name="Normal 11 2 5 2 5" xfId="53767"/>
    <cellStyle name="Normal 11 2 5 2 6" xfId="53768"/>
    <cellStyle name="Normal 11 2 5 3" xfId="53769"/>
    <cellStyle name="Normal 11 2 5 3 2" xfId="53770"/>
    <cellStyle name="Normal 11 2 5 3 2 2" xfId="53771"/>
    <cellStyle name="Normal 11 2 5 3 2 3" xfId="53772"/>
    <cellStyle name="Normal 11 2 5 3 3" xfId="53773"/>
    <cellStyle name="Normal 11 2 5 3 3 2" xfId="53774"/>
    <cellStyle name="Normal 11 2 5 3 3 3" xfId="53775"/>
    <cellStyle name="Normal 11 2 5 3 4" xfId="53776"/>
    <cellStyle name="Normal 11 2 5 3 4 2" xfId="53777"/>
    <cellStyle name="Normal 11 2 5 3 5" xfId="53778"/>
    <cellStyle name="Normal 11 2 5 3 6" xfId="53779"/>
    <cellStyle name="Normal 11 2 5 4" xfId="53780"/>
    <cellStyle name="Normal 11 2 5 4 2" xfId="53781"/>
    <cellStyle name="Normal 11 2 5 4 2 2" xfId="53782"/>
    <cellStyle name="Normal 11 2 5 4 2 3" xfId="53783"/>
    <cellStyle name="Normal 11 2 5 4 3" xfId="53784"/>
    <cellStyle name="Normal 11 2 5 4 3 2" xfId="53785"/>
    <cellStyle name="Normal 11 2 5 4 4" xfId="53786"/>
    <cellStyle name="Normal 11 2 5 4 5" xfId="53787"/>
    <cellStyle name="Normal 11 2 5 5" xfId="53788"/>
    <cellStyle name="Normal 11 2 5 5 2" xfId="53789"/>
    <cellStyle name="Normal 11 2 5 5 3" xfId="53790"/>
    <cellStyle name="Normal 11 2 5 6" xfId="53791"/>
    <cellStyle name="Normal 11 2 5 6 2" xfId="53792"/>
    <cellStyle name="Normal 11 2 5 6 3" xfId="53793"/>
    <cellStyle name="Normal 11 2 5 7" xfId="53794"/>
    <cellStyle name="Normal 11 2 5 7 2" xfId="53795"/>
    <cellStyle name="Normal 11 2 5 8" xfId="53796"/>
    <cellStyle name="Normal 11 2 5 9" xfId="53797"/>
    <cellStyle name="Normal 11 2 6" xfId="9567"/>
    <cellStyle name="Normal 11 2 6 2" xfId="53798"/>
    <cellStyle name="Normal 11 2 6 2 2" xfId="53799"/>
    <cellStyle name="Normal 11 2 6 2 2 2" xfId="53800"/>
    <cellStyle name="Normal 11 2 6 2 2 3" xfId="53801"/>
    <cellStyle name="Normal 11 2 6 2 3" xfId="53802"/>
    <cellStyle name="Normal 11 2 6 2 3 2" xfId="53803"/>
    <cellStyle name="Normal 11 2 6 2 3 3" xfId="53804"/>
    <cellStyle name="Normal 11 2 6 2 4" xfId="53805"/>
    <cellStyle name="Normal 11 2 6 2 4 2" xfId="53806"/>
    <cellStyle name="Normal 11 2 6 2 5" xfId="53807"/>
    <cellStyle name="Normal 11 2 6 2 6" xfId="53808"/>
    <cellStyle name="Normal 11 2 6 3" xfId="53809"/>
    <cellStyle name="Normal 11 2 6 3 2" xfId="53810"/>
    <cellStyle name="Normal 11 2 6 3 2 2" xfId="53811"/>
    <cellStyle name="Normal 11 2 6 3 2 3" xfId="53812"/>
    <cellStyle name="Normal 11 2 6 3 3" xfId="53813"/>
    <cellStyle name="Normal 11 2 6 3 3 2" xfId="53814"/>
    <cellStyle name="Normal 11 2 6 3 3 3" xfId="53815"/>
    <cellStyle name="Normal 11 2 6 3 4" xfId="53816"/>
    <cellStyle name="Normal 11 2 6 3 4 2" xfId="53817"/>
    <cellStyle name="Normal 11 2 6 3 5" xfId="53818"/>
    <cellStyle name="Normal 11 2 6 3 6" xfId="53819"/>
    <cellStyle name="Normal 11 2 6 4" xfId="53820"/>
    <cellStyle name="Normal 11 2 6 4 2" xfId="53821"/>
    <cellStyle name="Normal 11 2 6 4 2 2" xfId="53822"/>
    <cellStyle name="Normal 11 2 6 4 2 3" xfId="53823"/>
    <cellStyle name="Normal 11 2 6 4 3" xfId="53824"/>
    <cellStyle name="Normal 11 2 6 4 3 2" xfId="53825"/>
    <cellStyle name="Normal 11 2 6 4 4" xfId="53826"/>
    <cellStyle name="Normal 11 2 6 4 5" xfId="53827"/>
    <cellStyle name="Normal 11 2 6 5" xfId="53828"/>
    <cellStyle name="Normal 11 2 6 5 2" xfId="53829"/>
    <cellStyle name="Normal 11 2 6 5 3" xfId="53830"/>
    <cellStyle name="Normal 11 2 6 6" xfId="53831"/>
    <cellStyle name="Normal 11 2 6 6 2" xfId="53832"/>
    <cellStyle name="Normal 11 2 6 6 3" xfId="53833"/>
    <cellStyle name="Normal 11 2 6 7" xfId="53834"/>
    <cellStyle name="Normal 11 2 6 7 2" xfId="53835"/>
    <cellStyle name="Normal 11 2 6 8" xfId="53836"/>
    <cellStyle name="Normal 11 2 6 9" xfId="53837"/>
    <cellStyle name="Normal 11 2 7" xfId="53838"/>
    <cellStyle name="Normal 11 2 7 2" xfId="53839"/>
    <cellStyle name="Normal 11 2 7 2 2" xfId="53840"/>
    <cellStyle name="Normal 11 2 7 2 3" xfId="53841"/>
    <cellStyle name="Normal 11 2 7 3" xfId="53842"/>
    <cellStyle name="Normal 11 2 7 3 2" xfId="53843"/>
    <cellStyle name="Normal 11 2 7 3 3" xfId="53844"/>
    <cellStyle name="Normal 11 2 7 4" xfId="53845"/>
    <cellStyle name="Normal 11 2 7 4 2" xfId="53846"/>
    <cellStyle name="Normal 11 2 7 5" xfId="53847"/>
    <cellStyle name="Normal 11 2 7 6" xfId="53848"/>
    <cellStyle name="Normal 11 2 8" xfId="53849"/>
    <cellStyle name="Normal 11 2 8 2" xfId="53850"/>
    <cellStyle name="Normal 11 2 8 2 2" xfId="53851"/>
    <cellStyle name="Normal 11 2 8 2 3" xfId="53852"/>
    <cellStyle name="Normal 11 2 8 3" xfId="53853"/>
    <cellStyle name="Normal 11 2 8 3 2" xfId="53854"/>
    <cellStyle name="Normal 11 2 8 3 3" xfId="53855"/>
    <cellStyle name="Normal 11 2 8 4" xfId="53856"/>
    <cellStyle name="Normal 11 2 8 4 2" xfId="53857"/>
    <cellStyle name="Normal 11 2 8 5" xfId="53858"/>
    <cellStyle name="Normal 11 2 8 6" xfId="53859"/>
    <cellStyle name="Normal 11 2 9" xfId="53860"/>
    <cellStyle name="Normal 11 2 9 2" xfId="53861"/>
    <cellStyle name="Normal 11 2 9 2 2" xfId="53862"/>
    <cellStyle name="Normal 11 2 9 2 3" xfId="53863"/>
    <cellStyle name="Normal 11 2 9 3" xfId="53864"/>
    <cellStyle name="Normal 11 2 9 3 2" xfId="53865"/>
    <cellStyle name="Normal 11 2 9 4" xfId="53866"/>
    <cellStyle name="Normal 11 2 9 5" xfId="53867"/>
    <cellStyle name="Normal 11 3" xfId="9247"/>
    <cellStyle name="Normal 11 3 10" xfId="53868"/>
    <cellStyle name="Normal 11 3 10 2" xfId="53869"/>
    <cellStyle name="Normal 11 3 10 3" xfId="53870"/>
    <cellStyle name="Normal 11 3 11" xfId="53871"/>
    <cellStyle name="Normal 11 3 11 2" xfId="53872"/>
    <cellStyle name="Normal 11 3 12" xfId="53873"/>
    <cellStyle name="Normal 11 3 13" xfId="53874"/>
    <cellStyle name="Normal 11 3 2" xfId="9568"/>
    <cellStyle name="Normal 11 3 2 10" xfId="53875"/>
    <cellStyle name="Normal 11 3 2 10 2" xfId="53876"/>
    <cellStyle name="Normal 11 3 2 11" xfId="53877"/>
    <cellStyle name="Normal 11 3 2 12" xfId="53878"/>
    <cellStyle name="Normal 11 3 2 2" xfId="9569"/>
    <cellStyle name="Normal 11 3 2 2 10" xfId="53879"/>
    <cellStyle name="Normal 11 3 2 2 2" xfId="9570"/>
    <cellStyle name="Normal 11 3 2 2 2 2" xfId="9571"/>
    <cellStyle name="Normal 11 3 2 2 2 2 2" xfId="53880"/>
    <cellStyle name="Normal 11 3 2 2 2 2 2 2" xfId="53881"/>
    <cellStyle name="Normal 11 3 2 2 2 2 2 3" xfId="53882"/>
    <cellStyle name="Normal 11 3 2 2 2 2 3" xfId="53883"/>
    <cellStyle name="Normal 11 3 2 2 2 2 3 2" xfId="53884"/>
    <cellStyle name="Normal 11 3 2 2 2 2 3 3" xfId="53885"/>
    <cellStyle name="Normal 11 3 2 2 2 2 4" xfId="53886"/>
    <cellStyle name="Normal 11 3 2 2 2 2 4 2" xfId="53887"/>
    <cellStyle name="Normal 11 3 2 2 2 2 5" xfId="53888"/>
    <cellStyle name="Normal 11 3 2 2 2 2 6" xfId="53889"/>
    <cellStyle name="Normal 11 3 2 2 2 3" xfId="9572"/>
    <cellStyle name="Normal 11 3 2 2 2 3 2" xfId="53890"/>
    <cellStyle name="Normal 11 3 2 2 2 3 2 2" xfId="53891"/>
    <cellStyle name="Normal 11 3 2 2 2 3 2 3" xfId="53892"/>
    <cellStyle name="Normal 11 3 2 2 2 3 3" xfId="53893"/>
    <cellStyle name="Normal 11 3 2 2 2 3 3 2" xfId="53894"/>
    <cellStyle name="Normal 11 3 2 2 2 3 3 3" xfId="53895"/>
    <cellStyle name="Normal 11 3 2 2 2 3 4" xfId="53896"/>
    <cellStyle name="Normal 11 3 2 2 2 3 4 2" xfId="53897"/>
    <cellStyle name="Normal 11 3 2 2 2 3 5" xfId="53898"/>
    <cellStyle name="Normal 11 3 2 2 2 3 6" xfId="53899"/>
    <cellStyle name="Normal 11 3 2 2 2 4" xfId="53900"/>
    <cellStyle name="Normal 11 3 2 2 2 4 2" xfId="53901"/>
    <cellStyle name="Normal 11 3 2 2 2 4 2 2" xfId="53902"/>
    <cellStyle name="Normal 11 3 2 2 2 4 2 3" xfId="53903"/>
    <cellStyle name="Normal 11 3 2 2 2 4 3" xfId="53904"/>
    <cellStyle name="Normal 11 3 2 2 2 4 3 2" xfId="53905"/>
    <cellStyle name="Normal 11 3 2 2 2 4 4" xfId="53906"/>
    <cellStyle name="Normal 11 3 2 2 2 4 5" xfId="53907"/>
    <cellStyle name="Normal 11 3 2 2 2 5" xfId="53908"/>
    <cellStyle name="Normal 11 3 2 2 2 5 2" xfId="53909"/>
    <cellStyle name="Normal 11 3 2 2 2 5 3" xfId="53910"/>
    <cellStyle name="Normal 11 3 2 2 2 6" xfId="53911"/>
    <cellStyle name="Normal 11 3 2 2 2 6 2" xfId="53912"/>
    <cellStyle name="Normal 11 3 2 2 2 6 3" xfId="53913"/>
    <cellStyle name="Normal 11 3 2 2 2 7" xfId="53914"/>
    <cellStyle name="Normal 11 3 2 2 2 7 2" xfId="53915"/>
    <cellStyle name="Normal 11 3 2 2 2 8" xfId="53916"/>
    <cellStyle name="Normal 11 3 2 2 2 9" xfId="53917"/>
    <cellStyle name="Normal 11 3 2 2 3" xfId="9573"/>
    <cellStyle name="Normal 11 3 2 2 3 2" xfId="53918"/>
    <cellStyle name="Normal 11 3 2 2 3 2 2" xfId="53919"/>
    <cellStyle name="Normal 11 3 2 2 3 2 3" xfId="53920"/>
    <cellStyle name="Normal 11 3 2 2 3 3" xfId="53921"/>
    <cellStyle name="Normal 11 3 2 2 3 3 2" xfId="53922"/>
    <cellStyle name="Normal 11 3 2 2 3 3 3" xfId="53923"/>
    <cellStyle name="Normal 11 3 2 2 3 4" xfId="53924"/>
    <cellStyle name="Normal 11 3 2 2 3 4 2" xfId="53925"/>
    <cellStyle name="Normal 11 3 2 2 3 5" xfId="53926"/>
    <cellStyle name="Normal 11 3 2 2 3 6" xfId="53927"/>
    <cellStyle name="Normal 11 3 2 2 4" xfId="9574"/>
    <cellStyle name="Normal 11 3 2 2 4 2" xfId="53928"/>
    <cellStyle name="Normal 11 3 2 2 4 2 2" xfId="53929"/>
    <cellStyle name="Normal 11 3 2 2 4 2 3" xfId="53930"/>
    <cellStyle name="Normal 11 3 2 2 4 3" xfId="53931"/>
    <cellStyle name="Normal 11 3 2 2 4 3 2" xfId="53932"/>
    <cellStyle name="Normal 11 3 2 2 4 3 3" xfId="53933"/>
    <cellStyle name="Normal 11 3 2 2 4 4" xfId="53934"/>
    <cellStyle name="Normal 11 3 2 2 4 4 2" xfId="53935"/>
    <cellStyle name="Normal 11 3 2 2 4 5" xfId="53936"/>
    <cellStyle name="Normal 11 3 2 2 4 6" xfId="53937"/>
    <cellStyle name="Normal 11 3 2 2 5" xfId="9575"/>
    <cellStyle name="Normal 11 3 2 2 5 2" xfId="53938"/>
    <cellStyle name="Normal 11 3 2 2 5 2 2" xfId="53939"/>
    <cellStyle name="Normal 11 3 2 2 5 2 3" xfId="53940"/>
    <cellStyle name="Normal 11 3 2 2 5 3" xfId="53941"/>
    <cellStyle name="Normal 11 3 2 2 5 3 2" xfId="53942"/>
    <cellStyle name="Normal 11 3 2 2 5 4" xfId="53943"/>
    <cellStyle name="Normal 11 3 2 2 5 5" xfId="53944"/>
    <cellStyle name="Normal 11 3 2 2 6" xfId="53945"/>
    <cellStyle name="Normal 11 3 2 2 6 2" xfId="53946"/>
    <cellStyle name="Normal 11 3 2 2 6 3" xfId="53947"/>
    <cellStyle name="Normal 11 3 2 2 7" xfId="53948"/>
    <cellStyle name="Normal 11 3 2 2 7 2" xfId="53949"/>
    <cellStyle name="Normal 11 3 2 2 7 3" xfId="53950"/>
    <cellStyle name="Normal 11 3 2 2 8" xfId="53951"/>
    <cellStyle name="Normal 11 3 2 2 8 2" xfId="53952"/>
    <cellStyle name="Normal 11 3 2 2 9" xfId="53953"/>
    <cellStyle name="Normal 11 3 2 3" xfId="9576"/>
    <cellStyle name="Normal 11 3 2 3 2" xfId="9577"/>
    <cellStyle name="Normal 11 3 2 3 2 2" xfId="53954"/>
    <cellStyle name="Normal 11 3 2 3 2 2 2" xfId="53955"/>
    <cellStyle name="Normal 11 3 2 3 2 2 3" xfId="53956"/>
    <cellStyle name="Normal 11 3 2 3 2 3" xfId="53957"/>
    <cellStyle name="Normal 11 3 2 3 2 3 2" xfId="53958"/>
    <cellStyle name="Normal 11 3 2 3 2 3 3" xfId="53959"/>
    <cellStyle name="Normal 11 3 2 3 2 4" xfId="53960"/>
    <cellStyle name="Normal 11 3 2 3 2 4 2" xfId="53961"/>
    <cellStyle name="Normal 11 3 2 3 2 5" xfId="53962"/>
    <cellStyle name="Normal 11 3 2 3 2 6" xfId="53963"/>
    <cellStyle name="Normal 11 3 2 3 3" xfId="53964"/>
    <cellStyle name="Normal 11 3 2 3 3 2" xfId="53965"/>
    <cellStyle name="Normal 11 3 2 3 3 2 2" xfId="53966"/>
    <cellStyle name="Normal 11 3 2 3 3 2 3" xfId="53967"/>
    <cellStyle name="Normal 11 3 2 3 3 3" xfId="53968"/>
    <cellStyle name="Normal 11 3 2 3 3 3 2" xfId="53969"/>
    <cellStyle name="Normal 11 3 2 3 3 3 3" xfId="53970"/>
    <cellStyle name="Normal 11 3 2 3 3 4" xfId="53971"/>
    <cellStyle name="Normal 11 3 2 3 3 4 2" xfId="53972"/>
    <cellStyle name="Normal 11 3 2 3 3 5" xfId="53973"/>
    <cellStyle name="Normal 11 3 2 3 3 6" xfId="53974"/>
    <cellStyle name="Normal 11 3 2 3 4" xfId="53975"/>
    <cellStyle name="Normal 11 3 2 3 4 2" xfId="53976"/>
    <cellStyle name="Normal 11 3 2 3 4 2 2" xfId="53977"/>
    <cellStyle name="Normal 11 3 2 3 4 2 3" xfId="53978"/>
    <cellStyle name="Normal 11 3 2 3 4 3" xfId="53979"/>
    <cellStyle name="Normal 11 3 2 3 4 3 2" xfId="53980"/>
    <cellStyle name="Normal 11 3 2 3 4 4" xfId="53981"/>
    <cellStyle name="Normal 11 3 2 3 4 5" xfId="53982"/>
    <cellStyle name="Normal 11 3 2 3 5" xfId="53983"/>
    <cellStyle name="Normal 11 3 2 3 5 2" xfId="53984"/>
    <cellStyle name="Normal 11 3 2 3 5 3" xfId="53985"/>
    <cellStyle name="Normal 11 3 2 3 6" xfId="53986"/>
    <cellStyle name="Normal 11 3 2 3 6 2" xfId="53987"/>
    <cellStyle name="Normal 11 3 2 3 6 3" xfId="53988"/>
    <cellStyle name="Normal 11 3 2 3 7" xfId="53989"/>
    <cellStyle name="Normal 11 3 2 3 7 2" xfId="53990"/>
    <cellStyle name="Normal 11 3 2 3 8" xfId="53991"/>
    <cellStyle name="Normal 11 3 2 3 9" xfId="53992"/>
    <cellStyle name="Normal 11 3 2 4" xfId="9578"/>
    <cellStyle name="Normal 11 3 2 4 2" xfId="53993"/>
    <cellStyle name="Normal 11 3 2 4 2 2" xfId="53994"/>
    <cellStyle name="Normal 11 3 2 4 2 2 2" xfId="53995"/>
    <cellStyle name="Normal 11 3 2 4 2 2 3" xfId="53996"/>
    <cellStyle name="Normal 11 3 2 4 2 3" xfId="53997"/>
    <cellStyle name="Normal 11 3 2 4 2 3 2" xfId="53998"/>
    <cellStyle name="Normal 11 3 2 4 2 3 3" xfId="53999"/>
    <cellStyle name="Normal 11 3 2 4 2 4" xfId="54000"/>
    <cellStyle name="Normal 11 3 2 4 2 4 2" xfId="54001"/>
    <cellStyle name="Normal 11 3 2 4 2 5" xfId="54002"/>
    <cellStyle name="Normal 11 3 2 4 2 6" xfId="54003"/>
    <cellStyle name="Normal 11 3 2 4 3" xfId="54004"/>
    <cellStyle name="Normal 11 3 2 4 3 2" xfId="54005"/>
    <cellStyle name="Normal 11 3 2 4 3 2 2" xfId="54006"/>
    <cellStyle name="Normal 11 3 2 4 3 2 3" xfId="54007"/>
    <cellStyle name="Normal 11 3 2 4 3 3" xfId="54008"/>
    <cellStyle name="Normal 11 3 2 4 3 3 2" xfId="54009"/>
    <cellStyle name="Normal 11 3 2 4 3 3 3" xfId="54010"/>
    <cellStyle name="Normal 11 3 2 4 3 4" xfId="54011"/>
    <cellStyle name="Normal 11 3 2 4 3 4 2" xfId="54012"/>
    <cellStyle name="Normal 11 3 2 4 3 5" xfId="54013"/>
    <cellStyle name="Normal 11 3 2 4 3 6" xfId="54014"/>
    <cellStyle name="Normal 11 3 2 4 4" xfId="54015"/>
    <cellStyle name="Normal 11 3 2 4 4 2" xfId="54016"/>
    <cellStyle name="Normal 11 3 2 4 4 2 2" xfId="54017"/>
    <cellStyle name="Normal 11 3 2 4 4 2 3" xfId="54018"/>
    <cellStyle name="Normal 11 3 2 4 4 3" xfId="54019"/>
    <cellStyle name="Normal 11 3 2 4 4 3 2" xfId="54020"/>
    <cellStyle name="Normal 11 3 2 4 4 4" xfId="54021"/>
    <cellStyle name="Normal 11 3 2 4 4 5" xfId="54022"/>
    <cellStyle name="Normal 11 3 2 4 5" xfId="54023"/>
    <cellStyle name="Normal 11 3 2 4 5 2" xfId="54024"/>
    <cellStyle name="Normal 11 3 2 4 5 3" xfId="54025"/>
    <cellStyle name="Normal 11 3 2 4 6" xfId="54026"/>
    <cellStyle name="Normal 11 3 2 4 6 2" xfId="54027"/>
    <cellStyle name="Normal 11 3 2 4 6 3" xfId="54028"/>
    <cellStyle name="Normal 11 3 2 4 7" xfId="54029"/>
    <cellStyle name="Normal 11 3 2 4 7 2" xfId="54030"/>
    <cellStyle name="Normal 11 3 2 4 8" xfId="54031"/>
    <cellStyle name="Normal 11 3 2 4 9" xfId="54032"/>
    <cellStyle name="Normal 11 3 2 5" xfId="9579"/>
    <cellStyle name="Normal 11 3 2 5 2" xfId="54033"/>
    <cellStyle name="Normal 11 3 2 5 2 2" xfId="54034"/>
    <cellStyle name="Normal 11 3 2 5 2 3" xfId="54035"/>
    <cellStyle name="Normal 11 3 2 5 3" xfId="54036"/>
    <cellStyle name="Normal 11 3 2 5 3 2" xfId="54037"/>
    <cellStyle name="Normal 11 3 2 5 3 3" xfId="54038"/>
    <cellStyle name="Normal 11 3 2 5 4" xfId="54039"/>
    <cellStyle name="Normal 11 3 2 5 4 2" xfId="54040"/>
    <cellStyle name="Normal 11 3 2 5 5" xfId="54041"/>
    <cellStyle name="Normal 11 3 2 5 6" xfId="54042"/>
    <cellStyle name="Normal 11 3 2 6" xfId="54043"/>
    <cellStyle name="Normal 11 3 2 6 2" xfId="54044"/>
    <cellStyle name="Normal 11 3 2 6 2 2" xfId="54045"/>
    <cellStyle name="Normal 11 3 2 6 2 3" xfId="54046"/>
    <cellStyle name="Normal 11 3 2 6 3" xfId="54047"/>
    <cellStyle name="Normal 11 3 2 6 3 2" xfId="54048"/>
    <cellStyle name="Normal 11 3 2 6 3 3" xfId="54049"/>
    <cellStyle name="Normal 11 3 2 6 4" xfId="54050"/>
    <cellStyle name="Normal 11 3 2 6 4 2" xfId="54051"/>
    <cellStyle name="Normal 11 3 2 6 5" xfId="54052"/>
    <cellStyle name="Normal 11 3 2 6 6" xfId="54053"/>
    <cellStyle name="Normal 11 3 2 7" xfId="54054"/>
    <cellStyle name="Normal 11 3 2 7 2" xfId="54055"/>
    <cellStyle name="Normal 11 3 2 7 2 2" xfId="54056"/>
    <cellStyle name="Normal 11 3 2 7 2 3" xfId="54057"/>
    <cellStyle name="Normal 11 3 2 7 3" xfId="54058"/>
    <cellStyle name="Normal 11 3 2 7 3 2" xfId="54059"/>
    <cellStyle name="Normal 11 3 2 7 4" xfId="54060"/>
    <cellStyle name="Normal 11 3 2 7 5" xfId="54061"/>
    <cellStyle name="Normal 11 3 2 8" xfId="54062"/>
    <cellStyle name="Normal 11 3 2 8 2" xfId="54063"/>
    <cellStyle name="Normal 11 3 2 8 3" xfId="54064"/>
    <cellStyle name="Normal 11 3 2 9" xfId="54065"/>
    <cellStyle name="Normal 11 3 2 9 2" xfId="54066"/>
    <cellStyle name="Normal 11 3 2 9 3" xfId="54067"/>
    <cellStyle name="Normal 11 3 3" xfId="9580"/>
    <cellStyle name="Normal 11 3 3 10" xfId="54068"/>
    <cellStyle name="Normal 11 3 3 2" xfId="9581"/>
    <cellStyle name="Normal 11 3 3 2 2" xfId="54069"/>
    <cellStyle name="Normal 11 3 3 2 2 2" xfId="54070"/>
    <cellStyle name="Normal 11 3 3 2 2 2 2" xfId="54071"/>
    <cellStyle name="Normal 11 3 3 2 2 2 3" xfId="54072"/>
    <cellStyle name="Normal 11 3 3 2 2 3" xfId="54073"/>
    <cellStyle name="Normal 11 3 3 2 2 3 2" xfId="54074"/>
    <cellStyle name="Normal 11 3 3 2 2 3 3" xfId="54075"/>
    <cellStyle name="Normal 11 3 3 2 2 4" xfId="54076"/>
    <cellStyle name="Normal 11 3 3 2 2 4 2" xfId="54077"/>
    <cellStyle name="Normal 11 3 3 2 2 5" xfId="54078"/>
    <cellStyle name="Normal 11 3 3 2 2 6" xfId="54079"/>
    <cellStyle name="Normal 11 3 3 2 3" xfId="54080"/>
    <cellStyle name="Normal 11 3 3 2 3 2" xfId="54081"/>
    <cellStyle name="Normal 11 3 3 2 3 2 2" xfId="54082"/>
    <cellStyle name="Normal 11 3 3 2 3 2 3" xfId="54083"/>
    <cellStyle name="Normal 11 3 3 2 3 3" xfId="54084"/>
    <cellStyle name="Normal 11 3 3 2 3 3 2" xfId="54085"/>
    <cellStyle name="Normal 11 3 3 2 3 3 3" xfId="54086"/>
    <cellStyle name="Normal 11 3 3 2 3 4" xfId="54087"/>
    <cellStyle name="Normal 11 3 3 2 3 4 2" xfId="54088"/>
    <cellStyle name="Normal 11 3 3 2 3 5" xfId="54089"/>
    <cellStyle name="Normal 11 3 3 2 3 6" xfId="54090"/>
    <cellStyle name="Normal 11 3 3 2 4" xfId="54091"/>
    <cellStyle name="Normal 11 3 3 2 4 2" xfId="54092"/>
    <cellStyle name="Normal 11 3 3 2 4 2 2" xfId="54093"/>
    <cellStyle name="Normal 11 3 3 2 4 2 3" xfId="54094"/>
    <cellStyle name="Normal 11 3 3 2 4 3" xfId="54095"/>
    <cellStyle name="Normal 11 3 3 2 4 3 2" xfId="54096"/>
    <cellStyle name="Normal 11 3 3 2 4 4" xfId="54097"/>
    <cellStyle name="Normal 11 3 3 2 4 5" xfId="54098"/>
    <cellStyle name="Normal 11 3 3 2 5" xfId="54099"/>
    <cellStyle name="Normal 11 3 3 2 5 2" xfId="54100"/>
    <cellStyle name="Normal 11 3 3 2 5 3" xfId="54101"/>
    <cellStyle name="Normal 11 3 3 2 6" xfId="54102"/>
    <cellStyle name="Normal 11 3 3 2 6 2" xfId="54103"/>
    <cellStyle name="Normal 11 3 3 2 6 3" xfId="54104"/>
    <cellStyle name="Normal 11 3 3 2 7" xfId="54105"/>
    <cellStyle name="Normal 11 3 3 2 7 2" xfId="54106"/>
    <cellStyle name="Normal 11 3 3 2 8" xfId="54107"/>
    <cellStyle name="Normal 11 3 3 2 9" xfId="54108"/>
    <cellStyle name="Normal 11 3 3 3" xfId="54109"/>
    <cellStyle name="Normal 11 3 3 3 2" xfId="54110"/>
    <cellStyle name="Normal 11 3 3 3 2 2" xfId="54111"/>
    <cellStyle name="Normal 11 3 3 3 2 3" xfId="54112"/>
    <cellStyle name="Normal 11 3 3 3 3" xfId="54113"/>
    <cellStyle name="Normal 11 3 3 3 3 2" xfId="54114"/>
    <cellStyle name="Normal 11 3 3 3 3 3" xfId="54115"/>
    <cellStyle name="Normal 11 3 3 3 4" xfId="54116"/>
    <cellStyle name="Normal 11 3 3 3 4 2" xfId="54117"/>
    <cellStyle name="Normal 11 3 3 3 5" xfId="54118"/>
    <cellStyle name="Normal 11 3 3 3 6" xfId="54119"/>
    <cellStyle name="Normal 11 3 3 4" xfId="54120"/>
    <cellStyle name="Normal 11 3 3 4 2" xfId="54121"/>
    <cellStyle name="Normal 11 3 3 4 2 2" xfId="54122"/>
    <cellStyle name="Normal 11 3 3 4 2 3" xfId="54123"/>
    <cellStyle name="Normal 11 3 3 4 3" xfId="54124"/>
    <cellStyle name="Normal 11 3 3 4 3 2" xfId="54125"/>
    <cellStyle name="Normal 11 3 3 4 3 3" xfId="54126"/>
    <cellStyle name="Normal 11 3 3 4 4" xfId="54127"/>
    <cellStyle name="Normal 11 3 3 4 4 2" xfId="54128"/>
    <cellStyle name="Normal 11 3 3 4 5" xfId="54129"/>
    <cellStyle name="Normal 11 3 3 4 6" xfId="54130"/>
    <cellStyle name="Normal 11 3 3 5" xfId="54131"/>
    <cellStyle name="Normal 11 3 3 5 2" xfId="54132"/>
    <cellStyle name="Normal 11 3 3 5 2 2" xfId="54133"/>
    <cellStyle name="Normal 11 3 3 5 2 3" xfId="54134"/>
    <cellStyle name="Normal 11 3 3 5 3" xfId="54135"/>
    <cellStyle name="Normal 11 3 3 5 3 2" xfId="54136"/>
    <cellStyle name="Normal 11 3 3 5 4" xfId="54137"/>
    <cellStyle name="Normal 11 3 3 5 5" xfId="54138"/>
    <cellStyle name="Normal 11 3 3 6" xfId="54139"/>
    <cellStyle name="Normal 11 3 3 6 2" xfId="54140"/>
    <cellStyle name="Normal 11 3 3 6 3" xfId="54141"/>
    <cellStyle name="Normal 11 3 3 7" xfId="54142"/>
    <cellStyle name="Normal 11 3 3 7 2" xfId="54143"/>
    <cellStyle name="Normal 11 3 3 7 3" xfId="54144"/>
    <cellStyle name="Normal 11 3 3 8" xfId="54145"/>
    <cellStyle name="Normal 11 3 3 8 2" xfId="54146"/>
    <cellStyle name="Normal 11 3 3 9" xfId="54147"/>
    <cellStyle name="Normal 11 3 4" xfId="9582"/>
    <cellStyle name="Normal 11 3 4 2" xfId="9583"/>
    <cellStyle name="Normal 11 3 4 2 2" xfId="54148"/>
    <cellStyle name="Normal 11 3 4 2 2 2" xfId="54149"/>
    <cellStyle name="Normal 11 3 4 2 2 3" xfId="54150"/>
    <cellStyle name="Normal 11 3 4 2 3" xfId="54151"/>
    <cellStyle name="Normal 11 3 4 2 3 2" xfId="54152"/>
    <cellStyle name="Normal 11 3 4 2 3 3" xfId="54153"/>
    <cellStyle name="Normal 11 3 4 2 4" xfId="54154"/>
    <cellStyle name="Normal 11 3 4 2 4 2" xfId="54155"/>
    <cellStyle name="Normal 11 3 4 2 5" xfId="54156"/>
    <cellStyle name="Normal 11 3 4 2 6" xfId="54157"/>
    <cellStyle name="Normal 11 3 4 3" xfId="54158"/>
    <cellStyle name="Normal 11 3 4 3 2" xfId="54159"/>
    <cellStyle name="Normal 11 3 4 3 2 2" xfId="54160"/>
    <cellStyle name="Normal 11 3 4 3 2 3" xfId="54161"/>
    <cellStyle name="Normal 11 3 4 3 3" xfId="54162"/>
    <cellStyle name="Normal 11 3 4 3 3 2" xfId="54163"/>
    <cellStyle name="Normal 11 3 4 3 3 3" xfId="54164"/>
    <cellStyle name="Normal 11 3 4 3 4" xfId="54165"/>
    <cellStyle name="Normal 11 3 4 3 4 2" xfId="54166"/>
    <cellStyle name="Normal 11 3 4 3 5" xfId="54167"/>
    <cellStyle name="Normal 11 3 4 3 6" xfId="54168"/>
    <cellStyle name="Normal 11 3 4 4" xfId="54169"/>
    <cellStyle name="Normal 11 3 4 4 2" xfId="54170"/>
    <cellStyle name="Normal 11 3 4 4 2 2" xfId="54171"/>
    <cellStyle name="Normal 11 3 4 4 2 3" xfId="54172"/>
    <cellStyle name="Normal 11 3 4 4 3" xfId="54173"/>
    <cellStyle name="Normal 11 3 4 4 3 2" xfId="54174"/>
    <cellStyle name="Normal 11 3 4 4 4" xfId="54175"/>
    <cellStyle name="Normal 11 3 4 4 5" xfId="54176"/>
    <cellStyle name="Normal 11 3 4 5" xfId="54177"/>
    <cellStyle name="Normal 11 3 4 5 2" xfId="54178"/>
    <cellStyle name="Normal 11 3 4 5 3" xfId="54179"/>
    <cellStyle name="Normal 11 3 4 6" xfId="54180"/>
    <cellStyle name="Normal 11 3 4 6 2" xfId="54181"/>
    <cellStyle name="Normal 11 3 4 6 3" xfId="54182"/>
    <cellStyle name="Normal 11 3 4 7" xfId="54183"/>
    <cellStyle name="Normal 11 3 4 7 2" xfId="54184"/>
    <cellStyle name="Normal 11 3 4 8" xfId="54185"/>
    <cellStyle name="Normal 11 3 4 9" xfId="54186"/>
    <cellStyle name="Normal 11 3 5" xfId="9584"/>
    <cellStyle name="Normal 11 3 5 2" xfId="54187"/>
    <cellStyle name="Normal 11 3 5 2 2" xfId="54188"/>
    <cellStyle name="Normal 11 3 5 2 2 2" xfId="54189"/>
    <cellStyle name="Normal 11 3 5 2 2 3" xfId="54190"/>
    <cellStyle name="Normal 11 3 5 2 3" xfId="54191"/>
    <cellStyle name="Normal 11 3 5 2 3 2" xfId="54192"/>
    <cellStyle name="Normal 11 3 5 2 3 3" xfId="54193"/>
    <cellStyle name="Normal 11 3 5 2 4" xfId="54194"/>
    <cellStyle name="Normal 11 3 5 2 4 2" xfId="54195"/>
    <cellStyle name="Normal 11 3 5 2 5" xfId="54196"/>
    <cellStyle name="Normal 11 3 5 2 6" xfId="54197"/>
    <cellStyle name="Normal 11 3 5 3" xfId="54198"/>
    <cellStyle name="Normal 11 3 5 3 2" xfId="54199"/>
    <cellStyle name="Normal 11 3 5 3 2 2" xfId="54200"/>
    <cellStyle name="Normal 11 3 5 3 2 3" xfId="54201"/>
    <cellStyle name="Normal 11 3 5 3 3" xfId="54202"/>
    <cellStyle name="Normal 11 3 5 3 3 2" xfId="54203"/>
    <cellStyle name="Normal 11 3 5 3 3 3" xfId="54204"/>
    <cellStyle name="Normal 11 3 5 3 4" xfId="54205"/>
    <cellStyle name="Normal 11 3 5 3 4 2" xfId="54206"/>
    <cellStyle name="Normal 11 3 5 3 5" xfId="54207"/>
    <cellStyle name="Normal 11 3 5 3 6" xfId="54208"/>
    <cellStyle name="Normal 11 3 5 4" xfId="54209"/>
    <cellStyle name="Normal 11 3 5 4 2" xfId="54210"/>
    <cellStyle name="Normal 11 3 5 4 2 2" xfId="54211"/>
    <cellStyle name="Normal 11 3 5 4 2 3" xfId="54212"/>
    <cellStyle name="Normal 11 3 5 4 3" xfId="54213"/>
    <cellStyle name="Normal 11 3 5 4 3 2" xfId="54214"/>
    <cellStyle name="Normal 11 3 5 4 4" xfId="54215"/>
    <cellStyle name="Normal 11 3 5 4 5" xfId="54216"/>
    <cellStyle name="Normal 11 3 5 5" xfId="54217"/>
    <cellStyle name="Normal 11 3 5 5 2" xfId="54218"/>
    <cellStyle name="Normal 11 3 5 5 3" xfId="54219"/>
    <cellStyle name="Normal 11 3 5 6" xfId="54220"/>
    <cellStyle name="Normal 11 3 5 6 2" xfId="54221"/>
    <cellStyle name="Normal 11 3 5 6 3" xfId="54222"/>
    <cellStyle name="Normal 11 3 5 7" xfId="54223"/>
    <cellStyle name="Normal 11 3 5 7 2" xfId="54224"/>
    <cellStyle name="Normal 11 3 5 8" xfId="54225"/>
    <cellStyle name="Normal 11 3 5 9" xfId="54226"/>
    <cellStyle name="Normal 11 3 6" xfId="54227"/>
    <cellStyle name="Normal 11 3 6 2" xfId="54228"/>
    <cellStyle name="Normal 11 3 6 2 2" xfId="54229"/>
    <cellStyle name="Normal 11 3 6 2 3" xfId="54230"/>
    <cellStyle name="Normal 11 3 6 3" xfId="54231"/>
    <cellStyle name="Normal 11 3 6 3 2" xfId="54232"/>
    <cellStyle name="Normal 11 3 6 3 3" xfId="54233"/>
    <cellStyle name="Normal 11 3 6 4" xfId="54234"/>
    <cellStyle name="Normal 11 3 6 4 2" xfId="54235"/>
    <cellStyle name="Normal 11 3 6 5" xfId="54236"/>
    <cellStyle name="Normal 11 3 6 6" xfId="54237"/>
    <cellStyle name="Normal 11 3 7" xfId="54238"/>
    <cellStyle name="Normal 11 3 7 2" xfId="54239"/>
    <cellStyle name="Normal 11 3 7 2 2" xfId="54240"/>
    <cellStyle name="Normal 11 3 7 2 3" xfId="54241"/>
    <cellStyle name="Normal 11 3 7 3" xfId="54242"/>
    <cellStyle name="Normal 11 3 7 3 2" xfId="54243"/>
    <cellStyle name="Normal 11 3 7 3 3" xfId="54244"/>
    <cellStyle name="Normal 11 3 7 4" xfId="54245"/>
    <cellStyle name="Normal 11 3 7 4 2" xfId="54246"/>
    <cellStyle name="Normal 11 3 7 5" xfId="54247"/>
    <cellStyle name="Normal 11 3 7 6" xfId="54248"/>
    <cellStyle name="Normal 11 3 8" xfId="54249"/>
    <cellStyle name="Normal 11 3 8 2" xfId="54250"/>
    <cellStyle name="Normal 11 3 8 2 2" xfId="54251"/>
    <cellStyle name="Normal 11 3 8 2 3" xfId="54252"/>
    <cellStyle name="Normal 11 3 8 3" xfId="54253"/>
    <cellStyle name="Normal 11 3 8 3 2" xfId="54254"/>
    <cellStyle name="Normal 11 3 8 4" xfId="54255"/>
    <cellStyle name="Normal 11 3 8 5" xfId="54256"/>
    <cellStyle name="Normal 11 3 9" xfId="54257"/>
    <cellStyle name="Normal 11 3 9 2" xfId="54258"/>
    <cellStyle name="Normal 11 3 9 3" xfId="54259"/>
    <cellStyle name="Normal 11 4" xfId="9585"/>
    <cellStyle name="Normal 11 4 10" xfId="54260"/>
    <cellStyle name="Normal 11 4 10 2" xfId="54261"/>
    <cellStyle name="Normal 11 4 11" xfId="54262"/>
    <cellStyle name="Normal 11 4 12" xfId="54263"/>
    <cellStyle name="Normal 11 4 2" xfId="9586"/>
    <cellStyle name="Normal 11 4 2 10" xfId="54264"/>
    <cellStyle name="Normal 11 4 2 2" xfId="54265"/>
    <cellStyle name="Normal 11 4 2 2 2" xfId="54266"/>
    <cellStyle name="Normal 11 4 2 2 2 2" xfId="54267"/>
    <cellStyle name="Normal 11 4 2 2 2 2 2" xfId="54268"/>
    <cellStyle name="Normal 11 4 2 2 2 2 3" xfId="54269"/>
    <cellStyle name="Normal 11 4 2 2 2 3" xfId="54270"/>
    <cellStyle name="Normal 11 4 2 2 2 3 2" xfId="54271"/>
    <cellStyle name="Normal 11 4 2 2 2 3 3" xfId="54272"/>
    <cellStyle name="Normal 11 4 2 2 2 4" xfId="54273"/>
    <cellStyle name="Normal 11 4 2 2 2 4 2" xfId="54274"/>
    <cellStyle name="Normal 11 4 2 2 2 5" xfId="54275"/>
    <cellStyle name="Normal 11 4 2 2 2 6" xfId="54276"/>
    <cellStyle name="Normal 11 4 2 2 3" xfId="54277"/>
    <cellStyle name="Normal 11 4 2 2 3 2" xfId="54278"/>
    <cellStyle name="Normal 11 4 2 2 3 2 2" xfId="54279"/>
    <cellStyle name="Normal 11 4 2 2 3 2 3" xfId="54280"/>
    <cellStyle name="Normal 11 4 2 2 3 3" xfId="54281"/>
    <cellStyle name="Normal 11 4 2 2 3 3 2" xfId="54282"/>
    <cellStyle name="Normal 11 4 2 2 3 3 3" xfId="54283"/>
    <cellStyle name="Normal 11 4 2 2 3 4" xfId="54284"/>
    <cellStyle name="Normal 11 4 2 2 3 4 2" xfId="54285"/>
    <cellStyle name="Normal 11 4 2 2 3 5" xfId="54286"/>
    <cellStyle name="Normal 11 4 2 2 3 6" xfId="54287"/>
    <cellStyle name="Normal 11 4 2 2 4" xfId="54288"/>
    <cellStyle name="Normal 11 4 2 2 4 2" xfId="54289"/>
    <cellStyle name="Normal 11 4 2 2 4 2 2" xfId="54290"/>
    <cellStyle name="Normal 11 4 2 2 4 2 3" xfId="54291"/>
    <cellStyle name="Normal 11 4 2 2 4 3" xfId="54292"/>
    <cellStyle name="Normal 11 4 2 2 4 3 2" xfId="54293"/>
    <cellStyle name="Normal 11 4 2 2 4 4" xfId="54294"/>
    <cellStyle name="Normal 11 4 2 2 4 5" xfId="54295"/>
    <cellStyle name="Normal 11 4 2 2 5" xfId="54296"/>
    <cellStyle name="Normal 11 4 2 2 5 2" xfId="54297"/>
    <cellStyle name="Normal 11 4 2 2 5 3" xfId="54298"/>
    <cellStyle name="Normal 11 4 2 2 6" xfId="54299"/>
    <cellStyle name="Normal 11 4 2 2 6 2" xfId="54300"/>
    <cellStyle name="Normal 11 4 2 2 6 3" xfId="54301"/>
    <cellStyle name="Normal 11 4 2 2 7" xfId="54302"/>
    <cellStyle name="Normal 11 4 2 2 7 2" xfId="54303"/>
    <cellStyle name="Normal 11 4 2 2 8" xfId="54304"/>
    <cellStyle name="Normal 11 4 2 2 9" xfId="54305"/>
    <cellStyle name="Normal 11 4 2 3" xfId="54306"/>
    <cellStyle name="Normal 11 4 2 3 2" xfId="54307"/>
    <cellStyle name="Normal 11 4 2 3 2 2" xfId="54308"/>
    <cellStyle name="Normal 11 4 2 3 2 3" xfId="54309"/>
    <cellStyle name="Normal 11 4 2 3 3" xfId="54310"/>
    <cellStyle name="Normal 11 4 2 3 3 2" xfId="54311"/>
    <cellStyle name="Normal 11 4 2 3 3 3" xfId="54312"/>
    <cellStyle name="Normal 11 4 2 3 4" xfId="54313"/>
    <cellStyle name="Normal 11 4 2 3 4 2" xfId="54314"/>
    <cellStyle name="Normal 11 4 2 3 5" xfId="54315"/>
    <cellStyle name="Normal 11 4 2 3 6" xfId="54316"/>
    <cellStyle name="Normal 11 4 2 4" xfId="54317"/>
    <cellStyle name="Normal 11 4 2 4 2" xfId="54318"/>
    <cellStyle name="Normal 11 4 2 4 2 2" xfId="54319"/>
    <cellStyle name="Normal 11 4 2 4 2 3" xfId="54320"/>
    <cellStyle name="Normal 11 4 2 4 3" xfId="54321"/>
    <cellStyle name="Normal 11 4 2 4 3 2" xfId="54322"/>
    <cellStyle name="Normal 11 4 2 4 3 3" xfId="54323"/>
    <cellStyle name="Normal 11 4 2 4 4" xfId="54324"/>
    <cellStyle name="Normal 11 4 2 4 4 2" xfId="54325"/>
    <cellStyle name="Normal 11 4 2 4 5" xfId="54326"/>
    <cellStyle name="Normal 11 4 2 4 6" xfId="54327"/>
    <cellStyle name="Normal 11 4 2 5" xfId="54328"/>
    <cellStyle name="Normal 11 4 2 5 2" xfId="54329"/>
    <cellStyle name="Normal 11 4 2 5 2 2" xfId="54330"/>
    <cellStyle name="Normal 11 4 2 5 2 3" xfId="54331"/>
    <cellStyle name="Normal 11 4 2 5 3" xfId="54332"/>
    <cellStyle name="Normal 11 4 2 5 3 2" xfId="54333"/>
    <cellStyle name="Normal 11 4 2 5 4" xfId="54334"/>
    <cellStyle name="Normal 11 4 2 5 5" xfId="54335"/>
    <cellStyle name="Normal 11 4 2 6" xfId="54336"/>
    <cellStyle name="Normal 11 4 2 6 2" xfId="54337"/>
    <cellStyle name="Normal 11 4 2 6 3" xfId="54338"/>
    <cellStyle name="Normal 11 4 2 7" xfId="54339"/>
    <cellStyle name="Normal 11 4 2 7 2" xfId="54340"/>
    <cellStyle name="Normal 11 4 2 7 3" xfId="54341"/>
    <cellStyle name="Normal 11 4 2 8" xfId="54342"/>
    <cellStyle name="Normal 11 4 2 8 2" xfId="54343"/>
    <cellStyle name="Normal 11 4 2 9" xfId="54344"/>
    <cellStyle name="Normal 11 4 3" xfId="54345"/>
    <cellStyle name="Normal 11 4 3 2" xfId="54346"/>
    <cellStyle name="Normal 11 4 3 2 2" xfId="54347"/>
    <cellStyle name="Normal 11 4 3 2 2 2" xfId="54348"/>
    <cellStyle name="Normal 11 4 3 2 2 3" xfId="54349"/>
    <cellStyle name="Normal 11 4 3 2 3" xfId="54350"/>
    <cellStyle name="Normal 11 4 3 2 3 2" xfId="54351"/>
    <cellStyle name="Normal 11 4 3 2 3 3" xfId="54352"/>
    <cellStyle name="Normal 11 4 3 2 4" xfId="54353"/>
    <cellStyle name="Normal 11 4 3 2 4 2" xfId="54354"/>
    <cellStyle name="Normal 11 4 3 2 5" xfId="54355"/>
    <cellStyle name="Normal 11 4 3 2 6" xfId="54356"/>
    <cellStyle name="Normal 11 4 3 3" xfId="54357"/>
    <cellStyle name="Normal 11 4 3 3 2" xfId="54358"/>
    <cellStyle name="Normal 11 4 3 3 2 2" xfId="54359"/>
    <cellStyle name="Normal 11 4 3 3 2 3" xfId="54360"/>
    <cellStyle name="Normal 11 4 3 3 3" xfId="54361"/>
    <cellStyle name="Normal 11 4 3 3 3 2" xfId="54362"/>
    <cellStyle name="Normal 11 4 3 3 3 3" xfId="54363"/>
    <cellStyle name="Normal 11 4 3 3 4" xfId="54364"/>
    <cellStyle name="Normal 11 4 3 3 4 2" xfId="54365"/>
    <cellStyle name="Normal 11 4 3 3 5" xfId="54366"/>
    <cellStyle name="Normal 11 4 3 3 6" xfId="54367"/>
    <cellStyle name="Normal 11 4 3 4" xfId="54368"/>
    <cellStyle name="Normal 11 4 3 4 2" xfId="54369"/>
    <cellStyle name="Normal 11 4 3 4 2 2" xfId="54370"/>
    <cellStyle name="Normal 11 4 3 4 2 3" xfId="54371"/>
    <cellStyle name="Normal 11 4 3 4 3" xfId="54372"/>
    <cellStyle name="Normal 11 4 3 4 3 2" xfId="54373"/>
    <cellStyle name="Normal 11 4 3 4 4" xfId="54374"/>
    <cellStyle name="Normal 11 4 3 4 5" xfId="54375"/>
    <cellStyle name="Normal 11 4 3 5" xfId="54376"/>
    <cellStyle name="Normal 11 4 3 5 2" xfId="54377"/>
    <cellStyle name="Normal 11 4 3 5 3" xfId="54378"/>
    <cellStyle name="Normal 11 4 3 6" xfId="54379"/>
    <cellStyle name="Normal 11 4 3 6 2" xfId="54380"/>
    <cellStyle name="Normal 11 4 3 6 3" xfId="54381"/>
    <cellStyle name="Normal 11 4 3 7" xfId="54382"/>
    <cellStyle name="Normal 11 4 3 7 2" xfId="54383"/>
    <cellStyle name="Normal 11 4 3 8" xfId="54384"/>
    <cellStyle name="Normal 11 4 3 9" xfId="54385"/>
    <cellStyle name="Normal 11 4 4" xfId="54386"/>
    <cellStyle name="Normal 11 4 4 2" xfId="54387"/>
    <cellStyle name="Normal 11 4 4 2 2" xfId="54388"/>
    <cellStyle name="Normal 11 4 4 2 2 2" xfId="54389"/>
    <cellStyle name="Normal 11 4 4 2 2 3" xfId="54390"/>
    <cellStyle name="Normal 11 4 4 2 3" xfId="54391"/>
    <cellStyle name="Normal 11 4 4 2 3 2" xfId="54392"/>
    <cellStyle name="Normal 11 4 4 2 3 3" xfId="54393"/>
    <cellStyle name="Normal 11 4 4 2 4" xfId="54394"/>
    <cellStyle name="Normal 11 4 4 2 4 2" xfId="54395"/>
    <cellStyle name="Normal 11 4 4 2 5" xfId="54396"/>
    <cellStyle name="Normal 11 4 4 2 6" xfId="54397"/>
    <cellStyle name="Normal 11 4 4 3" xfId="54398"/>
    <cellStyle name="Normal 11 4 4 3 2" xfId="54399"/>
    <cellStyle name="Normal 11 4 4 3 2 2" xfId="54400"/>
    <cellStyle name="Normal 11 4 4 3 2 3" xfId="54401"/>
    <cellStyle name="Normal 11 4 4 3 3" xfId="54402"/>
    <cellStyle name="Normal 11 4 4 3 3 2" xfId="54403"/>
    <cellStyle name="Normal 11 4 4 3 3 3" xfId="54404"/>
    <cellStyle name="Normal 11 4 4 3 4" xfId="54405"/>
    <cellStyle name="Normal 11 4 4 3 4 2" xfId="54406"/>
    <cellStyle name="Normal 11 4 4 3 5" xfId="54407"/>
    <cellStyle name="Normal 11 4 4 3 6" xfId="54408"/>
    <cellStyle name="Normal 11 4 4 4" xfId="54409"/>
    <cellStyle name="Normal 11 4 4 4 2" xfId="54410"/>
    <cellStyle name="Normal 11 4 4 4 2 2" xfId="54411"/>
    <cellStyle name="Normal 11 4 4 4 2 3" xfId="54412"/>
    <cellStyle name="Normal 11 4 4 4 3" xfId="54413"/>
    <cellStyle name="Normal 11 4 4 4 3 2" xfId="54414"/>
    <cellStyle name="Normal 11 4 4 4 4" xfId="54415"/>
    <cellStyle name="Normal 11 4 4 4 5" xfId="54416"/>
    <cellStyle name="Normal 11 4 4 5" xfId="54417"/>
    <cellStyle name="Normal 11 4 4 5 2" xfId="54418"/>
    <cellStyle name="Normal 11 4 4 5 3" xfId="54419"/>
    <cellStyle name="Normal 11 4 4 6" xfId="54420"/>
    <cellStyle name="Normal 11 4 4 6 2" xfId="54421"/>
    <cellStyle name="Normal 11 4 4 6 3" xfId="54422"/>
    <cellStyle name="Normal 11 4 4 7" xfId="54423"/>
    <cellStyle name="Normal 11 4 4 7 2" xfId="54424"/>
    <cellStyle name="Normal 11 4 4 8" xfId="54425"/>
    <cellStyle name="Normal 11 4 4 9" xfId="54426"/>
    <cellStyle name="Normal 11 4 5" xfId="54427"/>
    <cellStyle name="Normal 11 4 5 2" xfId="54428"/>
    <cellStyle name="Normal 11 4 5 2 2" xfId="54429"/>
    <cellStyle name="Normal 11 4 5 2 3" xfId="54430"/>
    <cellStyle name="Normal 11 4 5 3" xfId="54431"/>
    <cellStyle name="Normal 11 4 5 3 2" xfId="54432"/>
    <cellStyle name="Normal 11 4 5 3 3" xfId="54433"/>
    <cellStyle name="Normal 11 4 5 4" xfId="54434"/>
    <cellStyle name="Normal 11 4 5 4 2" xfId="54435"/>
    <cellStyle name="Normal 11 4 5 5" xfId="54436"/>
    <cellStyle name="Normal 11 4 5 6" xfId="54437"/>
    <cellStyle name="Normal 11 4 6" xfId="54438"/>
    <cellStyle name="Normal 11 4 6 2" xfId="54439"/>
    <cellStyle name="Normal 11 4 6 2 2" xfId="54440"/>
    <cellStyle name="Normal 11 4 6 2 3" xfId="54441"/>
    <cellStyle name="Normal 11 4 6 3" xfId="54442"/>
    <cellStyle name="Normal 11 4 6 3 2" xfId="54443"/>
    <cellStyle name="Normal 11 4 6 3 3" xfId="54444"/>
    <cellStyle name="Normal 11 4 6 4" xfId="54445"/>
    <cellStyle name="Normal 11 4 6 4 2" xfId="54446"/>
    <cellStyle name="Normal 11 4 6 5" xfId="54447"/>
    <cellStyle name="Normal 11 4 6 6" xfId="54448"/>
    <cellStyle name="Normal 11 4 7" xfId="54449"/>
    <cellStyle name="Normal 11 4 7 2" xfId="54450"/>
    <cellStyle name="Normal 11 4 7 2 2" xfId="54451"/>
    <cellStyle name="Normal 11 4 7 2 3" xfId="54452"/>
    <cellStyle name="Normal 11 4 7 3" xfId="54453"/>
    <cellStyle name="Normal 11 4 7 3 2" xfId="54454"/>
    <cellStyle name="Normal 11 4 7 4" xfId="54455"/>
    <cellStyle name="Normal 11 4 7 5" xfId="54456"/>
    <cellStyle name="Normal 11 4 8" xfId="54457"/>
    <cellStyle name="Normal 11 4 8 2" xfId="54458"/>
    <cellStyle name="Normal 11 4 8 3" xfId="54459"/>
    <cellStyle name="Normal 11 4 9" xfId="54460"/>
    <cellStyle name="Normal 11 4 9 2" xfId="54461"/>
    <cellStyle name="Normal 11 4 9 3" xfId="54462"/>
    <cellStyle name="Normal 11 5" xfId="9587"/>
    <cellStyle name="Normal 11 5 10" xfId="54463"/>
    <cellStyle name="Normal 11 5 2" xfId="9588"/>
    <cellStyle name="Normal 11 5 2 2" xfId="54464"/>
    <cellStyle name="Normal 11 5 2 2 2" xfId="54465"/>
    <cellStyle name="Normal 11 5 2 2 2 2" xfId="54466"/>
    <cellStyle name="Normal 11 5 2 2 2 3" xfId="54467"/>
    <cellStyle name="Normal 11 5 2 2 3" xfId="54468"/>
    <cellStyle name="Normal 11 5 2 2 3 2" xfId="54469"/>
    <cellStyle name="Normal 11 5 2 2 3 3" xfId="54470"/>
    <cellStyle name="Normal 11 5 2 2 4" xfId="54471"/>
    <cellStyle name="Normal 11 5 2 2 4 2" xfId="54472"/>
    <cellStyle name="Normal 11 5 2 2 5" xfId="54473"/>
    <cellStyle name="Normal 11 5 2 2 6" xfId="54474"/>
    <cellStyle name="Normal 11 5 2 3" xfId="54475"/>
    <cellStyle name="Normal 11 5 2 3 2" xfId="54476"/>
    <cellStyle name="Normal 11 5 2 3 2 2" xfId="54477"/>
    <cellStyle name="Normal 11 5 2 3 2 3" xfId="54478"/>
    <cellStyle name="Normal 11 5 2 3 3" xfId="54479"/>
    <cellStyle name="Normal 11 5 2 3 3 2" xfId="54480"/>
    <cellStyle name="Normal 11 5 2 3 3 3" xfId="54481"/>
    <cellStyle name="Normal 11 5 2 3 4" xfId="54482"/>
    <cellStyle name="Normal 11 5 2 3 4 2" xfId="54483"/>
    <cellStyle name="Normal 11 5 2 3 5" xfId="54484"/>
    <cellStyle name="Normal 11 5 2 3 6" xfId="54485"/>
    <cellStyle name="Normal 11 5 2 4" xfId="54486"/>
    <cellStyle name="Normal 11 5 2 4 2" xfId="54487"/>
    <cellStyle name="Normal 11 5 2 4 2 2" xfId="54488"/>
    <cellStyle name="Normal 11 5 2 4 2 3" xfId="54489"/>
    <cellStyle name="Normal 11 5 2 4 3" xfId="54490"/>
    <cellStyle name="Normal 11 5 2 4 3 2" xfId="54491"/>
    <cellStyle name="Normal 11 5 2 4 4" xfId="54492"/>
    <cellStyle name="Normal 11 5 2 4 5" xfId="54493"/>
    <cellStyle name="Normal 11 5 2 5" xfId="54494"/>
    <cellStyle name="Normal 11 5 2 5 2" xfId="54495"/>
    <cellStyle name="Normal 11 5 2 5 3" xfId="54496"/>
    <cellStyle name="Normal 11 5 2 6" xfId="54497"/>
    <cellStyle name="Normal 11 5 2 6 2" xfId="54498"/>
    <cellStyle name="Normal 11 5 2 6 3" xfId="54499"/>
    <cellStyle name="Normal 11 5 2 7" xfId="54500"/>
    <cellStyle name="Normal 11 5 2 7 2" xfId="54501"/>
    <cellStyle name="Normal 11 5 2 8" xfId="54502"/>
    <cellStyle name="Normal 11 5 2 9" xfId="54503"/>
    <cellStyle name="Normal 11 5 3" xfId="54504"/>
    <cellStyle name="Normal 11 5 3 2" xfId="54505"/>
    <cellStyle name="Normal 11 5 3 2 2" xfId="54506"/>
    <cellStyle name="Normal 11 5 3 2 3" xfId="54507"/>
    <cellStyle name="Normal 11 5 3 3" xfId="54508"/>
    <cellStyle name="Normal 11 5 3 3 2" xfId="54509"/>
    <cellStyle name="Normal 11 5 3 3 3" xfId="54510"/>
    <cellStyle name="Normal 11 5 3 4" xfId="54511"/>
    <cellStyle name="Normal 11 5 3 4 2" xfId="54512"/>
    <cellStyle name="Normal 11 5 3 5" xfId="54513"/>
    <cellStyle name="Normal 11 5 3 6" xfId="54514"/>
    <cellStyle name="Normal 11 5 4" xfId="54515"/>
    <cellStyle name="Normal 11 5 4 2" xfId="54516"/>
    <cellStyle name="Normal 11 5 4 2 2" xfId="54517"/>
    <cellStyle name="Normal 11 5 4 2 3" xfId="54518"/>
    <cellStyle name="Normal 11 5 4 3" xfId="54519"/>
    <cellStyle name="Normal 11 5 4 3 2" xfId="54520"/>
    <cellStyle name="Normal 11 5 4 3 3" xfId="54521"/>
    <cellStyle name="Normal 11 5 4 4" xfId="54522"/>
    <cellStyle name="Normal 11 5 4 4 2" xfId="54523"/>
    <cellStyle name="Normal 11 5 4 5" xfId="54524"/>
    <cellStyle name="Normal 11 5 4 6" xfId="54525"/>
    <cellStyle name="Normal 11 5 5" xfId="54526"/>
    <cellStyle name="Normal 11 5 5 2" xfId="54527"/>
    <cellStyle name="Normal 11 5 5 2 2" xfId="54528"/>
    <cellStyle name="Normal 11 5 5 2 3" xfId="54529"/>
    <cellStyle name="Normal 11 5 5 3" xfId="54530"/>
    <cellStyle name="Normal 11 5 5 3 2" xfId="54531"/>
    <cellStyle name="Normal 11 5 5 4" xfId="54532"/>
    <cellStyle name="Normal 11 5 5 5" xfId="54533"/>
    <cellStyle name="Normal 11 5 6" xfId="54534"/>
    <cellStyle name="Normal 11 5 6 2" xfId="54535"/>
    <cellStyle name="Normal 11 5 6 3" xfId="54536"/>
    <cellStyle name="Normal 11 5 7" xfId="54537"/>
    <cellStyle name="Normal 11 5 7 2" xfId="54538"/>
    <cellStyle name="Normal 11 5 7 3" xfId="54539"/>
    <cellStyle name="Normal 11 5 8" xfId="54540"/>
    <cellStyle name="Normal 11 5 8 2" xfId="54541"/>
    <cellStyle name="Normal 11 5 9" xfId="54542"/>
    <cellStyle name="Normal 11 6" xfId="9589"/>
    <cellStyle name="Normal 11 6 2" xfId="9590"/>
    <cellStyle name="Normal 11 6 2 2" xfId="54543"/>
    <cellStyle name="Normal 11 6 2 2 2" xfId="54544"/>
    <cellStyle name="Normal 11 6 2 2 3" xfId="54545"/>
    <cellStyle name="Normal 11 6 2 3" xfId="54546"/>
    <cellStyle name="Normal 11 6 2 3 2" xfId="54547"/>
    <cellStyle name="Normal 11 6 2 3 3" xfId="54548"/>
    <cellStyle name="Normal 11 6 2 4" xfId="54549"/>
    <cellStyle name="Normal 11 6 2 4 2" xfId="54550"/>
    <cellStyle name="Normal 11 6 2 5" xfId="54551"/>
    <cellStyle name="Normal 11 6 2 6" xfId="54552"/>
    <cellStyle name="Normal 11 6 3" xfId="54553"/>
    <cellStyle name="Normal 11 6 3 2" xfId="54554"/>
    <cellStyle name="Normal 11 6 3 2 2" xfId="54555"/>
    <cellStyle name="Normal 11 6 3 2 3" xfId="54556"/>
    <cellStyle name="Normal 11 6 3 3" xfId="54557"/>
    <cellStyle name="Normal 11 6 3 3 2" xfId="54558"/>
    <cellStyle name="Normal 11 6 3 3 3" xfId="54559"/>
    <cellStyle name="Normal 11 6 3 4" xfId="54560"/>
    <cellStyle name="Normal 11 6 3 4 2" xfId="54561"/>
    <cellStyle name="Normal 11 6 3 5" xfId="54562"/>
    <cellStyle name="Normal 11 6 3 6" xfId="54563"/>
    <cellStyle name="Normal 11 6 4" xfId="54564"/>
    <cellStyle name="Normal 11 6 4 2" xfId="54565"/>
    <cellStyle name="Normal 11 6 4 2 2" xfId="54566"/>
    <cellStyle name="Normal 11 6 4 2 3" xfId="54567"/>
    <cellStyle name="Normal 11 6 4 3" xfId="54568"/>
    <cellStyle name="Normal 11 6 4 3 2" xfId="54569"/>
    <cellStyle name="Normal 11 6 4 4" xfId="54570"/>
    <cellStyle name="Normal 11 6 4 5" xfId="54571"/>
    <cellStyle name="Normal 11 6 5" xfId="54572"/>
    <cellStyle name="Normal 11 6 5 2" xfId="54573"/>
    <cellStyle name="Normal 11 6 5 3" xfId="54574"/>
    <cellStyle name="Normal 11 6 6" xfId="54575"/>
    <cellStyle name="Normal 11 6 6 2" xfId="54576"/>
    <cellStyle name="Normal 11 6 6 3" xfId="54577"/>
    <cellStyle name="Normal 11 6 7" xfId="54578"/>
    <cellStyle name="Normal 11 6 7 2" xfId="54579"/>
    <cellStyle name="Normal 11 6 8" xfId="54580"/>
    <cellStyle name="Normal 11 6 9" xfId="54581"/>
    <cellStyle name="Normal 11 7" xfId="9591"/>
    <cellStyle name="Normal 11 7 2" xfId="54582"/>
    <cellStyle name="Normal 11 7 2 2" xfId="54583"/>
    <cellStyle name="Normal 11 7 2 2 2" xfId="54584"/>
    <cellStyle name="Normal 11 7 2 2 3" xfId="54585"/>
    <cellStyle name="Normal 11 7 2 3" xfId="54586"/>
    <cellStyle name="Normal 11 7 2 3 2" xfId="54587"/>
    <cellStyle name="Normal 11 7 2 3 3" xfId="54588"/>
    <cellStyle name="Normal 11 7 2 4" xfId="54589"/>
    <cellStyle name="Normal 11 7 2 4 2" xfId="54590"/>
    <cellStyle name="Normal 11 7 2 5" xfId="54591"/>
    <cellStyle name="Normal 11 7 2 6" xfId="54592"/>
    <cellStyle name="Normal 11 7 3" xfId="54593"/>
    <cellStyle name="Normal 11 7 3 2" xfId="54594"/>
    <cellStyle name="Normal 11 7 3 2 2" xfId="54595"/>
    <cellStyle name="Normal 11 7 3 2 3" xfId="54596"/>
    <cellStyle name="Normal 11 7 3 3" xfId="54597"/>
    <cellStyle name="Normal 11 7 3 3 2" xfId="54598"/>
    <cellStyle name="Normal 11 7 3 3 3" xfId="54599"/>
    <cellStyle name="Normal 11 7 3 4" xfId="54600"/>
    <cellStyle name="Normal 11 7 3 4 2" xfId="54601"/>
    <cellStyle name="Normal 11 7 3 5" xfId="54602"/>
    <cellStyle name="Normal 11 7 3 6" xfId="54603"/>
    <cellStyle name="Normal 11 7 4" xfId="54604"/>
    <cellStyle name="Normal 11 7 4 2" xfId="54605"/>
    <cellStyle name="Normal 11 7 4 2 2" xfId="54606"/>
    <cellStyle name="Normal 11 7 4 2 3" xfId="54607"/>
    <cellStyle name="Normal 11 7 4 3" xfId="54608"/>
    <cellStyle name="Normal 11 7 4 3 2" xfId="54609"/>
    <cellStyle name="Normal 11 7 4 4" xfId="54610"/>
    <cellStyle name="Normal 11 7 4 5" xfId="54611"/>
    <cellStyle name="Normal 11 7 5" xfId="54612"/>
    <cellStyle name="Normal 11 7 5 2" xfId="54613"/>
    <cellStyle name="Normal 11 7 5 3" xfId="54614"/>
    <cellStyle name="Normal 11 7 6" xfId="54615"/>
    <cellStyle name="Normal 11 7 6 2" xfId="54616"/>
    <cellStyle name="Normal 11 7 6 3" xfId="54617"/>
    <cellStyle name="Normal 11 7 7" xfId="54618"/>
    <cellStyle name="Normal 11 7 7 2" xfId="54619"/>
    <cellStyle name="Normal 11 7 8" xfId="54620"/>
    <cellStyle name="Normal 11 7 9" xfId="54621"/>
    <cellStyle name="Normal 11 8" xfId="54622"/>
    <cellStyle name="Normal 11 8 2" xfId="54623"/>
    <cellStyle name="Normal 11 8 2 2" xfId="54624"/>
    <cellStyle name="Normal 11 8 2 3" xfId="54625"/>
    <cellStyle name="Normal 11 8 3" xfId="54626"/>
    <cellStyle name="Normal 11 8 3 2" xfId="54627"/>
    <cellStyle name="Normal 11 8 3 3" xfId="54628"/>
    <cellStyle name="Normal 11 8 4" xfId="54629"/>
    <cellStyle name="Normal 11 8 4 2" xfId="54630"/>
    <cellStyle name="Normal 11 8 5" xfId="54631"/>
    <cellStyle name="Normal 11 8 6" xfId="54632"/>
    <cellStyle name="Normal 11 9" xfId="54633"/>
    <cellStyle name="Normal 11 9 2" xfId="54634"/>
    <cellStyle name="Normal 11 9 2 2" xfId="54635"/>
    <cellStyle name="Normal 11 9 2 3" xfId="54636"/>
    <cellStyle name="Normal 11 9 3" xfId="54637"/>
    <cellStyle name="Normal 11 9 3 2" xfId="54638"/>
    <cellStyle name="Normal 11 9 3 3" xfId="54639"/>
    <cellStyle name="Normal 11 9 4" xfId="54640"/>
    <cellStyle name="Normal 11 9 4 2" xfId="54641"/>
    <cellStyle name="Normal 11 9 5" xfId="54642"/>
    <cellStyle name="Normal 11 9 6" xfId="54643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8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9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4"/>
    <cellStyle name="Normal 13 10 2" xfId="54645"/>
    <cellStyle name="Normal 13 10 3" xfId="54646"/>
    <cellStyle name="Normal 13 11" xfId="54647"/>
    <cellStyle name="Normal 13 11 2" xfId="54648"/>
    <cellStyle name="Normal 13 11 3" xfId="54649"/>
    <cellStyle name="Normal 13 12" xfId="54650"/>
    <cellStyle name="Normal 13 12 2" xfId="54651"/>
    <cellStyle name="Normal 13 13" xfId="54652"/>
    <cellStyle name="Normal 13 14" xfId="54653"/>
    <cellStyle name="Normal 13 15" xfId="54654"/>
    <cellStyle name="Normal 13 2" xfId="4468"/>
    <cellStyle name="Normal 13 2 10" xfId="54655"/>
    <cellStyle name="Normal 13 2 10 2" xfId="54656"/>
    <cellStyle name="Normal 13 2 10 3" xfId="54657"/>
    <cellStyle name="Normal 13 2 11" xfId="54658"/>
    <cellStyle name="Normal 13 2 11 2" xfId="54659"/>
    <cellStyle name="Normal 13 2 12" xfId="54660"/>
    <cellStyle name="Normal 13 2 13" xfId="54661"/>
    <cellStyle name="Normal 13 2 14" xfId="54662"/>
    <cellStyle name="Normal 13 2 2" xfId="8792"/>
    <cellStyle name="Normal 13 2 2 10" xfId="54663"/>
    <cellStyle name="Normal 13 2 2 10 2" xfId="54664"/>
    <cellStyle name="Normal 13 2 2 11" xfId="54665"/>
    <cellStyle name="Normal 13 2 2 12" xfId="54666"/>
    <cellStyle name="Normal 13 2 2 13" xfId="54667"/>
    <cellStyle name="Normal 13 2 2 2" xfId="9248"/>
    <cellStyle name="Normal 13 2 2 2 10" xfId="54668"/>
    <cellStyle name="Normal 13 2 2 2 2" xfId="54669"/>
    <cellStyle name="Normal 13 2 2 2 2 2" xfId="54670"/>
    <cellStyle name="Normal 13 2 2 2 2 2 2" xfId="54671"/>
    <cellStyle name="Normal 13 2 2 2 2 2 2 2" xfId="54672"/>
    <cellStyle name="Normal 13 2 2 2 2 2 2 3" xfId="54673"/>
    <cellStyle name="Normal 13 2 2 2 2 2 3" xfId="54674"/>
    <cellStyle name="Normal 13 2 2 2 2 2 3 2" xfId="54675"/>
    <cellStyle name="Normal 13 2 2 2 2 2 3 3" xfId="54676"/>
    <cellStyle name="Normal 13 2 2 2 2 2 4" xfId="54677"/>
    <cellStyle name="Normal 13 2 2 2 2 2 4 2" xfId="54678"/>
    <cellStyle name="Normal 13 2 2 2 2 2 5" xfId="54679"/>
    <cellStyle name="Normal 13 2 2 2 2 2 6" xfId="54680"/>
    <cellStyle name="Normal 13 2 2 2 2 3" xfId="54681"/>
    <cellStyle name="Normal 13 2 2 2 2 3 2" xfId="54682"/>
    <cellStyle name="Normal 13 2 2 2 2 3 2 2" xfId="54683"/>
    <cellStyle name="Normal 13 2 2 2 2 3 2 3" xfId="54684"/>
    <cellStyle name="Normal 13 2 2 2 2 3 3" xfId="54685"/>
    <cellStyle name="Normal 13 2 2 2 2 3 3 2" xfId="54686"/>
    <cellStyle name="Normal 13 2 2 2 2 3 3 3" xfId="54687"/>
    <cellStyle name="Normal 13 2 2 2 2 3 4" xfId="54688"/>
    <cellStyle name="Normal 13 2 2 2 2 3 4 2" xfId="54689"/>
    <cellStyle name="Normal 13 2 2 2 2 3 5" xfId="54690"/>
    <cellStyle name="Normal 13 2 2 2 2 3 6" xfId="54691"/>
    <cellStyle name="Normal 13 2 2 2 2 4" xfId="54692"/>
    <cellStyle name="Normal 13 2 2 2 2 4 2" xfId="54693"/>
    <cellStyle name="Normal 13 2 2 2 2 4 2 2" xfId="54694"/>
    <cellStyle name="Normal 13 2 2 2 2 4 2 3" xfId="54695"/>
    <cellStyle name="Normal 13 2 2 2 2 4 3" xfId="54696"/>
    <cellStyle name="Normal 13 2 2 2 2 4 3 2" xfId="54697"/>
    <cellStyle name="Normal 13 2 2 2 2 4 4" xfId="54698"/>
    <cellStyle name="Normal 13 2 2 2 2 4 5" xfId="54699"/>
    <cellStyle name="Normal 13 2 2 2 2 5" xfId="54700"/>
    <cellStyle name="Normal 13 2 2 2 2 5 2" xfId="54701"/>
    <cellStyle name="Normal 13 2 2 2 2 5 3" xfId="54702"/>
    <cellStyle name="Normal 13 2 2 2 2 6" xfId="54703"/>
    <cellStyle name="Normal 13 2 2 2 2 6 2" xfId="54704"/>
    <cellStyle name="Normal 13 2 2 2 2 6 3" xfId="54705"/>
    <cellStyle name="Normal 13 2 2 2 2 7" xfId="54706"/>
    <cellStyle name="Normal 13 2 2 2 2 7 2" xfId="54707"/>
    <cellStyle name="Normal 13 2 2 2 2 8" xfId="54708"/>
    <cellStyle name="Normal 13 2 2 2 2 9" xfId="54709"/>
    <cellStyle name="Normal 13 2 2 2 3" xfId="54710"/>
    <cellStyle name="Normal 13 2 2 2 3 2" xfId="54711"/>
    <cellStyle name="Normal 13 2 2 2 3 2 2" xfId="54712"/>
    <cellStyle name="Normal 13 2 2 2 3 2 3" xfId="54713"/>
    <cellStyle name="Normal 13 2 2 2 3 3" xfId="54714"/>
    <cellStyle name="Normal 13 2 2 2 3 3 2" xfId="54715"/>
    <cellStyle name="Normal 13 2 2 2 3 3 3" xfId="54716"/>
    <cellStyle name="Normal 13 2 2 2 3 4" xfId="54717"/>
    <cellStyle name="Normal 13 2 2 2 3 4 2" xfId="54718"/>
    <cellStyle name="Normal 13 2 2 2 3 5" xfId="54719"/>
    <cellStyle name="Normal 13 2 2 2 3 6" xfId="54720"/>
    <cellStyle name="Normal 13 2 2 2 4" xfId="54721"/>
    <cellStyle name="Normal 13 2 2 2 4 2" xfId="54722"/>
    <cellStyle name="Normal 13 2 2 2 4 2 2" xfId="54723"/>
    <cellStyle name="Normal 13 2 2 2 4 2 3" xfId="54724"/>
    <cellStyle name="Normal 13 2 2 2 4 3" xfId="54725"/>
    <cellStyle name="Normal 13 2 2 2 4 3 2" xfId="54726"/>
    <cellStyle name="Normal 13 2 2 2 4 3 3" xfId="54727"/>
    <cellStyle name="Normal 13 2 2 2 4 4" xfId="54728"/>
    <cellStyle name="Normal 13 2 2 2 4 4 2" xfId="54729"/>
    <cellStyle name="Normal 13 2 2 2 4 5" xfId="54730"/>
    <cellStyle name="Normal 13 2 2 2 4 6" xfId="54731"/>
    <cellStyle name="Normal 13 2 2 2 5" xfId="54732"/>
    <cellStyle name="Normal 13 2 2 2 5 2" xfId="54733"/>
    <cellStyle name="Normal 13 2 2 2 5 2 2" xfId="54734"/>
    <cellStyle name="Normal 13 2 2 2 5 2 3" xfId="54735"/>
    <cellStyle name="Normal 13 2 2 2 5 3" xfId="54736"/>
    <cellStyle name="Normal 13 2 2 2 5 3 2" xfId="54737"/>
    <cellStyle name="Normal 13 2 2 2 5 4" xfId="54738"/>
    <cellStyle name="Normal 13 2 2 2 5 5" xfId="54739"/>
    <cellStyle name="Normal 13 2 2 2 6" xfId="54740"/>
    <cellStyle name="Normal 13 2 2 2 6 2" xfId="54741"/>
    <cellStyle name="Normal 13 2 2 2 6 3" xfId="54742"/>
    <cellStyle name="Normal 13 2 2 2 7" xfId="54743"/>
    <cellStyle name="Normal 13 2 2 2 7 2" xfId="54744"/>
    <cellStyle name="Normal 13 2 2 2 7 3" xfId="54745"/>
    <cellStyle name="Normal 13 2 2 2 8" xfId="54746"/>
    <cellStyle name="Normal 13 2 2 2 8 2" xfId="54747"/>
    <cellStyle name="Normal 13 2 2 2 9" xfId="54748"/>
    <cellStyle name="Normal 13 2 2 3" xfId="54749"/>
    <cellStyle name="Normal 13 2 2 3 2" xfId="54750"/>
    <cellStyle name="Normal 13 2 2 3 2 2" xfId="54751"/>
    <cellStyle name="Normal 13 2 2 3 2 2 2" xfId="54752"/>
    <cellStyle name="Normal 13 2 2 3 2 2 3" xfId="54753"/>
    <cellStyle name="Normal 13 2 2 3 2 3" xfId="54754"/>
    <cellStyle name="Normal 13 2 2 3 2 3 2" xfId="54755"/>
    <cellStyle name="Normal 13 2 2 3 2 3 3" xfId="54756"/>
    <cellStyle name="Normal 13 2 2 3 2 4" xfId="54757"/>
    <cellStyle name="Normal 13 2 2 3 2 4 2" xfId="54758"/>
    <cellStyle name="Normal 13 2 2 3 2 5" xfId="54759"/>
    <cellStyle name="Normal 13 2 2 3 2 6" xfId="54760"/>
    <cellStyle name="Normal 13 2 2 3 3" xfId="54761"/>
    <cellStyle name="Normal 13 2 2 3 3 2" xfId="54762"/>
    <cellStyle name="Normal 13 2 2 3 3 2 2" xfId="54763"/>
    <cellStyle name="Normal 13 2 2 3 3 2 3" xfId="54764"/>
    <cellStyle name="Normal 13 2 2 3 3 3" xfId="54765"/>
    <cellStyle name="Normal 13 2 2 3 3 3 2" xfId="54766"/>
    <cellStyle name="Normal 13 2 2 3 3 3 3" xfId="54767"/>
    <cellStyle name="Normal 13 2 2 3 3 4" xfId="54768"/>
    <cellStyle name="Normal 13 2 2 3 3 4 2" xfId="54769"/>
    <cellStyle name="Normal 13 2 2 3 3 5" xfId="54770"/>
    <cellStyle name="Normal 13 2 2 3 3 6" xfId="54771"/>
    <cellStyle name="Normal 13 2 2 3 4" xfId="54772"/>
    <cellStyle name="Normal 13 2 2 3 4 2" xfId="54773"/>
    <cellStyle name="Normal 13 2 2 3 4 2 2" xfId="54774"/>
    <cellStyle name="Normal 13 2 2 3 4 2 3" xfId="54775"/>
    <cellStyle name="Normal 13 2 2 3 4 3" xfId="54776"/>
    <cellStyle name="Normal 13 2 2 3 4 3 2" xfId="54777"/>
    <cellStyle name="Normal 13 2 2 3 4 4" xfId="54778"/>
    <cellStyle name="Normal 13 2 2 3 4 5" xfId="54779"/>
    <cellStyle name="Normal 13 2 2 3 5" xfId="54780"/>
    <cellStyle name="Normal 13 2 2 3 5 2" xfId="54781"/>
    <cellStyle name="Normal 13 2 2 3 5 3" xfId="54782"/>
    <cellStyle name="Normal 13 2 2 3 6" xfId="54783"/>
    <cellStyle name="Normal 13 2 2 3 6 2" xfId="54784"/>
    <cellStyle name="Normal 13 2 2 3 6 3" xfId="54785"/>
    <cellStyle name="Normal 13 2 2 3 7" xfId="54786"/>
    <cellStyle name="Normal 13 2 2 3 7 2" xfId="54787"/>
    <cellStyle name="Normal 13 2 2 3 8" xfId="54788"/>
    <cellStyle name="Normal 13 2 2 3 9" xfId="54789"/>
    <cellStyle name="Normal 13 2 2 4" xfId="54790"/>
    <cellStyle name="Normal 13 2 2 4 2" xfId="54791"/>
    <cellStyle name="Normal 13 2 2 4 2 2" xfId="54792"/>
    <cellStyle name="Normal 13 2 2 4 2 2 2" xfId="54793"/>
    <cellStyle name="Normal 13 2 2 4 2 2 3" xfId="54794"/>
    <cellStyle name="Normal 13 2 2 4 2 3" xfId="54795"/>
    <cellStyle name="Normal 13 2 2 4 2 3 2" xfId="54796"/>
    <cellStyle name="Normal 13 2 2 4 2 3 3" xfId="54797"/>
    <cellStyle name="Normal 13 2 2 4 2 4" xfId="54798"/>
    <cellStyle name="Normal 13 2 2 4 2 4 2" xfId="54799"/>
    <cellStyle name="Normal 13 2 2 4 2 5" xfId="54800"/>
    <cellStyle name="Normal 13 2 2 4 2 6" xfId="54801"/>
    <cellStyle name="Normal 13 2 2 4 3" xfId="54802"/>
    <cellStyle name="Normal 13 2 2 4 3 2" xfId="54803"/>
    <cellStyle name="Normal 13 2 2 4 3 2 2" xfId="54804"/>
    <cellStyle name="Normal 13 2 2 4 3 2 3" xfId="54805"/>
    <cellStyle name="Normal 13 2 2 4 3 3" xfId="54806"/>
    <cellStyle name="Normal 13 2 2 4 3 3 2" xfId="54807"/>
    <cellStyle name="Normal 13 2 2 4 3 3 3" xfId="54808"/>
    <cellStyle name="Normal 13 2 2 4 3 4" xfId="54809"/>
    <cellStyle name="Normal 13 2 2 4 3 4 2" xfId="54810"/>
    <cellStyle name="Normal 13 2 2 4 3 5" xfId="54811"/>
    <cellStyle name="Normal 13 2 2 4 3 6" xfId="54812"/>
    <cellStyle name="Normal 13 2 2 4 4" xfId="54813"/>
    <cellStyle name="Normal 13 2 2 4 4 2" xfId="54814"/>
    <cellStyle name="Normal 13 2 2 4 4 2 2" xfId="54815"/>
    <cellStyle name="Normal 13 2 2 4 4 2 3" xfId="54816"/>
    <cellStyle name="Normal 13 2 2 4 4 3" xfId="54817"/>
    <cellStyle name="Normal 13 2 2 4 4 3 2" xfId="54818"/>
    <cellStyle name="Normal 13 2 2 4 4 4" xfId="54819"/>
    <cellStyle name="Normal 13 2 2 4 4 5" xfId="54820"/>
    <cellStyle name="Normal 13 2 2 4 5" xfId="54821"/>
    <cellStyle name="Normal 13 2 2 4 5 2" xfId="54822"/>
    <cellStyle name="Normal 13 2 2 4 5 3" xfId="54823"/>
    <cellStyle name="Normal 13 2 2 4 6" xfId="54824"/>
    <cellStyle name="Normal 13 2 2 4 6 2" xfId="54825"/>
    <cellStyle name="Normal 13 2 2 4 6 3" xfId="54826"/>
    <cellStyle name="Normal 13 2 2 4 7" xfId="54827"/>
    <cellStyle name="Normal 13 2 2 4 7 2" xfId="54828"/>
    <cellStyle name="Normal 13 2 2 4 8" xfId="54829"/>
    <cellStyle name="Normal 13 2 2 4 9" xfId="54830"/>
    <cellStyle name="Normal 13 2 2 5" xfId="54831"/>
    <cellStyle name="Normal 13 2 2 5 2" xfId="54832"/>
    <cellStyle name="Normal 13 2 2 5 2 2" xfId="54833"/>
    <cellStyle name="Normal 13 2 2 5 2 3" xfId="54834"/>
    <cellStyle name="Normal 13 2 2 5 3" xfId="54835"/>
    <cellStyle name="Normal 13 2 2 5 3 2" xfId="54836"/>
    <cellStyle name="Normal 13 2 2 5 3 3" xfId="54837"/>
    <cellStyle name="Normal 13 2 2 5 4" xfId="54838"/>
    <cellStyle name="Normal 13 2 2 5 4 2" xfId="54839"/>
    <cellStyle name="Normal 13 2 2 5 5" xfId="54840"/>
    <cellStyle name="Normal 13 2 2 5 6" xfId="54841"/>
    <cellStyle name="Normal 13 2 2 6" xfId="54842"/>
    <cellStyle name="Normal 13 2 2 6 2" xfId="54843"/>
    <cellStyle name="Normal 13 2 2 6 2 2" xfId="54844"/>
    <cellStyle name="Normal 13 2 2 6 2 3" xfId="54845"/>
    <cellStyle name="Normal 13 2 2 6 3" xfId="54846"/>
    <cellStyle name="Normal 13 2 2 6 3 2" xfId="54847"/>
    <cellStyle name="Normal 13 2 2 6 3 3" xfId="54848"/>
    <cellStyle name="Normal 13 2 2 6 4" xfId="54849"/>
    <cellStyle name="Normal 13 2 2 6 4 2" xfId="54850"/>
    <cellStyle name="Normal 13 2 2 6 5" xfId="54851"/>
    <cellStyle name="Normal 13 2 2 6 6" xfId="54852"/>
    <cellStyle name="Normal 13 2 2 7" xfId="54853"/>
    <cellStyle name="Normal 13 2 2 7 2" xfId="54854"/>
    <cellStyle name="Normal 13 2 2 7 2 2" xfId="54855"/>
    <cellStyle name="Normal 13 2 2 7 2 3" xfId="54856"/>
    <cellStyle name="Normal 13 2 2 7 3" xfId="54857"/>
    <cellStyle name="Normal 13 2 2 7 3 2" xfId="54858"/>
    <cellStyle name="Normal 13 2 2 7 4" xfId="54859"/>
    <cellStyle name="Normal 13 2 2 7 5" xfId="54860"/>
    <cellStyle name="Normal 13 2 2 8" xfId="54861"/>
    <cellStyle name="Normal 13 2 2 8 2" xfId="54862"/>
    <cellStyle name="Normal 13 2 2 8 3" xfId="54863"/>
    <cellStyle name="Normal 13 2 2 9" xfId="54864"/>
    <cellStyle name="Normal 13 2 2 9 2" xfId="54865"/>
    <cellStyle name="Normal 13 2 2 9 3" xfId="54866"/>
    <cellStyle name="Normal 13 2 3" xfId="9249"/>
    <cellStyle name="Normal 13 2 3 10" xfId="54867"/>
    <cellStyle name="Normal 13 2 3 2" xfId="54868"/>
    <cellStyle name="Normal 13 2 3 2 2" xfId="54869"/>
    <cellStyle name="Normal 13 2 3 2 2 2" xfId="54870"/>
    <cellStyle name="Normal 13 2 3 2 2 2 2" xfId="54871"/>
    <cellStyle name="Normal 13 2 3 2 2 2 3" xfId="54872"/>
    <cellStyle name="Normal 13 2 3 2 2 3" xfId="54873"/>
    <cellStyle name="Normal 13 2 3 2 2 3 2" xfId="54874"/>
    <cellStyle name="Normal 13 2 3 2 2 3 3" xfId="54875"/>
    <cellStyle name="Normal 13 2 3 2 2 4" xfId="54876"/>
    <cellStyle name="Normal 13 2 3 2 2 4 2" xfId="54877"/>
    <cellStyle name="Normal 13 2 3 2 2 5" xfId="54878"/>
    <cellStyle name="Normal 13 2 3 2 2 6" xfId="54879"/>
    <cellStyle name="Normal 13 2 3 2 3" xfId="54880"/>
    <cellStyle name="Normal 13 2 3 2 3 2" xfId="54881"/>
    <cellStyle name="Normal 13 2 3 2 3 2 2" xfId="54882"/>
    <cellStyle name="Normal 13 2 3 2 3 2 3" xfId="54883"/>
    <cellStyle name="Normal 13 2 3 2 3 3" xfId="54884"/>
    <cellStyle name="Normal 13 2 3 2 3 3 2" xfId="54885"/>
    <cellStyle name="Normal 13 2 3 2 3 3 3" xfId="54886"/>
    <cellStyle name="Normal 13 2 3 2 3 4" xfId="54887"/>
    <cellStyle name="Normal 13 2 3 2 3 4 2" xfId="54888"/>
    <cellStyle name="Normal 13 2 3 2 3 5" xfId="54889"/>
    <cellStyle name="Normal 13 2 3 2 3 6" xfId="54890"/>
    <cellStyle name="Normal 13 2 3 2 4" xfId="54891"/>
    <cellStyle name="Normal 13 2 3 2 4 2" xfId="54892"/>
    <cellStyle name="Normal 13 2 3 2 4 2 2" xfId="54893"/>
    <cellStyle name="Normal 13 2 3 2 4 2 3" xfId="54894"/>
    <cellStyle name="Normal 13 2 3 2 4 3" xfId="54895"/>
    <cellStyle name="Normal 13 2 3 2 4 3 2" xfId="54896"/>
    <cellStyle name="Normal 13 2 3 2 4 4" xfId="54897"/>
    <cellStyle name="Normal 13 2 3 2 4 5" xfId="54898"/>
    <cellStyle name="Normal 13 2 3 2 5" xfId="54899"/>
    <cellStyle name="Normal 13 2 3 2 5 2" xfId="54900"/>
    <cellStyle name="Normal 13 2 3 2 5 3" xfId="54901"/>
    <cellStyle name="Normal 13 2 3 2 6" xfId="54902"/>
    <cellStyle name="Normal 13 2 3 2 6 2" xfId="54903"/>
    <cellStyle name="Normal 13 2 3 2 6 3" xfId="54904"/>
    <cellStyle name="Normal 13 2 3 2 7" xfId="54905"/>
    <cellStyle name="Normal 13 2 3 2 7 2" xfId="54906"/>
    <cellStyle name="Normal 13 2 3 2 8" xfId="54907"/>
    <cellStyle name="Normal 13 2 3 2 9" xfId="54908"/>
    <cellStyle name="Normal 13 2 3 3" xfId="54909"/>
    <cellStyle name="Normal 13 2 3 3 2" xfId="54910"/>
    <cellStyle name="Normal 13 2 3 3 2 2" xfId="54911"/>
    <cellStyle name="Normal 13 2 3 3 2 3" xfId="54912"/>
    <cellStyle name="Normal 13 2 3 3 3" xfId="54913"/>
    <cellStyle name="Normal 13 2 3 3 3 2" xfId="54914"/>
    <cellStyle name="Normal 13 2 3 3 3 3" xfId="54915"/>
    <cellStyle name="Normal 13 2 3 3 4" xfId="54916"/>
    <cellStyle name="Normal 13 2 3 3 4 2" xfId="54917"/>
    <cellStyle name="Normal 13 2 3 3 5" xfId="54918"/>
    <cellStyle name="Normal 13 2 3 3 6" xfId="54919"/>
    <cellStyle name="Normal 13 2 3 4" xfId="54920"/>
    <cellStyle name="Normal 13 2 3 4 2" xfId="54921"/>
    <cellStyle name="Normal 13 2 3 4 2 2" xfId="54922"/>
    <cellStyle name="Normal 13 2 3 4 2 3" xfId="54923"/>
    <cellStyle name="Normal 13 2 3 4 3" xfId="54924"/>
    <cellStyle name="Normal 13 2 3 4 3 2" xfId="54925"/>
    <cellStyle name="Normal 13 2 3 4 3 3" xfId="54926"/>
    <cellStyle name="Normal 13 2 3 4 4" xfId="54927"/>
    <cellStyle name="Normal 13 2 3 4 4 2" xfId="54928"/>
    <cellStyle name="Normal 13 2 3 4 5" xfId="54929"/>
    <cellStyle name="Normal 13 2 3 4 6" xfId="54930"/>
    <cellStyle name="Normal 13 2 3 5" xfId="54931"/>
    <cellStyle name="Normal 13 2 3 5 2" xfId="54932"/>
    <cellStyle name="Normal 13 2 3 5 2 2" xfId="54933"/>
    <cellStyle name="Normal 13 2 3 5 2 3" xfId="54934"/>
    <cellStyle name="Normal 13 2 3 5 3" xfId="54935"/>
    <cellStyle name="Normal 13 2 3 5 3 2" xfId="54936"/>
    <cellStyle name="Normal 13 2 3 5 4" xfId="54937"/>
    <cellStyle name="Normal 13 2 3 5 5" xfId="54938"/>
    <cellStyle name="Normal 13 2 3 6" xfId="54939"/>
    <cellStyle name="Normal 13 2 3 6 2" xfId="54940"/>
    <cellStyle name="Normal 13 2 3 6 3" xfId="54941"/>
    <cellStyle name="Normal 13 2 3 7" xfId="54942"/>
    <cellStyle name="Normal 13 2 3 7 2" xfId="54943"/>
    <cellStyle name="Normal 13 2 3 7 3" xfId="54944"/>
    <cellStyle name="Normal 13 2 3 8" xfId="54945"/>
    <cellStyle name="Normal 13 2 3 8 2" xfId="54946"/>
    <cellStyle name="Normal 13 2 3 9" xfId="54947"/>
    <cellStyle name="Normal 13 2 4" xfId="9250"/>
    <cellStyle name="Normal 13 2 4 2" xfId="54948"/>
    <cellStyle name="Normal 13 2 4 2 2" xfId="54949"/>
    <cellStyle name="Normal 13 2 4 2 2 2" xfId="54950"/>
    <cellStyle name="Normal 13 2 4 2 2 3" xfId="54951"/>
    <cellStyle name="Normal 13 2 4 2 3" xfId="54952"/>
    <cellStyle name="Normal 13 2 4 2 3 2" xfId="54953"/>
    <cellStyle name="Normal 13 2 4 2 3 3" xfId="54954"/>
    <cellStyle name="Normal 13 2 4 2 4" xfId="54955"/>
    <cellStyle name="Normal 13 2 4 2 4 2" xfId="54956"/>
    <cellStyle name="Normal 13 2 4 2 5" xfId="54957"/>
    <cellStyle name="Normal 13 2 4 2 6" xfId="54958"/>
    <cellStyle name="Normal 13 2 4 3" xfId="54959"/>
    <cellStyle name="Normal 13 2 4 3 2" xfId="54960"/>
    <cellStyle name="Normal 13 2 4 3 2 2" xfId="54961"/>
    <cellStyle name="Normal 13 2 4 3 2 3" xfId="54962"/>
    <cellStyle name="Normal 13 2 4 3 3" xfId="54963"/>
    <cellStyle name="Normal 13 2 4 3 3 2" xfId="54964"/>
    <cellStyle name="Normal 13 2 4 3 3 3" xfId="54965"/>
    <cellStyle name="Normal 13 2 4 3 4" xfId="54966"/>
    <cellStyle name="Normal 13 2 4 3 4 2" xfId="54967"/>
    <cellStyle name="Normal 13 2 4 3 5" xfId="54968"/>
    <cellStyle name="Normal 13 2 4 3 6" xfId="54969"/>
    <cellStyle name="Normal 13 2 4 4" xfId="54970"/>
    <cellStyle name="Normal 13 2 4 4 2" xfId="54971"/>
    <cellStyle name="Normal 13 2 4 4 2 2" xfId="54972"/>
    <cellStyle name="Normal 13 2 4 4 2 3" xfId="54973"/>
    <cellStyle name="Normal 13 2 4 4 3" xfId="54974"/>
    <cellStyle name="Normal 13 2 4 4 3 2" xfId="54975"/>
    <cellStyle name="Normal 13 2 4 4 4" xfId="54976"/>
    <cellStyle name="Normal 13 2 4 4 5" xfId="54977"/>
    <cellStyle name="Normal 13 2 4 5" xfId="54978"/>
    <cellStyle name="Normal 13 2 4 5 2" xfId="54979"/>
    <cellStyle name="Normal 13 2 4 5 3" xfId="54980"/>
    <cellStyle name="Normal 13 2 4 6" xfId="54981"/>
    <cellStyle name="Normal 13 2 4 6 2" xfId="54982"/>
    <cellStyle name="Normal 13 2 4 6 3" xfId="54983"/>
    <cellStyle name="Normal 13 2 4 7" xfId="54984"/>
    <cellStyle name="Normal 13 2 4 7 2" xfId="54985"/>
    <cellStyle name="Normal 13 2 4 8" xfId="54986"/>
    <cellStyle name="Normal 13 2 4 9" xfId="54987"/>
    <cellStyle name="Normal 13 2 5" xfId="9592"/>
    <cellStyle name="Normal 13 2 5 2" xfId="54988"/>
    <cellStyle name="Normal 13 2 5 2 2" xfId="54989"/>
    <cellStyle name="Normal 13 2 5 2 2 2" xfId="54990"/>
    <cellStyle name="Normal 13 2 5 2 2 3" xfId="54991"/>
    <cellStyle name="Normal 13 2 5 2 3" xfId="54992"/>
    <cellStyle name="Normal 13 2 5 2 3 2" xfId="54993"/>
    <cellStyle name="Normal 13 2 5 2 3 3" xfId="54994"/>
    <cellStyle name="Normal 13 2 5 2 4" xfId="54995"/>
    <cellStyle name="Normal 13 2 5 2 4 2" xfId="54996"/>
    <cellStyle name="Normal 13 2 5 2 5" xfId="54997"/>
    <cellStyle name="Normal 13 2 5 2 6" xfId="54998"/>
    <cellStyle name="Normal 13 2 5 3" xfId="54999"/>
    <cellStyle name="Normal 13 2 5 3 2" xfId="55000"/>
    <cellStyle name="Normal 13 2 5 3 2 2" xfId="55001"/>
    <cellStyle name="Normal 13 2 5 3 2 3" xfId="55002"/>
    <cellStyle name="Normal 13 2 5 3 3" xfId="55003"/>
    <cellStyle name="Normal 13 2 5 3 3 2" xfId="55004"/>
    <cellStyle name="Normal 13 2 5 3 3 3" xfId="55005"/>
    <cellStyle name="Normal 13 2 5 3 4" xfId="55006"/>
    <cellStyle name="Normal 13 2 5 3 4 2" xfId="55007"/>
    <cellStyle name="Normal 13 2 5 3 5" xfId="55008"/>
    <cellStyle name="Normal 13 2 5 3 6" xfId="55009"/>
    <cellStyle name="Normal 13 2 5 4" xfId="55010"/>
    <cellStyle name="Normal 13 2 5 4 2" xfId="55011"/>
    <cellStyle name="Normal 13 2 5 4 2 2" xfId="55012"/>
    <cellStyle name="Normal 13 2 5 4 2 3" xfId="55013"/>
    <cellStyle name="Normal 13 2 5 4 3" xfId="55014"/>
    <cellStyle name="Normal 13 2 5 4 3 2" xfId="55015"/>
    <cellStyle name="Normal 13 2 5 4 4" xfId="55016"/>
    <cellStyle name="Normal 13 2 5 4 5" xfId="55017"/>
    <cellStyle name="Normal 13 2 5 5" xfId="55018"/>
    <cellStyle name="Normal 13 2 5 5 2" xfId="55019"/>
    <cellStyle name="Normal 13 2 5 5 3" xfId="55020"/>
    <cellStyle name="Normal 13 2 5 6" xfId="55021"/>
    <cellStyle name="Normal 13 2 5 6 2" xfId="55022"/>
    <cellStyle name="Normal 13 2 5 6 3" xfId="55023"/>
    <cellStyle name="Normal 13 2 5 7" xfId="55024"/>
    <cellStyle name="Normal 13 2 5 7 2" xfId="55025"/>
    <cellStyle name="Normal 13 2 5 8" xfId="55026"/>
    <cellStyle name="Normal 13 2 5 9" xfId="55027"/>
    <cellStyle name="Normal 13 2 6" xfId="55028"/>
    <cellStyle name="Normal 13 2 6 2" xfId="55029"/>
    <cellStyle name="Normal 13 2 6 2 2" xfId="55030"/>
    <cellStyle name="Normal 13 2 6 2 3" xfId="55031"/>
    <cellStyle name="Normal 13 2 6 3" xfId="55032"/>
    <cellStyle name="Normal 13 2 6 3 2" xfId="55033"/>
    <cellStyle name="Normal 13 2 6 3 3" xfId="55034"/>
    <cellStyle name="Normal 13 2 6 4" xfId="55035"/>
    <cellStyle name="Normal 13 2 6 4 2" xfId="55036"/>
    <cellStyle name="Normal 13 2 6 5" xfId="55037"/>
    <cellStyle name="Normal 13 2 6 6" xfId="55038"/>
    <cellStyle name="Normal 13 2 7" xfId="55039"/>
    <cellStyle name="Normal 13 2 7 2" xfId="55040"/>
    <cellStyle name="Normal 13 2 7 2 2" xfId="55041"/>
    <cellStyle name="Normal 13 2 7 2 3" xfId="55042"/>
    <cellStyle name="Normal 13 2 7 3" xfId="55043"/>
    <cellStyle name="Normal 13 2 7 3 2" xfId="55044"/>
    <cellStyle name="Normal 13 2 7 3 3" xfId="55045"/>
    <cellStyle name="Normal 13 2 7 4" xfId="55046"/>
    <cellStyle name="Normal 13 2 7 4 2" xfId="55047"/>
    <cellStyle name="Normal 13 2 7 5" xfId="55048"/>
    <cellStyle name="Normal 13 2 7 6" xfId="55049"/>
    <cellStyle name="Normal 13 2 8" xfId="55050"/>
    <cellStyle name="Normal 13 2 8 2" xfId="55051"/>
    <cellStyle name="Normal 13 2 8 2 2" xfId="55052"/>
    <cellStyle name="Normal 13 2 8 2 3" xfId="55053"/>
    <cellStyle name="Normal 13 2 8 3" xfId="55054"/>
    <cellStyle name="Normal 13 2 8 3 2" xfId="55055"/>
    <cellStyle name="Normal 13 2 8 4" xfId="55056"/>
    <cellStyle name="Normal 13 2 8 5" xfId="55057"/>
    <cellStyle name="Normal 13 2 9" xfId="55058"/>
    <cellStyle name="Normal 13 2 9 2" xfId="55059"/>
    <cellStyle name="Normal 13 2 9 3" xfId="55060"/>
    <cellStyle name="Normal 13 3" xfId="8793"/>
    <cellStyle name="Normal 13 3 10" xfId="55061"/>
    <cellStyle name="Normal 13 3 10 2" xfId="55062"/>
    <cellStyle name="Normal 13 3 11" xfId="55063"/>
    <cellStyle name="Normal 13 3 12" xfId="55064"/>
    <cellStyle name="Normal 13 3 13" xfId="55065"/>
    <cellStyle name="Normal 13 3 2" xfId="9251"/>
    <cellStyle name="Normal 13 3 2 10" xfId="55066"/>
    <cellStyle name="Normal 13 3 2 2" xfId="55067"/>
    <cellStyle name="Normal 13 3 2 2 2" xfId="55068"/>
    <cellStyle name="Normal 13 3 2 2 2 2" xfId="55069"/>
    <cellStyle name="Normal 13 3 2 2 2 2 2" xfId="55070"/>
    <cellStyle name="Normal 13 3 2 2 2 2 3" xfId="55071"/>
    <cellStyle name="Normal 13 3 2 2 2 3" xfId="55072"/>
    <cellStyle name="Normal 13 3 2 2 2 3 2" xfId="55073"/>
    <cellStyle name="Normal 13 3 2 2 2 3 3" xfId="55074"/>
    <cellStyle name="Normal 13 3 2 2 2 4" xfId="55075"/>
    <cellStyle name="Normal 13 3 2 2 2 4 2" xfId="55076"/>
    <cellStyle name="Normal 13 3 2 2 2 5" xfId="55077"/>
    <cellStyle name="Normal 13 3 2 2 2 6" xfId="55078"/>
    <cellStyle name="Normal 13 3 2 2 3" xfId="55079"/>
    <cellStyle name="Normal 13 3 2 2 3 2" xfId="55080"/>
    <cellStyle name="Normal 13 3 2 2 3 2 2" xfId="55081"/>
    <cellStyle name="Normal 13 3 2 2 3 2 3" xfId="55082"/>
    <cellStyle name="Normal 13 3 2 2 3 3" xfId="55083"/>
    <cellStyle name="Normal 13 3 2 2 3 3 2" xfId="55084"/>
    <cellStyle name="Normal 13 3 2 2 3 3 3" xfId="55085"/>
    <cellStyle name="Normal 13 3 2 2 3 4" xfId="55086"/>
    <cellStyle name="Normal 13 3 2 2 3 4 2" xfId="55087"/>
    <cellStyle name="Normal 13 3 2 2 3 5" xfId="55088"/>
    <cellStyle name="Normal 13 3 2 2 3 6" xfId="55089"/>
    <cellStyle name="Normal 13 3 2 2 4" xfId="55090"/>
    <cellStyle name="Normal 13 3 2 2 4 2" xfId="55091"/>
    <cellStyle name="Normal 13 3 2 2 4 2 2" xfId="55092"/>
    <cellStyle name="Normal 13 3 2 2 4 2 3" xfId="55093"/>
    <cellStyle name="Normal 13 3 2 2 4 3" xfId="55094"/>
    <cellStyle name="Normal 13 3 2 2 4 3 2" xfId="55095"/>
    <cellStyle name="Normal 13 3 2 2 4 4" xfId="55096"/>
    <cellStyle name="Normal 13 3 2 2 4 5" xfId="55097"/>
    <cellStyle name="Normal 13 3 2 2 5" xfId="55098"/>
    <cellStyle name="Normal 13 3 2 2 5 2" xfId="55099"/>
    <cellStyle name="Normal 13 3 2 2 5 3" xfId="55100"/>
    <cellStyle name="Normal 13 3 2 2 6" xfId="55101"/>
    <cellStyle name="Normal 13 3 2 2 6 2" xfId="55102"/>
    <cellStyle name="Normal 13 3 2 2 6 3" xfId="55103"/>
    <cellStyle name="Normal 13 3 2 2 7" xfId="55104"/>
    <cellStyle name="Normal 13 3 2 2 7 2" xfId="55105"/>
    <cellStyle name="Normal 13 3 2 2 8" xfId="55106"/>
    <cellStyle name="Normal 13 3 2 2 9" xfId="55107"/>
    <cellStyle name="Normal 13 3 2 3" xfId="55108"/>
    <cellStyle name="Normal 13 3 2 3 2" xfId="55109"/>
    <cellStyle name="Normal 13 3 2 3 2 2" xfId="55110"/>
    <cellStyle name="Normal 13 3 2 3 2 3" xfId="55111"/>
    <cellStyle name="Normal 13 3 2 3 3" xfId="55112"/>
    <cellStyle name="Normal 13 3 2 3 3 2" xfId="55113"/>
    <cellStyle name="Normal 13 3 2 3 3 3" xfId="55114"/>
    <cellStyle name="Normal 13 3 2 3 4" xfId="55115"/>
    <cellStyle name="Normal 13 3 2 3 4 2" xfId="55116"/>
    <cellStyle name="Normal 13 3 2 3 5" xfId="55117"/>
    <cellStyle name="Normal 13 3 2 3 6" xfId="55118"/>
    <cellStyle name="Normal 13 3 2 4" xfId="55119"/>
    <cellStyle name="Normal 13 3 2 4 2" xfId="55120"/>
    <cellStyle name="Normal 13 3 2 4 2 2" xfId="55121"/>
    <cellStyle name="Normal 13 3 2 4 2 3" xfId="55122"/>
    <cellStyle name="Normal 13 3 2 4 3" xfId="55123"/>
    <cellStyle name="Normal 13 3 2 4 3 2" xfId="55124"/>
    <cellStyle name="Normal 13 3 2 4 3 3" xfId="55125"/>
    <cellStyle name="Normal 13 3 2 4 4" xfId="55126"/>
    <cellStyle name="Normal 13 3 2 4 4 2" xfId="55127"/>
    <cellStyle name="Normal 13 3 2 4 5" xfId="55128"/>
    <cellStyle name="Normal 13 3 2 4 6" xfId="55129"/>
    <cellStyle name="Normal 13 3 2 5" xfId="55130"/>
    <cellStyle name="Normal 13 3 2 5 2" xfId="55131"/>
    <cellStyle name="Normal 13 3 2 5 2 2" xfId="55132"/>
    <cellStyle name="Normal 13 3 2 5 2 3" xfId="55133"/>
    <cellStyle name="Normal 13 3 2 5 3" xfId="55134"/>
    <cellStyle name="Normal 13 3 2 5 3 2" xfId="55135"/>
    <cellStyle name="Normal 13 3 2 5 4" xfId="55136"/>
    <cellStyle name="Normal 13 3 2 5 5" xfId="55137"/>
    <cellStyle name="Normal 13 3 2 6" xfId="55138"/>
    <cellStyle name="Normal 13 3 2 6 2" xfId="55139"/>
    <cellStyle name="Normal 13 3 2 6 3" xfId="55140"/>
    <cellStyle name="Normal 13 3 2 7" xfId="55141"/>
    <cellStyle name="Normal 13 3 2 7 2" xfId="55142"/>
    <cellStyle name="Normal 13 3 2 7 3" xfId="55143"/>
    <cellStyle name="Normal 13 3 2 8" xfId="55144"/>
    <cellStyle name="Normal 13 3 2 8 2" xfId="55145"/>
    <cellStyle name="Normal 13 3 2 9" xfId="55146"/>
    <cellStyle name="Normal 13 3 3" xfId="9593"/>
    <cellStyle name="Normal 13 3 3 2" xfId="55147"/>
    <cellStyle name="Normal 13 3 3 2 2" xfId="55148"/>
    <cellStyle name="Normal 13 3 3 2 2 2" xfId="55149"/>
    <cellStyle name="Normal 13 3 3 2 2 3" xfId="55150"/>
    <cellStyle name="Normal 13 3 3 2 3" xfId="55151"/>
    <cellStyle name="Normal 13 3 3 2 3 2" xfId="55152"/>
    <cellStyle name="Normal 13 3 3 2 3 3" xfId="55153"/>
    <cellStyle name="Normal 13 3 3 2 4" xfId="55154"/>
    <cellStyle name="Normal 13 3 3 2 4 2" xfId="55155"/>
    <cellStyle name="Normal 13 3 3 2 5" xfId="55156"/>
    <cellStyle name="Normal 13 3 3 2 6" xfId="55157"/>
    <cellStyle name="Normal 13 3 3 3" xfId="55158"/>
    <cellStyle name="Normal 13 3 3 3 2" xfId="55159"/>
    <cellStyle name="Normal 13 3 3 3 2 2" xfId="55160"/>
    <cellStyle name="Normal 13 3 3 3 2 3" xfId="55161"/>
    <cellStyle name="Normal 13 3 3 3 3" xfId="55162"/>
    <cellStyle name="Normal 13 3 3 3 3 2" xfId="55163"/>
    <cellStyle name="Normal 13 3 3 3 3 3" xfId="55164"/>
    <cellStyle name="Normal 13 3 3 3 4" xfId="55165"/>
    <cellStyle name="Normal 13 3 3 3 4 2" xfId="55166"/>
    <cellStyle name="Normal 13 3 3 3 5" xfId="55167"/>
    <cellStyle name="Normal 13 3 3 3 6" xfId="55168"/>
    <cellStyle name="Normal 13 3 3 4" xfId="55169"/>
    <cellStyle name="Normal 13 3 3 4 2" xfId="55170"/>
    <cellStyle name="Normal 13 3 3 4 2 2" xfId="55171"/>
    <cellStyle name="Normal 13 3 3 4 2 3" xfId="55172"/>
    <cellStyle name="Normal 13 3 3 4 3" xfId="55173"/>
    <cellStyle name="Normal 13 3 3 4 3 2" xfId="55174"/>
    <cellStyle name="Normal 13 3 3 4 4" xfId="55175"/>
    <cellStyle name="Normal 13 3 3 4 5" xfId="55176"/>
    <cellStyle name="Normal 13 3 3 5" xfId="55177"/>
    <cellStyle name="Normal 13 3 3 5 2" xfId="55178"/>
    <cellStyle name="Normal 13 3 3 5 3" xfId="55179"/>
    <cellStyle name="Normal 13 3 3 6" xfId="55180"/>
    <cellStyle name="Normal 13 3 3 6 2" xfId="55181"/>
    <cellStyle name="Normal 13 3 3 6 3" xfId="55182"/>
    <cellStyle name="Normal 13 3 3 7" xfId="55183"/>
    <cellStyle name="Normal 13 3 3 7 2" xfId="55184"/>
    <cellStyle name="Normal 13 3 3 8" xfId="55185"/>
    <cellStyle name="Normal 13 3 3 9" xfId="55186"/>
    <cellStyle name="Normal 13 3 4" xfId="55187"/>
    <cellStyle name="Normal 13 3 4 2" xfId="55188"/>
    <cellStyle name="Normal 13 3 4 2 2" xfId="55189"/>
    <cellStyle name="Normal 13 3 4 2 2 2" xfId="55190"/>
    <cellStyle name="Normal 13 3 4 2 2 3" xfId="55191"/>
    <cellStyle name="Normal 13 3 4 2 3" xfId="55192"/>
    <cellStyle name="Normal 13 3 4 2 3 2" xfId="55193"/>
    <cellStyle name="Normal 13 3 4 2 3 3" xfId="55194"/>
    <cellStyle name="Normal 13 3 4 2 4" xfId="55195"/>
    <cellStyle name="Normal 13 3 4 2 4 2" xfId="55196"/>
    <cellStyle name="Normal 13 3 4 2 5" xfId="55197"/>
    <cellStyle name="Normal 13 3 4 2 6" xfId="55198"/>
    <cellStyle name="Normal 13 3 4 3" xfId="55199"/>
    <cellStyle name="Normal 13 3 4 3 2" xfId="55200"/>
    <cellStyle name="Normal 13 3 4 3 2 2" xfId="55201"/>
    <cellStyle name="Normal 13 3 4 3 2 3" xfId="55202"/>
    <cellStyle name="Normal 13 3 4 3 3" xfId="55203"/>
    <cellStyle name="Normal 13 3 4 3 3 2" xfId="55204"/>
    <cellStyle name="Normal 13 3 4 3 3 3" xfId="55205"/>
    <cellStyle name="Normal 13 3 4 3 4" xfId="55206"/>
    <cellStyle name="Normal 13 3 4 3 4 2" xfId="55207"/>
    <cellStyle name="Normal 13 3 4 3 5" xfId="55208"/>
    <cellStyle name="Normal 13 3 4 3 6" xfId="55209"/>
    <cellStyle name="Normal 13 3 4 4" xfId="55210"/>
    <cellStyle name="Normal 13 3 4 4 2" xfId="55211"/>
    <cellStyle name="Normal 13 3 4 4 2 2" xfId="55212"/>
    <cellStyle name="Normal 13 3 4 4 2 3" xfId="55213"/>
    <cellStyle name="Normal 13 3 4 4 3" xfId="55214"/>
    <cellStyle name="Normal 13 3 4 4 3 2" xfId="55215"/>
    <cellStyle name="Normal 13 3 4 4 4" xfId="55216"/>
    <cellStyle name="Normal 13 3 4 4 5" xfId="55217"/>
    <cellStyle name="Normal 13 3 4 5" xfId="55218"/>
    <cellStyle name="Normal 13 3 4 5 2" xfId="55219"/>
    <cellStyle name="Normal 13 3 4 5 3" xfId="55220"/>
    <cellStyle name="Normal 13 3 4 6" xfId="55221"/>
    <cellStyle name="Normal 13 3 4 6 2" xfId="55222"/>
    <cellStyle name="Normal 13 3 4 6 3" xfId="55223"/>
    <cellStyle name="Normal 13 3 4 7" xfId="55224"/>
    <cellStyle name="Normal 13 3 4 7 2" xfId="55225"/>
    <cellStyle name="Normal 13 3 4 8" xfId="55226"/>
    <cellStyle name="Normal 13 3 4 9" xfId="55227"/>
    <cellStyle name="Normal 13 3 5" xfId="55228"/>
    <cellStyle name="Normal 13 3 5 2" xfId="55229"/>
    <cellStyle name="Normal 13 3 5 2 2" xfId="55230"/>
    <cellStyle name="Normal 13 3 5 2 3" xfId="55231"/>
    <cellStyle name="Normal 13 3 5 3" xfId="55232"/>
    <cellStyle name="Normal 13 3 5 3 2" xfId="55233"/>
    <cellStyle name="Normal 13 3 5 3 3" xfId="55234"/>
    <cellStyle name="Normal 13 3 5 4" xfId="55235"/>
    <cellStyle name="Normal 13 3 5 4 2" xfId="55236"/>
    <cellStyle name="Normal 13 3 5 5" xfId="55237"/>
    <cellStyle name="Normal 13 3 5 6" xfId="55238"/>
    <cellStyle name="Normal 13 3 6" xfId="55239"/>
    <cellStyle name="Normal 13 3 6 2" xfId="55240"/>
    <cellStyle name="Normal 13 3 6 2 2" xfId="55241"/>
    <cellStyle name="Normal 13 3 6 2 3" xfId="55242"/>
    <cellStyle name="Normal 13 3 6 3" xfId="55243"/>
    <cellStyle name="Normal 13 3 6 3 2" xfId="55244"/>
    <cellStyle name="Normal 13 3 6 3 3" xfId="55245"/>
    <cellStyle name="Normal 13 3 6 4" xfId="55246"/>
    <cellStyle name="Normal 13 3 6 4 2" xfId="55247"/>
    <cellStyle name="Normal 13 3 6 5" xfId="55248"/>
    <cellStyle name="Normal 13 3 6 6" xfId="55249"/>
    <cellStyle name="Normal 13 3 7" xfId="55250"/>
    <cellStyle name="Normal 13 3 7 2" xfId="55251"/>
    <cellStyle name="Normal 13 3 7 2 2" xfId="55252"/>
    <cellStyle name="Normal 13 3 7 2 3" xfId="55253"/>
    <cellStyle name="Normal 13 3 7 3" xfId="55254"/>
    <cellStyle name="Normal 13 3 7 3 2" xfId="55255"/>
    <cellStyle name="Normal 13 3 7 4" xfId="55256"/>
    <cellStyle name="Normal 13 3 7 5" xfId="55257"/>
    <cellStyle name="Normal 13 3 8" xfId="55258"/>
    <cellStyle name="Normal 13 3 8 2" xfId="55259"/>
    <cellStyle name="Normal 13 3 8 3" xfId="55260"/>
    <cellStyle name="Normal 13 3 9" xfId="55261"/>
    <cellStyle name="Normal 13 3 9 2" xfId="55262"/>
    <cellStyle name="Normal 13 3 9 3" xfId="55263"/>
    <cellStyle name="Normal 13 4" xfId="9252"/>
    <cellStyle name="Normal 13 4 10" xfId="55264"/>
    <cellStyle name="Normal 13 4 2" xfId="9594"/>
    <cellStyle name="Normal 13 4 2 2" xfId="55265"/>
    <cellStyle name="Normal 13 4 2 2 2" xfId="55266"/>
    <cellStyle name="Normal 13 4 2 2 2 2" xfId="55267"/>
    <cellStyle name="Normal 13 4 2 2 2 3" xfId="55268"/>
    <cellStyle name="Normal 13 4 2 2 3" xfId="55269"/>
    <cellStyle name="Normal 13 4 2 2 3 2" xfId="55270"/>
    <cellStyle name="Normal 13 4 2 2 3 3" xfId="55271"/>
    <cellStyle name="Normal 13 4 2 2 4" xfId="55272"/>
    <cellStyle name="Normal 13 4 2 2 4 2" xfId="55273"/>
    <cellStyle name="Normal 13 4 2 2 5" xfId="55274"/>
    <cellStyle name="Normal 13 4 2 2 6" xfId="55275"/>
    <cellStyle name="Normal 13 4 2 3" xfId="55276"/>
    <cellStyle name="Normal 13 4 2 3 2" xfId="55277"/>
    <cellStyle name="Normal 13 4 2 3 2 2" xfId="55278"/>
    <cellStyle name="Normal 13 4 2 3 2 3" xfId="55279"/>
    <cellStyle name="Normal 13 4 2 3 3" xfId="55280"/>
    <cellStyle name="Normal 13 4 2 3 3 2" xfId="55281"/>
    <cellStyle name="Normal 13 4 2 3 3 3" xfId="55282"/>
    <cellStyle name="Normal 13 4 2 3 4" xfId="55283"/>
    <cellStyle name="Normal 13 4 2 3 4 2" xfId="55284"/>
    <cellStyle name="Normal 13 4 2 3 5" xfId="55285"/>
    <cellStyle name="Normal 13 4 2 3 6" xfId="55286"/>
    <cellStyle name="Normal 13 4 2 4" xfId="55287"/>
    <cellStyle name="Normal 13 4 2 4 2" xfId="55288"/>
    <cellStyle name="Normal 13 4 2 4 2 2" xfId="55289"/>
    <cellStyle name="Normal 13 4 2 4 2 3" xfId="55290"/>
    <cellStyle name="Normal 13 4 2 4 3" xfId="55291"/>
    <cellStyle name="Normal 13 4 2 4 3 2" xfId="55292"/>
    <cellStyle name="Normal 13 4 2 4 4" xfId="55293"/>
    <cellStyle name="Normal 13 4 2 4 5" xfId="55294"/>
    <cellStyle name="Normal 13 4 2 5" xfId="55295"/>
    <cellStyle name="Normal 13 4 2 5 2" xfId="55296"/>
    <cellStyle name="Normal 13 4 2 5 3" xfId="55297"/>
    <cellStyle name="Normal 13 4 2 6" xfId="55298"/>
    <cellStyle name="Normal 13 4 2 6 2" xfId="55299"/>
    <cellStyle name="Normal 13 4 2 6 3" xfId="55300"/>
    <cellStyle name="Normal 13 4 2 7" xfId="55301"/>
    <cellStyle name="Normal 13 4 2 7 2" xfId="55302"/>
    <cellStyle name="Normal 13 4 2 8" xfId="55303"/>
    <cellStyle name="Normal 13 4 2 9" xfId="55304"/>
    <cellStyle name="Normal 13 4 3" xfId="55305"/>
    <cellStyle name="Normal 13 4 3 2" xfId="55306"/>
    <cellStyle name="Normal 13 4 3 2 2" xfId="55307"/>
    <cellStyle name="Normal 13 4 3 2 3" xfId="55308"/>
    <cellStyle name="Normal 13 4 3 3" xfId="55309"/>
    <cellStyle name="Normal 13 4 3 3 2" xfId="55310"/>
    <cellStyle name="Normal 13 4 3 3 3" xfId="55311"/>
    <cellStyle name="Normal 13 4 3 4" xfId="55312"/>
    <cellStyle name="Normal 13 4 3 4 2" xfId="55313"/>
    <cellStyle name="Normal 13 4 3 5" xfId="55314"/>
    <cellStyle name="Normal 13 4 3 6" xfId="55315"/>
    <cellStyle name="Normal 13 4 4" xfId="55316"/>
    <cellStyle name="Normal 13 4 4 2" xfId="55317"/>
    <cellStyle name="Normal 13 4 4 2 2" xfId="55318"/>
    <cellStyle name="Normal 13 4 4 2 3" xfId="55319"/>
    <cellStyle name="Normal 13 4 4 3" xfId="55320"/>
    <cellStyle name="Normal 13 4 4 3 2" xfId="55321"/>
    <cellStyle name="Normal 13 4 4 3 3" xfId="55322"/>
    <cellStyle name="Normal 13 4 4 4" xfId="55323"/>
    <cellStyle name="Normal 13 4 4 4 2" xfId="55324"/>
    <cellStyle name="Normal 13 4 4 5" xfId="55325"/>
    <cellStyle name="Normal 13 4 4 6" xfId="55326"/>
    <cellStyle name="Normal 13 4 5" xfId="55327"/>
    <cellStyle name="Normal 13 4 5 2" xfId="55328"/>
    <cellStyle name="Normal 13 4 5 2 2" xfId="55329"/>
    <cellStyle name="Normal 13 4 5 2 3" xfId="55330"/>
    <cellStyle name="Normal 13 4 5 3" xfId="55331"/>
    <cellStyle name="Normal 13 4 5 3 2" xfId="55332"/>
    <cellStyle name="Normal 13 4 5 4" xfId="55333"/>
    <cellStyle name="Normal 13 4 5 5" xfId="55334"/>
    <cellStyle name="Normal 13 4 6" xfId="55335"/>
    <cellStyle name="Normal 13 4 6 2" xfId="55336"/>
    <cellStyle name="Normal 13 4 6 3" xfId="55337"/>
    <cellStyle name="Normal 13 4 7" xfId="55338"/>
    <cellStyle name="Normal 13 4 7 2" xfId="55339"/>
    <cellStyle name="Normal 13 4 7 3" xfId="55340"/>
    <cellStyle name="Normal 13 4 8" xfId="55341"/>
    <cellStyle name="Normal 13 4 8 2" xfId="55342"/>
    <cellStyle name="Normal 13 4 9" xfId="55343"/>
    <cellStyle name="Normal 13 5" xfId="9253"/>
    <cellStyle name="Normal 13 5 2" xfId="55344"/>
    <cellStyle name="Normal 13 5 2 2" xfId="55345"/>
    <cellStyle name="Normal 13 5 2 2 2" xfId="55346"/>
    <cellStyle name="Normal 13 5 2 2 3" xfId="55347"/>
    <cellStyle name="Normal 13 5 2 3" xfId="55348"/>
    <cellStyle name="Normal 13 5 2 3 2" xfId="55349"/>
    <cellStyle name="Normal 13 5 2 3 3" xfId="55350"/>
    <cellStyle name="Normal 13 5 2 4" xfId="55351"/>
    <cellStyle name="Normal 13 5 2 4 2" xfId="55352"/>
    <cellStyle name="Normal 13 5 2 5" xfId="55353"/>
    <cellStyle name="Normal 13 5 2 6" xfId="55354"/>
    <cellStyle name="Normal 13 5 3" xfId="55355"/>
    <cellStyle name="Normal 13 5 3 2" xfId="55356"/>
    <cellStyle name="Normal 13 5 3 2 2" xfId="55357"/>
    <cellStyle name="Normal 13 5 3 2 3" xfId="55358"/>
    <cellStyle name="Normal 13 5 3 3" xfId="55359"/>
    <cellStyle name="Normal 13 5 3 3 2" xfId="55360"/>
    <cellStyle name="Normal 13 5 3 3 3" xfId="55361"/>
    <cellStyle name="Normal 13 5 3 4" xfId="55362"/>
    <cellStyle name="Normal 13 5 3 4 2" xfId="55363"/>
    <cellStyle name="Normal 13 5 3 5" xfId="55364"/>
    <cellStyle name="Normal 13 5 3 6" xfId="55365"/>
    <cellStyle name="Normal 13 5 4" xfId="55366"/>
    <cellStyle name="Normal 13 5 4 2" xfId="55367"/>
    <cellStyle name="Normal 13 5 4 2 2" xfId="55368"/>
    <cellStyle name="Normal 13 5 4 2 3" xfId="55369"/>
    <cellStyle name="Normal 13 5 4 3" xfId="55370"/>
    <cellStyle name="Normal 13 5 4 3 2" xfId="55371"/>
    <cellStyle name="Normal 13 5 4 4" xfId="55372"/>
    <cellStyle name="Normal 13 5 4 5" xfId="55373"/>
    <cellStyle name="Normal 13 5 5" xfId="55374"/>
    <cellStyle name="Normal 13 5 5 2" xfId="55375"/>
    <cellStyle name="Normal 13 5 5 3" xfId="55376"/>
    <cellStyle name="Normal 13 5 6" xfId="55377"/>
    <cellStyle name="Normal 13 5 6 2" xfId="55378"/>
    <cellStyle name="Normal 13 5 6 3" xfId="55379"/>
    <cellStyle name="Normal 13 5 7" xfId="55380"/>
    <cellStyle name="Normal 13 5 7 2" xfId="55381"/>
    <cellStyle name="Normal 13 5 8" xfId="55382"/>
    <cellStyle name="Normal 13 5 9" xfId="55383"/>
    <cellStyle name="Normal 13 6" xfId="9595"/>
    <cellStyle name="Normal 13 6 2" xfId="55384"/>
    <cellStyle name="Normal 13 6 2 2" xfId="55385"/>
    <cellStyle name="Normal 13 6 2 2 2" xfId="55386"/>
    <cellStyle name="Normal 13 6 2 2 3" xfId="55387"/>
    <cellStyle name="Normal 13 6 2 3" xfId="55388"/>
    <cellStyle name="Normal 13 6 2 3 2" xfId="55389"/>
    <cellStyle name="Normal 13 6 2 3 3" xfId="55390"/>
    <cellStyle name="Normal 13 6 2 4" xfId="55391"/>
    <cellStyle name="Normal 13 6 2 4 2" xfId="55392"/>
    <cellStyle name="Normal 13 6 2 5" xfId="55393"/>
    <cellStyle name="Normal 13 6 2 6" xfId="55394"/>
    <cellStyle name="Normal 13 6 3" xfId="55395"/>
    <cellStyle name="Normal 13 6 3 2" xfId="55396"/>
    <cellStyle name="Normal 13 6 3 2 2" xfId="55397"/>
    <cellStyle name="Normal 13 6 3 2 3" xfId="55398"/>
    <cellStyle name="Normal 13 6 3 3" xfId="55399"/>
    <cellStyle name="Normal 13 6 3 3 2" xfId="55400"/>
    <cellStyle name="Normal 13 6 3 3 3" xfId="55401"/>
    <cellStyle name="Normal 13 6 3 4" xfId="55402"/>
    <cellStyle name="Normal 13 6 3 4 2" xfId="55403"/>
    <cellStyle name="Normal 13 6 3 5" xfId="55404"/>
    <cellStyle name="Normal 13 6 3 6" xfId="55405"/>
    <cellStyle name="Normal 13 6 4" xfId="55406"/>
    <cellStyle name="Normal 13 6 4 2" xfId="55407"/>
    <cellStyle name="Normal 13 6 4 2 2" xfId="55408"/>
    <cellStyle name="Normal 13 6 4 2 3" xfId="55409"/>
    <cellStyle name="Normal 13 6 4 3" xfId="55410"/>
    <cellStyle name="Normal 13 6 4 3 2" xfId="55411"/>
    <cellStyle name="Normal 13 6 4 4" xfId="55412"/>
    <cellStyle name="Normal 13 6 4 5" xfId="55413"/>
    <cellStyle name="Normal 13 6 5" xfId="55414"/>
    <cellStyle name="Normal 13 6 5 2" xfId="55415"/>
    <cellStyle name="Normal 13 6 5 3" xfId="55416"/>
    <cellStyle name="Normal 13 6 6" xfId="55417"/>
    <cellStyle name="Normal 13 6 6 2" xfId="55418"/>
    <cellStyle name="Normal 13 6 6 3" xfId="55419"/>
    <cellStyle name="Normal 13 6 7" xfId="55420"/>
    <cellStyle name="Normal 13 6 7 2" xfId="55421"/>
    <cellStyle name="Normal 13 6 8" xfId="55422"/>
    <cellStyle name="Normal 13 6 9" xfId="55423"/>
    <cellStyle name="Normal 13 7" xfId="55424"/>
    <cellStyle name="Normal 13 7 2" xfId="55425"/>
    <cellStyle name="Normal 13 7 2 2" xfId="55426"/>
    <cellStyle name="Normal 13 7 2 3" xfId="55427"/>
    <cellStyle name="Normal 13 7 3" xfId="55428"/>
    <cellStyle name="Normal 13 7 3 2" xfId="55429"/>
    <cellStyle name="Normal 13 7 3 3" xfId="55430"/>
    <cellStyle name="Normal 13 7 4" xfId="55431"/>
    <cellStyle name="Normal 13 7 4 2" xfId="55432"/>
    <cellStyle name="Normal 13 7 5" xfId="55433"/>
    <cellStyle name="Normal 13 7 6" xfId="55434"/>
    <cellStyle name="Normal 13 8" xfId="55435"/>
    <cellStyle name="Normal 13 8 2" xfId="55436"/>
    <cellStyle name="Normal 13 8 2 2" xfId="55437"/>
    <cellStyle name="Normal 13 8 2 3" xfId="55438"/>
    <cellStyle name="Normal 13 8 3" xfId="55439"/>
    <cellStyle name="Normal 13 8 3 2" xfId="55440"/>
    <cellStyle name="Normal 13 8 3 3" xfId="55441"/>
    <cellStyle name="Normal 13 8 4" xfId="55442"/>
    <cellStyle name="Normal 13 8 4 2" xfId="55443"/>
    <cellStyle name="Normal 13 8 5" xfId="55444"/>
    <cellStyle name="Normal 13 8 6" xfId="55445"/>
    <cellStyle name="Normal 13 9" xfId="55446"/>
    <cellStyle name="Normal 13 9 2" xfId="55447"/>
    <cellStyle name="Normal 13 9 2 2" xfId="55448"/>
    <cellStyle name="Normal 13 9 2 3" xfId="55449"/>
    <cellStyle name="Normal 13 9 3" xfId="55450"/>
    <cellStyle name="Normal 13 9 3 2" xfId="55451"/>
    <cellStyle name="Normal 13 9 4" xfId="55452"/>
    <cellStyle name="Normal 13 9 5" xfId="55453"/>
    <cellStyle name="Normal 14" xfId="4469"/>
    <cellStyle name="Normal 14 2" xfId="4470"/>
    <cellStyle name="Normal 14 2 2" xfId="4471"/>
    <cellStyle name="Normal 14 2 2 2" xfId="9254"/>
    <cellStyle name="Normal 14 2 2 2 2" xfId="59588"/>
    <cellStyle name="Normal 14 2 2 3" xfId="9255"/>
    <cellStyle name="Normal 14 2 2 4" xfId="59589"/>
    <cellStyle name="Normal 14 2 3" xfId="4472"/>
    <cellStyle name="Normal 14 2 3 2" xfId="9256"/>
    <cellStyle name="Normal 14 2 4" xfId="9257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8"/>
    <cellStyle name="Normal 14 3 2 2" xfId="59594"/>
    <cellStyle name="Normal 14 3 3" xfId="9259"/>
    <cellStyle name="Normal 14 3 4" xfId="59595"/>
    <cellStyle name="Normal 14 4" xfId="4474"/>
    <cellStyle name="Normal 14 4 2" xfId="9260"/>
    <cellStyle name="Normal 14 4 3" xfId="59596"/>
    <cellStyle name="Normal 14 4 4" xfId="59597"/>
    <cellStyle name="Normal 14 5" xfId="9261"/>
    <cellStyle name="Normal 14 6" xfId="9596"/>
    <cellStyle name="Normal 14 7" xfId="57950"/>
    <cellStyle name="Normal 15" xfId="4475"/>
    <cellStyle name="Normal 15 10" xfId="55454"/>
    <cellStyle name="Normal 15 10 2" xfId="55455"/>
    <cellStyle name="Normal 15 10 3" xfId="55456"/>
    <cellStyle name="Normal 15 11" xfId="55457"/>
    <cellStyle name="Normal 15 11 2" xfId="55458"/>
    <cellStyle name="Normal 15 12" xfId="55459"/>
    <cellStyle name="Normal 15 13" xfId="55460"/>
    <cellStyle name="Normal 15 14" xfId="55461"/>
    <cellStyle name="Normal 15 2" xfId="4476"/>
    <cellStyle name="Normal 15 2 10" xfId="55462"/>
    <cellStyle name="Normal 15 2 10 2" xfId="55463"/>
    <cellStyle name="Normal 15 2 11" xfId="55464"/>
    <cellStyle name="Normal 15 2 12" xfId="55465"/>
    <cellStyle name="Normal 15 2 13" xfId="55466"/>
    <cellStyle name="Normal 15 2 2" xfId="4477"/>
    <cellStyle name="Normal 15 2 2 10" xfId="55467"/>
    <cellStyle name="Normal 15 2 2 11" xfId="55468"/>
    <cellStyle name="Normal 15 2 2 2" xfId="8416"/>
    <cellStyle name="Normal 15 2 2 2 10" xfId="55469"/>
    <cellStyle name="Normal 15 2 2 2 2" xfId="8417"/>
    <cellStyle name="Normal 15 2 2 2 2 2" xfId="8418"/>
    <cellStyle name="Normal 15 2 2 2 2 2 2" xfId="55470"/>
    <cellStyle name="Normal 15 2 2 2 2 2 3" xfId="55471"/>
    <cellStyle name="Normal 15 2 2 2 2 3" xfId="55472"/>
    <cellStyle name="Normal 15 2 2 2 2 3 2" xfId="55473"/>
    <cellStyle name="Normal 15 2 2 2 2 3 3" xfId="55474"/>
    <cellStyle name="Normal 15 2 2 2 2 4" xfId="55475"/>
    <cellStyle name="Normal 15 2 2 2 2 4 2" xfId="55476"/>
    <cellStyle name="Normal 15 2 2 2 2 5" xfId="55477"/>
    <cellStyle name="Normal 15 2 2 2 2 6" xfId="55478"/>
    <cellStyle name="Normal 15 2 2 2 2 7" xfId="55479"/>
    <cellStyle name="Normal 15 2 2 2 3" xfId="8419"/>
    <cellStyle name="Normal 15 2 2 2 3 2" xfId="55480"/>
    <cellStyle name="Normal 15 2 2 2 3 2 2" xfId="55481"/>
    <cellStyle name="Normal 15 2 2 2 3 2 3" xfId="55482"/>
    <cellStyle name="Normal 15 2 2 2 3 3" xfId="55483"/>
    <cellStyle name="Normal 15 2 2 2 3 3 2" xfId="55484"/>
    <cellStyle name="Normal 15 2 2 2 3 3 3" xfId="55485"/>
    <cellStyle name="Normal 15 2 2 2 3 4" xfId="55486"/>
    <cellStyle name="Normal 15 2 2 2 3 4 2" xfId="55487"/>
    <cellStyle name="Normal 15 2 2 2 3 5" xfId="55488"/>
    <cellStyle name="Normal 15 2 2 2 3 6" xfId="55489"/>
    <cellStyle name="Normal 15 2 2 2 3 7" xfId="55490"/>
    <cellStyle name="Normal 15 2 2 2 4" xfId="55491"/>
    <cellStyle name="Normal 15 2 2 2 4 2" xfId="55492"/>
    <cellStyle name="Normal 15 2 2 2 4 2 2" xfId="55493"/>
    <cellStyle name="Normal 15 2 2 2 4 2 3" xfId="55494"/>
    <cellStyle name="Normal 15 2 2 2 4 3" xfId="55495"/>
    <cellStyle name="Normal 15 2 2 2 4 3 2" xfId="55496"/>
    <cellStyle name="Normal 15 2 2 2 4 4" xfId="55497"/>
    <cellStyle name="Normal 15 2 2 2 4 5" xfId="55498"/>
    <cellStyle name="Normal 15 2 2 2 5" xfId="55499"/>
    <cellStyle name="Normal 15 2 2 2 5 2" xfId="55500"/>
    <cellStyle name="Normal 15 2 2 2 5 3" xfId="55501"/>
    <cellStyle name="Normal 15 2 2 2 6" xfId="55502"/>
    <cellStyle name="Normal 15 2 2 2 6 2" xfId="55503"/>
    <cellStyle name="Normal 15 2 2 2 6 3" xfId="55504"/>
    <cellStyle name="Normal 15 2 2 2 7" xfId="55505"/>
    <cellStyle name="Normal 15 2 2 2 7 2" xfId="55506"/>
    <cellStyle name="Normal 15 2 2 2 8" xfId="55507"/>
    <cellStyle name="Normal 15 2 2 2 9" xfId="55508"/>
    <cellStyle name="Normal 15 2 2 3" xfId="8420"/>
    <cellStyle name="Normal 15 2 2 3 2" xfId="8421"/>
    <cellStyle name="Normal 15 2 2 3 2 2" xfId="55509"/>
    <cellStyle name="Normal 15 2 2 3 2 3" xfId="55510"/>
    <cellStyle name="Normal 15 2 2 3 3" xfId="55511"/>
    <cellStyle name="Normal 15 2 2 3 3 2" xfId="55512"/>
    <cellStyle name="Normal 15 2 2 3 3 3" xfId="55513"/>
    <cellStyle name="Normal 15 2 2 3 4" xfId="55514"/>
    <cellStyle name="Normal 15 2 2 3 4 2" xfId="55515"/>
    <cellStyle name="Normal 15 2 2 3 5" xfId="55516"/>
    <cellStyle name="Normal 15 2 2 3 6" xfId="55517"/>
    <cellStyle name="Normal 15 2 2 3 7" xfId="55518"/>
    <cellStyle name="Normal 15 2 2 4" xfId="8422"/>
    <cellStyle name="Normal 15 2 2 4 2" xfId="55519"/>
    <cellStyle name="Normal 15 2 2 4 2 2" xfId="55520"/>
    <cellStyle name="Normal 15 2 2 4 2 3" xfId="55521"/>
    <cellStyle name="Normal 15 2 2 4 3" xfId="55522"/>
    <cellStyle name="Normal 15 2 2 4 3 2" xfId="55523"/>
    <cellStyle name="Normal 15 2 2 4 3 3" xfId="55524"/>
    <cellStyle name="Normal 15 2 2 4 4" xfId="55525"/>
    <cellStyle name="Normal 15 2 2 4 4 2" xfId="55526"/>
    <cellStyle name="Normal 15 2 2 4 5" xfId="55527"/>
    <cellStyle name="Normal 15 2 2 4 6" xfId="55528"/>
    <cellStyle name="Normal 15 2 2 4 7" xfId="55529"/>
    <cellStyle name="Normal 15 2 2 5" xfId="55530"/>
    <cellStyle name="Normal 15 2 2 5 2" xfId="55531"/>
    <cellStyle name="Normal 15 2 2 5 2 2" xfId="55532"/>
    <cellStyle name="Normal 15 2 2 5 2 3" xfId="55533"/>
    <cellStyle name="Normal 15 2 2 5 3" xfId="55534"/>
    <cellStyle name="Normal 15 2 2 5 3 2" xfId="55535"/>
    <cellStyle name="Normal 15 2 2 5 4" xfId="55536"/>
    <cellStyle name="Normal 15 2 2 5 5" xfId="55537"/>
    <cellStyle name="Normal 15 2 2 6" xfId="55538"/>
    <cellStyle name="Normal 15 2 2 6 2" xfId="55539"/>
    <cellStyle name="Normal 15 2 2 6 3" xfId="55540"/>
    <cellStyle name="Normal 15 2 2 7" xfId="55541"/>
    <cellStyle name="Normal 15 2 2 7 2" xfId="55542"/>
    <cellStyle name="Normal 15 2 2 7 3" xfId="55543"/>
    <cellStyle name="Normal 15 2 2 8" xfId="55544"/>
    <cellStyle name="Normal 15 2 2 8 2" xfId="55545"/>
    <cellStyle name="Normal 15 2 2 9" xfId="55546"/>
    <cellStyle name="Normal 15 2 3" xfId="4478"/>
    <cellStyle name="Normal 15 2 3 10" xfId="55547"/>
    <cellStyle name="Normal 15 2 3 2" xfId="8423"/>
    <cellStyle name="Normal 15 2 3 2 2" xfId="8424"/>
    <cellStyle name="Normal 15 2 3 2 2 2" xfId="55548"/>
    <cellStyle name="Normal 15 2 3 2 2 3" xfId="55549"/>
    <cellStyle name="Normal 15 2 3 2 2 4" xfId="55550"/>
    <cellStyle name="Normal 15 2 3 2 3" xfId="55551"/>
    <cellStyle name="Normal 15 2 3 2 3 2" xfId="55552"/>
    <cellStyle name="Normal 15 2 3 2 3 3" xfId="55553"/>
    <cellStyle name="Normal 15 2 3 2 4" xfId="55554"/>
    <cellStyle name="Normal 15 2 3 2 4 2" xfId="55555"/>
    <cellStyle name="Normal 15 2 3 2 5" xfId="55556"/>
    <cellStyle name="Normal 15 2 3 2 6" xfId="55557"/>
    <cellStyle name="Normal 15 2 3 2 7" xfId="55558"/>
    <cellStyle name="Normal 15 2 3 3" xfId="8425"/>
    <cellStyle name="Normal 15 2 3 3 2" xfId="55559"/>
    <cellStyle name="Normal 15 2 3 3 2 2" xfId="55560"/>
    <cellStyle name="Normal 15 2 3 3 2 3" xfId="55561"/>
    <cellStyle name="Normal 15 2 3 3 3" xfId="55562"/>
    <cellStyle name="Normal 15 2 3 3 3 2" xfId="55563"/>
    <cellStyle name="Normal 15 2 3 3 3 3" xfId="55564"/>
    <cellStyle name="Normal 15 2 3 3 4" xfId="55565"/>
    <cellStyle name="Normal 15 2 3 3 4 2" xfId="55566"/>
    <cellStyle name="Normal 15 2 3 3 5" xfId="55567"/>
    <cellStyle name="Normal 15 2 3 3 6" xfId="55568"/>
    <cellStyle name="Normal 15 2 3 3 7" xfId="55569"/>
    <cellStyle name="Normal 15 2 3 4" xfId="55570"/>
    <cellStyle name="Normal 15 2 3 4 2" xfId="55571"/>
    <cellStyle name="Normal 15 2 3 4 2 2" xfId="55572"/>
    <cellStyle name="Normal 15 2 3 4 2 3" xfId="55573"/>
    <cellStyle name="Normal 15 2 3 4 3" xfId="55574"/>
    <cellStyle name="Normal 15 2 3 4 3 2" xfId="55575"/>
    <cellStyle name="Normal 15 2 3 4 4" xfId="55576"/>
    <cellStyle name="Normal 15 2 3 4 5" xfId="55577"/>
    <cellStyle name="Normal 15 2 3 5" xfId="55578"/>
    <cellStyle name="Normal 15 2 3 5 2" xfId="55579"/>
    <cellStyle name="Normal 15 2 3 5 3" xfId="55580"/>
    <cellStyle name="Normal 15 2 3 6" xfId="55581"/>
    <cellStyle name="Normal 15 2 3 6 2" xfId="55582"/>
    <cellStyle name="Normal 15 2 3 6 3" xfId="55583"/>
    <cellStyle name="Normal 15 2 3 7" xfId="55584"/>
    <cellStyle name="Normal 15 2 3 7 2" xfId="55585"/>
    <cellStyle name="Normal 15 2 3 8" xfId="55586"/>
    <cellStyle name="Normal 15 2 3 9" xfId="55587"/>
    <cellStyle name="Normal 15 2 4" xfId="4479"/>
    <cellStyle name="Normal 15 2 4 10" xfId="55588"/>
    <cellStyle name="Normal 15 2 4 2" xfId="8426"/>
    <cellStyle name="Normal 15 2 4 2 2" xfId="55589"/>
    <cellStyle name="Normal 15 2 4 2 2 2" xfId="55590"/>
    <cellStyle name="Normal 15 2 4 2 2 3" xfId="55591"/>
    <cellStyle name="Normal 15 2 4 2 3" xfId="55592"/>
    <cellStyle name="Normal 15 2 4 2 3 2" xfId="55593"/>
    <cellStyle name="Normal 15 2 4 2 3 3" xfId="55594"/>
    <cellStyle name="Normal 15 2 4 2 4" xfId="55595"/>
    <cellStyle name="Normal 15 2 4 2 4 2" xfId="55596"/>
    <cellStyle name="Normal 15 2 4 2 5" xfId="55597"/>
    <cellStyle name="Normal 15 2 4 2 6" xfId="55598"/>
    <cellStyle name="Normal 15 2 4 2 7" xfId="55599"/>
    <cellStyle name="Normal 15 2 4 3" xfId="55600"/>
    <cellStyle name="Normal 15 2 4 3 2" xfId="55601"/>
    <cellStyle name="Normal 15 2 4 3 2 2" xfId="55602"/>
    <cellStyle name="Normal 15 2 4 3 2 3" xfId="55603"/>
    <cellStyle name="Normal 15 2 4 3 3" xfId="55604"/>
    <cellStyle name="Normal 15 2 4 3 3 2" xfId="55605"/>
    <cellStyle name="Normal 15 2 4 3 3 3" xfId="55606"/>
    <cellStyle name="Normal 15 2 4 3 4" xfId="55607"/>
    <cellStyle name="Normal 15 2 4 3 4 2" xfId="55608"/>
    <cellStyle name="Normal 15 2 4 3 5" xfId="55609"/>
    <cellStyle name="Normal 15 2 4 3 6" xfId="55610"/>
    <cellStyle name="Normal 15 2 4 4" xfId="55611"/>
    <cellStyle name="Normal 15 2 4 4 2" xfId="55612"/>
    <cellStyle name="Normal 15 2 4 4 2 2" xfId="55613"/>
    <cellStyle name="Normal 15 2 4 4 2 3" xfId="55614"/>
    <cellStyle name="Normal 15 2 4 4 3" xfId="55615"/>
    <cellStyle name="Normal 15 2 4 4 3 2" xfId="55616"/>
    <cellStyle name="Normal 15 2 4 4 4" xfId="55617"/>
    <cellStyle name="Normal 15 2 4 4 5" xfId="55618"/>
    <cellStyle name="Normal 15 2 4 5" xfId="55619"/>
    <cellStyle name="Normal 15 2 4 5 2" xfId="55620"/>
    <cellStyle name="Normal 15 2 4 5 3" xfId="55621"/>
    <cellStyle name="Normal 15 2 4 6" xfId="55622"/>
    <cellStyle name="Normal 15 2 4 6 2" xfId="55623"/>
    <cellStyle name="Normal 15 2 4 6 3" xfId="55624"/>
    <cellStyle name="Normal 15 2 4 7" xfId="55625"/>
    <cellStyle name="Normal 15 2 4 7 2" xfId="55626"/>
    <cellStyle name="Normal 15 2 4 8" xfId="55627"/>
    <cellStyle name="Normal 15 2 4 9" xfId="55628"/>
    <cellStyle name="Normal 15 2 5" xfId="8427"/>
    <cellStyle name="Normal 15 2 5 2" xfId="8428"/>
    <cellStyle name="Normal 15 2 5 2 2" xfId="55629"/>
    <cellStyle name="Normal 15 2 5 2 3" xfId="55630"/>
    <cellStyle name="Normal 15 2 5 2 4" xfId="55631"/>
    <cellStyle name="Normal 15 2 5 3" xfId="55632"/>
    <cellStyle name="Normal 15 2 5 3 2" xfId="55633"/>
    <cellStyle name="Normal 15 2 5 3 3" xfId="55634"/>
    <cellStyle name="Normal 15 2 5 4" xfId="55635"/>
    <cellStyle name="Normal 15 2 5 4 2" xfId="55636"/>
    <cellStyle name="Normal 15 2 5 5" xfId="55637"/>
    <cellStyle name="Normal 15 2 5 6" xfId="55638"/>
    <cellStyle name="Normal 15 2 5 7" xfId="55639"/>
    <cellStyle name="Normal 15 2 6" xfId="8429"/>
    <cellStyle name="Normal 15 2 6 2" xfId="55640"/>
    <cellStyle name="Normal 15 2 6 2 2" xfId="55641"/>
    <cellStyle name="Normal 15 2 6 2 3" xfId="55642"/>
    <cellStyle name="Normal 15 2 6 3" xfId="55643"/>
    <cellStyle name="Normal 15 2 6 3 2" xfId="55644"/>
    <cellStyle name="Normal 15 2 6 3 3" xfId="55645"/>
    <cellStyle name="Normal 15 2 6 4" xfId="55646"/>
    <cellStyle name="Normal 15 2 6 4 2" xfId="55647"/>
    <cellStyle name="Normal 15 2 6 5" xfId="55648"/>
    <cellStyle name="Normal 15 2 6 6" xfId="55649"/>
    <cellStyle name="Normal 15 2 6 7" xfId="55650"/>
    <cellStyle name="Normal 15 2 7" xfId="9597"/>
    <cellStyle name="Normal 15 2 7 2" xfId="55651"/>
    <cellStyle name="Normal 15 2 7 2 2" xfId="55652"/>
    <cellStyle name="Normal 15 2 7 2 3" xfId="55653"/>
    <cellStyle name="Normal 15 2 7 3" xfId="55654"/>
    <cellStyle name="Normal 15 2 7 3 2" xfId="55655"/>
    <cellStyle name="Normal 15 2 7 4" xfId="55656"/>
    <cellStyle name="Normal 15 2 7 5" xfId="55657"/>
    <cellStyle name="Normal 15 2 8" xfId="55658"/>
    <cellStyle name="Normal 15 2 8 2" xfId="55659"/>
    <cellStyle name="Normal 15 2 8 3" xfId="55660"/>
    <cellStyle name="Normal 15 2 9" xfId="55661"/>
    <cellStyle name="Normal 15 2 9 2" xfId="55662"/>
    <cellStyle name="Normal 15 2 9 3" xfId="55663"/>
    <cellStyle name="Normal 15 3" xfId="4480"/>
    <cellStyle name="Normal 15 3 10" xfId="55664"/>
    <cellStyle name="Normal 15 3 11" xfId="55665"/>
    <cellStyle name="Normal 15 3 2" xfId="8430"/>
    <cellStyle name="Normal 15 3 2 10" xfId="55666"/>
    <cellStyle name="Normal 15 3 2 2" xfId="8431"/>
    <cellStyle name="Normal 15 3 2 2 2" xfId="8432"/>
    <cellStyle name="Normal 15 3 2 2 2 2" xfId="55667"/>
    <cellStyle name="Normal 15 3 2 2 2 3" xfId="55668"/>
    <cellStyle name="Normal 15 3 2 2 3" xfId="55669"/>
    <cellStyle name="Normal 15 3 2 2 3 2" xfId="55670"/>
    <cellStyle name="Normal 15 3 2 2 3 3" xfId="55671"/>
    <cellStyle name="Normal 15 3 2 2 4" xfId="55672"/>
    <cellStyle name="Normal 15 3 2 2 4 2" xfId="55673"/>
    <cellStyle name="Normal 15 3 2 2 5" xfId="55674"/>
    <cellStyle name="Normal 15 3 2 2 6" xfId="55675"/>
    <cellStyle name="Normal 15 3 2 2 7" xfId="55676"/>
    <cellStyle name="Normal 15 3 2 3" xfId="8433"/>
    <cellStyle name="Normal 15 3 2 3 2" xfId="55677"/>
    <cellStyle name="Normal 15 3 2 3 2 2" xfId="55678"/>
    <cellStyle name="Normal 15 3 2 3 2 3" xfId="55679"/>
    <cellStyle name="Normal 15 3 2 3 3" xfId="55680"/>
    <cellStyle name="Normal 15 3 2 3 3 2" xfId="55681"/>
    <cellStyle name="Normal 15 3 2 3 3 3" xfId="55682"/>
    <cellStyle name="Normal 15 3 2 3 4" xfId="55683"/>
    <cellStyle name="Normal 15 3 2 3 4 2" xfId="55684"/>
    <cellStyle name="Normal 15 3 2 3 5" xfId="55685"/>
    <cellStyle name="Normal 15 3 2 3 6" xfId="55686"/>
    <cellStyle name="Normal 15 3 2 3 7" xfId="55687"/>
    <cellStyle name="Normal 15 3 2 4" xfId="55688"/>
    <cellStyle name="Normal 15 3 2 4 2" xfId="55689"/>
    <cellStyle name="Normal 15 3 2 4 2 2" xfId="55690"/>
    <cellStyle name="Normal 15 3 2 4 2 3" xfId="55691"/>
    <cellStyle name="Normal 15 3 2 4 3" xfId="55692"/>
    <cellStyle name="Normal 15 3 2 4 3 2" xfId="55693"/>
    <cellStyle name="Normal 15 3 2 4 4" xfId="55694"/>
    <cellStyle name="Normal 15 3 2 4 5" xfId="55695"/>
    <cellStyle name="Normal 15 3 2 5" xfId="55696"/>
    <cellStyle name="Normal 15 3 2 5 2" xfId="55697"/>
    <cellStyle name="Normal 15 3 2 5 3" xfId="55698"/>
    <cellStyle name="Normal 15 3 2 6" xfId="55699"/>
    <cellStyle name="Normal 15 3 2 6 2" xfId="55700"/>
    <cellStyle name="Normal 15 3 2 6 3" xfId="55701"/>
    <cellStyle name="Normal 15 3 2 7" xfId="55702"/>
    <cellStyle name="Normal 15 3 2 7 2" xfId="55703"/>
    <cellStyle name="Normal 15 3 2 8" xfId="55704"/>
    <cellStyle name="Normal 15 3 2 9" xfId="55705"/>
    <cellStyle name="Normal 15 3 3" xfId="8434"/>
    <cellStyle name="Normal 15 3 3 2" xfId="8435"/>
    <cellStyle name="Normal 15 3 3 2 2" xfId="55706"/>
    <cellStyle name="Normal 15 3 3 2 3" xfId="55707"/>
    <cellStyle name="Normal 15 3 3 3" xfId="55708"/>
    <cellStyle name="Normal 15 3 3 3 2" xfId="55709"/>
    <cellStyle name="Normal 15 3 3 3 3" xfId="55710"/>
    <cellStyle name="Normal 15 3 3 4" xfId="55711"/>
    <cellStyle name="Normal 15 3 3 4 2" xfId="55712"/>
    <cellStyle name="Normal 15 3 3 5" xfId="55713"/>
    <cellStyle name="Normal 15 3 3 6" xfId="55714"/>
    <cellStyle name="Normal 15 3 3 7" xfId="55715"/>
    <cellStyle name="Normal 15 3 4" xfId="8436"/>
    <cellStyle name="Normal 15 3 4 2" xfId="55716"/>
    <cellStyle name="Normal 15 3 4 2 2" xfId="55717"/>
    <cellStyle name="Normal 15 3 4 2 3" xfId="55718"/>
    <cellStyle name="Normal 15 3 4 3" xfId="55719"/>
    <cellStyle name="Normal 15 3 4 3 2" xfId="55720"/>
    <cellStyle name="Normal 15 3 4 3 3" xfId="55721"/>
    <cellStyle name="Normal 15 3 4 4" xfId="55722"/>
    <cellStyle name="Normal 15 3 4 4 2" xfId="55723"/>
    <cellStyle name="Normal 15 3 4 5" xfId="55724"/>
    <cellStyle name="Normal 15 3 4 6" xfId="55725"/>
    <cellStyle name="Normal 15 3 4 7" xfId="55726"/>
    <cellStyle name="Normal 15 3 5" xfId="9598"/>
    <cellStyle name="Normal 15 3 5 2" xfId="55727"/>
    <cellStyle name="Normal 15 3 5 2 2" xfId="55728"/>
    <cellStyle name="Normal 15 3 5 2 3" xfId="55729"/>
    <cellStyle name="Normal 15 3 5 3" xfId="55730"/>
    <cellStyle name="Normal 15 3 5 3 2" xfId="55731"/>
    <cellStyle name="Normal 15 3 5 4" xfId="55732"/>
    <cellStyle name="Normal 15 3 5 5" xfId="55733"/>
    <cellStyle name="Normal 15 3 6" xfId="9599"/>
    <cellStyle name="Normal 15 3 6 2" xfId="55734"/>
    <cellStyle name="Normal 15 3 6 3" xfId="55735"/>
    <cellStyle name="Normal 15 3 7" xfId="9600"/>
    <cellStyle name="Normal 15 3 7 2" xfId="55736"/>
    <cellStyle name="Normal 15 3 7 3" xfId="55737"/>
    <cellStyle name="Normal 15 3 8" xfId="55738"/>
    <cellStyle name="Normal 15 3 8 2" xfId="55739"/>
    <cellStyle name="Normal 15 3 9" xfId="55740"/>
    <cellStyle name="Normal 15 4" xfId="4481"/>
    <cellStyle name="Normal 15 4 10" xfId="55741"/>
    <cellStyle name="Normal 15 4 2" xfId="8437"/>
    <cellStyle name="Normal 15 4 2 2" xfId="8438"/>
    <cellStyle name="Normal 15 4 2 2 2" xfId="55742"/>
    <cellStyle name="Normal 15 4 2 2 3" xfId="55743"/>
    <cellStyle name="Normal 15 4 2 2 4" xfId="55744"/>
    <cellStyle name="Normal 15 4 2 3" xfId="55745"/>
    <cellStyle name="Normal 15 4 2 3 2" xfId="55746"/>
    <cellStyle name="Normal 15 4 2 3 3" xfId="55747"/>
    <cellStyle name="Normal 15 4 2 4" xfId="55748"/>
    <cellStyle name="Normal 15 4 2 4 2" xfId="55749"/>
    <cellStyle name="Normal 15 4 2 5" xfId="55750"/>
    <cellStyle name="Normal 15 4 2 6" xfId="55751"/>
    <cellStyle name="Normal 15 4 2 7" xfId="55752"/>
    <cellStyle name="Normal 15 4 3" xfId="8439"/>
    <cellStyle name="Normal 15 4 3 2" xfId="55753"/>
    <cellStyle name="Normal 15 4 3 2 2" xfId="55754"/>
    <cellStyle name="Normal 15 4 3 2 3" xfId="55755"/>
    <cellStyle name="Normal 15 4 3 3" xfId="55756"/>
    <cellStyle name="Normal 15 4 3 3 2" xfId="55757"/>
    <cellStyle name="Normal 15 4 3 3 3" xfId="55758"/>
    <cellStyle name="Normal 15 4 3 4" xfId="55759"/>
    <cellStyle name="Normal 15 4 3 4 2" xfId="55760"/>
    <cellStyle name="Normal 15 4 3 5" xfId="55761"/>
    <cellStyle name="Normal 15 4 3 6" xfId="55762"/>
    <cellStyle name="Normal 15 4 3 7" xfId="55763"/>
    <cellStyle name="Normal 15 4 4" xfId="9601"/>
    <cellStyle name="Normal 15 4 4 2" xfId="55764"/>
    <cellStyle name="Normal 15 4 4 2 2" xfId="55765"/>
    <cellStyle name="Normal 15 4 4 2 3" xfId="55766"/>
    <cellStyle name="Normal 15 4 4 3" xfId="55767"/>
    <cellStyle name="Normal 15 4 4 3 2" xfId="55768"/>
    <cellStyle name="Normal 15 4 4 4" xfId="55769"/>
    <cellStyle name="Normal 15 4 4 5" xfId="55770"/>
    <cellStyle name="Normal 15 4 5" xfId="55771"/>
    <cellStyle name="Normal 15 4 5 2" xfId="55772"/>
    <cellStyle name="Normal 15 4 5 3" xfId="55773"/>
    <cellStyle name="Normal 15 4 6" xfId="55774"/>
    <cellStyle name="Normal 15 4 6 2" xfId="55775"/>
    <cellStyle name="Normal 15 4 6 3" xfId="55776"/>
    <cellStyle name="Normal 15 4 7" xfId="55777"/>
    <cellStyle name="Normal 15 4 7 2" xfId="55778"/>
    <cellStyle name="Normal 15 4 8" xfId="55779"/>
    <cellStyle name="Normal 15 4 9" xfId="55780"/>
    <cellStyle name="Normal 15 5" xfId="4482"/>
    <cellStyle name="Normal 15 5 10" xfId="55781"/>
    <cellStyle name="Normal 15 5 2" xfId="8440"/>
    <cellStyle name="Normal 15 5 2 2" xfId="55782"/>
    <cellStyle name="Normal 15 5 2 2 2" xfId="55783"/>
    <cellStyle name="Normal 15 5 2 2 3" xfId="55784"/>
    <cellStyle name="Normal 15 5 2 3" xfId="55785"/>
    <cellStyle name="Normal 15 5 2 3 2" xfId="55786"/>
    <cellStyle name="Normal 15 5 2 3 3" xfId="55787"/>
    <cellStyle name="Normal 15 5 2 4" xfId="55788"/>
    <cellStyle name="Normal 15 5 2 4 2" xfId="55789"/>
    <cellStyle name="Normal 15 5 2 5" xfId="55790"/>
    <cellStyle name="Normal 15 5 2 6" xfId="55791"/>
    <cellStyle name="Normal 15 5 2 7" xfId="55792"/>
    <cellStyle name="Normal 15 5 3" xfId="55793"/>
    <cellStyle name="Normal 15 5 3 2" xfId="55794"/>
    <cellStyle name="Normal 15 5 3 2 2" xfId="55795"/>
    <cellStyle name="Normal 15 5 3 2 3" xfId="55796"/>
    <cellStyle name="Normal 15 5 3 3" xfId="55797"/>
    <cellStyle name="Normal 15 5 3 3 2" xfId="55798"/>
    <cellStyle name="Normal 15 5 3 3 3" xfId="55799"/>
    <cellStyle name="Normal 15 5 3 4" xfId="55800"/>
    <cellStyle name="Normal 15 5 3 4 2" xfId="55801"/>
    <cellStyle name="Normal 15 5 3 5" xfId="55802"/>
    <cellStyle name="Normal 15 5 3 6" xfId="55803"/>
    <cellStyle name="Normal 15 5 4" xfId="55804"/>
    <cellStyle name="Normal 15 5 4 2" xfId="55805"/>
    <cellStyle name="Normal 15 5 4 2 2" xfId="55806"/>
    <cellStyle name="Normal 15 5 4 2 3" xfId="55807"/>
    <cellStyle name="Normal 15 5 4 3" xfId="55808"/>
    <cellStyle name="Normal 15 5 4 3 2" xfId="55809"/>
    <cellStyle name="Normal 15 5 4 4" xfId="55810"/>
    <cellStyle name="Normal 15 5 4 5" xfId="55811"/>
    <cellStyle name="Normal 15 5 5" xfId="55812"/>
    <cellStyle name="Normal 15 5 5 2" xfId="55813"/>
    <cellStyle name="Normal 15 5 5 3" xfId="55814"/>
    <cellStyle name="Normal 15 5 6" xfId="55815"/>
    <cellStyle name="Normal 15 5 6 2" xfId="55816"/>
    <cellStyle name="Normal 15 5 6 3" xfId="55817"/>
    <cellStyle name="Normal 15 5 7" xfId="55818"/>
    <cellStyle name="Normal 15 5 7 2" xfId="55819"/>
    <cellStyle name="Normal 15 5 8" xfId="55820"/>
    <cellStyle name="Normal 15 5 9" xfId="55821"/>
    <cellStyle name="Normal 15 6" xfId="8441"/>
    <cellStyle name="Normal 15 6 2" xfId="8442"/>
    <cellStyle name="Normal 15 6 2 2" xfId="55822"/>
    <cellStyle name="Normal 15 6 2 3" xfId="55823"/>
    <cellStyle name="Normal 15 6 2 4" xfId="55824"/>
    <cellStyle name="Normal 15 6 3" xfId="55825"/>
    <cellStyle name="Normal 15 6 3 2" xfId="55826"/>
    <cellStyle name="Normal 15 6 3 3" xfId="55827"/>
    <cellStyle name="Normal 15 6 4" xfId="55828"/>
    <cellStyle name="Normal 15 6 4 2" xfId="55829"/>
    <cellStyle name="Normal 15 6 5" xfId="55830"/>
    <cellStyle name="Normal 15 6 6" xfId="55831"/>
    <cellStyle name="Normal 15 6 7" xfId="55832"/>
    <cellStyle name="Normal 15 7" xfId="8443"/>
    <cellStyle name="Normal 15 7 2" xfId="55833"/>
    <cellStyle name="Normal 15 7 2 2" xfId="55834"/>
    <cellStyle name="Normal 15 7 2 3" xfId="55835"/>
    <cellStyle name="Normal 15 7 3" xfId="55836"/>
    <cellStyle name="Normal 15 7 3 2" xfId="55837"/>
    <cellStyle name="Normal 15 7 3 3" xfId="55838"/>
    <cellStyle name="Normal 15 7 4" xfId="55839"/>
    <cellStyle name="Normal 15 7 4 2" xfId="55840"/>
    <cellStyle name="Normal 15 7 5" xfId="55841"/>
    <cellStyle name="Normal 15 7 6" xfId="55842"/>
    <cellStyle name="Normal 15 7 7" xfId="55843"/>
    <cellStyle name="Normal 15 8" xfId="8807"/>
    <cellStyle name="Normal 15 8 2" xfId="55844"/>
    <cellStyle name="Normal 15 8 2 2" xfId="55845"/>
    <cellStyle name="Normal 15 8 2 3" xfId="55846"/>
    <cellStyle name="Normal 15 8 3" xfId="55847"/>
    <cellStyle name="Normal 15 8 3 2" xfId="55848"/>
    <cellStyle name="Normal 15 8 4" xfId="55849"/>
    <cellStyle name="Normal 15 8 5" xfId="55850"/>
    <cellStyle name="Normal 15 9" xfId="9602"/>
    <cellStyle name="Normal 15 9 2" xfId="55851"/>
    <cellStyle name="Normal 15 9 3" xfId="55852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1"/>
    <cellStyle name="Normal 17" xfId="4485"/>
    <cellStyle name="Normal 17 10" xfId="55853"/>
    <cellStyle name="Normal 17 10 2" xfId="55854"/>
    <cellStyle name="Normal 17 11" xfId="55855"/>
    <cellStyle name="Normal 17 12" xfId="55856"/>
    <cellStyle name="Normal 17 13" xfId="55857"/>
    <cellStyle name="Normal 17 2" xfId="4486"/>
    <cellStyle name="Normal 17 2 10" xfId="55858"/>
    <cellStyle name="Normal 17 2 11" xfId="55859"/>
    <cellStyle name="Normal 17 2 2" xfId="4487"/>
    <cellStyle name="Normal 17 2 2 10" xfId="55860"/>
    <cellStyle name="Normal 17 2 2 2" xfId="8444"/>
    <cellStyle name="Normal 17 2 2 2 2" xfId="8445"/>
    <cellStyle name="Normal 17 2 2 2 2 2" xfId="55861"/>
    <cellStyle name="Normal 17 2 2 2 2 3" xfId="55862"/>
    <cellStyle name="Normal 17 2 2 2 3" xfId="55863"/>
    <cellStyle name="Normal 17 2 2 2 3 2" xfId="55864"/>
    <cellStyle name="Normal 17 2 2 2 3 3" xfId="55865"/>
    <cellStyle name="Normal 17 2 2 2 4" xfId="55866"/>
    <cellStyle name="Normal 17 2 2 2 4 2" xfId="55867"/>
    <cellStyle name="Normal 17 2 2 2 5" xfId="55868"/>
    <cellStyle name="Normal 17 2 2 2 6" xfId="55869"/>
    <cellStyle name="Normal 17 2 2 2 7" xfId="55870"/>
    <cellStyle name="Normal 17 2 2 3" xfId="8446"/>
    <cellStyle name="Normal 17 2 2 3 2" xfId="55871"/>
    <cellStyle name="Normal 17 2 2 3 2 2" xfId="55872"/>
    <cellStyle name="Normal 17 2 2 3 2 3" xfId="55873"/>
    <cellStyle name="Normal 17 2 2 3 3" xfId="55874"/>
    <cellStyle name="Normal 17 2 2 3 3 2" xfId="55875"/>
    <cellStyle name="Normal 17 2 2 3 3 3" xfId="55876"/>
    <cellStyle name="Normal 17 2 2 3 4" xfId="55877"/>
    <cellStyle name="Normal 17 2 2 3 4 2" xfId="55878"/>
    <cellStyle name="Normal 17 2 2 3 5" xfId="55879"/>
    <cellStyle name="Normal 17 2 2 3 6" xfId="55880"/>
    <cellStyle name="Normal 17 2 2 3 7" xfId="55881"/>
    <cellStyle name="Normal 17 2 2 4" xfId="55882"/>
    <cellStyle name="Normal 17 2 2 4 2" xfId="55883"/>
    <cellStyle name="Normal 17 2 2 4 2 2" xfId="55884"/>
    <cellStyle name="Normal 17 2 2 4 2 3" xfId="55885"/>
    <cellStyle name="Normal 17 2 2 4 3" xfId="55886"/>
    <cellStyle name="Normal 17 2 2 4 3 2" xfId="55887"/>
    <cellStyle name="Normal 17 2 2 4 4" xfId="55888"/>
    <cellStyle name="Normal 17 2 2 4 5" xfId="55889"/>
    <cellStyle name="Normal 17 2 2 5" xfId="55890"/>
    <cellStyle name="Normal 17 2 2 5 2" xfId="55891"/>
    <cellStyle name="Normal 17 2 2 5 3" xfId="55892"/>
    <cellStyle name="Normal 17 2 2 6" xfId="55893"/>
    <cellStyle name="Normal 17 2 2 6 2" xfId="55894"/>
    <cellStyle name="Normal 17 2 2 6 3" xfId="55895"/>
    <cellStyle name="Normal 17 2 2 7" xfId="55896"/>
    <cellStyle name="Normal 17 2 2 7 2" xfId="55897"/>
    <cellStyle name="Normal 17 2 2 8" xfId="55898"/>
    <cellStyle name="Normal 17 2 2 9" xfId="55899"/>
    <cellStyle name="Normal 17 2 3" xfId="8447"/>
    <cellStyle name="Normal 17 2 3 2" xfId="8448"/>
    <cellStyle name="Normal 17 2 3 2 2" xfId="55900"/>
    <cellStyle name="Normal 17 2 3 2 3" xfId="55901"/>
    <cellStyle name="Normal 17 2 3 3" xfId="55902"/>
    <cellStyle name="Normal 17 2 3 3 2" xfId="55903"/>
    <cellStyle name="Normal 17 2 3 3 3" xfId="55904"/>
    <cellStyle name="Normal 17 2 3 4" xfId="55905"/>
    <cellStyle name="Normal 17 2 3 4 2" xfId="55906"/>
    <cellStyle name="Normal 17 2 3 5" xfId="55907"/>
    <cellStyle name="Normal 17 2 3 6" xfId="55908"/>
    <cellStyle name="Normal 17 2 3 7" xfId="55909"/>
    <cellStyle name="Normal 17 2 4" xfId="8449"/>
    <cellStyle name="Normal 17 2 4 2" xfId="55910"/>
    <cellStyle name="Normal 17 2 4 2 2" xfId="55911"/>
    <cellStyle name="Normal 17 2 4 2 3" xfId="55912"/>
    <cellStyle name="Normal 17 2 4 3" xfId="55913"/>
    <cellStyle name="Normal 17 2 4 3 2" xfId="55914"/>
    <cellStyle name="Normal 17 2 4 3 3" xfId="55915"/>
    <cellStyle name="Normal 17 2 4 4" xfId="55916"/>
    <cellStyle name="Normal 17 2 4 4 2" xfId="55917"/>
    <cellStyle name="Normal 17 2 4 5" xfId="55918"/>
    <cellStyle name="Normal 17 2 4 6" xfId="55919"/>
    <cellStyle name="Normal 17 2 4 7" xfId="55920"/>
    <cellStyle name="Normal 17 2 5" xfId="9605"/>
    <cellStyle name="Normal 17 2 5 2" xfId="55921"/>
    <cellStyle name="Normal 17 2 5 2 2" xfId="55922"/>
    <cellStyle name="Normal 17 2 5 2 3" xfId="55923"/>
    <cellStyle name="Normal 17 2 5 3" xfId="55924"/>
    <cellStyle name="Normal 17 2 5 3 2" xfId="55925"/>
    <cellStyle name="Normal 17 2 5 4" xfId="55926"/>
    <cellStyle name="Normal 17 2 5 5" xfId="55927"/>
    <cellStyle name="Normal 17 2 6" xfId="9606"/>
    <cellStyle name="Normal 17 2 6 2" xfId="55928"/>
    <cellStyle name="Normal 17 2 6 3" xfId="55929"/>
    <cellStyle name="Normal 17 2 7" xfId="55930"/>
    <cellStyle name="Normal 17 2 7 2" xfId="55931"/>
    <cellStyle name="Normal 17 2 7 3" xfId="55932"/>
    <cellStyle name="Normal 17 2 8" xfId="55933"/>
    <cellStyle name="Normal 17 2 8 2" xfId="55934"/>
    <cellStyle name="Normal 17 2 9" xfId="55935"/>
    <cellStyle name="Normal 17 3" xfId="4488"/>
    <cellStyle name="Normal 17 3 10" xfId="55936"/>
    <cellStyle name="Normal 17 3 2" xfId="8450"/>
    <cellStyle name="Normal 17 3 2 2" xfId="8451"/>
    <cellStyle name="Normal 17 3 2 2 2" xfId="55937"/>
    <cellStyle name="Normal 17 3 2 2 3" xfId="55938"/>
    <cellStyle name="Normal 17 3 2 2 4" xfId="55939"/>
    <cellStyle name="Normal 17 3 2 3" xfId="55940"/>
    <cellStyle name="Normal 17 3 2 3 2" xfId="55941"/>
    <cellStyle name="Normal 17 3 2 3 3" xfId="55942"/>
    <cellStyle name="Normal 17 3 2 4" xfId="55943"/>
    <cellStyle name="Normal 17 3 2 4 2" xfId="55944"/>
    <cellStyle name="Normal 17 3 2 5" xfId="55945"/>
    <cellStyle name="Normal 17 3 2 6" xfId="55946"/>
    <cellStyle name="Normal 17 3 2 7" xfId="55947"/>
    <cellStyle name="Normal 17 3 3" xfId="8452"/>
    <cellStyle name="Normal 17 3 3 2" xfId="55948"/>
    <cellStyle name="Normal 17 3 3 2 2" xfId="55949"/>
    <cellStyle name="Normal 17 3 3 2 3" xfId="55950"/>
    <cellStyle name="Normal 17 3 3 3" xfId="55951"/>
    <cellStyle name="Normal 17 3 3 3 2" xfId="55952"/>
    <cellStyle name="Normal 17 3 3 3 3" xfId="55953"/>
    <cellStyle name="Normal 17 3 3 4" xfId="55954"/>
    <cellStyle name="Normal 17 3 3 4 2" xfId="55955"/>
    <cellStyle name="Normal 17 3 3 5" xfId="55956"/>
    <cellStyle name="Normal 17 3 3 6" xfId="55957"/>
    <cellStyle name="Normal 17 3 3 7" xfId="55958"/>
    <cellStyle name="Normal 17 3 4" xfId="9607"/>
    <cellStyle name="Normal 17 3 4 2" xfId="55959"/>
    <cellStyle name="Normal 17 3 4 2 2" xfId="55960"/>
    <cellStyle name="Normal 17 3 4 2 3" xfId="55961"/>
    <cellStyle name="Normal 17 3 4 3" xfId="55962"/>
    <cellStyle name="Normal 17 3 4 3 2" xfId="55963"/>
    <cellStyle name="Normal 17 3 4 4" xfId="55964"/>
    <cellStyle name="Normal 17 3 4 5" xfId="55965"/>
    <cellStyle name="Normal 17 3 5" xfId="9608"/>
    <cellStyle name="Normal 17 3 5 2" xfId="55966"/>
    <cellStyle name="Normal 17 3 5 3" xfId="55967"/>
    <cellStyle name="Normal 17 3 6" xfId="55968"/>
    <cellStyle name="Normal 17 3 6 2" xfId="55969"/>
    <cellStyle name="Normal 17 3 6 3" xfId="55970"/>
    <cellStyle name="Normal 17 3 7" xfId="55971"/>
    <cellStyle name="Normal 17 3 7 2" xfId="55972"/>
    <cellStyle name="Normal 17 3 8" xfId="55973"/>
    <cellStyle name="Normal 17 3 9" xfId="55974"/>
    <cellStyle name="Normal 17 4" xfId="8453"/>
    <cellStyle name="Normal 17 4 10" xfId="55975"/>
    <cellStyle name="Normal 17 4 2" xfId="8454"/>
    <cellStyle name="Normal 17 4 2 2" xfId="55976"/>
    <cellStyle name="Normal 17 4 2 2 2" xfId="55977"/>
    <cellStyle name="Normal 17 4 2 2 3" xfId="55978"/>
    <cellStyle name="Normal 17 4 2 3" xfId="55979"/>
    <cellStyle name="Normal 17 4 2 3 2" xfId="55980"/>
    <cellStyle name="Normal 17 4 2 3 3" xfId="55981"/>
    <cellStyle name="Normal 17 4 2 4" xfId="55982"/>
    <cellStyle name="Normal 17 4 2 4 2" xfId="55983"/>
    <cellStyle name="Normal 17 4 2 5" xfId="55984"/>
    <cellStyle name="Normal 17 4 2 6" xfId="55985"/>
    <cellStyle name="Normal 17 4 2 7" xfId="55986"/>
    <cellStyle name="Normal 17 4 3" xfId="55987"/>
    <cellStyle name="Normal 17 4 3 2" xfId="55988"/>
    <cellStyle name="Normal 17 4 3 2 2" xfId="55989"/>
    <cellStyle name="Normal 17 4 3 2 3" xfId="55990"/>
    <cellStyle name="Normal 17 4 3 3" xfId="55991"/>
    <cellStyle name="Normal 17 4 3 3 2" xfId="55992"/>
    <cellStyle name="Normal 17 4 3 3 3" xfId="55993"/>
    <cellStyle name="Normal 17 4 3 4" xfId="55994"/>
    <cellStyle name="Normal 17 4 3 4 2" xfId="55995"/>
    <cellStyle name="Normal 17 4 3 5" xfId="55996"/>
    <cellStyle name="Normal 17 4 3 6" xfId="55997"/>
    <cellStyle name="Normal 17 4 4" xfId="55998"/>
    <cellStyle name="Normal 17 4 4 2" xfId="55999"/>
    <cellStyle name="Normal 17 4 4 2 2" xfId="56000"/>
    <cellStyle name="Normal 17 4 4 2 3" xfId="56001"/>
    <cellStyle name="Normal 17 4 4 3" xfId="56002"/>
    <cellStyle name="Normal 17 4 4 3 2" xfId="56003"/>
    <cellStyle name="Normal 17 4 4 4" xfId="56004"/>
    <cellStyle name="Normal 17 4 4 5" xfId="56005"/>
    <cellStyle name="Normal 17 4 5" xfId="56006"/>
    <cellStyle name="Normal 17 4 5 2" xfId="56007"/>
    <cellStyle name="Normal 17 4 5 3" xfId="56008"/>
    <cellStyle name="Normal 17 4 6" xfId="56009"/>
    <cellStyle name="Normal 17 4 6 2" xfId="56010"/>
    <cellStyle name="Normal 17 4 6 3" xfId="56011"/>
    <cellStyle name="Normal 17 4 7" xfId="56012"/>
    <cellStyle name="Normal 17 4 7 2" xfId="56013"/>
    <cellStyle name="Normal 17 4 8" xfId="56014"/>
    <cellStyle name="Normal 17 4 9" xfId="56015"/>
    <cellStyle name="Normal 17 5" xfId="8455"/>
    <cellStyle name="Normal 17 5 2" xfId="8456"/>
    <cellStyle name="Normal 17 5 2 2" xfId="56016"/>
    <cellStyle name="Normal 17 5 2 3" xfId="56017"/>
    <cellStyle name="Normal 17 5 2 4" xfId="56018"/>
    <cellStyle name="Normal 17 5 3" xfId="56019"/>
    <cellStyle name="Normal 17 5 3 2" xfId="56020"/>
    <cellStyle name="Normal 17 5 3 3" xfId="56021"/>
    <cellStyle name="Normal 17 5 4" xfId="56022"/>
    <cellStyle name="Normal 17 5 4 2" xfId="56023"/>
    <cellStyle name="Normal 17 5 5" xfId="56024"/>
    <cellStyle name="Normal 17 5 6" xfId="56025"/>
    <cellStyle name="Normal 17 5 7" xfId="56026"/>
    <cellStyle name="Normal 17 6" xfId="8457"/>
    <cellStyle name="Normal 17 6 2" xfId="56027"/>
    <cellStyle name="Normal 17 6 2 2" xfId="56028"/>
    <cellStyle name="Normal 17 6 2 3" xfId="56029"/>
    <cellStyle name="Normal 17 6 3" xfId="56030"/>
    <cellStyle name="Normal 17 6 3 2" xfId="56031"/>
    <cellStyle name="Normal 17 6 3 3" xfId="56032"/>
    <cellStyle name="Normal 17 6 4" xfId="56033"/>
    <cellStyle name="Normal 17 6 4 2" xfId="56034"/>
    <cellStyle name="Normal 17 6 5" xfId="56035"/>
    <cellStyle name="Normal 17 6 6" xfId="56036"/>
    <cellStyle name="Normal 17 6 7" xfId="56037"/>
    <cellStyle name="Normal 17 7" xfId="9609"/>
    <cellStyle name="Normal 17 7 2" xfId="56038"/>
    <cellStyle name="Normal 17 7 2 2" xfId="56039"/>
    <cellStyle name="Normal 17 7 2 3" xfId="56040"/>
    <cellStyle name="Normal 17 7 3" xfId="56041"/>
    <cellStyle name="Normal 17 7 3 2" xfId="56042"/>
    <cellStyle name="Normal 17 7 4" xfId="56043"/>
    <cellStyle name="Normal 17 7 5" xfId="56044"/>
    <cellStyle name="Normal 17 8" xfId="9610"/>
    <cellStyle name="Normal 17 8 2" xfId="56045"/>
    <cellStyle name="Normal 17 8 3" xfId="56046"/>
    <cellStyle name="Normal 17 9" xfId="56047"/>
    <cellStyle name="Normal 17 9 2" xfId="56048"/>
    <cellStyle name="Normal 17 9 3" xfId="56049"/>
    <cellStyle name="Normal 18" xfId="4489"/>
    <cellStyle name="Normal 18 2" xfId="4490"/>
    <cellStyle name="Normal 18 2 2" xfId="4491"/>
    <cellStyle name="Normal 18 2 2 2" xfId="9611"/>
    <cellStyle name="Normal 18 2 2 3" xfId="59598"/>
    <cellStyle name="Normal 18 2 3" xfId="9612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9613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8"/>
    <cellStyle name="Normal 2 10 3" xfId="57814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6050"/>
    <cellStyle name="Normal 2 14" xfId="56051"/>
    <cellStyle name="Normal 2 15" xfId="56052"/>
    <cellStyle name="Normal 2 16" xfId="56053"/>
    <cellStyle name="Normal 2 17" xfId="56054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9622"/>
    <cellStyle name="Normal 2 2 2 2 3" xfId="56055"/>
    <cellStyle name="Normal 2 2 2 3" xfId="8463"/>
    <cellStyle name="Normal 2 2 2 3 2" xfId="56056"/>
    <cellStyle name="Normal 2 2 2 3 3" xfId="56057"/>
    <cellStyle name="Normal 2 2 2 4" xfId="8464"/>
    <cellStyle name="Normal 2 2 2 4 2" xfId="56058"/>
    <cellStyle name="Normal 2 2 2 5" xfId="9623"/>
    <cellStyle name="Normal 2 2 2 6" xfId="57952"/>
    <cellStyle name="Normal 2 2 3" xfId="4499"/>
    <cellStyle name="Normal 2 2 3 2" xfId="9624"/>
    <cellStyle name="Normal 2 2 3 3" xfId="9625"/>
    <cellStyle name="Normal 2 2 3 4" xfId="57953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5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6059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23" xfId="62042"/>
    <cellStyle name="Normal 2 24" xfId="62046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4"/>
    <cellStyle name="Normal 2 3 3" xfId="9629"/>
    <cellStyle name="Normal 2 3 3 2" xfId="9630"/>
    <cellStyle name="Normal 2 3 3 3" xfId="9631"/>
    <cellStyle name="Normal 2 3 4" xfId="9632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9633"/>
    <cellStyle name="Normal 2 3 5 2" xfId="9634"/>
    <cellStyle name="Normal 2 3 5 2 2" xfId="59663"/>
    <cellStyle name="Normal 2 3 5 3" xfId="59664"/>
    <cellStyle name="Normal 2 3 5 4" xfId="59665"/>
    <cellStyle name="Normal 2 3 5 5" xfId="59666"/>
    <cellStyle name="Normal 2 3 6" xfId="9635"/>
    <cellStyle name="Normal 2 3 6 2" xfId="59667"/>
    <cellStyle name="Normal 2 3 7" xfId="57955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6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7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8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59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9657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6"/>
    <cellStyle name="Normal 2 5 6" xfId="57960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1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9664"/>
    <cellStyle name="Normal 2 7 2 5" xfId="9665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9668"/>
    <cellStyle name="Normal 2 8 5" xfId="9669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9671"/>
    <cellStyle name="Normal 20 3 3" xfId="59717"/>
    <cellStyle name="Normal 20 3 4" xfId="59718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19"/>
    <cellStyle name="Normal 22 2 4" xfId="59720"/>
    <cellStyle name="Normal 22 2 5" xfId="59721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2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0"/>
    <cellStyle name="Normal 26 3" xfId="56061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94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5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778"/>
    <cellStyle name="Normal 29 5" xfId="9296"/>
    <cellStyle name="Normal 29 6" xfId="59746"/>
    <cellStyle name="Normal 3" xfId="4"/>
    <cellStyle name="Normal 3 10" xfId="56062"/>
    <cellStyle name="Normal 3 11" xfId="56063"/>
    <cellStyle name="Normal 3 12" xfId="56064"/>
    <cellStyle name="Normal 3 13" xfId="56065"/>
    <cellStyle name="Normal 3 14" xfId="56066"/>
    <cellStyle name="Normal 3 15" xfId="56067"/>
    <cellStyle name="Normal 3 16" xfId="56068"/>
    <cellStyle name="Normal 3 17" xfId="56069"/>
    <cellStyle name="Normal 3 17 2" xfId="56070"/>
    <cellStyle name="Normal 3 17 2 2" xfId="56071"/>
    <cellStyle name="Normal 3 17 3" xfId="56072"/>
    <cellStyle name="Normal 3 18" xfId="56073"/>
    <cellStyle name="Normal 3 18 2" xfId="56074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6075"/>
    <cellStyle name="Normal 3 19 2" xfId="59754"/>
    <cellStyle name="Normal 3 19 3" xfId="59755"/>
    <cellStyle name="Normal 3 2" xfId="4554"/>
    <cellStyle name="Normal 3 2 2" xfId="4555"/>
    <cellStyle name="Normal 3 2 2 2" xfId="9692"/>
    <cellStyle name="Normal 3 2 2 3" xfId="9693"/>
    <cellStyle name="Normal 3 2 2 4" xfId="57962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6"/>
    <cellStyle name="Normal 3 2 4 4" xfId="59757"/>
    <cellStyle name="Normal 3 2 5" xfId="57963"/>
    <cellStyle name="Normal 3 2 5 2" xfId="62048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6"/>
    <cellStyle name="Normal 3 4 4" xfId="9701"/>
    <cellStyle name="Normal 3 4 5" xfId="57964"/>
    <cellStyle name="Normal 3 5" xfId="4558"/>
    <cellStyle name="Normal 3 5 2" xfId="9702"/>
    <cellStyle name="Normal 3 6" xfId="9302"/>
    <cellStyle name="Normal 3 6 2" xfId="57965"/>
    <cellStyle name="Normal 3 7" xfId="56077"/>
    <cellStyle name="Normal 3 7 2" xfId="57966"/>
    <cellStyle name="Normal 3 8" xfId="56078"/>
    <cellStyle name="Normal 3 8 2" xfId="57967"/>
    <cellStyle name="Normal 3 9" xfId="56079"/>
    <cellStyle name="Normal 3 9 2" xfId="57968"/>
    <cellStyle name="Normal 3_183302" xfId="8770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303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304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5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608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9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7"/>
    <cellStyle name="Normal 46 2 2" xfId="5780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49 4" xfId="6205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3"/>
    <cellStyle name="Normal 50 3" xfId="60194"/>
    <cellStyle name="Normal 51" xfId="8672"/>
    <cellStyle name="Normal 51 2" xfId="8814"/>
    <cellStyle name="Normal 51 3" xfId="60195"/>
    <cellStyle name="Normal 52" xfId="8675"/>
    <cellStyle name="Normal 52 2" xfId="60196"/>
    <cellStyle name="Normal 52 3" xfId="60197"/>
    <cellStyle name="Normal 53" xfId="8765"/>
    <cellStyle name="Normal 53 2" xfId="8815"/>
    <cellStyle name="Normal 53 3" xfId="60198"/>
    <cellStyle name="Normal 54" xfId="8810"/>
    <cellStyle name="Normal 54 2" xfId="8831"/>
    <cellStyle name="Normal 54 3" xfId="60199"/>
    <cellStyle name="Normal 55" xfId="8817"/>
    <cellStyle name="Normal 55 2" xfId="60200"/>
    <cellStyle name="Normal 55 3" xfId="60201"/>
    <cellStyle name="Normal 56" xfId="8818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3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8"/>
    <cellStyle name="Normal 71" xfId="60259"/>
    <cellStyle name="Normal 72" xfId="60260"/>
    <cellStyle name="Normal 73" xfId="60261"/>
    <cellStyle name="Normal 74" xfId="60262"/>
    <cellStyle name="Normal 74 2" xfId="62047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5"/>
    <cellStyle name="Normal 81" xfId="60276"/>
    <cellStyle name="Normal 82" xfId="60277"/>
    <cellStyle name="Normal 83" xfId="60278"/>
    <cellStyle name="Normal 84" xfId="62040"/>
    <cellStyle name="Normal 85" xfId="62041"/>
    <cellStyle name="Normal 86" xfId="62043"/>
    <cellStyle name="Normal 86 2" xfId="62055"/>
    <cellStyle name="Normal 87" xfId="62044"/>
    <cellStyle name="Normal 88" xfId="62054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5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4"/>
    <cellStyle name="Note 3" xfId="5949"/>
    <cellStyle name="Note 3 10" xfId="5950"/>
    <cellStyle name="Note 3 10 2" xfId="60529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81"/>
    <cellStyle name="Note 5 10 2 2" xfId="56082"/>
    <cellStyle name="Note 5 10 2 3" xfId="56083"/>
    <cellStyle name="Note 5 10 3" xfId="56084"/>
    <cellStyle name="Note 5 10 3 2" xfId="56085"/>
    <cellStyle name="Note 5 10 4" xfId="56086"/>
    <cellStyle name="Note 5 10 5" xfId="56087"/>
    <cellStyle name="Note 5 11" xfId="6119"/>
    <cellStyle name="Note 5 11 2" xfId="56088"/>
    <cellStyle name="Note 5 11 3" xfId="56089"/>
    <cellStyle name="Note 5 12" xfId="6120"/>
    <cellStyle name="Note 5 12 2" xfId="56090"/>
    <cellStyle name="Note 5 12 3" xfId="56091"/>
    <cellStyle name="Note 5 13" xfId="9344"/>
    <cellStyle name="Note 5 13 2" xfId="56092"/>
    <cellStyle name="Note 5 14" xfId="56093"/>
    <cellStyle name="Note 5 15" xfId="56094"/>
    <cellStyle name="Note 5 16" xfId="56095"/>
    <cellStyle name="Note 5 2" xfId="6121"/>
    <cellStyle name="Note 5 2 10" xfId="6122"/>
    <cellStyle name="Note 5 2 10 2" xfId="56096"/>
    <cellStyle name="Note 5 2 10 3" xfId="56097"/>
    <cellStyle name="Note 5 2 11" xfId="6123"/>
    <cellStyle name="Note 5 2 11 2" xfId="56098"/>
    <cellStyle name="Note 5 2 11 3" xfId="56099"/>
    <cellStyle name="Note 5 2 12" xfId="9345"/>
    <cellStyle name="Note 5 2 12 2" xfId="56100"/>
    <cellStyle name="Note 5 2 13" xfId="56101"/>
    <cellStyle name="Note 5 2 14" xfId="56102"/>
    <cellStyle name="Note 5 2 15" xfId="56103"/>
    <cellStyle name="Note 5 2 2" xfId="6124"/>
    <cellStyle name="Note 5 2 2 10" xfId="56104"/>
    <cellStyle name="Note 5 2 2 10 2" xfId="56105"/>
    <cellStyle name="Note 5 2 2 10 3" xfId="56106"/>
    <cellStyle name="Note 5 2 2 11" xfId="56107"/>
    <cellStyle name="Note 5 2 2 11 2" xfId="56108"/>
    <cellStyle name="Note 5 2 2 12" xfId="56109"/>
    <cellStyle name="Note 5 2 2 13" xfId="56110"/>
    <cellStyle name="Note 5 2 2 2" xfId="6125"/>
    <cellStyle name="Note 5 2 2 2 10" xfId="56111"/>
    <cellStyle name="Note 5 2 2 2 10 2" xfId="56112"/>
    <cellStyle name="Note 5 2 2 2 11" xfId="56113"/>
    <cellStyle name="Note 5 2 2 2 12" xfId="56114"/>
    <cellStyle name="Note 5 2 2 2 2" xfId="9346"/>
    <cellStyle name="Note 5 2 2 2 2 10" xfId="56115"/>
    <cellStyle name="Note 5 2 2 2 2 2" xfId="56116"/>
    <cellStyle name="Note 5 2 2 2 2 2 2" xfId="56117"/>
    <cellStyle name="Note 5 2 2 2 2 2 2 2" xfId="56118"/>
    <cellStyle name="Note 5 2 2 2 2 2 2 2 2" xfId="56119"/>
    <cellStyle name="Note 5 2 2 2 2 2 2 2 3" xfId="56120"/>
    <cellStyle name="Note 5 2 2 2 2 2 2 3" xfId="56121"/>
    <cellStyle name="Note 5 2 2 2 2 2 2 3 2" xfId="56122"/>
    <cellStyle name="Note 5 2 2 2 2 2 2 3 3" xfId="56123"/>
    <cellStyle name="Note 5 2 2 2 2 2 2 4" xfId="56124"/>
    <cellStyle name="Note 5 2 2 2 2 2 2 4 2" xfId="56125"/>
    <cellStyle name="Note 5 2 2 2 2 2 2 5" xfId="56126"/>
    <cellStyle name="Note 5 2 2 2 2 2 2 6" xfId="56127"/>
    <cellStyle name="Note 5 2 2 2 2 2 3" xfId="56128"/>
    <cellStyle name="Note 5 2 2 2 2 2 3 2" xfId="56129"/>
    <cellStyle name="Note 5 2 2 2 2 2 3 2 2" xfId="56130"/>
    <cellStyle name="Note 5 2 2 2 2 2 3 2 3" xfId="56131"/>
    <cellStyle name="Note 5 2 2 2 2 2 3 3" xfId="56132"/>
    <cellStyle name="Note 5 2 2 2 2 2 3 3 2" xfId="56133"/>
    <cellStyle name="Note 5 2 2 2 2 2 3 3 3" xfId="56134"/>
    <cellStyle name="Note 5 2 2 2 2 2 3 4" xfId="56135"/>
    <cellStyle name="Note 5 2 2 2 2 2 3 4 2" xfId="56136"/>
    <cellStyle name="Note 5 2 2 2 2 2 3 5" xfId="56137"/>
    <cellStyle name="Note 5 2 2 2 2 2 3 6" xfId="56138"/>
    <cellStyle name="Note 5 2 2 2 2 2 4" xfId="56139"/>
    <cellStyle name="Note 5 2 2 2 2 2 4 2" xfId="56140"/>
    <cellStyle name="Note 5 2 2 2 2 2 4 2 2" xfId="56141"/>
    <cellStyle name="Note 5 2 2 2 2 2 4 2 3" xfId="56142"/>
    <cellStyle name="Note 5 2 2 2 2 2 4 3" xfId="56143"/>
    <cellStyle name="Note 5 2 2 2 2 2 4 3 2" xfId="56144"/>
    <cellStyle name="Note 5 2 2 2 2 2 4 4" xfId="56145"/>
    <cellStyle name="Note 5 2 2 2 2 2 4 5" xfId="56146"/>
    <cellStyle name="Note 5 2 2 2 2 2 5" xfId="56147"/>
    <cellStyle name="Note 5 2 2 2 2 2 5 2" xfId="56148"/>
    <cellStyle name="Note 5 2 2 2 2 2 5 3" xfId="56149"/>
    <cellStyle name="Note 5 2 2 2 2 2 6" xfId="56150"/>
    <cellStyle name="Note 5 2 2 2 2 2 6 2" xfId="56151"/>
    <cellStyle name="Note 5 2 2 2 2 2 6 3" xfId="56152"/>
    <cellStyle name="Note 5 2 2 2 2 2 7" xfId="56153"/>
    <cellStyle name="Note 5 2 2 2 2 2 7 2" xfId="56154"/>
    <cellStyle name="Note 5 2 2 2 2 2 8" xfId="56155"/>
    <cellStyle name="Note 5 2 2 2 2 2 9" xfId="56156"/>
    <cellStyle name="Note 5 2 2 2 2 3" xfId="56157"/>
    <cellStyle name="Note 5 2 2 2 2 3 2" xfId="56158"/>
    <cellStyle name="Note 5 2 2 2 2 3 2 2" xfId="56159"/>
    <cellStyle name="Note 5 2 2 2 2 3 2 3" xfId="56160"/>
    <cellStyle name="Note 5 2 2 2 2 3 3" xfId="56161"/>
    <cellStyle name="Note 5 2 2 2 2 3 3 2" xfId="56162"/>
    <cellStyle name="Note 5 2 2 2 2 3 3 3" xfId="56163"/>
    <cellStyle name="Note 5 2 2 2 2 3 4" xfId="56164"/>
    <cellStyle name="Note 5 2 2 2 2 3 4 2" xfId="56165"/>
    <cellStyle name="Note 5 2 2 2 2 3 5" xfId="56166"/>
    <cellStyle name="Note 5 2 2 2 2 3 6" xfId="56167"/>
    <cellStyle name="Note 5 2 2 2 2 4" xfId="56168"/>
    <cellStyle name="Note 5 2 2 2 2 4 2" xfId="56169"/>
    <cellStyle name="Note 5 2 2 2 2 4 2 2" xfId="56170"/>
    <cellStyle name="Note 5 2 2 2 2 4 2 3" xfId="56171"/>
    <cellStyle name="Note 5 2 2 2 2 4 3" xfId="56172"/>
    <cellStyle name="Note 5 2 2 2 2 4 3 2" xfId="56173"/>
    <cellStyle name="Note 5 2 2 2 2 4 3 3" xfId="56174"/>
    <cellStyle name="Note 5 2 2 2 2 4 4" xfId="56175"/>
    <cellStyle name="Note 5 2 2 2 2 4 4 2" xfId="56176"/>
    <cellStyle name="Note 5 2 2 2 2 4 5" xfId="56177"/>
    <cellStyle name="Note 5 2 2 2 2 4 6" xfId="56178"/>
    <cellStyle name="Note 5 2 2 2 2 5" xfId="56179"/>
    <cellStyle name="Note 5 2 2 2 2 5 2" xfId="56180"/>
    <cellStyle name="Note 5 2 2 2 2 5 2 2" xfId="56181"/>
    <cellStyle name="Note 5 2 2 2 2 5 2 3" xfId="56182"/>
    <cellStyle name="Note 5 2 2 2 2 5 3" xfId="56183"/>
    <cellStyle name="Note 5 2 2 2 2 5 3 2" xfId="56184"/>
    <cellStyle name="Note 5 2 2 2 2 5 4" xfId="56185"/>
    <cellStyle name="Note 5 2 2 2 2 5 5" xfId="56186"/>
    <cellStyle name="Note 5 2 2 2 2 6" xfId="56187"/>
    <cellStyle name="Note 5 2 2 2 2 6 2" xfId="56188"/>
    <cellStyle name="Note 5 2 2 2 2 6 3" xfId="56189"/>
    <cellStyle name="Note 5 2 2 2 2 7" xfId="56190"/>
    <cellStyle name="Note 5 2 2 2 2 7 2" xfId="56191"/>
    <cellStyle name="Note 5 2 2 2 2 7 3" xfId="56192"/>
    <cellStyle name="Note 5 2 2 2 2 8" xfId="56193"/>
    <cellStyle name="Note 5 2 2 2 2 8 2" xfId="56194"/>
    <cellStyle name="Note 5 2 2 2 2 9" xfId="56195"/>
    <cellStyle name="Note 5 2 2 2 3" xfId="56196"/>
    <cellStyle name="Note 5 2 2 2 3 2" xfId="56197"/>
    <cellStyle name="Note 5 2 2 2 3 2 2" xfId="56198"/>
    <cellStyle name="Note 5 2 2 2 3 2 2 2" xfId="56199"/>
    <cellStyle name="Note 5 2 2 2 3 2 2 3" xfId="56200"/>
    <cellStyle name="Note 5 2 2 2 3 2 3" xfId="56201"/>
    <cellStyle name="Note 5 2 2 2 3 2 3 2" xfId="56202"/>
    <cellStyle name="Note 5 2 2 2 3 2 3 3" xfId="56203"/>
    <cellStyle name="Note 5 2 2 2 3 2 4" xfId="56204"/>
    <cellStyle name="Note 5 2 2 2 3 2 4 2" xfId="56205"/>
    <cellStyle name="Note 5 2 2 2 3 2 5" xfId="56206"/>
    <cellStyle name="Note 5 2 2 2 3 2 6" xfId="56207"/>
    <cellStyle name="Note 5 2 2 2 3 3" xfId="56208"/>
    <cellStyle name="Note 5 2 2 2 3 3 2" xfId="56209"/>
    <cellStyle name="Note 5 2 2 2 3 3 2 2" xfId="56210"/>
    <cellStyle name="Note 5 2 2 2 3 3 2 3" xfId="56211"/>
    <cellStyle name="Note 5 2 2 2 3 3 3" xfId="56212"/>
    <cellStyle name="Note 5 2 2 2 3 3 3 2" xfId="56213"/>
    <cellStyle name="Note 5 2 2 2 3 3 3 3" xfId="56214"/>
    <cellStyle name="Note 5 2 2 2 3 3 4" xfId="56215"/>
    <cellStyle name="Note 5 2 2 2 3 3 4 2" xfId="56216"/>
    <cellStyle name="Note 5 2 2 2 3 3 5" xfId="56217"/>
    <cellStyle name="Note 5 2 2 2 3 3 6" xfId="56218"/>
    <cellStyle name="Note 5 2 2 2 3 4" xfId="56219"/>
    <cellStyle name="Note 5 2 2 2 3 4 2" xfId="56220"/>
    <cellStyle name="Note 5 2 2 2 3 4 2 2" xfId="56221"/>
    <cellStyle name="Note 5 2 2 2 3 4 2 3" xfId="56222"/>
    <cellStyle name="Note 5 2 2 2 3 4 3" xfId="56223"/>
    <cellStyle name="Note 5 2 2 2 3 4 3 2" xfId="56224"/>
    <cellStyle name="Note 5 2 2 2 3 4 4" xfId="56225"/>
    <cellStyle name="Note 5 2 2 2 3 4 5" xfId="56226"/>
    <cellStyle name="Note 5 2 2 2 3 5" xfId="56227"/>
    <cellStyle name="Note 5 2 2 2 3 5 2" xfId="56228"/>
    <cellStyle name="Note 5 2 2 2 3 5 3" xfId="56229"/>
    <cellStyle name="Note 5 2 2 2 3 6" xfId="56230"/>
    <cellStyle name="Note 5 2 2 2 3 6 2" xfId="56231"/>
    <cellStyle name="Note 5 2 2 2 3 6 3" xfId="56232"/>
    <cellStyle name="Note 5 2 2 2 3 7" xfId="56233"/>
    <cellStyle name="Note 5 2 2 2 3 7 2" xfId="56234"/>
    <cellStyle name="Note 5 2 2 2 3 8" xfId="56235"/>
    <cellStyle name="Note 5 2 2 2 3 9" xfId="56236"/>
    <cellStyle name="Note 5 2 2 2 4" xfId="56237"/>
    <cellStyle name="Note 5 2 2 2 4 2" xfId="56238"/>
    <cellStyle name="Note 5 2 2 2 4 2 2" xfId="56239"/>
    <cellStyle name="Note 5 2 2 2 4 2 2 2" xfId="56240"/>
    <cellStyle name="Note 5 2 2 2 4 2 2 3" xfId="56241"/>
    <cellStyle name="Note 5 2 2 2 4 2 3" xfId="56242"/>
    <cellStyle name="Note 5 2 2 2 4 2 3 2" xfId="56243"/>
    <cellStyle name="Note 5 2 2 2 4 2 3 3" xfId="56244"/>
    <cellStyle name="Note 5 2 2 2 4 2 4" xfId="56245"/>
    <cellStyle name="Note 5 2 2 2 4 2 4 2" xfId="56246"/>
    <cellStyle name="Note 5 2 2 2 4 2 5" xfId="56247"/>
    <cellStyle name="Note 5 2 2 2 4 2 6" xfId="56248"/>
    <cellStyle name="Note 5 2 2 2 4 3" xfId="56249"/>
    <cellStyle name="Note 5 2 2 2 4 3 2" xfId="56250"/>
    <cellStyle name="Note 5 2 2 2 4 3 2 2" xfId="56251"/>
    <cellStyle name="Note 5 2 2 2 4 3 2 3" xfId="56252"/>
    <cellStyle name="Note 5 2 2 2 4 3 3" xfId="56253"/>
    <cellStyle name="Note 5 2 2 2 4 3 3 2" xfId="56254"/>
    <cellStyle name="Note 5 2 2 2 4 3 3 3" xfId="56255"/>
    <cellStyle name="Note 5 2 2 2 4 3 4" xfId="56256"/>
    <cellStyle name="Note 5 2 2 2 4 3 4 2" xfId="56257"/>
    <cellStyle name="Note 5 2 2 2 4 3 5" xfId="56258"/>
    <cellStyle name="Note 5 2 2 2 4 3 6" xfId="56259"/>
    <cellStyle name="Note 5 2 2 2 4 4" xfId="56260"/>
    <cellStyle name="Note 5 2 2 2 4 4 2" xfId="56261"/>
    <cellStyle name="Note 5 2 2 2 4 4 2 2" xfId="56262"/>
    <cellStyle name="Note 5 2 2 2 4 4 2 3" xfId="56263"/>
    <cellStyle name="Note 5 2 2 2 4 4 3" xfId="56264"/>
    <cellStyle name="Note 5 2 2 2 4 4 3 2" xfId="56265"/>
    <cellStyle name="Note 5 2 2 2 4 4 4" xfId="56266"/>
    <cellStyle name="Note 5 2 2 2 4 4 5" xfId="56267"/>
    <cellStyle name="Note 5 2 2 2 4 5" xfId="56268"/>
    <cellStyle name="Note 5 2 2 2 4 5 2" xfId="56269"/>
    <cellStyle name="Note 5 2 2 2 4 5 3" xfId="56270"/>
    <cellStyle name="Note 5 2 2 2 4 6" xfId="56271"/>
    <cellStyle name="Note 5 2 2 2 4 6 2" xfId="56272"/>
    <cellStyle name="Note 5 2 2 2 4 6 3" xfId="56273"/>
    <cellStyle name="Note 5 2 2 2 4 7" xfId="56274"/>
    <cellStyle name="Note 5 2 2 2 4 7 2" xfId="56275"/>
    <cellStyle name="Note 5 2 2 2 4 8" xfId="56276"/>
    <cellStyle name="Note 5 2 2 2 4 9" xfId="56277"/>
    <cellStyle name="Note 5 2 2 2 5" xfId="56278"/>
    <cellStyle name="Note 5 2 2 2 5 2" xfId="56279"/>
    <cellStyle name="Note 5 2 2 2 5 2 2" xfId="56280"/>
    <cellStyle name="Note 5 2 2 2 5 2 3" xfId="56281"/>
    <cellStyle name="Note 5 2 2 2 5 3" xfId="56282"/>
    <cellStyle name="Note 5 2 2 2 5 3 2" xfId="56283"/>
    <cellStyle name="Note 5 2 2 2 5 3 3" xfId="56284"/>
    <cellStyle name="Note 5 2 2 2 5 4" xfId="56285"/>
    <cellStyle name="Note 5 2 2 2 5 4 2" xfId="56286"/>
    <cellStyle name="Note 5 2 2 2 5 5" xfId="56287"/>
    <cellStyle name="Note 5 2 2 2 5 6" xfId="56288"/>
    <cellStyle name="Note 5 2 2 2 6" xfId="56289"/>
    <cellStyle name="Note 5 2 2 2 6 2" xfId="56290"/>
    <cellStyle name="Note 5 2 2 2 6 2 2" xfId="56291"/>
    <cellStyle name="Note 5 2 2 2 6 2 3" xfId="56292"/>
    <cellStyle name="Note 5 2 2 2 6 3" xfId="56293"/>
    <cellStyle name="Note 5 2 2 2 6 3 2" xfId="56294"/>
    <cellStyle name="Note 5 2 2 2 6 3 3" xfId="56295"/>
    <cellStyle name="Note 5 2 2 2 6 4" xfId="56296"/>
    <cellStyle name="Note 5 2 2 2 6 4 2" xfId="56297"/>
    <cellStyle name="Note 5 2 2 2 6 5" xfId="56298"/>
    <cellStyle name="Note 5 2 2 2 6 6" xfId="56299"/>
    <cellStyle name="Note 5 2 2 2 7" xfId="56300"/>
    <cellStyle name="Note 5 2 2 2 7 2" xfId="56301"/>
    <cellStyle name="Note 5 2 2 2 7 2 2" xfId="56302"/>
    <cellStyle name="Note 5 2 2 2 7 2 3" xfId="56303"/>
    <cellStyle name="Note 5 2 2 2 7 3" xfId="56304"/>
    <cellStyle name="Note 5 2 2 2 7 3 2" xfId="56305"/>
    <cellStyle name="Note 5 2 2 2 7 4" xfId="56306"/>
    <cellStyle name="Note 5 2 2 2 7 5" xfId="56307"/>
    <cellStyle name="Note 5 2 2 2 8" xfId="56308"/>
    <cellStyle name="Note 5 2 2 2 8 2" xfId="56309"/>
    <cellStyle name="Note 5 2 2 2 8 3" xfId="56310"/>
    <cellStyle name="Note 5 2 2 2 9" xfId="56311"/>
    <cellStyle name="Note 5 2 2 2 9 2" xfId="56312"/>
    <cellStyle name="Note 5 2 2 2 9 3" xfId="56313"/>
    <cellStyle name="Note 5 2 2 3" xfId="6126"/>
    <cellStyle name="Note 5 2 2 3 10" xfId="56314"/>
    <cellStyle name="Note 5 2 2 3 2" xfId="56315"/>
    <cellStyle name="Note 5 2 2 3 2 2" xfId="56316"/>
    <cellStyle name="Note 5 2 2 3 2 2 2" xfId="56317"/>
    <cellStyle name="Note 5 2 2 3 2 2 2 2" xfId="56318"/>
    <cellStyle name="Note 5 2 2 3 2 2 2 3" xfId="56319"/>
    <cellStyle name="Note 5 2 2 3 2 2 3" xfId="56320"/>
    <cellStyle name="Note 5 2 2 3 2 2 3 2" xfId="56321"/>
    <cellStyle name="Note 5 2 2 3 2 2 3 3" xfId="56322"/>
    <cellStyle name="Note 5 2 2 3 2 2 4" xfId="56323"/>
    <cellStyle name="Note 5 2 2 3 2 2 4 2" xfId="56324"/>
    <cellStyle name="Note 5 2 2 3 2 2 5" xfId="56325"/>
    <cellStyle name="Note 5 2 2 3 2 2 6" xfId="56326"/>
    <cellStyle name="Note 5 2 2 3 2 3" xfId="56327"/>
    <cellStyle name="Note 5 2 2 3 2 3 2" xfId="56328"/>
    <cellStyle name="Note 5 2 2 3 2 3 2 2" xfId="56329"/>
    <cellStyle name="Note 5 2 2 3 2 3 2 3" xfId="56330"/>
    <cellStyle name="Note 5 2 2 3 2 3 3" xfId="56331"/>
    <cellStyle name="Note 5 2 2 3 2 3 3 2" xfId="56332"/>
    <cellStyle name="Note 5 2 2 3 2 3 3 3" xfId="56333"/>
    <cellStyle name="Note 5 2 2 3 2 3 4" xfId="56334"/>
    <cellStyle name="Note 5 2 2 3 2 3 4 2" xfId="56335"/>
    <cellStyle name="Note 5 2 2 3 2 3 5" xfId="56336"/>
    <cellStyle name="Note 5 2 2 3 2 3 6" xfId="56337"/>
    <cellStyle name="Note 5 2 2 3 2 4" xfId="56338"/>
    <cellStyle name="Note 5 2 2 3 2 4 2" xfId="56339"/>
    <cellStyle name="Note 5 2 2 3 2 4 2 2" xfId="56340"/>
    <cellStyle name="Note 5 2 2 3 2 4 2 3" xfId="56341"/>
    <cellStyle name="Note 5 2 2 3 2 4 3" xfId="56342"/>
    <cellStyle name="Note 5 2 2 3 2 4 3 2" xfId="56343"/>
    <cellStyle name="Note 5 2 2 3 2 4 4" xfId="56344"/>
    <cellStyle name="Note 5 2 2 3 2 4 5" xfId="56345"/>
    <cellStyle name="Note 5 2 2 3 2 5" xfId="56346"/>
    <cellStyle name="Note 5 2 2 3 2 5 2" xfId="56347"/>
    <cellStyle name="Note 5 2 2 3 2 5 3" xfId="56348"/>
    <cellStyle name="Note 5 2 2 3 2 6" xfId="56349"/>
    <cellStyle name="Note 5 2 2 3 2 6 2" xfId="56350"/>
    <cellStyle name="Note 5 2 2 3 2 6 3" xfId="56351"/>
    <cellStyle name="Note 5 2 2 3 2 7" xfId="56352"/>
    <cellStyle name="Note 5 2 2 3 2 7 2" xfId="56353"/>
    <cellStyle name="Note 5 2 2 3 2 8" xfId="56354"/>
    <cellStyle name="Note 5 2 2 3 2 9" xfId="56355"/>
    <cellStyle name="Note 5 2 2 3 3" xfId="56356"/>
    <cellStyle name="Note 5 2 2 3 3 2" xfId="56357"/>
    <cellStyle name="Note 5 2 2 3 3 2 2" xfId="56358"/>
    <cellStyle name="Note 5 2 2 3 3 2 3" xfId="56359"/>
    <cellStyle name="Note 5 2 2 3 3 3" xfId="56360"/>
    <cellStyle name="Note 5 2 2 3 3 3 2" xfId="56361"/>
    <cellStyle name="Note 5 2 2 3 3 3 3" xfId="56362"/>
    <cellStyle name="Note 5 2 2 3 3 4" xfId="56363"/>
    <cellStyle name="Note 5 2 2 3 3 4 2" xfId="56364"/>
    <cellStyle name="Note 5 2 2 3 3 5" xfId="56365"/>
    <cellStyle name="Note 5 2 2 3 3 6" xfId="56366"/>
    <cellStyle name="Note 5 2 2 3 4" xfId="56367"/>
    <cellStyle name="Note 5 2 2 3 4 2" xfId="56368"/>
    <cellStyle name="Note 5 2 2 3 4 2 2" xfId="56369"/>
    <cellStyle name="Note 5 2 2 3 4 2 3" xfId="56370"/>
    <cellStyle name="Note 5 2 2 3 4 3" xfId="56371"/>
    <cellStyle name="Note 5 2 2 3 4 3 2" xfId="56372"/>
    <cellStyle name="Note 5 2 2 3 4 3 3" xfId="56373"/>
    <cellStyle name="Note 5 2 2 3 4 4" xfId="56374"/>
    <cellStyle name="Note 5 2 2 3 4 4 2" xfId="56375"/>
    <cellStyle name="Note 5 2 2 3 4 5" xfId="56376"/>
    <cellStyle name="Note 5 2 2 3 4 6" xfId="56377"/>
    <cellStyle name="Note 5 2 2 3 5" xfId="56378"/>
    <cellStyle name="Note 5 2 2 3 5 2" xfId="56379"/>
    <cellStyle name="Note 5 2 2 3 5 2 2" xfId="56380"/>
    <cellStyle name="Note 5 2 2 3 5 2 3" xfId="56381"/>
    <cellStyle name="Note 5 2 2 3 5 3" xfId="56382"/>
    <cellStyle name="Note 5 2 2 3 5 3 2" xfId="56383"/>
    <cellStyle name="Note 5 2 2 3 5 4" xfId="56384"/>
    <cellStyle name="Note 5 2 2 3 5 5" xfId="56385"/>
    <cellStyle name="Note 5 2 2 3 6" xfId="56386"/>
    <cellStyle name="Note 5 2 2 3 6 2" xfId="56387"/>
    <cellStyle name="Note 5 2 2 3 6 3" xfId="56388"/>
    <cellStyle name="Note 5 2 2 3 7" xfId="56389"/>
    <cellStyle name="Note 5 2 2 3 7 2" xfId="56390"/>
    <cellStyle name="Note 5 2 2 3 7 3" xfId="56391"/>
    <cellStyle name="Note 5 2 2 3 8" xfId="56392"/>
    <cellStyle name="Note 5 2 2 3 8 2" xfId="56393"/>
    <cellStyle name="Note 5 2 2 3 9" xfId="56394"/>
    <cellStyle name="Note 5 2 2 4" xfId="9347"/>
    <cellStyle name="Note 5 2 2 4 2" xfId="56395"/>
    <cellStyle name="Note 5 2 2 4 2 2" xfId="56396"/>
    <cellStyle name="Note 5 2 2 4 2 2 2" xfId="56397"/>
    <cellStyle name="Note 5 2 2 4 2 2 3" xfId="56398"/>
    <cellStyle name="Note 5 2 2 4 2 3" xfId="56399"/>
    <cellStyle name="Note 5 2 2 4 2 3 2" xfId="56400"/>
    <cellStyle name="Note 5 2 2 4 2 3 3" xfId="56401"/>
    <cellStyle name="Note 5 2 2 4 2 4" xfId="56402"/>
    <cellStyle name="Note 5 2 2 4 2 4 2" xfId="56403"/>
    <cellStyle name="Note 5 2 2 4 2 5" xfId="56404"/>
    <cellStyle name="Note 5 2 2 4 2 6" xfId="56405"/>
    <cellStyle name="Note 5 2 2 4 3" xfId="56406"/>
    <cellStyle name="Note 5 2 2 4 3 2" xfId="56407"/>
    <cellStyle name="Note 5 2 2 4 3 2 2" xfId="56408"/>
    <cellStyle name="Note 5 2 2 4 3 2 3" xfId="56409"/>
    <cellStyle name="Note 5 2 2 4 3 3" xfId="56410"/>
    <cellStyle name="Note 5 2 2 4 3 3 2" xfId="56411"/>
    <cellStyle name="Note 5 2 2 4 3 3 3" xfId="56412"/>
    <cellStyle name="Note 5 2 2 4 3 4" xfId="56413"/>
    <cellStyle name="Note 5 2 2 4 3 4 2" xfId="56414"/>
    <cellStyle name="Note 5 2 2 4 3 5" xfId="56415"/>
    <cellStyle name="Note 5 2 2 4 3 6" xfId="56416"/>
    <cellStyle name="Note 5 2 2 4 4" xfId="56417"/>
    <cellStyle name="Note 5 2 2 4 4 2" xfId="56418"/>
    <cellStyle name="Note 5 2 2 4 4 2 2" xfId="56419"/>
    <cellStyle name="Note 5 2 2 4 4 2 3" xfId="56420"/>
    <cellStyle name="Note 5 2 2 4 4 3" xfId="56421"/>
    <cellStyle name="Note 5 2 2 4 4 3 2" xfId="56422"/>
    <cellStyle name="Note 5 2 2 4 4 4" xfId="56423"/>
    <cellStyle name="Note 5 2 2 4 4 5" xfId="56424"/>
    <cellStyle name="Note 5 2 2 4 5" xfId="56425"/>
    <cellStyle name="Note 5 2 2 4 5 2" xfId="56426"/>
    <cellStyle name="Note 5 2 2 4 5 3" xfId="56427"/>
    <cellStyle name="Note 5 2 2 4 6" xfId="56428"/>
    <cellStyle name="Note 5 2 2 4 6 2" xfId="56429"/>
    <cellStyle name="Note 5 2 2 4 6 3" xfId="56430"/>
    <cellStyle name="Note 5 2 2 4 7" xfId="56431"/>
    <cellStyle name="Note 5 2 2 4 7 2" xfId="56432"/>
    <cellStyle name="Note 5 2 2 4 8" xfId="56433"/>
    <cellStyle name="Note 5 2 2 4 9" xfId="56434"/>
    <cellStyle name="Note 5 2 2 5" xfId="56435"/>
    <cellStyle name="Note 5 2 2 5 2" xfId="56436"/>
    <cellStyle name="Note 5 2 2 5 2 2" xfId="56437"/>
    <cellStyle name="Note 5 2 2 5 2 2 2" xfId="56438"/>
    <cellStyle name="Note 5 2 2 5 2 2 3" xfId="56439"/>
    <cellStyle name="Note 5 2 2 5 2 3" xfId="56440"/>
    <cellStyle name="Note 5 2 2 5 2 3 2" xfId="56441"/>
    <cellStyle name="Note 5 2 2 5 2 3 3" xfId="56442"/>
    <cellStyle name="Note 5 2 2 5 2 4" xfId="56443"/>
    <cellStyle name="Note 5 2 2 5 2 4 2" xfId="56444"/>
    <cellStyle name="Note 5 2 2 5 2 5" xfId="56445"/>
    <cellStyle name="Note 5 2 2 5 2 6" xfId="56446"/>
    <cellStyle name="Note 5 2 2 5 3" xfId="56447"/>
    <cellStyle name="Note 5 2 2 5 3 2" xfId="56448"/>
    <cellStyle name="Note 5 2 2 5 3 2 2" xfId="56449"/>
    <cellStyle name="Note 5 2 2 5 3 2 3" xfId="56450"/>
    <cellStyle name="Note 5 2 2 5 3 3" xfId="56451"/>
    <cellStyle name="Note 5 2 2 5 3 3 2" xfId="56452"/>
    <cellStyle name="Note 5 2 2 5 3 3 3" xfId="56453"/>
    <cellStyle name="Note 5 2 2 5 3 4" xfId="56454"/>
    <cellStyle name="Note 5 2 2 5 3 4 2" xfId="56455"/>
    <cellStyle name="Note 5 2 2 5 3 5" xfId="56456"/>
    <cellStyle name="Note 5 2 2 5 3 6" xfId="56457"/>
    <cellStyle name="Note 5 2 2 5 4" xfId="56458"/>
    <cellStyle name="Note 5 2 2 5 4 2" xfId="56459"/>
    <cellStyle name="Note 5 2 2 5 4 2 2" xfId="56460"/>
    <cellStyle name="Note 5 2 2 5 4 2 3" xfId="56461"/>
    <cellStyle name="Note 5 2 2 5 4 3" xfId="56462"/>
    <cellStyle name="Note 5 2 2 5 4 3 2" xfId="56463"/>
    <cellStyle name="Note 5 2 2 5 4 4" xfId="56464"/>
    <cellStyle name="Note 5 2 2 5 4 5" xfId="56465"/>
    <cellStyle name="Note 5 2 2 5 5" xfId="56466"/>
    <cellStyle name="Note 5 2 2 5 5 2" xfId="56467"/>
    <cellStyle name="Note 5 2 2 5 5 3" xfId="56468"/>
    <cellStyle name="Note 5 2 2 5 6" xfId="56469"/>
    <cellStyle name="Note 5 2 2 5 6 2" xfId="56470"/>
    <cellStyle name="Note 5 2 2 5 6 3" xfId="56471"/>
    <cellStyle name="Note 5 2 2 5 7" xfId="56472"/>
    <cellStyle name="Note 5 2 2 5 7 2" xfId="56473"/>
    <cellStyle name="Note 5 2 2 5 8" xfId="56474"/>
    <cellStyle name="Note 5 2 2 5 9" xfId="56475"/>
    <cellStyle name="Note 5 2 2 6" xfId="56476"/>
    <cellStyle name="Note 5 2 2 6 2" xfId="56477"/>
    <cellStyle name="Note 5 2 2 6 2 2" xfId="56478"/>
    <cellStyle name="Note 5 2 2 6 2 3" xfId="56479"/>
    <cellStyle name="Note 5 2 2 6 3" xfId="56480"/>
    <cellStyle name="Note 5 2 2 6 3 2" xfId="56481"/>
    <cellStyle name="Note 5 2 2 6 3 3" xfId="56482"/>
    <cellStyle name="Note 5 2 2 6 4" xfId="56483"/>
    <cellStyle name="Note 5 2 2 6 4 2" xfId="56484"/>
    <cellStyle name="Note 5 2 2 6 5" xfId="56485"/>
    <cellStyle name="Note 5 2 2 6 6" xfId="56486"/>
    <cellStyle name="Note 5 2 2 7" xfId="56487"/>
    <cellStyle name="Note 5 2 2 7 2" xfId="56488"/>
    <cellStyle name="Note 5 2 2 7 2 2" xfId="56489"/>
    <cellStyle name="Note 5 2 2 7 2 3" xfId="56490"/>
    <cellStyle name="Note 5 2 2 7 3" xfId="56491"/>
    <cellStyle name="Note 5 2 2 7 3 2" xfId="56492"/>
    <cellStyle name="Note 5 2 2 7 3 3" xfId="56493"/>
    <cellStyle name="Note 5 2 2 7 4" xfId="56494"/>
    <cellStyle name="Note 5 2 2 7 4 2" xfId="56495"/>
    <cellStyle name="Note 5 2 2 7 5" xfId="56496"/>
    <cellStyle name="Note 5 2 2 7 6" xfId="56497"/>
    <cellStyle name="Note 5 2 2 8" xfId="56498"/>
    <cellStyle name="Note 5 2 2 8 2" xfId="56499"/>
    <cellStyle name="Note 5 2 2 8 2 2" xfId="56500"/>
    <cellStyle name="Note 5 2 2 8 2 3" xfId="56501"/>
    <cellStyle name="Note 5 2 2 8 3" xfId="56502"/>
    <cellStyle name="Note 5 2 2 8 3 2" xfId="56503"/>
    <cellStyle name="Note 5 2 2 8 4" xfId="56504"/>
    <cellStyle name="Note 5 2 2 8 5" xfId="56505"/>
    <cellStyle name="Note 5 2 2 9" xfId="56506"/>
    <cellStyle name="Note 5 2 2 9 2" xfId="56507"/>
    <cellStyle name="Note 5 2 2 9 3" xfId="56508"/>
    <cellStyle name="Note 5 2 3" xfId="6127"/>
    <cellStyle name="Note 5 2 3 10" xfId="56509"/>
    <cellStyle name="Note 5 2 3 10 2" xfId="56510"/>
    <cellStyle name="Note 5 2 3 11" xfId="56511"/>
    <cellStyle name="Note 5 2 3 12" xfId="56512"/>
    <cellStyle name="Note 5 2 3 2" xfId="6128"/>
    <cellStyle name="Note 5 2 3 2 10" xfId="56513"/>
    <cellStyle name="Note 5 2 3 2 2" xfId="56514"/>
    <cellStyle name="Note 5 2 3 2 2 2" xfId="56515"/>
    <cellStyle name="Note 5 2 3 2 2 2 2" xfId="56516"/>
    <cellStyle name="Note 5 2 3 2 2 2 2 2" xfId="56517"/>
    <cellStyle name="Note 5 2 3 2 2 2 2 3" xfId="56518"/>
    <cellStyle name="Note 5 2 3 2 2 2 3" xfId="56519"/>
    <cellStyle name="Note 5 2 3 2 2 2 3 2" xfId="56520"/>
    <cellStyle name="Note 5 2 3 2 2 2 3 3" xfId="56521"/>
    <cellStyle name="Note 5 2 3 2 2 2 4" xfId="56522"/>
    <cellStyle name="Note 5 2 3 2 2 2 4 2" xfId="56523"/>
    <cellStyle name="Note 5 2 3 2 2 2 5" xfId="56524"/>
    <cellStyle name="Note 5 2 3 2 2 2 6" xfId="56525"/>
    <cellStyle name="Note 5 2 3 2 2 3" xfId="56526"/>
    <cellStyle name="Note 5 2 3 2 2 3 2" xfId="56527"/>
    <cellStyle name="Note 5 2 3 2 2 3 2 2" xfId="56528"/>
    <cellStyle name="Note 5 2 3 2 2 3 2 3" xfId="56529"/>
    <cellStyle name="Note 5 2 3 2 2 3 3" xfId="56530"/>
    <cellStyle name="Note 5 2 3 2 2 3 3 2" xfId="56531"/>
    <cellStyle name="Note 5 2 3 2 2 3 3 3" xfId="56532"/>
    <cellStyle name="Note 5 2 3 2 2 3 4" xfId="56533"/>
    <cellStyle name="Note 5 2 3 2 2 3 4 2" xfId="56534"/>
    <cellStyle name="Note 5 2 3 2 2 3 5" xfId="56535"/>
    <cellStyle name="Note 5 2 3 2 2 3 6" xfId="56536"/>
    <cellStyle name="Note 5 2 3 2 2 4" xfId="56537"/>
    <cellStyle name="Note 5 2 3 2 2 4 2" xfId="56538"/>
    <cellStyle name="Note 5 2 3 2 2 4 2 2" xfId="56539"/>
    <cellStyle name="Note 5 2 3 2 2 4 2 3" xfId="56540"/>
    <cellStyle name="Note 5 2 3 2 2 4 3" xfId="56541"/>
    <cellStyle name="Note 5 2 3 2 2 4 3 2" xfId="56542"/>
    <cellStyle name="Note 5 2 3 2 2 4 4" xfId="56543"/>
    <cellStyle name="Note 5 2 3 2 2 4 5" xfId="56544"/>
    <cellStyle name="Note 5 2 3 2 2 5" xfId="56545"/>
    <cellStyle name="Note 5 2 3 2 2 5 2" xfId="56546"/>
    <cellStyle name="Note 5 2 3 2 2 5 3" xfId="56547"/>
    <cellStyle name="Note 5 2 3 2 2 6" xfId="56548"/>
    <cellStyle name="Note 5 2 3 2 2 6 2" xfId="56549"/>
    <cellStyle name="Note 5 2 3 2 2 6 3" xfId="56550"/>
    <cellStyle name="Note 5 2 3 2 2 7" xfId="56551"/>
    <cellStyle name="Note 5 2 3 2 2 7 2" xfId="56552"/>
    <cellStyle name="Note 5 2 3 2 2 8" xfId="56553"/>
    <cellStyle name="Note 5 2 3 2 2 9" xfId="56554"/>
    <cellStyle name="Note 5 2 3 2 3" xfId="56555"/>
    <cellStyle name="Note 5 2 3 2 3 2" xfId="56556"/>
    <cellStyle name="Note 5 2 3 2 3 2 2" xfId="56557"/>
    <cellStyle name="Note 5 2 3 2 3 2 3" xfId="56558"/>
    <cellStyle name="Note 5 2 3 2 3 3" xfId="56559"/>
    <cellStyle name="Note 5 2 3 2 3 3 2" xfId="56560"/>
    <cellStyle name="Note 5 2 3 2 3 3 3" xfId="56561"/>
    <cellStyle name="Note 5 2 3 2 3 4" xfId="56562"/>
    <cellStyle name="Note 5 2 3 2 3 4 2" xfId="56563"/>
    <cellStyle name="Note 5 2 3 2 3 5" xfId="56564"/>
    <cellStyle name="Note 5 2 3 2 3 6" xfId="56565"/>
    <cellStyle name="Note 5 2 3 2 4" xfId="56566"/>
    <cellStyle name="Note 5 2 3 2 4 2" xfId="56567"/>
    <cellStyle name="Note 5 2 3 2 4 2 2" xfId="56568"/>
    <cellStyle name="Note 5 2 3 2 4 2 3" xfId="56569"/>
    <cellStyle name="Note 5 2 3 2 4 3" xfId="56570"/>
    <cellStyle name="Note 5 2 3 2 4 3 2" xfId="56571"/>
    <cellStyle name="Note 5 2 3 2 4 3 3" xfId="56572"/>
    <cellStyle name="Note 5 2 3 2 4 4" xfId="56573"/>
    <cellStyle name="Note 5 2 3 2 4 4 2" xfId="56574"/>
    <cellStyle name="Note 5 2 3 2 4 5" xfId="56575"/>
    <cellStyle name="Note 5 2 3 2 4 6" xfId="56576"/>
    <cellStyle name="Note 5 2 3 2 5" xfId="56577"/>
    <cellStyle name="Note 5 2 3 2 5 2" xfId="56578"/>
    <cellStyle name="Note 5 2 3 2 5 2 2" xfId="56579"/>
    <cellStyle name="Note 5 2 3 2 5 2 3" xfId="56580"/>
    <cellStyle name="Note 5 2 3 2 5 3" xfId="56581"/>
    <cellStyle name="Note 5 2 3 2 5 3 2" xfId="56582"/>
    <cellStyle name="Note 5 2 3 2 5 4" xfId="56583"/>
    <cellStyle name="Note 5 2 3 2 5 5" xfId="56584"/>
    <cellStyle name="Note 5 2 3 2 6" xfId="56585"/>
    <cellStyle name="Note 5 2 3 2 6 2" xfId="56586"/>
    <cellStyle name="Note 5 2 3 2 6 3" xfId="56587"/>
    <cellStyle name="Note 5 2 3 2 7" xfId="56588"/>
    <cellStyle name="Note 5 2 3 2 7 2" xfId="56589"/>
    <cellStyle name="Note 5 2 3 2 7 3" xfId="56590"/>
    <cellStyle name="Note 5 2 3 2 8" xfId="56591"/>
    <cellStyle name="Note 5 2 3 2 8 2" xfId="56592"/>
    <cellStyle name="Note 5 2 3 2 9" xfId="56593"/>
    <cellStyle name="Note 5 2 3 3" xfId="9348"/>
    <cellStyle name="Note 5 2 3 3 2" xfId="56594"/>
    <cellStyle name="Note 5 2 3 3 2 2" xfId="56595"/>
    <cellStyle name="Note 5 2 3 3 2 2 2" xfId="56596"/>
    <cellStyle name="Note 5 2 3 3 2 2 3" xfId="56597"/>
    <cellStyle name="Note 5 2 3 3 2 3" xfId="56598"/>
    <cellStyle name="Note 5 2 3 3 2 3 2" xfId="56599"/>
    <cellStyle name="Note 5 2 3 3 2 3 3" xfId="56600"/>
    <cellStyle name="Note 5 2 3 3 2 4" xfId="56601"/>
    <cellStyle name="Note 5 2 3 3 2 4 2" xfId="56602"/>
    <cellStyle name="Note 5 2 3 3 2 5" xfId="56603"/>
    <cellStyle name="Note 5 2 3 3 2 6" xfId="56604"/>
    <cellStyle name="Note 5 2 3 3 3" xfId="56605"/>
    <cellStyle name="Note 5 2 3 3 3 2" xfId="56606"/>
    <cellStyle name="Note 5 2 3 3 3 2 2" xfId="56607"/>
    <cellStyle name="Note 5 2 3 3 3 2 3" xfId="56608"/>
    <cellStyle name="Note 5 2 3 3 3 3" xfId="56609"/>
    <cellStyle name="Note 5 2 3 3 3 3 2" xfId="56610"/>
    <cellStyle name="Note 5 2 3 3 3 3 3" xfId="56611"/>
    <cellStyle name="Note 5 2 3 3 3 4" xfId="56612"/>
    <cellStyle name="Note 5 2 3 3 3 4 2" xfId="56613"/>
    <cellStyle name="Note 5 2 3 3 3 5" xfId="56614"/>
    <cellStyle name="Note 5 2 3 3 3 6" xfId="56615"/>
    <cellStyle name="Note 5 2 3 3 4" xfId="56616"/>
    <cellStyle name="Note 5 2 3 3 4 2" xfId="56617"/>
    <cellStyle name="Note 5 2 3 3 4 2 2" xfId="56618"/>
    <cellStyle name="Note 5 2 3 3 4 2 3" xfId="56619"/>
    <cellStyle name="Note 5 2 3 3 4 3" xfId="56620"/>
    <cellStyle name="Note 5 2 3 3 4 3 2" xfId="56621"/>
    <cellStyle name="Note 5 2 3 3 4 4" xfId="56622"/>
    <cellStyle name="Note 5 2 3 3 4 5" xfId="56623"/>
    <cellStyle name="Note 5 2 3 3 5" xfId="56624"/>
    <cellStyle name="Note 5 2 3 3 5 2" xfId="56625"/>
    <cellStyle name="Note 5 2 3 3 5 3" xfId="56626"/>
    <cellStyle name="Note 5 2 3 3 6" xfId="56627"/>
    <cellStyle name="Note 5 2 3 3 6 2" xfId="56628"/>
    <cellStyle name="Note 5 2 3 3 6 3" xfId="56629"/>
    <cellStyle name="Note 5 2 3 3 7" xfId="56630"/>
    <cellStyle name="Note 5 2 3 3 7 2" xfId="56631"/>
    <cellStyle name="Note 5 2 3 3 8" xfId="56632"/>
    <cellStyle name="Note 5 2 3 3 9" xfId="56633"/>
    <cellStyle name="Note 5 2 3 4" xfId="56634"/>
    <cellStyle name="Note 5 2 3 4 2" xfId="56635"/>
    <cellStyle name="Note 5 2 3 4 2 2" xfId="56636"/>
    <cellStyle name="Note 5 2 3 4 2 2 2" xfId="56637"/>
    <cellStyle name="Note 5 2 3 4 2 2 3" xfId="56638"/>
    <cellStyle name="Note 5 2 3 4 2 3" xfId="56639"/>
    <cellStyle name="Note 5 2 3 4 2 3 2" xfId="56640"/>
    <cellStyle name="Note 5 2 3 4 2 3 3" xfId="56641"/>
    <cellStyle name="Note 5 2 3 4 2 4" xfId="56642"/>
    <cellStyle name="Note 5 2 3 4 2 4 2" xfId="56643"/>
    <cellStyle name="Note 5 2 3 4 2 5" xfId="56644"/>
    <cellStyle name="Note 5 2 3 4 2 6" xfId="56645"/>
    <cellStyle name="Note 5 2 3 4 3" xfId="56646"/>
    <cellStyle name="Note 5 2 3 4 3 2" xfId="56647"/>
    <cellStyle name="Note 5 2 3 4 3 2 2" xfId="56648"/>
    <cellStyle name="Note 5 2 3 4 3 2 3" xfId="56649"/>
    <cellStyle name="Note 5 2 3 4 3 3" xfId="56650"/>
    <cellStyle name="Note 5 2 3 4 3 3 2" xfId="56651"/>
    <cellStyle name="Note 5 2 3 4 3 3 3" xfId="56652"/>
    <cellStyle name="Note 5 2 3 4 3 4" xfId="56653"/>
    <cellStyle name="Note 5 2 3 4 3 4 2" xfId="56654"/>
    <cellStyle name="Note 5 2 3 4 3 5" xfId="56655"/>
    <cellStyle name="Note 5 2 3 4 3 6" xfId="56656"/>
    <cellStyle name="Note 5 2 3 4 4" xfId="56657"/>
    <cellStyle name="Note 5 2 3 4 4 2" xfId="56658"/>
    <cellStyle name="Note 5 2 3 4 4 2 2" xfId="56659"/>
    <cellStyle name="Note 5 2 3 4 4 2 3" xfId="56660"/>
    <cellStyle name="Note 5 2 3 4 4 3" xfId="56661"/>
    <cellStyle name="Note 5 2 3 4 4 3 2" xfId="56662"/>
    <cellStyle name="Note 5 2 3 4 4 4" xfId="56663"/>
    <cellStyle name="Note 5 2 3 4 4 5" xfId="56664"/>
    <cellStyle name="Note 5 2 3 4 5" xfId="56665"/>
    <cellStyle name="Note 5 2 3 4 5 2" xfId="56666"/>
    <cellStyle name="Note 5 2 3 4 5 3" xfId="56667"/>
    <cellStyle name="Note 5 2 3 4 6" xfId="56668"/>
    <cellStyle name="Note 5 2 3 4 6 2" xfId="56669"/>
    <cellStyle name="Note 5 2 3 4 6 3" xfId="56670"/>
    <cellStyle name="Note 5 2 3 4 7" xfId="56671"/>
    <cellStyle name="Note 5 2 3 4 7 2" xfId="56672"/>
    <cellStyle name="Note 5 2 3 4 8" xfId="56673"/>
    <cellStyle name="Note 5 2 3 4 9" xfId="56674"/>
    <cellStyle name="Note 5 2 3 5" xfId="56675"/>
    <cellStyle name="Note 5 2 3 5 2" xfId="56676"/>
    <cellStyle name="Note 5 2 3 5 2 2" xfId="56677"/>
    <cellStyle name="Note 5 2 3 5 2 3" xfId="56678"/>
    <cellStyle name="Note 5 2 3 5 3" xfId="56679"/>
    <cellStyle name="Note 5 2 3 5 3 2" xfId="56680"/>
    <cellStyle name="Note 5 2 3 5 3 3" xfId="56681"/>
    <cellStyle name="Note 5 2 3 5 4" xfId="56682"/>
    <cellStyle name="Note 5 2 3 5 4 2" xfId="56683"/>
    <cellStyle name="Note 5 2 3 5 5" xfId="56684"/>
    <cellStyle name="Note 5 2 3 5 6" xfId="56685"/>
    <cellStyle name="Note 5 2 3 6" xfId="56686"/>
    <cellStyle name="Note 5 2 3 6 2" xfId="56687"/>
    <cellStyle name="Note 5 2 3 6 2 2" xfId="56688"/>
    <cellStyle name="Note 5 2 3 6 2 3" xfId="56689"/>
    <cellStyle name="Note 5 2 3 6 3" xfId="56690"/>
    <cellStyle name="Note 5 2 3 6 3 2" xfId="56691"/>
    <cellStyle name="Note 5 2 3 6 3 3" xfId="56692"/>
    <cellStyle name="Note 5 2 3 6 4" xfId="56693"/>
    <cellStyle name="Note 5 2 3 6 4 2" xfId="56694"/>
    <cellStyle name="Note 5 2 3 6 5" xfId="56695"/>
    <cellStyle name="Note 5 2 3 6 6" xfId="56696"/>
    <cellStyle name="Note 5 2 3 7" xfId="56697"/>
    <cellStyle name="Note 5 2 3 7 2" xfId="56698"/>
    <cellStyle name="Note 5 2 3 7 2 2" xfId="56699"/>
    <cellStyle name="Note 5 2 3 7 2 3" xfId="56700"/>
    <cellStyle name="Note 5 2 3 7 3" xfId="56701"/>
    <cellStyle name="Note 5 2 3 7 3 2" xfId="56702"/>
    <cellStyle name="Note 5 2 3 7 4" xfId="56703"/>
    <cellStyle name="Note 5 2 3 7 5" xfId="56704"/>
    <cellStyle name="Note 5 2 3 8" xfId="56705"/>
    <cellStyle name="Note 5 2 3 8 2" xfId="56706"/>
    <cellStyle name="Note 5 2 3 8 3" xfId="56707"/>
    <cellStyle name="Note 5 2 3 9" xfId="56708"/>
    <cellStyle name="Note 5 2 3 9 2" xfId="56709"/>
    <cellStyle name="Note 5 2 3 9 3" xfId="56710"/>
    <cellStyle name="Note 5 2 4" xfId="6129"/>
    <cellStyle name="Note 5 2 4 10" xfId="56711"/>
    <cellStyle name="Note 5 2 4 2" xfId="56712"/>
    <cellStyle name="Note 5 2 4 2 2" xfId="56713"/>
    <cellStyle name="Note 5 2 4 2 2 2" xfId="56714"/>
    <cellStyle name="Note 5 2 4 2 2 2 2" xfId="56715"/>
    <cellStyle name="Note 5 2 4 2 2 2 3" xfId="56716"/>
    <cellStyle name="Note 5 2 4 2 2 3" xfId="56717"/>
    <cellStyle name="Note 5 2 4 2 2 3 2" xfId="56718"/>
    <cellStyle name="Note 5 2 4 2 2 3 3" xfId="56719"/>
    <cellStyle name="Note 5 2 4 2 2 4" xfId="56720"/>
    <cellStyle name="Note 5 2 4 2 2 4 2" xfId="56721"/>
    <cellStyle name="Note 5 2 4 2 2 5" xfId="56722"/>
    <cellStyle name="Note 5 2 4 2 2 6" xfId="56723"/>
    <cellStyle name="Note 5 2 4 2 3" xfId="56724"/>
    <cellStyle name="Note 5 2 4 2 3 2" xfId="56725"/>
    <cellStyle name="Note 5 2 4 2 3 2 2" xfId="56726"/>
    <cellStyle name="Note 5 2 4 2 3 2 3" xfId="56727"/>
    <cellStyle name="Note 5 2 4 2 3 3" xfId="56728"/>
    <cellStyle name="Note 5 2 4 2 3 3 2" xfId="56729"/>
    <cellStyle name="Note 5 2 4 2 3 3 3" xfId="56730"/>
    <cellStyle name="Note 5 2 4 2 3 4" xfId="56731"/>
    <cellStyle name="Note 5 2 4 2 3 4 2" xfId="56732"/>
    <cellStyle name="Note 5 2 4 2 3 5" xfId="56733"/>
    <cellStyle name="Note 5 2 4 2 3 6" xfId="56734"/>
    <cellStyle name="Note 5 2 4 2 4" xfId="56735"/>
    <cellStyle name="Note 5 2 4 2 4 2" xfId="56736"/>
    <cellStyle name="Note 5 2 4 2 4 2 2" xfId="56737"/>
    <cellStyle name="Note 5 2 4 2 4 2 3" xfId="56738"/>
    <cellStyle name="Note 5 2 4 2 4 3" xfId="56739"/>
    <cellStyle name="Note 5 2 4 2 4 3 2" xfId="56740"/>
    <cellStyle name="Note 5 2 4 2 4 4" xfId="56741"/>
    <cellStyle name="Note 5 2 4 2 4 5" xfId="56742"/>
    <cellStyle name="Note 5 2 4 2 5" xfId="56743"/>
    <cellStyle name="Note 5 2 4 2 5 2" xfId="56744"/>
    <cellStyle name="Note 5 2 4 2 5 3" xfId="56745"/>
    <cellStyle name="Note 5 2 4 2 6" xfId="56746"/>
    <cellStyle name="Note 5 2 4 2 6 2" xfId="56747"/>
    <cellStyle name="Note 5 2 4 2 6 3" xfId="56748"/>
    <cellStyle name="Note 5 2 4 2 7" xfId="56749"/>
    <cellStyle name="Note 5 2 4 2 7 2" xfId="56750"/>
    <cellStyle name="Note 5 2 4 2 8" xfId="56751"/>
    <cellStyle name="Note 5 2 4 2 9" xfId="56752"/>
    <cellStyle name="Note 5 2 4 3" xfId="56753"/>
    <cellStyle name="Note 5 2 4 3 2" xfId="56754"/>
    <cellStyle name="Note 5 2 4 3 2 2" xfId="56755"/>
    <cellStyle name="Note 5 2 4 3 2 3" xfId="56756"/>
    <cellStyle name="Note 5 2 4 3 3" xfId="56757"/>
    <cellStyle name="Note 5 2 4 3 3 2" xfId="56758"/>
    <cellStyle name="Note 5 2 4 3 3 3" xfId="56759"/>
    <cellStyle name="Note 5 2 4 3 4" xfId="56760"/>
    <cellStyle name="Note 5 2 4 3 4 2" xfId="56761"/>
    <cellStyle name="Note 5 2 4 3 5" xfId="56762"/>
    <cellStyle name="Note 5 2 4 3 6" xfId="56763"/>
    <cellStyle name="Note 5 2 4 4" xfId="56764"/>
    <cellStyle name="Note 5 2 4 4 2" xfId="56765"/>
    <cellStyle name="Note 5 2 4 4 2 2" xfId="56766"/>
    <cellStyle name="Note 5 2 4 4 2 3" xfId="56767"/>
    <cellStyle name="Note 5 2 4 4 3" xfId="56768"/>
    <cellStyle name="Note 5 2 4 4 3 2" xfId="56769"/>
    <cellStyle name="Note 5 2 4 4 3 3" xfId="56770"/>
    <cellStyle name="Note 5 2 4 4 4" xfId="56771"/>
    <cellStyle name="Note 5 2 4 4 4 2" xfId="56772"/>
    <cellStyle name="Note 5 2 4 4 5" xfId="56773"/>
    <cellStyle name="Note 5 2 4 4 6" xfId="56774"/>
    <cellStyle name="Note 5 2 4 5" xfId="56775"/>
    <cellStyle name="Note 5 2 4 5 2" xfId="56776"/>
    <cellStyle name="Note 5 2 4 5 2 2" xfId="56777"/>
    <cellStyle name="Note 5 2 4 5 2 3" xfId="56778"/>
    <cellStyle name="Note 5 2 4 5 3" xfId="56779"/>
    <cellStyle name="Note 5 2 4 5 3 2" xfId="56780"/>
    <cellStyle name="Note 5 2 4 5 4" xfId="56781"/>
    <cellStyle name="Note 5 2 4 5 5" xfId="56782"/>
    <cellStyle name="Note 5 2 4 6" xfId="56783"/>
    <cellStyle name="Note 5 2 4 6 2" xfId="56784"/>
    <cellStyle name="Note 5 2 4 6 3" xfId="56785"/>
    <cellStyle name="Note 5 2 4 7" xfId="56786"/>
    <cellStyle name="Note 5 2 4 7 2" xfId="56787"/>
    <cellStyle name="Note 5 2 4 7 3" xfId="56788"/>
    <cellStyle name="Note 5 2 4 8" xfId="56789"/>
    <cellStyle name="Note 5 2 4 8 2" xfId="56790"/>
    <cellStyle name="Note 5 2 4 9" xfId="56791"/>
    <cellStyle name="Note 5 2 5" xfId="6130"/>
    <cellStyle name="Note 5 2 5 2" xfId="56792"/>
    <cellStyle name="Note 5 2 5 2 2" xfId="56793"/>
    <cellStyle name="Note 5 2 5 2 2 2" xfId="56794"/>
    <cellStyle name="Note 5 2 5 2 2 3" xfId="56795"/>
    <cellStyle name="Note 5 2 5 2 3" xfId="56796"/>
    <cellStyle name="Note 5 2 5 2 3 2" xfId="56797"/>
    <cellStyle name="Note 5 2 5 2 3 3" xfId="56798"/>
    <cellStyle name="Note 5 2 5 2 4" xfId="56799"/>
    <cellStyle name="Note 5 2 5 2 4 2" xfId="56800"/>
    <cellStyle name="Note 5 2 5 2 5" xfId="56801"/>
    <cellStyle name="Note 5 2 5 2 6" xfId="56802"/>
    <cellStyle name="Note 5 2 5 3" xfId="56803"/>
    <cellStyle name="Note 5 2 5 3 2" xfId="56804"/>
    <cellStyle name="Note 5 2 5 3 2 2" xfId="56805"/>
    <cellStyle name="Note 5 2 5 3 2 3" xfId="56806"/>
    <cellStyle name="Note 5 2 5 3 3" xfId="56807"/>
    <cellStyle name="Note 5 2 5 3 3 2" xfId="56808"/>
    <cellStyle name="Note 5 2 5 3 3 3" xfId="56809"/>
    <cellStyle name="Note 5 2 5 3 4" xfId="56810"/>
    <cellStyle name="Note 5 2 5 3 4 2" xfId="56811"/>
    <cellStyle name="Note 5 2 5 3 5" xfId="56812"/>
    <cellStyle name="Note 5 2 5 3 6" xfId="56813"/>
    <cellStyle name="Note 5 2 5 4" xfId="56814"/>
    <cellStyle name="Note 5 2 5 4 2" xfId="56815"/>
    <cellStyle name="Note 5 2 5 4 2 2" xfId="56816"/>
    <cellStyle name="Note 5 2 5 4 2 3" xfId="56817"/>
    <cellStyle name="Note 5 2 5 4 3" xfId="56818"/>
    <cellStyle name="Note 5 2 5 4 3 2" xfId="56819"/>
    <cellStyle name="Note 5 2 5 4 4" xfId="56820"/>
    <cellStyle name="Note 5 2 5 4 5" xfId="56821"/>
    <cellStyle name="Note 5 2 5 5" xfId="56822"/>
    <cellStyle name="Note 5 2 5 5 2" xfId="56823"/>
    <cellStyle name="Note 5 2 5 5 3" xfId="56824"/>
    <cellStyle name="Note 5 2 5 6" xfId="56825"/>
    <cellStyle name="Note 5 2 5 6 2" xfId="56826"/>
    <cellStyle name="Note 5 2 5 6 3" xfId="56827"/>
    <cellStyle name="Note 5 2 5 7" xfId="56828"/>
    <cellStyle name="Note 5 2 5 7 2" xfId="56829"/>
    <cellStyle name="Note 5 2 5 8" xfId="56830"/>
    <cellStyle name="Note 5 2 5 9" xfId="56831"/>
    <cellStyle name="Note 5 2 6" xfId="6131"/>
    <cellStyle name="Note 5 2 6 2" xfId="56832"/>
    <cellStyle name="Note 5 2 6 2 2" xfId="56833"/>
    <cellStyle name="Note 5 2 6 2 2 2" xfId="56834"/>
    <cellStyle name="Note 5 2 6 2 2 3" xfId="56835"/>
    <cellStyle name="Note 5 2 6 2 3" xfId="56836"/>
    <cellStyle name="Note 5 2 6 2 3 2" xfId="56837"/>
    <cellStyle name="Note 5 2 6 2 3 3" xfId="56838"/>
    <cellStyle name="Note 5 2 6 2 4" xfId="56839"/>
    <cellStyle name="Note 5 2 6 2 4 2" xfId="56840"/>
    <cellStyle name="Note 5 2 6 2 5" xfId="56841"/>
    <cellStyle name="Note 5 2 6 2 6" xfId="56842"/>
    <cellStyle name="Note 5 2 6 3" xfId="56843"/>
    <cellStyle name="Note 5 2 6 3 2" xfId="56844"/>
    <cellStyle name="Note 5 2 6 3 2 2" xfId="56845"/>
    <cellStyle name="Note 5 2 6 3 2 3" xfId="56846"/>
    <cellStyle name="Note 5 2 6 3 3" xfId="56847"/>
    <cellStyle name="Note 5 2 6 3 3 2" xfId="56848"/>
    <cellStyle name="Note 5 2 6 3 3 3" xfId="56849"/>
    <cellStyle name="Note 5 2 6 3 4" xfId="56850"/>
    <cellStyle name="Note 5 2 6 3 4 2" xfId="56851"/>
    <cellStyle name="Note 5 2 6 3 5" xfId="56852"/>
    <cellStyle name="Note 5 2 6 3 6" xfId="56853"/>
    <cellStyle name="Note 5 2 6 4" xfId="56854"/>
    <cellStyle name="Note 5 2 6 4 2" xfId="56855"/>
    <cellStyle name="Note 5 2 6 4 2 2" xfId="56856"/>
    <cellStyle name="Note 5 2 6 4 2 3" xfId="56857"/>
    <cellStyle name="Note 5 2 6 4 3" xfId="56858"/>
    <cellStyle name="Note 5 2 6 4 3 2" xfId="56859"/>
    <cellStyle name="Note 5 2 6 4 4" xfId="56860"/>
    <cellStyle name="Note 5 2 6 4 5" xfId="56861"/>
    <cellStyle name="Note 5 2 6 5" xfId="56862"/>
    <cellStyle name="Note 5 2 6 5 2" xfId="56863"/>
    <cellStyle name="Note 5 2 6 5 3" xfId="56864"/>
    <cellStyle name="Note 5 2 6 6" xfId="56865"/>
    <cellStyle name="Note 5 2 6 6 2" xfId="56866"/>
    <cellStyle name="Note 5 2 6 6 3" xfId="56867"/>
    <cellStyle name="Note 5 2 6 7" xfId="56868"/>
    <cellStyle name="Note 5 2 6 7 2" xfId="56869"/>
    <cellStyle name="Note 5 2 6 8" xfId="56870"/>
    <cellStyle name="Note 5 2 6 9" xfId="56871"/>
    <cellStyle name="Note 5 2 7" xfId="6132"/>
    <cellStyle name="Note 5 2 7 2" xfId="56872"/>
    <cellStyle name="Note 5 2 7 2 2" xfId="56873"/>
    <cellStyle name="Note 5 2 7 2 3" xfId="56874"/>
    <cellStyle name="Note 5 2 7 3" xfId="56875"/>
    <cellStyle name="Note 5 2 7 3 2" xfId="56876"/>
    <cellStyle name="Note 5 2 7 3 3" xfId="56877"/>
    <cellStyle name="Note 5 2 7 4" xfId="56878"/>
    <cellStyle name="Note 5 2 7 4 2" xfId="56879"/>
    <cellStyle name="Note 5 2 7 5" xfId="56880"/>
    <cellStyle name="Note 5 2 7 6" xfId="56881"/>
    <cellStyle name="Note 5 2 8" xfId="6133"/>
    <cellStyle name="Note 5 2 8 2" xfId="56882"/>
    <cellStyle name="Note 5 2 8 2 2" xfId="56883"/>
    <cellStyle name="Note 5 2 8 2 3" xfId="56884"/>
    <cellStyle name="Note 5 2 8 3" xfId="56885"/>
    <cellStyle name="Note 5 2 8 3 2" xfId="56886"/>
    <cellStyle name="Note 5 2 8 3 3" xfId="56887"/>
    <cellStyle name="Note 5 2 8 4" xfId="56888"/>
    <cellStyle name="Note 5 2 8 4 2" xfId="56889"/>
    <cellStyle name="Note 5 2 8 5" xfId="56890"/>
    <cellStyle name="Note 5 2 8 6" xfId="56891"/>
    <cellStyle name="Note 5 2 9" xfId="6134"/>
    <cellStyle name="Note 5 2 9 2" xfId="56892"/>
    <cellStyle name="Note 5 2 9 2 2" xfId="56893"/>
    <cellStyle name="Note 5 2 9 2 3" xfId="56894"/>
    <cellStyle name="Note 5 2 9 3" xfId="56895"/>
    <cellStyle name="Note 5 2 9 3 2" xfId="56896"/>
    <cellStyle name="Note 5 2 9 4" xfId="56897"/>
    <cellStyle name="Note 5 2 9 5" xfId="56898"/>
    <cellStyle name="Note 5 3" xfId="6135"/>
    <cellStyle name="Note 5 3 10" xfId="56899"/>
    <cellStyle name="Note 5 3 10 2" xfId="56900"/>
    <cellStyle name="Note 5 3 10 3" xfId="56901"/>
    <cellStyle name="Note 5 3 11" xfId="56902"/>
    <cellStyle name="Note 5 3 11 2" xfId="56903"/>
    <cellStyle name="Note 5 3 12" xfId="56904"/>
    <cellStyle name="Note 5 3 13" xfId="56905"/>
    <cellStyle name="Note 5 3 14" xfId="56906"/>
    <cellStyle name="Note 5 3 2" xfId="6136"/>
    <cellStyle name="Note 5 3 2 10" xfId="56907"/>
    <cellStyle name="Note 5 3 2 10 2" xfId="56908"/>
    <cellStyle name="Note 5 3 2 11" xfId="56909"/>
    <cellStyle name="Note 5 3 2 12" xfId="56910"/>
    <cellStyle name="Note 5 3 2 2" xfId="9349"/>
    <cellStyle name="Note 5 3 2 2 10" xfId="56911"/>
    <cellStyle name="Note 5 3 2 2 2" xfId="56912"/>
    <cellStyle name="Note 5 3 2 2 2 2" xfId="56913"/>
    <cellStyle name="Note 5 3 2 2 2 2 2" xfId="56914"/>
    <cellStyle name="Note 5 3 2 2 2 2 2 2" xfId="56915"/>
    <cellStyle name="Note 5 3 2 2 2 2 2 3" xfId="56916"/>
    <cellStyle name="Note 5 3 2 2 2 2 3" xfId="56917"/>
    <cellStyle name="Note 5 3 2 2 2 2 3 2" xfId="56918"/>
    <cellStyle name="Note 5 3 2 2 2 2 3 3" xfId="56919"/>
    <cellStyle name="Note 5 3 2 2 2 2 4" xfId="56920"/>
    <cellStyle name="Note 5 3 2 2 2 2 4 2" xfId="56921"/>
    <cellStyle name="Note 5 3 2 2 2 2 5" xfId="56922"/>
    <cellStyle name="Note 5 3 2 2 2 2 6" xfId="56923"/>
    <cellStyle name="Note 5 3 2 2 2 3" xfId="56924"/>
    <cellStyle name="Note 5 3 2 2 2 3 2" xfId="56925"/>
    <cellStyle name="Note 5 3 2 2 2 3 2 2" xfId="56926"/>
    <cellStyle name="Note 5 3 2 2 2 3 2 3" xfId="56927"/>
    <cellStyle name="Note 5 3 2 2 2 3 3" xfId="56928"/>
    <cellStyle name="Note 5 3 2 2 2 3 3 2" xfId="56929"/>
    <cellStyle name="Note 5 3 2 2 2 3 3 3" xfId="56930"/>
    <cellStyle name="Note 5 3 2 2 2 3 4" xfId="56931"/>
    <cellStyle name="Note 5 3 2 2 2 3 4 2" xfId="56932"/>
    <cellStyle name="Note 5 3 2 2 2 3 5" xfId="56933"/>
    <cellStyle name="Note 5 3 2 2 2 3 6" xfId="56934"/>
    <cellStyle name="Note 5 3 2 2 2 4" xfId="56935"/>
    <cellStyle name="Note 5 3 2 2 2 4 2" xfId="56936"/>
    <cellStyle name="Note 5 3 2 2 2 4 2 2" xfId="56937"/>
    <cellStyle name="Note 5 3 2 2 2 4 2 3" xfId="56938"/>
    <cellStyle name="Note 5 3 2 2 2 4 3" xfId="56939"/>
    <cellStyle name="Note 5 3 2 2 2 4 3 2" xfId="56940"/>
    <cellStyle name="Note 5 3 2 2 2 4 4" xfId="56941"/>
    <cellStyle name="Note 5 3 2 2 2 4 5" xfId="56942"/>
    <cellStyle name="Note 5 3 2 2 2 5" xfId="56943"/>
    <cellStyle name="Note 5 3 2 2 2 5 2" xfId="56944"/>
    <cellStyle name="Note 5 3 2 2 2 5 3" xfId="56945"/>
    <cellStyle name="Note 5 3 2 2 2 6" xfId="56946"/>
    <cellStyle name="Note 5 3 2 2 2 6 2" xfId="56947"/>
    <cellStyle name="Note 5 3 2 2 2 6 3" xfId="56948"/>
    <cellStyle name="Note 5 3 2 2 2 7" xfId="56949"/>
    <cellStyle name="Note 5 3 2 2 2 7 2" xfId="56950"/>
    <cellStyle name="Note 5 3 2 2 2 8" xfId="56951"/>
    <cellStyle name="Note 5 3 2 2 2 9" xfId="56952"/>
    <cellStyle name="Note 5 3 2 2 3" xfId="56953"/>
    <cellStyle name="Note 5 3 2 2 3 2" xfId="56954"/>
    <cellStyle name="Note 5 3 2 2 3 2 2" xfId="56955"/>
    <cellStyle name="Note 5 3 2 2 3 2 3" xfId="56956"/>
    <cellStyle name="Note 5 3 2 2 3 3" xfId="56957"/>
    <cellStyle name="Note 5 3 2 2 3 3 2" xfId="56958"/>
    <cellStyle name="Note 5 3 2 2 3 3 3" xfId="56959"/>
    <cellStyle name="Note 5 3 2 2 3 4" xfId="56960"/>
    <cellStyle name="Note 5 3 2 2 3 4 2" xfId="56961"/>
    <cellStyle name="Note 5 3 2 2 3 5" xfId="56962"/>
    <cellStyle name="Note 5 3 2 2 3 6" xfId="56963"/>
    <cellStyle name="Note 5 3 2 2 4" xfId="56964"/>
    <cellStyle name="Note 5 3 2 2 4 2" xfId="56965"/>
    <cellStyle name="Note 5 3 2 2 4 2 2" xfId="56966"/>
    <cellStyle name="Note 5 3 2 2 4 2 3" xfId="56967"/>
    <cellStyle name="Note 5 3 2 2 4 3" xfId="56968"/>
    <cellStyle name="Note 5 3 2 2 4 3 2" xfId="56969"/>
    <cellStyle name="Note 5 3 2 2 4 3 3" xfId="56970"/>
    <cellStyle name="Note 5 3 2 2 4 4" xfId="56971"/>
    <cellStyle name="Note 5 3 2 2 4 4 2" xfId="56972"/>
    <cellStyle name="Note 5 3 2 2 4 5" xfId="56973"/>
    <cellStyle name="Note 5 3 2 2 4 6" xfId="56974"/>
    <cellStyle name="Note 5 3 2 2 5" xfId="56975"/>
    <cellStyle name="Note 5 3 2 2 5 2" xfId="56976"/>
    <cellStyle name="Note 5 3 2 2 5 2 2" xfId="56977"/>
    <cellStyle name="Note 5 3 2 2 5 2 3" xfId="56978"/>
    <cellStyle name="Note 5 3 2 2 5 3" xfId="56979"/>
    <cellStyle name="Note 5 3 2 2 5 3 2" xfId="56980"/>
    <cellStyle name="Note 5 3 2 2 5 4" xfId="56981"/>
    <cellStyle name="Note 5 3 2 2 5 5" xfId="56982"/>
    <cellStyle name="Note 5 3 2 2 6" xfId="56983"/>
    <cellStyle name="Note 5 3 2 2 6 2" xfId="56984"/>
    <cellStyle name="Note 5 3 2 2 6 3" xfId="56985"/>
    <cellStyle name="Note 5 3 2 2 7" xfId="56986"/>
    <cellStyle name="Note 5 3 2 2 7 2" xfId="56987"/>
    <cellStyle name="Note 5 3 2 2 7 3" xfId="56988"/>
    <cellStyle name="Note 5 3 2 2 8" xfId="56989"/>
    <cellStyle name="Note 5 3 2 2 8 2" xfId="56990"/>
    <cellStyle name="Note 5 3 2 2 9" xfId="56991"/>
    <cellStyle name="Note 5 3 2 3" xfId="56992"/>
    <cellStyle name="Note 5 3 2 3 2" xfId="56993"/>
    <cellStyle name="Note 5 3 2 3 2 2" xfId="56994"/>
    <cellStyle name="Note 5 3 2 3 2 2 2" xfId="56995"/>
    <cellStyle name="Note 5 3 2 3 2 2 3" xfId="56996"/>
    <cellStyle name="Note 5 3 2 3 2 3" xfId="56997"/>
    <cellStyle name="Note 5 3 2 3 2 3 2" xfId="56998"/>
    <cellStyle name="Note 5 3 2 3 2 3 3" xfId="56999"/>
    <cellStyle name="Note 5 3 2 3 2 4" xfId="57000"/>
    <cellStyle name="Note 5 3 2 3 2 4 2" xfId="57001"/>
    <cellStyle name="Note 5 3 2 3 2 5" xfId="57002"/>
    <cellStyle name="Note 5 3 2 3 2 6" xfId="57003"/>
    <cellStyle name="Note 5 3 2 3 3" xfId="57004"/>
    <cellStyle name="Note 5 3 2 3 3 2" xfId="57005"/>
    <cellStyle name="Note 5 3 2 3 3 2 2" xfId="57006"/>
    <cellStyle name="Note 5 3 2 3 3 2 3" xfId="57007"/>
    <cellStyle name="Note 5 3 2 3 3 3" xfId="57008"/>
    <cellStyle name="Note 5 3 2 3 3 3 2" xfId="57009"/>
    <cellStyle name="Note 5 3 2 3 3 3 3" xfId="57010"/>
    <cellStyle name="Note 5 3 2 3 3 4" xfId="57011"/>
    <cellStyle name="Note 5 3 2 3 3 4 2" xfId="57012"/>
    <cellStyle name="Note 5 3 2 3 3 5" xfId="57013"/>
    <cellStyle name="Note 5 3 2 3 3 6" xfId="57014"/>
    <cellStyle name="Note 5 3 2 3 4" xfId="57015"/>
    <cellStyle name="Note 5 3 2 3 4 2" xfId="57016"/>
    <cellStyle name="Note 5 3 2 3 4 2 2" xfId="57017"/>
    <cellStyle name="Note 5 3 2 3 4 2 3" xfId="57018"/>
    <cellStyle name="Note 5 3 2 3 4 3" xfId="57019"/>
    <cellStyle name="Note 5 3 2 3 4 3 2" xfId="57020"/>
    <cellStyle name="Note 5 3 2 3 4 4" xfId="57021"/>
    <cellStyle name="Note 5 3 2 3 4 5" xfId="57022"/>
    <cellStyle name="Note 5 3 2 3 5" xfId="57023"/>
    <cellStyle name="Note 5 3 2 3 5 2" xfId="57024"/>
    <cellStyle name="Note 5 3 2 3 5 3" xfId="57025"/>
    <cellStyle name="Note 5 3 2 3 6" xfId="57026"/>
    <cellStyle name="Note 5 3 2 3 6 2" xfId="57027"/>
    <cellStyle name="Note 5 3 2 3 6 3" xfId="57028"/>
    <cellStyle name="Note 5 3 2 3 7" xfId="57029"/>
    <cellStyle name="Note 5 3 2 3 7 2" xfId="57030"/>
    <cellStyle name="Note 5 3 2 3 8" xfId="57031"/>
    <cellStyle name="Note 5 3 2 3 9" xfId="57032"/>
    <cellStyle name="Note 5 3 2 4" xfId="57033"/>
    <cellStyle name="Note 5 3 2 4 2" xfId="57034"/>
    <cellStyle name="Note 5 3 2 4 2 2" xfId="57035"/>
    <cellStyle name="Note 5 3 2 4 2 2 2" xfId="57036"/>
    <cellStyle name="Note 5 3 2 4 2 2 3" xfId="57037"/>
    <cellStyle name="Note 5 3 2 4 2 3" xfId="57038"/>
    <cellStyle name="Note 5 3 2 4 2 3 2" xfId="57039"/>
    <cellStyle name="Note 5 3 2 4 2 3 3" xfId="57040"/>
    <cellStyle name="Note 5 3 2 4 2 4" xfId="57041"/>
    <cellStyle name="Note 5 3 2 4 2 4 2" xfId="57042"/>
    <cellStyle name="Note 5 3 2 4 2 5" xfId="57043"/>
    <cellStyle name="Note 5 3 2 4 2 6" xfId="57044"/>
    <cellStyle name="Note 5 3 2 4 3" xfId="57045"/>
    <cellStyle name="Note 5 3 2 4 3 2" xfId="57046"/>
    <cellStyle name="Note 5 3 2 4 3 2 2" xfId="57047"/>
    <cellStyle name="Note 5 3 2 4 3 2 3" xfId="57048"/>
    <cellStyle name="Note 5 3 2 4 3 3" xfId="57049"/>
    <cellStyle name="Note 5 3 2 4 3 3 2" xfId="57050"/>
    <cellStyle name="Note 5 3 2 4 3 3 3" xfId="57051"/>
    <cellStyle name="Note 5 3 2 4 3 4" xfId="57052"/>
    <cellStyle name="Note 5 3 2 4 3 4 2" xfId="57053"/>
    <cellStyle name="Note 5 3 2 4 3 5" xfId="57054"/>
    <cellStyle name="Note 5 3 2 4 3 6" xfId="57055"/>
    <cellStyle name="Note 5 3 2 4 4" xfId="57056"/>
    <cellStyle name="Note 5 3 2 4 4 2" xfId="57057"/>
    <cellStyle name="Note 5 3 2 4 4 2 2" xfId="57058"/>
    <cellStyle name="Note 5 3 2 4 4 2 3" xfId="57059"/>
    <cellStyle name="Note 5 3 2 4 4 3" xfId="57060"/>
    <cellStyle name="Note 5 3 2 4 4 3 2" xfId="57061"/>
    <cellStyle name="Note 5 3 2 4 4 4" xfId="57062"/>
    <cellStyle name="Note 5 3 2 4 4 5" xfId="57063"/>
    <cellStyle name="Note 5 3 2 4 5" xfId="57064"/>
    <cellStyle name="Note 5 3 2 4 5 2" xfId="57065"/>
    <cellStyle name="Note 5 3 2 4 5 3" xfId="57066"/>
    <cellStyle name="Note 5 3 2 4 6" xfId="57067"/>
    <cellStyle name="Note 5 3 2 4 6 2" xfId="57068"/>
    <cellStyle name="Note 5 3 2 4 6 3" xfId="57069"/>
    <cellStyle name="Note 5 3 2 4 7" xfId="57070"/>
    <cellStyle name="Note 5 3 2 4 7 2" xfId="57071"/>
    <cellStyle name="Note 5 3 2 4 8" xfId="57072"/>
    <cellStyle name="Note 5 3 2 4 9" xfId="57073"/>
    <cellStyle name="Note 5 3 2 5" xfId="57074"/>
    <cellStyle name="Note 5 3 2 5 2" xfId="57075"/>
    <cellStyle name="Note 5 3 2 5 2 2" xfId="57076"/>
    <cellStyle name="Note 5 3 2 5 2 3" xfId="57077"/>
    <cellStyle name="Note 5 3 2 5 3" xfId="57078"/>
    <cellStyle name="Note 5 3 2 5 3 2" xfId="57079"/>
    <cellStyle name="Note 5 3 2 5 3 3" xfId="57080"/>
    <cellStyle name="Note 5 3 2 5 4" xfId="57081"/>
    <cellStyle name="Note 5 3 2 5 4 2" xfId="57082"/>
    <cellStyle name="Note 5 3 2 5 5" xfId="57083"/>
    <cellStyle name="Note 5 3 2 5 6" xfId="57084"/>
    <cellStyle name="Note 5 3 2 6" xfId="57085"/>
    <cellStyle name="Note 5 3 2 6 2" xfId="57086"/>
    <cellStyle name="Note 5 3 2 6 2 2" xfId="57087"/>
    <cellStyle name="Note 5 3 2 6 2 3" xfId="57088"/>
    <cellStyle name="Note 5 3 2 6 3" xfId="57089"/>
    <cellStyle name="Note 5 3 2 6 3 2" xfId="57090"/>
    <cellStyle name="Note 5 3 2 6 3 3" xfId="57091"/>
    <cellStyle name="Note 5 3 2 6 4" xfId="57092"/>
    <cellStyle name="Note 5 3 2 6 4 2" xfId="57093"/>
    <cellStyle name="Note 5 3 2 6 5" xfId="57094"/>
    <cellStyle name="Note 5 3 2 6 6" xfId="57095"/>
    <cellStyle name="Note 5 3 2 7" xfId="57096"/>
    <cellStyle name="Note 5 3 2 7 2" xfId="57097"/>
    <cellStyle name="Note 5 3 2 7 2 2" xfId="57098"/>
    <cellStyle name="Note 5 3 2 7 2 3" xfId="57099"/>
    <cellStyle name="Note 5 3 2 7 3" xfId="57100"/>
    <cellStyle name="Note 5 3 2 7 3 2" xfId="57101"/>
    <cellStyle name="Note 5 3 2 7 4" xfId="57102"/>
    <cellStyle name="Note 5 3 2 7 5" xfId="57103"/>
    <cellStyle name="Note 5 3 2 8" xfId="57104"/>
    <cellStyle name="Note 5 3 2 8 2" xfId="57105"/>
    <cellStyle name="Note 5 3 2 8 3" xfId="57106"/>
    <cellStyle name="Note 5 3 2 9" xfId="57107"/>
    <cellStyle name="Note 5 3 2 9 2" xfId="57108"/>
    <cellStyle name="Note 5 3 2 9 3" xfId="57109"/>
    <cellStyle name="Note 5 3 3" xfId="6137"/>
    <cellStyle name="Note 5 3 3 10" xfId="57110"/>
    <cellStyle name="Note 5 3 3 2" xfId="57111"/>
    <cellStyle name="Note 5 3 3 2 2" xfId="57112"/>
    <cellStyle name="Note 5 3 3 2 2 2" xfId="57113"/>
    <cellStyle name="Note 5 3 3 2 2 2 2" xfId="57114"/>
    <cellStyle name="Note 5 3 3 2 2 2 3" xfId="57115"/>
    <cellStyle name="Note 5 3 3 2 2 3" xfId="57116"/>
    <cellStyle name="Note 5 3 3 2 2 3 2" xfId="57117"/>
    <cellStyle name="Note 5 3 3 2 2 3 3" xfId="57118"/>
    <cellStyle name="Note 5 3 3 2 2 4" xfId="57119"/>
    <cellStyle name="Note 5 3 3 2 2 4 2" xfId="57120"/>
    <cellStyle name="Note 5 3 3 2 2 5" xfId="57121"/>
    <cellStyle name="Note 5 3 3 2 2 6" xfId="57122"/>
    <cellStyle name="Note 5 3 3 2 3" xfId="57123"/>
    <cellStyle name="Note 5 3 3 2 3 2" xfId="57124"/>
    <cellStyle name="Note 5 3 3 2 3 2 2" xfId="57125"/>
    <cellStyle name="Note 5 3 3 2 3 2 3" xfId="57126"/>
    <cellStyle name="Note 5 3 3 2 3 3" xfId="57127"/>
    <cellStyle name="Note 5 3 3 2 3 3 2" xfId="57128"/>
    <cellStyle name="Note 5 3 3 2 3 3 3" xfId="57129"/>
    <cellStyle name="Note 5 3 3 2 3 4" xfId="57130"/>
    <cellStyle name="Note 5 3 3 2 3 4 2" xfId="57131"/>
    <cellStyle name="Note 5 3 3 2 3 5" xfId="57132"/>
    <cellStyle name="Note 5 3 3 2 3 6" xfId="57133"/>
    <cellStyle name="Note 5 3 3 2 4" xfId="57134"/>
    <cellStyle name="Note 5 3 3 2 4 2" xfId="57135"/>
    <cellStyle name="Note 5 3 3 2 4 2 2" xfId="57136"/>
    <cellStyle name="Note 5 3 3 2 4 2 3" xfId="57137"/>
    <cellStyle name="Note 5 3 3 2 4 3" xfId="57138"/>
    <cellStyle name="Note 5 3 3 2 4 3 2" xfId="57139"/>
    <cellStyle name="Note 5 3 3 2 4 4" xfId="57140"/>
    <cellStyle name="Note 5 3 3 2 4 5" xfId="57141"/>
    <cellStyle name="Note 5 3 3 2 5" xfId="57142"/>
    <cellStyle name="Note 5 3 3 2 5 2" xfId="57143"/>
    <cellStyle name="Note 5 3 3 2 5 3" xfId="57144"/>
    <cellStyle name="Note 5 3 3 2 6" xfId="57145"/>
    <cellStyle name="Note 5 3 3 2 6 2" xfId="57146"/>
    <cellStyle name="Note 5 3 3 2 6 3" xfId="57147"/>
    <cellStyle name="Note 5 3 3 2 7" xfId="57148"/>
    <cellStyle name="Note 5 3 3 2 7 2" xfId="57149"/>
    <cellStyle name="Note 5 3 3 2 8" xfId="57150"/>
    <cellStyle name="Note 5 3 3 2 9" xfId="57151"/>
    <cellStyle name="Note 5 3 3 3" xfId="57152"/>
    <cellStyle name="Note 5 3 3 3 2" xfId="57153"/>
    <cellStyle name="Note 5 3 3 3 2 2" xfId="57154"/>
    <cellStyle name="Note 5 3 3 3 2 3" xfId="57155"/>
    <cellStyle name="Note 5 3 3 3 3" xfId="57156"/>
    <cellStyle name="Note 5 3 3 3 3 2" xfId="57157"/>
    <cellStyle name="Note 5 3 3 3 3 3" xfId="57158"/>
    <cellStyle name="Note 5 3 3 3 4" xfId="57159"/>
    <cellStyle name="Note 5 3 3 3 4 2" xfId="57160"/>
    <cellStyle name="Note 5 3 3 3 5" xfId="57161"/>
    <cellStyle name="Note 5 3 3 3 6" xfId="57162"/>
    <cellStyle name="Note 5 3 3 4" xfId="57163"/>
    <cellStyle name="Note 5 3 3 4 2" xfId="57164"/>
    <cellStyle name="Note 5 3 3 4 2 2" xfId="57165"/>
    <cellStyle name="Note 5 3 3 4 2 3" xfId="57166"/>
    <cellStyle name="Note 5 3 3 4 3" xfId="57167"/>
    <cellStyle name="Note 5 3 3 4 3 2" xfId="57168"/>
    <cellStyle name="Note 5 3 3 4 3 3" xfId="57169"/>
    <cellStyle name="Note 5 3 3 4 4" xfId="57170"/>
    <cellStyle name="Note 5 3 3 4 4 2" xfId="57171"/>
    <cellStyle name="Note 5 3 3 4 5" xfId="57172"/>
    <cellStyle name="Note 5 3 3 4 6" xfId="57173"/>
    <cellStyle name="Note 5 3 3 5" xfId="57174"/>
    <cellStyle name="Note 5 3 3 5 2" xfId="57175"/>
    <cellStyle name="Note 5 3 3 5 2 2" xfId="57176"/>
    <cellStyle name="Note 5 3 3 5 2 3" xfId="57177"/>
    <cellStyle name="Note 5 3 3 5 3" xfId="57178"/>
    <cellStyle name="Note 5 3 3 5 3 2" xfId="57179"/>
    <cellStyle name="Note 5 3 3 5 4" xfId="57180"/>
    <cellStyle name="Note 5 3 3 5 5" xfId="57181"/>
    <cellStyle name="Note 5 3 3 6" xfId="57182"/>
    <cellStyle name="Note 5 3 3 6 2" xfId="57183"/>
    <cellStyle name="Note 5 3 3 6 3" xfId="57184"/>
    <cellStyle name="Note 5 3 3 7" xfId="57185"/>
    <cellStyle name="Note 5 3 3 7 2" xfId="57186"/>
    <cellStyle name="Note 5 3 3 7 3" xfId="57187"/>
    <cellStyle name="Note 5 3 3 8" xfId="57188"/>
    <cellStyle name="Note 5 3 3 8 2" xfId="57189"/>
    <cellStyle name="Note 5 3 3 9" xfId="57190"/>
    <cellStyle name="Note 5 3 4" xfId="9350"/>
    <cellStyle name="Note 5 3 4 2" xfId="57191"/>
    <cellStyle name="Note 5 3 4 2 2" xfId="57192"/>
    <cellStyle name="Note 5 3 4 2 2 2" xfId="57193"/>
    <cellStyle name="Note 5 3 4 2 2 3" xfId="57194"/>
    <cellStyle name="Note 5 3 4 2 3" xfId="57195"/>
    <cellStyle name="Note 5 3 4 2 3 2" xfId="57196"/>
    <cellStyle name="Note 5 3 4 2 3 3" xfId="57197"/>
    <cellStyle name="Note 5 3 4 2 4" xfId="57198"/>
    <cellStyle name="Note 5 3 4 2 4 2" xfId="57199"/>
    <cellStyle name="Note 5 3 4 2 5" xfId="57200"/>
    <cellStyle name="Note 5 3 4 2 6" xfId="57201"/>
    <cellStyle name="Note 5 3 4 3" xfId="57202"/>
    <cellStyle name="Note 5 3 4 3 2" xfId="57203"/>
    <cellStyle name="Note 5 3 4 3 2 2" xfId="57204"/>
    <cellStyle name="Note 5 3 4 3 2 3" xfId="57205"/>
    <cellStyle name="Note 5 3 4 3 3" xfId="57206"/>
    <cellStyle name="Note 5 3 4 3 3 2" xfId="57207"/>
    <cellStyle name="Note 5 3 4 3 3 3" xfId="57208"/>
    <cellStyle name="Note 5 3 4 3 4" xfId="57209"/>
    <cellStyle name="Note 5 3 4 3 4 2" xfId="57210"/>
    <cellStyle name="Note 5 3 4 3 5" xfId="57211"/>
    <cellStyle name="Note 5 3 4 3 6" xfId="57212"/>
    <cellStyle name="Note 5 3 4 4" xfId="57213"/>
    <cellStyle name="Note 5 3 4 4 2" xfId="57214"/>
    <cellStyle name="Note 5 3 4 4 2 2" xfId="57215"/>
    <cellStyle name="Note 5 3 4 4 2 3" xfId="57216"/>
    <cellStyle name="Note 5 3 4 4 3" xfId="57217"/>
    <cellStyle name="Note 5 3 4 4 3 2" xfId="57218"/>
    <cellStyle name="Note 5 3 4 4 4" xfId="57219"/>
    <cellStyle name="Note 5 3 4 4 5" xfId="57220"/>
    <cellStyle name="Note 5 3 4 5" xfId="57221"/>
    <cellStyle name="Note 5 3 4 5 2" xfId="57222"/>
    <cellStyle name="Note 5 3 4 5 3" xfId="57223"/>
    <cellStyle name="Note 5 3 4 6" xfId="57224"/>
    <cellStyle name="Note 5 3 4 6 2" xfId="57225"/>
    <cellStyle name="Note 5 3 4 6 3" xfId="57226"/>
    <cellStyle name="Note 5 3 4 7" xfId="57227"/>
    <cellStyle name="Note 5 3 4 7 2" xfId="57228"/>
    <cellStyle name="Note 5 3 4 8" xfId="57229"/>
    <cellStyle name="Note 5 3 4 9" xfId="57230"/>
    <cellStyle name="Note 5 3 5" xfId="57231"/>
    <cellStyle name="Note 5 3 5 2" xfId="57232"/>
    <cellStyle name="Note 5 3 5 2 2" xfId="57233"/>
    <cellStyle name="Note 5 3 5 2 2 2" xfId="57234"/>
    <cellStyle name="Note 5 3 5 2 2 3" xfId="57235"/>
    <cellStyle name="Note 5 3 5 2 3" xfId="57236"/>
    <cellStyle name="Note 5 3 5 2 3 2" xfId="57237"/>
    <cellStyle name="Note 5 3 5 2 3 3" xfId="57238"/>
    <cellStyle name="Note 5 3 5 2 4" xfId="57239"/>
    <cellStyle name="Note 5 3 5 2 4 2" xfId="57240"/>
    <cellStyle name="Note 5 3 5 2 5" xfId="57241"/>
    <cellStyle name="Note 5 3 5 2 6" xfId="57242"/>
    <cellStyle name="Note 5 3 5 3" xfId="57243"/>
    <cellStyle name="Note 5 3 5 3 2" xfId="57244"/>
    <cellStyle name="Note 5 3 5 3 2 2" xfId="57245"/>
    <cellStyle name="Note 5 3 5 3 2 3" xfId="57246"/>
    <cellStyle name="Note 5 3 5 3 3" xfId="57247"/>
    <cellStyle name="Note 5 3 5 3 3 2" xfId="57248"/>
    <cellStyle name="Note 5 3 5 3 3 3" xfId="57249"/>
    <cellStyle name="Note 5 3 5 3 4" xfId="57250"/>
    <cellStyle name="Note 5 3 5 3 4 2" xfId="57251"/>
    <cellStyle name="Note 5 3 5 3 5" xfId="57252"/>
    <cellStyle name="Note 5 3 5 3 6" xfId="57253"/>
    <cellStyle name="Note 5 3 5 4" xfId="57254"/>
    <cellStyle name="Note 5 3 5 4 2" xfId="57255"/>
    <cellStyle name="Note 5 3 5 4 2 2" xfId="57256"/>
    <cellStyle name="Note 5 3 5 4 2 3" xfId="57257"/>
    <cellStyle name="Note 5 3 5 4 3" xfId="57258"/>
    <cellStyle name="Note 5 3 5 4 3 2" xfId="57259"/>
    <cellStyle name="Note 5 3 5 4 4" xfId="57260"/>
    <cellStyle name="Note 5 3 5 4 5" xfId="57261"/>
    <cellStyle name="Note 5 3 5 5" xfId="57262"/>
    <cellStyle name="Note 5 3 5 5 2" xfId="57263"/>
    <cellStyle name="Note 5 3 5 5 3" xfId="57264"/>
    <cellStyle name="Note 5 3 5 6" xfId="57265"/>
    <cellStyle name="Note 5 3 5 6 2" xfId="57266"/>
    <cellStyle name="Note 5 3 5 6 3" xfId="57267"/>
    <cellStyle name="Note 5 3 5 7" xfId="57268"/>
    <cellStyle name="Note 5 3 5 7 2" xfId="57269"/>
    <cellStyle name="Note 5 3 5 8" xfId="57270"/>
    <cellStyle name="Note 5 3 5 9" xfId="57271"/>
    <cellStyle name="Note 5 3 6" xfId="57272"/>
    <cellStyle name="Note 5 3 6 2" xfId="57273"/>
    <cellStyle name="Note 5 3 6 2 2" xfId="57274"/>
    <cellStyle name="Note 5 3 6 2 3" xfId="57275"/>
    <cellStyle name="Note 5 3 6 3" xfId="57276"/>
    <cellStyle name="Note 5 3 6 3 2" xfId="57277"/>
    <cellStyle name="Note 5 3 6 3 3" xfId="57278"/>
    <cellStyle name="Note 5 3 6 4" xfId="57279"/>
    <cellStyle name="Note 5 3 6 4 2" xfId="57280"/>
    <cellStyle name="Note 5 3 6 5" xfId="57281"/>
    <cellStyle name="Note 5 3 6 6" xfId="57282"/>
    <cellStyle name="Note 5 3 7" xfId="57283"/>
    <cellStyle name="Note 5 3 7 2" xfId="57284"/>
    <cellStyle name="Note 5 3 7 2 2" xfId="57285"/>
    <cellStyle name="Note 5 3 7 2 3" xfId="57286"/>
    <cellStyle name="Note 5 3 7 3" xfId="57287"/>
    <cellStyle name="Note 5 3 7 3 2" xfId="57288"/>
    <cellStyle name="Note 5 3 7 3 3" xfId="57289"/>
    <cellStyle name="Note 5 3 7 4" xfId="57290"/>
    <cellStyle name="Note 5 3 7 4 2" xfId="57291"/>
    <cellStyle name="Note 5 3 7 5" xfId="57292"/>
    <cellStyle name="Note 5 3 7 6" xfId="57293"/>
    <cellStyle name="Note 5 3 8" xfId="57294"/>
    <cellStyle name="Note 5 3 8 2" xfId="57295"/>
    <cellStyle name="Note 5 3 8 2 2" xfId="57296"/>
    <cellStyle name="Note 5 3 8 2 3" xfId="57297"/>
    <cellStyle name="Note 5 3 8 3" xfId="57298"/>
    <cellStyle name="Note 5 3 8 3 2" xfId="57299"/>
    <cellStyle name="Note 5 3 8 4" xfId="57300"/>
    <cellStyle name="Note 5 3 8 5" xfId="57301"/>
    <cellStyle name="Note 5 3 9" xfId="57302"/>
    <cellStyle name="Note 5 3 9 2" xfId="57303"/>
    <cellStyle name="Note 5 3 9 3" xfId="57304"/>
    <cellStyle name="Note 5 4" xfId="6138"/>
    <cellStyle name="Note 5 4 10" xfId="57305"/>
    <cellStyle name="Note 5 4 10 2" xfId="57306"/>
    <cellStyle name="Note 5 4 11" xfId="57307"/>
    <cellStyle name="Note 5 4 12" xfId="57308"/>
    <cellStyle name="Note 5 4 2" xfId="6139"/>
    <cellStyle name="Note 5 4 2 10" xfId="57309"/>
    <cellStyle name="Note 5 4 2 2" xfId="57310"/>
    <cellStyle name="Note 5 4 2 2 2" xfId="57311"/>
    <cellStyle name="Note 5 4 2 2 2 2" xfId="57312"/>
    <cellStyle name="Note 5 4 2 2 2 2 2" xfId="57313"/>
    <cellStyle name="Note 5 4 2 2 2 2 3" xfId="57314"/>
    <cellStyle name="Note 5 4 2 2 2 3" xfId="57315"/>
    <cellStyle name="Note 5 4 2 2 2 3 2" xfId="57316"/>
    <cellStyle name="Note 5 4 2 2 2 3 3" xfId="57317"/>
    <cellStyle name="Note 5 4 2 2 2 4" xfId="57318"/>
    <cellStyle name="Note 5 4 2 2 2 4 2" xfId="57319"/>
    <cellStyle name="Note 5 4 2 2 2 5" xfId="57320"/>
    <cellStyle name="Note 5 4 2 2 2 6" xfId="57321"/>
    <cellStyle name="Note 5 4 2 2 3" xfId="57322"/>
    <cellStyle name="Note 5 4 2 2 3 2" xfId="57323"/>
    <cellStyle name="Note 5 4 2 2 3 2 2" xfId="57324"/>
    <cellStyle name="Note 5 4 2 2 3 2 3" xfId="57325"/>
    <cellStyle name="Note 5 4 2 2 3 3" xfId="57326"/>
    <cellStyle name="Note 5 4 2 2 3 3 2" xfId="57327"/>
    <cellStyle name="Note 5 4 2 2 3 3 3" xfId="57328"/>
    <cellStyle name="Note 5 4 2 2 3 4" xfId="57329"/>
    <cellStyle name="Note 5 4 2 2 3 4 2" xfId="57330"/>
    <cellStyle name="Note 5 4 2 2 3 5" xfId="57331"/>
    <cellStyle name="Note 5 4 2 2 3 6" xfId="57332"/>
    <cellStyle name="Note 5 4 2 2 4" xfId="57333"/>
    <cellStyle name="Note 5 4 2 2 4 2" xfId="57334"/>
    <cellStyle name="Note 5 4 2 2 4 2 2" xfId="57335"/>
    <cellStyle name="Note 5 4 2 2 4 2 3" xfId="57336"/>
    <cellStyle name="Note 5 4 2 2 4 3" xfId="57337"/>
    <cellStyle name="Note 5 4 2 2 4 3 2" xfId="57338"/>
    <cellStyle name="Note 5 4 2 2 4 4" xfId="57339"/>
    <cellStyle name="Note 5 4 2 2 4 5" xfId="57340"/>
    <cellStyle name="Note 5 4 2 2 5" xfId="57341"/>
    <cellStyle name="Note 5 4 2 2 5 2" xfId="57342"/>
    <cellStyle name="Note 5 4 2 2 5 3" xfId="57343"/>
    <cellStyle name="Note 5 4 2 2 6" xfId="57344"/>
    <cellStyle name="Note 5 4 2 2 6 2" xfId="57345"/>
    <cellStyle name="Note 5 4 2 2 6 3" xfId="57346"/>
    <cellStyle name="Note 5 4 2 2 7" xfId="57347"/>
    <cellStyle name="Note 5 4 2 2 7 2" xfId="57348"/>
    <cellStyle name="Note 5 4 2 2 8" xfId="57349"/>
    <cellStyle name="Note 5 4 2 2 9" xfId="57350"/>
    <cellStyle name="Note 5 4 2 3" xfId="57351"/>
    <cellStyle name="Note 5 4 2 3 2" xfId="57352"/>
    <cellStyle name="Note 5 4 2 3 2 2" xfId="57353"/>
    <cellStyle name="Note 5 4 2 3 2 3" xfId="57354"/>
    <cellStyle name="Note 5 4 2 3 3" xfId="57355"/>
    <cellStyle name="Note 5 4 2 3 3 2" xfId="57356"/>
    <cellStyle name="Note 5 4 2 3 3 3" xfId="57357"/>
    <cellStyle name="Note 5 4 2 3 4" xfId="57358"/>
    <cellStyle name="Note 5 4 2 3 4 2" xfId="57359"/>
    <cellStyle name="Note 5 4 2 3 5" xfId="57360"/>
    <cellStyle name="Note 5 4 2 3 6" xfId="57361"/>
    <cellStyle name="Note 5 4 2 4" xfId="57362"/>
    <cellStyle name="Note 5 4 2 4 2" xfId="57363"/>
    <cellStyle name="Note 5 4 2 4 2 2" xfId="57364"/>
    <cellStyle name="Note 5 4 2 4 2 3" xfId="57365"/>
    <cellStyle name="Note 5 4 2 4 3" xfId="57366"/>
    <cellStyle name="Note 5 4 2 4 3 2" xfId="57367"/>
    <cellStyle name="Note 5 4 2 4 3 3" xfId="57368"/>
    <cellStyle name="Note 5 4 2 4 4" xfId="57369"/>
    <cellStyle name="Note 5 4 2 4 4 2" xfId="57370"/>
    <cellStyle name="Note 5 4 2 4 5" xfId="57371"/>
    <cellStyle name="Note 5 4 2 4 6" xfId="57372"/>
    <cellStyle name="Note 5 4 2 5" xfId="57373"/>
    <cellStyle name="Note 5 4 2 5 2" xfId="57374"/>
    <cellStyle name="Note 5 4 2 5 2 2" xfId="57375"/>
    <cellStyle name="Note 5 4 2 5 2 3" xfId="57376"/>
    <cellStyle name="Note 5 4 2 5 3" xfId="57377"/>
    <cellStyle name="Note 5 4 2 5 3 2" xfId="57378"/>
    <cellStyle name="Note 5 4 2 5 4" xfId="57379"/>
    <cellStyle name="Note 5 4 2 5 5" xfId="57380"/>
    <cellStyle name="Note 5 4 2 6" xfId="57381"/>
    <cellStyle name="Note 5 4 2 6 2" xfId="57382"/>
    <cellStyle name="Note 5 4 2 6 3" xfId="57383"/>
    <cellStyle name="Note 5 4 2 7" xfId="57384"/>
    <cellStyle name="Note 5 4 2 7 2" xfId="57385"/>
    <cellStyle name="Note 5 4 2 7 3" xfId="57386"/>
    <cellStyle name="Note 5 4 2 8" xfId="57387"/>
    <cellStyle name="Note 5 4 2 8 2" xfId="57388"/>
    <cellStyle name="Note 5 4 2 9" xfId="57389"/>
    <cellStyle name="Note 5 4 3" xfId="9351"/>
    <cellStyle name="Note 5 4 3 2" xfId="57390"/>
    <cellStyle name="Note 5 4 3 2 2" xfId="57391"/>
    <cellStyle name="Note 5 4 3 2 2 2" xfId="57392"/>
    <cellStyle name="Note 5 4 3 2 2 3" xfId="57393"/>
    <cellStyle name="Note 5 4 3 2 3" xfId="57394"/>
    <cellStyle name="Note 5 4 3 2 3 2" xfId="57395"/>
    <cellStyle name="Note 5 4 3 2 3 3" xfId="57396"/>
    <cellStyle name="Note 5 4 3 2 4" xfId="57397"/>
    <cellStyle name="Note 5 4 3 2 4 2" xfId="57398"/>
    <cellStyle name="Note 5 4 3 2 5" xfId="57399"/>
    <cellStyle name="Note 5 4 3 2 6" xfId="57400"/>
    <cellStyle name="Note 5 4 3 3" xfId="57401"/>
    <cellStyle name="Note 5 4 3 3 2" xfId="57402"/>
    <cellStyle name="Note 5 4 3 3 2 2" xfId="57403"/>
    <cellStyle name="Note 5 4 3 3 2 3" xfId="57404"/>
    <cellStyle name="Note 5 4 3 3 3" xfId="57405"/>
    <cellStyle name="Note 5 4 3 3 3 2" xfId="57406"/>
    <cellStyle name="Note 5 4 3 3 3 3" xfId="57407"/>
    <cellStyle name="Note 5 4 3 3 4" xfId="57408"/>
    <cellStyle name="Note 5 4 3 3 4 2" xfId="57409"/>
    <cellStyle name="Note 5 4 3 3 5" xfId="57410"/>
    <cellStyle name="Note 5 4 3 3 6" xfId="57411"/>
    <cellStyle name="Note 5 4 3 4" xfId="57412"/>
    <cellStyle name="Note 5 4 3 4 2" xfId="57413"/>
    <cellStyle name="Note 5 4 3 4 2 2" xfId="57414"/>
    <cellStyle name="Note 5 4 3 4 2 3" xfId="57415"/>
    <cellStyle name="Note 5 4 3 4 3" xfId="57416"/>
    <cellStyle name="Note 5 4 3 4 3 2" xfId="57417"/>
    <cellStyle name="Note 5 4 3 4 4" xfId="57418"/>
    <cellStyle name="Note 5 4 3 4 5" xfId="57419"/>
    <cellStyle name="Note 5 4 3 5" xfId="57420"/>
    <cellStyle name="Note 5 4 3 5 2" xfId="57421"/>
    <cellStyle name="Note 5 4 3 5 3" xfId="57422"/>
    <cellStyle name="Note 5 4 3 6" xfId="57423"/>
    <cellStyle name="Note 5 4 3 6 2" xfId="57424"/>
    <cellStyle name="Note 5 4 3 6 3" xfId="57425"/>
    <cellStyle name="Note 5 4 3 7" xfId="57426"/>
    <cellStyle name="Note 5 4 3 7 2" xfId="57427"/>
    <cellStyle name="Note 5 4 3 8" xfId="57428"/>
    <cellStyle name="Note 5 4 3 9" xfId="57429"/>
    <cellStyle name="Note 5 4 4" xfId="57430"/>
    <cellStyle name="Note 5 4 4 2" xfId="57431"/>
    <cellStyle name="Note 5 4 4 2 2" xfId="57432"/>
    <cellStyle name="Note 5 4 4 2 2 2" xfId="57433"/>
    <cellStyle name="Note 5 4 4 2 2 3" xfId="57434"/>
    <cellStyle name="Note 5 4 4 2 3" xfId="57435"/>
    <cellStyle name="Note 5 4 4 2 3 2" xfId="57436"/>
    <cellStyle name="Note 5 4 4 2 3 3" xfId="57437"/>
    <cellStyle name="Note 5 4 4 2 4" xfId="57438"/>
    <cellStyle name="Note 5 4 4 2 4 2" xfId="57439"/>
    <cellStyle name="Note 5 4 4 2 5" xfId="57440"/>
    <cellStyle name="Note 5 4 4 2 6" xfId="57441"/>
    <cellStyle name="Note 5 4 4 3" xfId="57442"/>
    <cellStyle name="Note 5 4 4 3 2" xfId="57443"/>
    <cellStyle name="Note 5 4 4 3 2 2" xfId="57444"/>
    <cellStyle name="Note 5 4 4 3 2 3" xfId="57445"/>
    <cellStyle name="Note 5 4 4 3 3" xfId="57446"/>
    <cellStyle name="Note 5 4 4 3 3 2" xfId="57447"/>
    <cellStyle name="Note 5 4 4 3 3 3" xfId="57448"/>
    <cellStyle name="Note 5 4 4 3 4" xfId="57449"/>
    <cellStyle name="Note 5 4 4 3 4 2" xfId="57450"/>
    <cellStyle name="Note 5 4 4 3 5" xfId="57451"/>
    <cellStyle name="Note 5 4 4 3 6" xfId="57452"/>
    <cellStyle name="Note 5 4 4 4" xfId="57453"/>
    <cellStyle name="Note 5 4 4 4 2" xfId="57454"/>
    <cellStyle name="Note 5 4 4 4 2 2" xfId="57455"/>
    <cellStyle name="Note 5 4 4 4 2 3" xfId="57456"/>
    <cellStyle name="Note 5 4 4 4 3" xfId="57457"/>
    <cellStyle name="Note 5 4 4 4 3 2" xfId="57458"/>
    <cellStyle name="Note 5 4 4 4 4" xfId="57459"/>
    <cellStyle name="Note 5 4 4 4 5" xfId="57460"/>
    <cellStyle name="Note 5 4 4 5" xfId="57461"/>
    <cellStyle name="Note 5 4 4 5 2" xfId="57462"/>
    <cellStyle name="Note 5 4 4 5 3" xfId="57463"/>
    <cellStyle name="Note 5 4 4 6" xfId="57464"/>
    <cellStyle name="Note 5 4 4 6 2" xfId="57465"/>
    <cellStyle name="Note 5 4 4 6 3" xfId="57466"/>
    <cellStyle name="Note 5 4 4 7" xfId="57467"/>
    <cellStyle name="Note 5 4 4 7 2" xfId="57468"/>
    <cellStyle name="Note 5 4 4 8" xfId="57469"/>
    <cellStyle name="Note 5 4 4 9" xfId="57470"/>
    <cellStyle name="Note 5 4 5" xfId="57471"/>
    <cellStyle name="Note 5 4 5 2" xfId="57472"/>
    <cellStyle name="Note 5 4 5 2 2" xfId="57473"/>
    <cellStyle name="Note 5 4 5 2 3" xfId="57474"/>
    <cellStyle name="Note 5 4 5 3" xfId="57475"/>
    <cellStyle name="Note 5 4 5 3 2" xfId="57476"/>
    <cellStyle name="Note 5 4 5 3 3" xfId="57477"/>
    <cellStyle name="Note 5 4 5 4" xfId="57478"/>
    <cellStyle name="Note 5 4 5 4 2" xfId="57479"/>
    <cellStyle name="Note 5 4 5 5" xfId="57480"/>
    <cellStyle name="Note 5 4 5 6" xfId="57481"/>
    <cellStyle name="Note 5 4 6" xfId="57482"/>
    <cellStyle name="Note 5 4 6 2" xfId="57483"/>
    <cellStyle name="Note 5 4 6 2 2" xfId="57484"/>
    <cellStyle name="Note 5 4 6 2 3" xfId="57485"/>
    <cellStyle name="Note 5 4 6 3" xfId="57486"/>
    <cellStyle name="Note 5 4 6 3 2" xfId="57487"/>
    <cellStyle name="Note 5 4 6 3 3" xfId="57488"/>
    <cellStyle name="Note 5 4 6 4" xfId="57489"/>
    <cellStyle name="Note 5 4 6 4 2" xfId="57490"/>
    <cellStyle name="Note 5 4 6 5" xfId="57491"/>
    <cellStyle name="Note 5 4 6 6" xfId="57492"/>
    <cellStyle name="Note 5 4 7" xfId="57493"/>
    <cellStyle name="Note 5 4 7 2" xfId="57494"/>
    <cellStyle name="Note 5 4 7 2 2" xfId="57495"/>
    <cellStyle name="Note 5 4 7 2 3" xfId="57496"/>
    <cellStyle name="Note 5 4 7 3" xfId="57497"/>
    <cellStyle name="Note 5 4 7 3 2" xfId="57498"/>
    <cellStyle name="Note 5 4 7 4" xfId="57499"/>
    <cellStyle name="Note 5 4 7 5" xfId="57500"/>
    <cellStyle name="Note 5 4 8" xfId="57501"/>
    <cellStyle name="Note 5 4 8 2" xfId="57502"/>
    <cellStyle name="Note 5 4 8 3" xfId="57503"/>
    <cellStyle name="Note 5 4 9" xfId="57504"/>
    <cellStyle name="Note 5 4 9 2" xfId="57505"/>
    <cellStyle name="Note 5 4 9 3" xfId="57506"/>
    <cellStyle name="Note 5 5" xfId="6140"/>
    <cellStyle name="Note 5 5 10" xfId="57507"/>
    <cellStyle name="Note 5 5 2" xfId="57508"/>
    <cellStyle name="Note 5 5 2 2" xfId="57509"/>
    <cellStyle name="Note 5 5 2 2 2" xfId="57510"/>
    <cellStyle name="Note 5 5 2 2 2 2" xfId="57511"/>
    <cellStyle name="Note 5 5 2 2 2 3" xfId="57512"/>
    <cellStyle name="Note 5 5 2 2 3" xfId="57513"/>
    <cellStyle name="Note 5 5 2 2 3 2" xfId="57514"/>
    <cellStyle name="Note 5 5 2 2 3 3" xfId="57515"/>
    <cellStyle name="Note 5 5 2 2 4" xfId="57516"/>
    <cellStyle name="Note 5 5 2 2 4 2" xfId="57517"/>
    <cellStyle name="Note 5 5 2 2 5" xfId="57518"/>
    <cellStyle name="Note 5 5 2 2 6" xfId="57519"/>
    <cellStyle name="Note 5 5 2 3" xfId="57520"/>
    <cellStyle name="Note 5 5 2 3 2" xfId="57521"/>
    <cellStyle name="Note 5 5 2 3 2 2" xfId="57522"/>
    <cellStyle name="Note 5 5 2 3 2 3" xfId="57523"/>
    <cellStyle name="Note 5 5 2 3 3" xfId="57524"/>
    <cellStyle name="Note 5 5 2 3 3 2" xfId="57525"/>
    <cellStyle name="Note 5 5 2 3 3 3" xfId="57526"/>
    <cellStyle name="Note 5 5 2 3 4" xfId="57527"/>
    <cellStyle name="Note 5 5 2 3 4 2" xfId="57528"/>
    <cellStyle name="Note 5 5 2 3 5" xfId="57529"/>
    <cellStyle name="Note 5 5 2 3 6" xfId="57530"/>
    <cellStyle name="Note 5 5 2 4" xfId="57531"/>
    <cellStyle name="Note 5 5 2 4 2" xfId="57532"/>
    <cellStyle name="Note 5 5 2 4 2 2" xfId="57533"/>
    <cellStyle name="Note 5 5 2 4 2 3" xfId="57534"/>
    <cellStyle name="Note 5 5 2 4 3" xfId="57535"/>
    <cellStyle name="Note 5 5 2 4 3 2" xfId="57536"/>
    <cellStyle name="Note 5 5 2 4 4" xfId="57537"/>
    <cellStyle name="Note 5 5 2 4 5" xfId="57538"/>
    <cellStyle name="Note 5 5 2 5" xfId="57539"/>
    <cellStyle name="Note 5 5 2 5 2" xfId="57540"/>
    <cellStyle name="Note 5 5 2 5 3" xfId="57541"/>
    <cellStyle name="Note 5 5 2 6" xfId="57542"/>
    <cellStyle name="Note 5 5 2 6 2" xfId="57543"/>
    <cellStyle name="Note 5 5 2 6 3" xfId="57544"/>
    <cellStyle name="Note 5 5 2 7" xfId="57545"/>
    <cellStyle name="Note 5 5 2 7 2" xfId="57546"/>
    <cellStyle name="Note 5 5 2 8" xfId="57547"/>
    <cellStyle name="Note 5 5 2 9" xfId="57548"/>
    <cellStyle name="Note 5 5 3" xfId="57549"/>
    <cellStyle name="Note 5 5 3 2" xfId="57550"/>
    <cellStyle name="Note 5 5 3 2 2" xfId="57551"/>
    <cellStyle name="Note 5 5 3 2 3" xfId="57552"/>
    <cellStyle name="Note 5 5 3 3" xfId="57553"/>
    <cellStyle name="Note 5 5 3 3 2" xfId="57554"/>
    <cellStyle name="Note 5 5 3 3 3" xfId="57555"/>
    <cellStyle name="Note 5 5 3 4" xfId="57556"/>
    <cellStyle name="Note 5 5 3 4 2" xfId="57557"/>
    <cellStyle name="Note 5 5 3 5" xfId="57558"/>
    <cellStyle name="Note 5 5 3 6" xfId="57559"/>
    <cellStyle name="Note 5 5 4" xfId="57560"/>
    <cellStyle name="Note 5 5 4 2" xfId="57561"/>
    <cellStyle name="Note 5 5 4 2 2" xfId="57562"/>
    <cellStyle name="Note 5 5 4 2 3" xfId="57563"/>
    <cellStyle name="Note 5 5 4 3" xfId="57564"/>
    <cellStyle name="Note 5 5 4 3 2" xfId="57565"/>
    <cellStyle name="Note 5 5 4 3 3" xfId="57566"/>
    <cellStyle name="Note 5 5 4 4" xfId="57567"/>
    <cellStyle name="Note 5 5 4 4 2" xfId="57568"/>
    <cellStyle name="Note 5 5 4 5" xfId="57569"/>
    <cellStyle name="Note 5 5 4 6" xfId="57570"/>
    <cellStyle name="Note 5 5 5" xfId="57571"/>
    <cellStyle name="Note 5 5 5 2" xfId="57572"/>
    <cellStyle name="Note 5 5 5 2 2" xfId="57573"/>
    <cellStyle name="Note 5 5 5 2 3" xfId="57574"/>
    <cellStyle name="Note 5 5 5 3" xfId="57575"/>
    <cellStyle name="Note 5 5 5 3 2" xfId="57576"/>
    <cellStyle name="Note 5 5 5 4" xfId="57577"/>
    <cellStyle name="Note 5 5 5 5" xfId="57578"/>
    <cellStyle name="Note 5 5 6" xfId="57579"/>
    <cellStyle name="Note 5 5 6 2" xfId="57580"/>
    <cellStyle name="Note 5 5 6 3" xfId="57581"/>
    <cellStyle name="Note 5 5 7" xfId="57582"/>
    <cellStyle name="Note 5 5 7 2" xfId="57583"/>
    <cellStyle name="Note 5 5 7 3" xfId="57584"/>
    <cellStyle name="Note 5 5 8" xfId="57585"/>
    <cellStyle name="Note 5 5 8 2" xfId="57586"/>
    <cellStyle name="Note 5 5 9" xfId="57587"/>
    <cellStyle name="Note 5 6" xfId="6141"/>
    <cellStyle name="Note 5 6 2" xfId="57588"/>
    <cellStyle name="Note 5 6 2 2" xfId="57589"/>
    <cellStyle name="Note 5 6 2 2 2" xfId="57590"/>
    <cellStyle name="Note 5 6 2 2 3" xfId="57591"/>
    <cellStyle name="Note 5 6 2 3" xfId="57592"/>
    <cellStyle name="Note 5 6 2 3 2" xfId="57593"/>
    <cellStyle name="Note 5 6 2 3 3" xfId="57594"/>
    <cellStyle name="Note 5 6 2 4" xfId="57595"/>
    <cellStyle name="Note 5 6 2 4 2" xfId="57596"/>
    <cellStyle name="Note 5 6 2 5" xfId="57597"/>
    <cellStyle name="Note 5 6 2 6" xfId="57598"/>
    <cellStyle name="Note 5 6 3" xfId="57599"/>
    <cellStyle name="Note 5 6 3 2" xfId="57600"/>
    <cellStyle name="Note 5 6 3 2 2" xfId="57601"/>
    <cellStyle name="Note 5 6 3 2 3" xfId="57602"/>
    <cellStyle name="Note 5 6 3 3" xfId="57603"/>
    <cellStyle name="Note 5 6 3 3 2" xfId="57604"/>
    <cellStyle name="Note 5 6 3 3 3" xfId="57605"/>
    <cellStyle name="Note 5 6 3 4" xfId="57606"/>
    <cellStyle name="Note 5 6 3 4 2" xfId="57607"/>
    <cellStyle name="Note 5 6 3 5" xfId="57608"/>
    <cellStyle name="Note 5 6 3 6" xfId="57609"/>
    <cellStyle name="Note 5 6 4" xfId="57610"/>
    <cellStyle name="Note 5 6 4 2" xfId="57611"/>
    <cellStyle name="Note 5 6 4 2 2" xfId="57612"/>
    <cellStyle name="Note 5 6 4 2 3" xfId="57613"/>
    <cellStyle name="Note 5 6 4 3" xfId="57614"/>
    <cellStyle name="Note 5 6 4 3 2" xfId="57615"/>
    <cellStyle name="Note 5 6 4 4" xfId="57616"/>
    <cellStyle name="Note 5 6 4 5" xfId="57617"/>
    <cellStyle name="Note 5 6 5" xfId="57618"/>
    <cellStyle name="Note 5 6 5 2" xfId="57619"/>
    <cellStyle name="Note 5 6 5 3" xfId="57620"/>
    <cellStyle name="Note 5 6 6" xfId="57621"/>
    <cellStyle name="Note 5 6 6 2" xfId="57622"/>
    <cellStyle name="Note 5 6 6 3" xfId="57623"/>
    <cellStyle name="Note 5 6 7" xfId="57624"/>
    <cellStyle name="Note 5 6 7 2" xfId="57625"/>
    <cellStyle name="Note 5 6 8" xfId="57626"/>
    <cellStyle name="Note 5 6 9" xfId="57627"/>
    <cellStyle name="Note 5 7" xfId="6142"/>
    <cellStyle name="Note 5 7 2" xfId="57628"/>
    <cellStyle name="Note 5 7 2 2" xfId="57629"/>
    <cellStyle name="Note 5 7 2 2 2" xfId="57630"/>
    <cellStyle name="Note 5 7 2 2 3" xfId="57631"/>
    <cellStyle name="Note 5 7 2 3" xfId="57632"/>
    <cellStyle name="Note 5 7 2 3 2" xfId="57633"/>
    <cellStyle name="Note 5 7 2 3 3" xfId="57634"/>
    <cellStyle name="Note 5 7 2 4" xfId="57635"/>
    <cellStyle name="Note 5 7 2 4 2" xfId="57636"/>
    <cellStyle name="Note 5 7 2 5" xfId="57637"/>
    <cellStyle name="Note 5 7 2 6" xfId="57638"/>
    <cellStyle name="Note 5 7 3" xfId="57639"/>
    <cellStyle name="Note 5 7 3 2" xfId="57640"/>
    <cellStyle name="Note 5 7 3 2 2" xfId="57641"/>
    <cellStyle name="Note 5 7 3 2 3" xfId="57642"/>
    <cellStyle name="Note 5 7 3 3" xfId="57643"/>
    <cellStyle name="Note 5 7 3 3 2" xfId="57644"/>
    <cellStyle name="Note 5 7 3 3 3" xfId="57645"/>
    <cellStyle name="Note 5 7 3 4" xfId="57646"/>
    <cellStyle name="Note 5 7 3 4 2" xfId="57647"/>
    <cellStyle name="Note 5 7 3 5" xfId="57648"/>
    <cellStyle name="Note 5 7 3 6" xfId="57649"/>
    <cellStyle name="Note 5 7 4" xfId="57650"/>
    <cellStyle name="Note 5 7 4 2" xfId="57651"/>
    <cellStyle name="Note 5 7 4 2 2" xfId="57652"/>
    <cellStyle name="Note 5 7 4 2 3" xfId="57653"/>
    <cellStyle name="Note 5 7 4 3" xfId="57654"/>
    <cellStyle name="Note 5 7 4 3 2" xfId="57655"/>
    <cellStyle name="Note 5 7 4 4" xfId="57656"/>
    <cellStyle name="Note 5 7 4 5" xfId="57657"/>
    <cellStyle name="Note 5 7 5" xfId="57658"/>
    <cellStyle name="Note 5 7 5 2" xfId="57659"/>
    <cellStyle name="Note 5 7 5 3" xfId="57660"/>
    <cellStyle name="Note 5 7 6" xfId="57661"/>
    <cellStyle name="Note 5 7 6 2" xfId="57662"/>
    <cellStyle name="Note 5 7 6 3" xfId="57663"/>
    <cellStyle name="Note 5 7 7" xfId="57664"/>
    <cellStyle name="Note 5 7 7 2" xfId="57665"/>
    <cellStyle name="Note 5 7 8" xfId="57666"/>
    <cellStyle name="Note 5 7 9" xfId="57667"/>
    <cellStyle name="Note 5 8" xfId="6143"/>
    <cellStyle name="Note 5 8 2" xfId="57668"/>
    <cellStyle name="Note 5 8 2 2" xfId="57669"/>
    <cellStyle name="Note 5 8 2 3" xfId="57670"/>
    <cellStyle name="Note 5 8 3" xfId="57671"/>
    <cellStyle name="Note 5 8 3 2" xfId="57672"/>
    <cellStyle name="Note 5 8 3 3" xfId="57673"/>
    <cellStyle name="Note 5 8 4" xfId="57674"/>
    <cellStyle name="Note 5 8 4 2" xfId="57675"/>
    <cellStyle name="Note 5 8 5" xfId="57676"/>
    <cellStyle name="Note 5 8 6" xfId="57677"/>
    <cellStyle name="Note 5 9" xfId="6144"/>
    <cellStyle name="Note 5 9 2" xfId="57678"/>
    <cellStyle name="Note 5 9 2 2" xfId="57679"/>
    <cellStyle name="Note 5 9 2 3" xfId="57680"/>
    <cellStyle name="Note 5 9 3" xfId="57681"/>
    <cellStyle name="Note 5 9 3 2" xfId="57682"/>
    <cellStyle name="Note 5 9 3 3" xfId="57683"/>
    <cellStyle name="Note 5 9 4" xfId="57684"/>
    <cellStyle name="Note 5 9 4 2" xfId="57685"/>
    <cellStyle name="Note 5 9 5" xfId="57686"/>
    <cellStyle name="Note 5 9 6" xfId="57687"/>
    <cellStyle name="Note 6" xfId="6145"/>
    <cellStyle name="Note 6 10" xfId="6146"/>
    <cellStyle name="Note 6 10 2" xfId="60543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88"/>
    <cellStyle name="Output 11" xfId="57689"/>
    <cellStyle name="Output 12" xfId="57690"/>
    <cellStyle name="Output 13" xfId="57691"/>
    <cellStyle name="Output 14" xfId="57692"/>
    <cellStyle name="Output 15" xfId="57693"/>
    <cellStyle name="Output 16" xfId="57694"/>
    <cellStyle name="Output 17" xfId="57695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6"/>
    <cellStyle name="Output 4" xfId="8829"/>
    <cellStyle name="Output 4 2" xfId="57696"/>
    <cellStyle name="Output 5" xfId="57697"/>
    <cellStyle name="Output 5 2" xfId="57698"/>
    <cellStyle name="Output 6" xfId="57699"/>
    <cellStyle name="Output 6 2" xfId="57700"/>
    <cellStyle name="Output 7" xfId="57701"/>
    <cellStyle name="Output 7 2" xfId="57702"/>
    <cellStyle name="Output 8" xfId="57703"/>
    <cellStyle name="Output 9" xfId="57704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705"/>
    <cellStyle name="Output Amounts 2 3" xfId="57706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7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6"/>
    <cellStyle name="Output Amounts_d1" xfId="6260"/>
    <cellStyle name="OUTPUT COLUMN HEADINGS" xfId="6261"/>
    <cellStyle name="Output Column Headings 10" xfId="57707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708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9"/>
    <cellStyle name="Output Column Headings 4" xfId="6265"/>
    <cellStyle name="Output Column Headings 4 2" xfId="60639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09"/>
    <cellStyle name="Output Column Headings_d1" xfId="6266"/>
    <cellStyle name="OUTPUT LINE ITEMS" xfId="6267"/>
    <cellStyle name="Output Line Items 10" xfId="57710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9754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711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2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713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3"/>
    <cellStyle name="Output Report Heading 4" xfId="6278"/>
    <cellStyle name="Output Report Heading 4 2" xfId="60666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4"/>
    <cellStyle name="Output Report Heading_d1" xfId="6279"/>
    <cellStyle name="OUTPUT REPORT TITLE" xfId="6280"/>
    <cellStyle name="Output Report Title 10" xfId="5771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71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5"/>
    <cellStyle name="Output Report Title 4" xfId="6284"/>
    <cellStyle name="Output Report Title 4 2" xfId="60681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7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6"/>
    <cellStyle name="Percent 13" xfId="57812"/>
    <cellStyle name="Percent 13 2" xfId="60689"/>
    <cellStyle name="Percent 14" xfId="60690"/>
    <cellStyle name="Percent 15" xfId="9766"/>
    <cellStyle name="Percent 16" xfId="9767"/>
    <cellStyle name="Percent 17" xfId="60691"/>
    <cellStyle name="Percent 19" xfId="62050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8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8"/>
    <cellStyle name="ReportTitlePrompt 2 3" xfId="57719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0"/>
    <cellStyle name="Reset  - Style4" xfId="57989"/>
    <cellStyle name="RowAcctAbovePrompt" xfId="6562"/>
    <cellStyle name="RowAcctAbovePrompt 2" xfId="6563"/>
    <cellStyle name="RowAcctAbovePrompt 2 2" xfId="57721"/>
    <cellStyle name="RowAcctAbovePrompt 2 3" xfId="57722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3"/>
    <cellStyle name="RowAcctSOBAbovePrompt 2 3" xfId="57724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5"/>
    <cellStyle name="RowAcctSOBValue 2 3" xfId="57726"/>
    <cellStyle name="RowAcctSOBValue 3" xfId="6570"/>
    <cellStyle name="RowAcctSOBValue 4" xfId="9370"/>
    <cellStyle name="RowAcctValue" xfId="6571"/>
    <cellStyle name="RowAcctValue 2" xfId="6572"/>
    <cellStyle name="RowAcctValue 2 2" xfId="57727"/>
    <cellStyle name="RowAttrAbovePrompt" xfId="6573"/>
    <cellStyle name="RowAttrAbovePrompt 2" xfId="6574"/>
    <cellStyle name="RowAttrAbovePrompt 2 2" xfId="57728"/>
    <cellStyle name="RowAttrAbovePrompt 2 3" xfId="57729"/>
    <cellStyle name="RowAttrAbovePrompt 3" xfId="6575"/>
    <cellStyle name="RowAttrAbovePrompt 4" xfId="9371"/>
    <cellStyle name="RowAttrValue" xfId="6576"/>
    <cellStyle name="RowAttrValue 2" xfId="6577"/>
    <cellStyle name="RowAttrValue 2 2" xfId="57730"/>
    <cellStyle name="RowColSetAbovePrompt" xfId="6578"/>
    <cellStyle name="RowColSetAbovePrompt 2" xfId="6579"/>
    <cellStyle name="RowColSetAbovePrompt 2 2" xfId="57731"/>
    <cellStyle name="RowColSetAbovePrompt 2 3" xfId="57732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3"/>
    <cellStyle name="RowColSetLeftPrompt 2 3" xfId="57734"/>
    <cellStyle name="RowColSetLeftPrompt 3" xfId="6583"/>
    <cellStyle name="RowColSetLeftPrompt 4" xfId="9373"/>
    <cellStyle name="RowColSetValue" xfId="6584"/>
    <cellStyle name="RowColSetValue 2" xfId="6585"/>
    <cellStyle name="RowColSetValue 2 2" xfId="57735"/>
    <cellStyle name="RowColSetValue 3" xfId="6586"/>
    <cellStyle name="RowLeftPrompt" xfId="6587"/>
    <cellStyle name="RowLeftPrompt 2" xfId="6588"/>
    <cellStyle name="RowLeftPrompt 2 2" xfId="57736"/>
    <cellStyle name="RowLeftPrompt 2 3" xfId="57737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8"/>
    <cellStyle name="SampleUsingFormatMask 2 3" xfId="57739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0"/>
    <cellStyle name="SampleWithNoFormatMask 2 3" xfId="57741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2"/>
    <cellStyle name="STYL5 - Style5 3" xfId="9816"/>
    <cellStyle name="STYL5 - Style5 3 2" xfId="57743"/>
    <cellStyle name="STYL6 - Style6" xfId="8173"/>
    <cellStyle name="STYL6 - Style6 2" xfId="8174"/>
    <cellStyle name="STYL6 - Style6 2 2" xfId="57744"/>
    <cellStyle name="STYL6 - Style6 3" xfId="9817"/>
    <cellStyle name="STYL6 - Style6 3 2" xfId="57745"/>
    <cellStyle name="Style 1" xfId="8763"/>
    <cellStyle name="STYLE1 - Style1" xfId="8175"/>
    <cellStyle name="STYLE1 - Style1 2" xfId="8176"/>
    <cellStyle name="STYLE1 - Style1 2 2" xfId="57746"/>
    <cellStyle name="STYLE1 - Style1 3" xfId="9818"/>
    <cellStyle name="STYLE1 - Style1 3 2" xfId="57747"/>
    <cellStyle name="STYLE2 - Style2" xfId="8177"/>
    <cellStyle name="STYLE2 - Style2 2" xfId="8178"/>
    <cellStyle name="STYLE2 - Style2 2 2" xfId="57748"/>
    <cellStyle name="STYLE2 - Style2 3" xfId="9819"/>
    <cellStyle name="STYLE2 - Style2 3 2" xfId="57749"/>
    <cellStyle name="STYLE3 - Style3" xfId="8179"/>
    <cellStyle name="STYLE3 - Style3 2" xfId="8180"/>
    <cellStyle name="STYLE3 - Style3 2 2" xfId="57750"/>
    <cellStyle name="STYLE3 - Style3 3" xfId="9820"/>
    <cellStyle name="STYLE3 - Style3 3 2" xfId="57751"/>
    <cellStyle name="STYLE4 - Style4" xfId="8181"/>
    <cellStyle name="STYLE4 - Style4 2" xfId="8182"/>
    <cellStyle name="STYLE4 - Style4 2 2" xfId="57752"/>
    <cellStyle name="STYLE4 - Style4 3" xfId="9821"/>
    <cellStyle name="STYLE4 - Style4 3 2" xfId="57753"/>
    <cellStyle name="Table  - Style5" xfId="57990"/>
    <cellStyle name="Text" xfId="9822"/>
    <cellStyle name="Title  - Style6" xfId="57991"/>
    <cellStyle name="Title 10" xfId="57754"/>
    <cellStyle name="Title 11" xfId="57755"/>
    <cellStyle name="Title 12" xfId="57756"/>
    <cellStyle name="Title 13" xfId="57757"/>
    <cellStyle name="Title 14" xfId="57758"/>
    <cellStyle name="Title 15" xfId="57759"/>
    <cellStyle name="Title 16" xfId="57760"/>
    <cellStyle name="Title 17" xfId="57761"/>
    <cellStyle name="Title 17 2" xfId="62025"/>
    <cellStyle name="Title 18" xfId="62026"/>
    <cellStyle name="Title 19" xfId="62027"/>
    <cellStyle name="Title 2" xfId="8183"/>
    <cellStyle name="Title 2 2" xfId="8184"/>
    <cellStyle name="Title 2 2 2" xfId="9823"/>
    <cellStyle name="Title 2 3" xfId="57762"/>
    <cellStyle name="Title 20" xfId="62028"/>
    <cellStyle name="Title 3" xfId="8185"/>
    <cellStyle name="Title 3 2" xfId="9377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8830"/>
    <cellStyle name="Total 4 2" xfId="57777"/>
    <cellStyle name="Total 5" xfId="9378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9"/>
    <cellStyle name="Währung_KURSE3Q" xfId="8805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80"/>
    <cellStyle name="Warning Text 3 3" xfId="57799"/>
    <cellStyle name="Warning Text 4" xfId="8206"/>
    <cellStyle name="Warning Text 4 2" xfId="57800"/>
    <cellStyle name="Warning Text 5" xfId="9381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topLeftCell="A217" zoomScaleNormal="100" workbookViewId="0">
      <selection activeCell="D239" sqref="D239"/>
    </sheetView>
  </sheetViews>
  <sheetFormatPr defaultColWidth="7.109375" defaultRowHeight="12.75"/>
  <cols>
    <col min="1" max="1" width="5.33203125" style="17" customWidth="1"/>
    <col min="2" max="2" width="10.44140625" style="17" customWidth="1"/>
    <col min="3" max="3" width="45.21875" style="17" customWidth="1"/>
    <col min="4" max="4" width="11.88671875" style="17" customWidth="1"/>
    <col min="5" max="5" width="12.109375" style="17" customWidth="1"/>
    <col min="6" max="6" width="11.88671875" style="17" customWidth="1"/>
    <col min="7" max="7" width="12.77734375" style="17" customWidth="1"/>
    <col min="8" max="8" width="15.6640625" style="17" customWidth="1"/>
    <col min="9" max="9" width="22.109375" style="17" customWidth="1"/>
    <col min="10" max="10" width="1.44140625" style="17" customWidth="1"/>
    <col min="11" max="16384" width="7.109375" style="17"/>
  </cols>
  <sheetData>
    <row r="1" spans="1:9" s="16" customFormat="1" ht="20.100000000000001" customHeight="1">
      <c r="A1" s="832" t="s">
        <v>784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2" t="s">
        <v>2533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1927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2" t="s">
        <v>1807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775"/>
      <c r="B5" s="775"/>
      <c r="C5" s="775"/>
      <c r="D5" s="775"/>
      <c r="E5" s="775"/>
      <c r="F5" s="775"/>
      <c r="G5" s="775"/>
      <c r="H5" s="775"/>
      <c r="I5" s="775"/>
    </row>
    <row r="6" spans="1:9" s="16" customFormat="1" ht="20.100000000000001" customHeight="1">
      <c r="A6" s="15" t="s">
        <v>94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1929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8.5" customHeight="1">
      <c r="A10" s="80" t="s">
        <v>92</v>
      </c>
      <c r="B10" s="80" t="s">
        <v>95</v>
      </c>
      <c r="C10" s="81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1933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444036847.01390421</v>
      </c>
      <c r="E15" s="621">
        <f>IF(D15=0,0,F15/D15)</f>
        <v>1</v>
      </c>
      <c r="F15" s="34">
        <v>444036847.01390421</v>
      </c>
      <c r="G15" s="34">
        <v>-58299420.849580467</v>
      </c>
      <c r="H15" s="34">
        <f>SUM(F15:G15)</f>
        <v>385737426.16432375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363288460.9282074</v>
      </c>
      <c r="E16" s="621">
        <f t="shared" ref="E16:E19" si="1">IF(D16=0,0,F16/D16)</f>
        <v>1</v>
      </c>
      <c r="F16" s="34">
        <v>363288460.9282074</v>
      </c>
      <c r="G16" s="34">
        <v>-41964668.625713684</v>
      </c>
      <c r="H16" s="34">
        <f t="shared" ref="H16:H19" si="2">SUM(F16:G16)</f>
        <v>321323792.30249369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165550251.13539627</v>
      </c>
      <c r="E17" s="621">
        <f t="shared" si="1"/>
        <v>1</v>
      </c>
      <c r="F17" s="34">
        <v>165550251.13539627</v>
      </c>
      <c r="G17" s="34">
        <v>-16291133.331134055</v>
      </c>
      <c r="H17" s="34">
        <f t="shared" si="2"/>
        <v>149259117.80426222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3133273.5665531154</v>
      </c>
      <c r="E18" s="621">
        <f t="shared" si="1"/>
        <v>1</v>
      </c>
      <c r="F18" s="34">
        <v>3133273.5665531154</v>
      </c>
      <c r="G18" s="34">
        <v>-336485.05760549213</v>
      </c>
      <c r="H18" s="34">
        <f t="shared" si="2"/>
        <v>2796788.5089476234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91696049.573426038</v>
      </c>
      <c r="E19" s="621">
        <f t="shared" si="1"/>
        <v>1</v>
      </c>
      <c r="F19" s="52">
        <v>91696049.573426038</v>
      </c>
      <c r="G19" s="52">
        <v>-10323161.242495028</v>
      </c>
      <c r="H19" s="52">
        <f t="shared" si="2"/>
        <v>81372888.330931008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1067704882.217487</v>
      </c>
      <c r="F20" s="34">
        <f>SUM(F15:F19)</f>
        <v>1067704882.217487</v>
      </c>
      <c r="G20" s="34">
        <f>SUM(G15:G19)</f>
        <v>-127214869.10652871</v>
      </c>
      <c r="H20" s="34">
        <f>SUM(H15:H19)</f>
        <v>940490013.1109581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61686953.075656042</v>
      </c>
      <c r="E21" s="621">
        <f>IF(D21=0,1,F21/D21)</f>
        <v>1</v>
      </c>
      <c r="F21" s="34">
        <v>61686953.075656042</v>
      </c>
      <c r="G21" s="34">
        <v>-29032692.495656047</v>
      </c>
      <c r="H21" s="34">
        <f t="shared" ref="H21:H22" si="3">SUM(F21:G21)</f>
        <v>32654260.579999994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3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1129391835.293143</v>
      </c>
      <c r="F23" s="623">
        <f>SUM(F20:F22)</f>
        <v>1129391835.293143</v>
      </c>
      <c r="G23" s="623">
        <f>SUM(G20:G22)</f>
        <v>-156247561.60218477</v>
      </c>
      <c r="H23" s="623">
        <f>SUM(H20:H22)</f>
        <v>973144273.69095814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2827112.2566666673</v>
      </c>
      <c r="E26" s="621">
        <f t="shared" ref="E26:E29" si="4">IF(D26=0,0,F26/D26)</f>
        <v>1</v>
      </c>
      <c r="F26" s="34">
        <v>2827112.2566666673</v>
      </c>
      <c r="G26" s="34">
        <v>0</v>
      </c>
      <c r="H26" s="34">
        <f t="shared" ref="H26:H29" si="5">SUM(F26:G26)</f>
        <v>2827112.2566666673</v>
      </c>
      <c r="I26" s="309"/>
    </row>
    <row r="27" spans="1:9" ht="18.95" customHeight="1">
      <c r="A27" s="18">
        <f t="shared" ref="A27:A30" si="6">A26+1</f>
        <v>14</v>
      </c>
      <c r="B27" s="18">
        <v>451</v>
      </c>
      <c r="C27" s="125" t="s">
        <v>1951</v>
      </c>
      <c r="D27" s="34">
        <v>1655459.103333333</v>
      </c>
      <c r="E27" s="621">
        <f t="shared" si="4"/>
        <v>1</v>
      </c>
      <c r="F27" s="34">
        <v>1655459.103333333</v>
      </c>
      <c r="G27" s="34">
        <v>0</v>
      </c>
      <c r="H27" s="34">
        <f t="shared" si="5"/>
        <v>1655459.103333333</v>
      </c>
      <c r="I27" s="309"/>
    </row>
    <row r="28" spans="1:9" ht="18.95" customHeight="1">
      <c r="A28" s="18">
        <f t="shared" si="6"/>
        <v>15</v>
      </c>
      <c r="B28" s="18">
        <v>454</v>
      </c>
      <c r="C28" t="s">
        <v>1952</v>
      </c>
      <c r="D28" s="34">
        <v>4252215.835</v>
      </c>
      <c r="E28" s="621">
        <f t="shared" si="4"/>
        <v>1</v>
      </c>
      <c r="F28" s="34">
        <v>4252215.835</v>
      </c>
      <c r="G28" s="34">
        <v>0</v>
      </c>
      <c r="H28" s="34">
        <f t="shared" si="5"/>
        <v>4252215.835</v>
      </c>
      <c r="I28" s="309"/>
    </row>
    <row r="29" spans="1:9" ht="18.95" customHeight="1">
      <c r="A29" s="18">
        <f t="shared" si="6"/>
        <v>16</v>
      </c>
      <c r="B29" s="18">
        <v>456</v>
      </c>
      <c r="C29" t="s">
        <v>1953</v>
      </c>
      <c r="D29" s="52">
        <v>13525443.958488369</v>
      </c>
      <c r="E29" s="621">
        <f t="shared" si="4"/>
        <v>1</v>
      </c>
      <c r="F29" s="52">
        <v>13525443.958488369</v>
      </c>
      <c r="G29" s="52">
        <v>0</v>
      </c>
      <c r="H29" s="52">
        <f t="shared" si="5"/>
        <v>13525443.958488369</v>
      </c>
      <c r="I29" s="309"/>
    </row>
    <row r="30" spans="1:9" ht="18.95" customHeight="1">
      <c r="A30" s="18">
        <f t="shared" si="6"/>
        <v>17</v>
      </c>
      <c r="B30" s="18"/>
      <c r="C30" s="26" t="s">
        <v>1954</v>
      </c>
      <c r="D30" s="623">
        <f>SUM(D26:D29)</f>
        <v>22260231.153488368</v>
      </c>
      <c r="F30" s="623">
        <f>SUM(F26:F29)</f>
        <v>22260231.153488368</v>
      </c>
      <c r="G30" s="623">
        <f>SUM(G26:G29)</f>
        <v>0</v>
      </c>
      <c r="H30" s="623">
        <f>SUM(H26:H29)</f>
        <v>22260231.153488368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1151652066.4466314</v>
      </c>
      <c r="F32" s="52">
        <f>F23+F30</f>
        <v>1151652066.4466314</v>
      </c>
      <c r="G32" s="52">
        <f>G23+G30</f>
        <v>-156247561.60218477</v>
      </c>
      <c r="H32" s="52">
        <f>H23+H30</f>
        <v>995404504.84444654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7">A35+1</f>
        <v>21</v>
      </c>
      <c r="B36" s="18"/>
      <c r="C36" s="622" t="s">
        <v>1957</v>
      </c>
    </row>
    <row r="37" spans="1:9" ht="18.95" customHeight="1">
      <c r="A37" s="18">
        <f t="shared" si="7"/>
        <v>22</v>
      </c>
      <c r="B37" s="859">
        <v>500</v>
      </c>
      <c r="C37" t="s">
        <v>1958</v>
      </c>
      <c r="D37" s="34">
        <v>5077718.2899999991</v>
      </c>
      <c r="E37" s="621">
        <f t="shared" ref="E37:E39" si="8">IF(D37=0,0,F37/D37)</f>
        <v>1</v>
      </c>
      <c r="F37" s="34">
        <v>5077718.2899999991</v>
      </c>
      <c r="G37" s="34">
        <v>0</v>
      </c>
      <c r="H37" s="34">
        <f t="shared" ref="H37:H61" si="9">SUM(F37:G37)</f>
        <v>5077718.2899999991</v>
      </c>
      <c r="I37" s="309"/>
    </row>
    <row r="38" spans="1:9" ht="18.95" customHeight="1">
      <c r="A38" s="18">
        <f t="shared" si="7"/>
        <v>23</v>
      </c>
      <c r="B38" s="859">
        <v>501</v>
      </c>
      <c r="C38" t="s">
        <v>1959</v>
      </c>
      <c r="D38" s="34">
        <v>247545382.89294562</v>
      </c>
      <c r="E38" s="621">
        <f t="shared" si="8"/>
        <v>1</v>
      </c>
      <c r="F38" s="34">
        <v>247545382.89294562</v>
      </c>
      <c r="G38" s="34">
        <v>5103585.0637894478</v>
      </c>
      <c r="H38" s="34">
        <f t="shared" si="9"/>
        <v>252648967.95673507</v>
      </c>
      <c r="I38" s="309"/>
    </row>
    <row r="39" spans="1:9" ht="18.95" customHeight="1">
      <c r="A39" s="18">
        <f t="shared" si="7"/>
        <v>24</v>
      </c>
      <c r="B39" s="859">
        <v>502</v>
      </c>
      <c r="C39" t="s">
        <v>1960</v>
      </c>
      <c r="D39" s="34">
        <v>17558807.43999996</v>
      </c>
      <c r="E39" s="621">
        <f t="shared" si="8"/>
        <v>1</v>
      </c>
      <c r="F39" s="34">
        <v>17558807.43999996</v>
      </c>
      <c r="G39" s="34">
        <v>-660723.64913023566</v>
      </c>
      <c r="H39" s="34">
        <f t="shared" si="9"/>
        <v>16898083.790869724</v>
      </c>
      <c r="I39" s="309"/>
    </row>
    <row r="40" spans="1:9" ht="18.95" customHeight="1">
      <c r="A40" s="18">
        <f t="shared" si="7"/>
        <v>25</v>
      </c>
      <c r="B40" s="859">
        <v>504</v>
      </c>
      <c r="C40" t="s">
        <v>1961</v>
      </c>
      <c r="D40" s="34">
        <v>0</v>
      </c>
      <c r="E40" s="621">
        <v>1</v>
      </c>
      <c r="F40" s="34">
        <v>0</v>
      </c>
      <c r="G40" s="34">
        <v>0</v>
      </c>
      <c r="H40" s="34">
        <f t="shared" si="9"/>
        <v>0</v>
      </c>
      <c r="I40" s="309"/>
    </row>
    <row r="41" spans="1:9" s="16" customFormat="1" ht="20.100000000000001" customHeight="1">
      <c r="A41" s="831" t="str">
        <f>$A$1</f>
        <v>LOUISVILLE GAS AND ELECTRIC COMPANY</v>
      </c>
      <c r="B41" s="831"/>
      <c r="C41" s="831"/>
      <c r="D41" s="831"/>
      <c r="E41" s="831"/>
      <c r="F41" s="831"/>
      <c r="G41" s="831"/>
      <c r="H41" s="831"/>
      <c r="I41" s="831"/>
    </row>
    <row r="42" spans="1:9" s="16" customFormat="1" ht="20.100000000000001" customHeight="1">
      <c r="A42" s="831" t="str">
        <f>$A$2</f>
        <v>CASE NO. 2018-00295 - ELECTRIC OPERATIONS</v>
      </c>
      <c r="B42" s="831"/>
      <c r="C42" s="831"/>
      <c r="D42" s="831"/>
      <c r="E42" s="831"/>
      <c r="F42" s="831"/>
      <c r="G42" s="831"/>
      <c r="H42" s="831"/>
      <c r="I42" s="831"/>
    </row>
    <row r="43" spans="1:9" s="16" customFormat="1" ht="20.100000000000001" customHeight="1">
      <c r="A43" s="831" t="s">
        <v>1927</v>
      </c>
      <c r="B43" s="831"/>
      <c r="C43" s="831"/>
      <c r="D43" s="831"/>
      <c r="E43" s="831"/>
      <c r="F43" s="831"/>
      <c r="G43" s="831"/>
      <c r="H43" s="831"/>
      <c r="I43" s="831"/>
    </row>
    <row r="44" spans="1:9" s="16" customFormat="1" ht="20.100000000000001" customHeight="1">
      <c r="A44" s="831" t="str">
        <f>$A$4</f>
        <v>FOR THE 12 MONTHS ENDED DECEMBER 31, 2018</v>
      </c>
      <c r="B44" s="831"/>
      <c r="C44" s="831"/>
      <c r="D44" s="831"/>
      <c r="E44" s="831"/>
      <c r="F44" s="831"/>
      <c r="G44" s="831"/>
      <c r="H44" s="831"/>
      <c r="I44" s="831"/>
    </row>
    <row r="45" spans="1:9" s="16" customFormat="1" ht="20.100000000000001" customHeight="1">
      <c r="A45" s="775"/>
      <c r="B45" s="775"/>
      <c r="C45" s="775"/>
      <c r="D45" s="775"/>
      <c r="E45" s="775"/>
      <c r="F45" s="775"/>
      <c r="G45" s="775"/>
      <c r="H45" s="775"/>
      <c r="I45" s="775"/>
    </row>
    <row r="46" spans="1:9" s="16" customFormat="1" ht="20.100000000000001" customHeight="1">
      <c r="A46" s="15" t="s">
        <v>94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1962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1933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59">
        <v>505</v>
      </c>
      <c r="C53" t="s">
        <v>1963</v>
      </c>
      <c r="D53" s="34">
        <v>2545928.2299999967</v>
      </c>
      <c r="E53" s="621">
        <f t="shared" ref="E53:E61" si="10">IF(D53=0,0,F53/D53)</f>
        <v>1</v>
      </c>
      <c r="F53" s="34">
        <v>2545928.2299999967</v>
      </c>
      <c r="G53" s="34">
        <v>0</v>
      </c>
      <c r="H53" s="34">
        <f t="shared" si="9"/>
        <v>2545928.2299999967</v>
      </c>
      <c r="I53" s="309"/>
    </row>
    <row r="54" spans="1:9" ht="18.95" customHeight="1">
      <c r="A54" s="18">
        <f t="shared" si="7"/>
        <v>27</v>
      </c>
      <c r="B54" s="859">
        <v>506</v>
      </c>
      <c r="C54" t="s">
        <v>1964</v>
      </c>
      <c r="D54" s="34">
        <v>15027557.489999952</v>
      </c>
      <c r="E54" s="621">
        <f t="shared" si="10"/>
        <v>1</v>
      </c>
      <c r="F54" s="34">
        <v>15027557.489999952</v>
      </c>
      <c r="G54" s="34">
        <v>-5166829.9599999972</v>
      </c>
      <c r="H54" s="34">
        <f t="shared" si="9"/>
        <v>9860727.5299999546</v>
      </c>
      <c r="I54" s="309"/>
    </row>
    <row r="55" spans="1:9" ht="18.95" customHeight="1">
      <c r="A55" s="18">
        <f t="shared" si="7"/>
        <v>28</v>
      </c>
      <c r="B55" s="859">
        <v>507</v>
      </c>
      <c r="C55" t="s">
        <v>1965</v>
      </c>
      <c r="D55" s="34">
        <v>18000</v>
      </c>
      <c r="E55" s="621">
        <f t="shared" si="10"/>
        <v>1</v>
      </c>
      <c r="F55" s="34">
        <v>18000</v>
      </c>
      <c r="G55" s="34">
        <v>0</v>
      </c>
      <c r="H55" s="34">
        <f t="shared" si="9"/>
        <v>18000</v>
      </c>
      <c r="I55" s="309"/>
    </row>
    <row r="56" spans="1:9" ht="18.95" customHeight="1">
      <c r="A56" s="18">
        <f t="shared" si="7"/>
        <v>29</v>
      </c>
      <c r="B56" s="859">
        <v>509</v>
      </c>
      <c r="C56" t="s">
        <v>1966</v>
      </c>
      <c r="D56" s="34">
        <v>2001.6100000000001</v>
      </c>
      <c r="E56" s="621">
        <f t="shared" si="10"/>
        <v>1</v>
      </c>
      <c r="F56" s="34">
        <v>2001.6100000000001</v>
      </c>
      <c r="G56" s="34">
        <v>-2000</v>
      </c>
      <c r="H56" s="34">
        <f t="shared" si="9"/>
        <v>1.6100000000001273</v>
      </c>
      <c r="I56" s="309"/>
    </row>
    <row r="57" spans="1:9" ht="18.95" customHeight="1">
      <c r="A57" s="18">
        <f t="shared" si="7"/>
        <v>30</v>
      </c>
      <c r="B57" s="859">
        <v>510</v>
      </c>
      <c r="C57" t="s">
        <v>1967</v>
      </c>
      <c r="D57" s="34">
        <v>5321803.1799999988</v>
      </c>
      <c r="E57" s="621">
        <f t="shared" si="10"/>
        <v>1</v>
      </c>
      <c r="F57" s="34">
        <v>5321803.1799999988</v>
      </c>
      <c r="G57" s="34">
        <v>0</v>
      </c>
      <c r="H57" s="34">
        <f t="shared" si="9"/>
        <v>5321803.1799999988</v>
      </c>
      <c r="I57" s="309"/>
    </row>
    <row r="58" spans="1:9" ht="18.95" customHeight="1">
      <c r="A58" s="18">
        <f t="shared" si="7"/>
        <v>31</v>
      </c>
      <c r="B58" s="859">
        <v>511</v>
      </c>
      <c r="C58" t="s">
        <v>1968</v>
      </c>
      <c r="D58" s="34">
        <v>2861539.79</v>
      </c>
      <c r="E58" s="621">
        <f t="shared" si="10"/>
        <v>1</v>
      </c>
      <c r="F58" s="34">
        <v>2861539.79</v>
      </c>
      <c r="G58" s="34">
        <v>0</v>
      </c>
      <c r="H58" s="34">
        <f t="shared" si="9"/>
        <v>2861539.79</v>
      </c>
      <c r="I58" s="309"/>
    </row>
    <row r="59" spans="1:9" ht="18.95" customHeight="1">
      <c r="A59" s="18">
        <f t="shared" si="7"/>
        <v>32</v>
      </c>
      <c r="B59" s="859">
        <v>512</v>
      </c>
      <c r="C59" t="s">
        <v>1969</v>
      </c>
      <c r="D59" s="34">
        <v>32341361.899999987</v>
      </c>
      <c r="E59" s="621">
        <f t="shared" si="10"/>
        <v>1</v>
      </c>
      <c r="F59" s="34">
        <v>32341361.899999987</v>
      </c>
      <c r="G59" s="34">
        <v>-3390973.09</v>
      </c>
      <c r="H59" s="34">
        <f t="shared" si="9"/>
        <v>28950388.809999987</v>
      </c>
      <c r="I59" s="309"/>
    </row>
    <row r="60" spans="1:9" ht="18.95" customHeight="1">
      <c r="A60" s="18">
        <f t="shared" si="7"/>
        <v>33</v>
      </c>
      <c r="B60" s="859">
        <v>513</v>
      </c>
      <c r="C60" t="s">
        <v>1970</v>
      </c>
      <c r="D60" s="34">
        <v>10054476.52</v>
      </c>
      <c r="E60" s="621">
        <f t="shared" si="10"/>
        <v>1</v>
      </c>
      <c r="F60" s="34">
        <v>10054476.52</v>
      </c>
      <c r="G60" s="34">
        <v>0</v>
      </c>
      <c r="H60" s="34">
        <f t="shared" si="9"/>
        <v>10054476.52</v>
      </c>
      <c r="I60" s="309"/>
    </row>
    <row r="61" spans="1:9" ht="18.95" customHeight="1">
      <c r="A61" s="18">
        <f t="shared" si="7"/>
        <v>34</v>
      </c>
      <c r="B61" s="859">
        <v>514</v>
      </c>
      <c r="C61" t="s">
        <v>1971</v>
      </c>
      <c r="D61" s="34">
        <v>2141358.3099999987</v>
      </c>
      <c r="E61" s="621">
        <f t="shared" si="10"/>
        <v>1</v>
      </c>
      <c r="F61" s="34">
        <v>2141358.3099999987</v>
      </c>
      <c r="G61" s="34">
        <v>0</v>
      </c>
      <c r="H61" s="34">
        <f t="shared" si="9"/>
        <v>2141358.3099999987</v>
      </c>
      <c r="I61" s="309"/>
    </row>
    <row r="62" spans="1:9" ht="18.95" customHeight="1">
      <c r="A62" s="18">
        <f t="shared" si="7"/>
        <v>35</v>
      </c>
      <c r="B62" s="859"/>
      <c r="C62" s="860" t="s">
        <v>1078</v>
      </c>
      <c r="D62" s="623">
        <f>SUM(D37:D61)</f>
        <v>340495935.65294552</v>
      </c>
      <c r="F62" s="623">
        <f>SUM(F37:F61)</f>
        <v>340495935.65294552</v>
      </c>
      <c r="G62" s="623">
        <f>SUM(G37:G61)</f>
        <v>-4116941.6353407847</v>
      </c>
      <c r="H62" s="623">
        <f>SUM(H37:H61)</f>
        <v>336378994.01760483</v>
      </c>
      <c r="I62" s="309"/>
    </row>
    <row r="63" spans="1:9" ht="18.95" customHeight="1">
      <c r="B63" s="859"/>
      <c r="C63" s="860"/>
      <c r="I63" s="309"/>
    </row>
    <row r="64" spans="1:9" ht="18.95" customHeight="1">
      <c r="A64" s="18">
        <f>A62+1</f>
        <v>36</v>
      </c>
      <c r="B64" s="859"/>
      <c r="C64" s="767" t="s">
        <v>1972</v>
      </c>
    </row>
    <row r="65" spans="1:9" ht="18.95" customHeight="1">
      <c r="A65" s="18">
        <f>A64+1</f>
        <v>37</v>
      </c>
      <c r="B65" s="859">
        <v>535</v>
      </c>
      <c r="C65" t="s">
        <v>1973</v>
      </c>
      <c r="D65" s="34">
        <v>121490.93</v>
      </c>
      <c r="E65" s="621">
        <f t="shared" ref="E65:E74" si="11">IF(D65=0,0,F65/D65)</f>
        <v>1</v>
      </c>
      <c r="F65" s="34">
        <v>121490.93</v>
      </c>
      <c r="G65" s="34">
        <v>0</v>
      </c>
      <c r="H65" s="34">
        <f t="shared" ref="H65:H75" si="12">SUM(F65:G65)</f>
        <v>121490.93</v>
      </c>
      <c r="I65" s="309"/>
    </row>
    <row r="66" spans="1:9" ht="18.95" customHeight="1">
      <c r="A66" s="18">
        <f t="shared" ref="A66:A107" si="13">A65+1</f>
        <v>38</v>
      </c>
      <c r="B66" s="859">
        <v>536</v>
      </c>
      <c r="C66" t="s">
        <v>1974</v>
      </c>
      <c r="D66" s="34">
        <v>40410.92</v>
      </c>
      <c r="E66" s="621">
        <f t="shared" si="11"/>
        <v>1</v>
      </c>
      <c r="F66" s="34">
        <v>40410.92</v>
      </c>
      <c r="G66" s="34">
        <v>0</v>
      </c>
      <c r="H66" s="34">
        <f t="shared" si="12"/>
        <v>40410.92</v>
      </c>
      <c r="I66" s="309"/>
    </row>
    <row r="67" spans="1:9" ht="18.95" customHeight="1">
      <c r="A67" s="18">
        <f t="shared" si="13"/>
        <v>39</v>
      </c>
      <c r="B67" s="859">
        <v>537</v>
      </c>
      <c r="C67" t="s">
        <v>1975</v>
      </c>
      <c r="D67" s="34">
        <v>0</v>
      </c>
      <c r="E67" s="621">
        <v>1</v>
      </c>
      <c r="F67" s="34">
        <v>0</v>
      </c>
      <c r="G67" s="34">
        <v>0</v>
      </c>
      <c r="H67" s="34">
        <f t="shared" si="12"/>
        <v>0</v>
      </c>
      <c r="I67" s="309"/>
    </row>
    <row r="68" spans="1:9" ht="18.95" customHeight="1">
      <c r="A68" s="18">
        <f t="shared" si="13"/>
        <v>40</v>
      </c>
      <c r="B68" s="859">
        <v>538</v>
      </c>
      <c r="C68" t="s">
        <v>1963</v>
      </c>
      <c r="D68" s="34">
        <v>401675.56000000006</v>
      </c>
      <c r="E68" s="621">
        <f t="shared" si="11"/>
        <v>1</v>
      </c>
      <c r="F68" s="34">
        <v>401675.56000000006</v>
      </c>
      <c r="G68" s="34">
        <v>0</v>
      </c>
      <c r="H68" s="34">
        <f t="shared" si="12"/>
        <v>401675.56000000006</v>
      </c>
      <c r="I68" s="309"/>
    </row>
    <row r="69" spans="1:9" ht="18.95" customHeight="1">
      <c r="A69" s="18">
        <f t="shared" si="13"/>
        <v>41</v>
      </c>
      <c r="B69" s="859">
        <v>539</v>
      </c>
      <c r="C69" t="s">
        <v>1976</v>
      </c>
      <c r="D69" s="34">
        <v>251491.49</v>
      </c>
      <c r="E69" s="621">
        <f t="shared" si="11"/>
        <v>1</v>
      </c>
      <c r="F69" s="34">
        <v>251491.49</v>
      </c>
      <c r="G69" s="34">
        <v>0</v>
      </c>
      <c r="H69" s="34">
        <f t="shared" si="12"/>
        <v>251491.49</v>
      </c>
      <c r="I69" s="309"/>
    </row>
    <row r="70" spans="1:9" ht="18.95" customHeight="1">
      <c r="A70" s="18">
        <f t="shared" si="13"/>
        <v>42</v>
      </c>
      <c r="B70" s="859">
        <v>540</v>
      </c>
      <c r="C70" t="s">
        <v>1965</v>
      </c>
      <c r="D70" s="34">
        <v>475122.25</v>
      </c>
      <c r="E70" s="621">
        <f t="shared" si="11"/>
        <v>1</v>
      </c>
      <c r="F70" s="34">
        <v>475122.25</v>
      </c>
      <c r="G70" s="34">
        <v>0</v>
      </c>
      <c r="H70" s="34">
        <f t="shared" si="12"/>
        <v>475122.25</v>
      </c>
      <c r="I70" s="309"/>
    </row>
    <row r="71" spans="1:9" ht="18.95" customHeight="1">
      <c r="A71" s="18">
        <f t="shared" si="13"/>
        <v>43</v>
      </c>
      <c r="B71" s="859">
        <v>541</v>
      </c>
      <c r="C71" t="s">
        <v>1977</v>
      </c>
      <c r="D71" s="34">
        <v>0</v>
      </c>
      <c r="E71" s="621">
        <v>1</v>
      </c>
      <c r="F71" s="34">
        <v>0</v>
      </c>
      <c r="G71" s="34">
        <v>0</v>
      </c>
      <c r="H71" s="34">
        <f t="shared" si="12"/>
        <v>0</v>
      </c>
      <c r="I71" s="309"/>
    </row>
    <row r="72" spans="1:9" ht="18.95" customHeight="1">
      <c r="A72" s="18">
        <f t="shared" si="13"/>
        <v>44</v>
      </c>
      <c r="B72" s="859">
        <v>542</v>
      </c>
      <c r="C72" t="s">
        <v>1968</v>
      </c>
      <c r="D72" s="34">
        <v>369748.17999999993</v>
      </c>
      <c r="E72" s="621">
        <f t="shared" si="11"/>
        <v>1</v>
      </c>
      <c r="F72" s="34">
        <v>369748.17999999993</v>
      </c>
      <c r="G72" s="34">
        <v>0</v>
      </c>
      <c r="H72" s="34">
        <f t="shared" si="12"/>
        <v>369748.17999999993</v>
      </c>
      <c r="I72" s="309"/>
    </row>
    <row r="73" spans="1:9" ht="18.95" customHeight="1">
      <c r="A73" s="18">
        <f t="shared" si="13"/>
        <v>45</v>
      </c>
      <c r="B73" s="859">
        <v>543</v>
      </c>
      <c r="C73" t="s">
        <v>1978</v>
      </c>
      <c r="D73" s="34">
        <v>120788.58</v>
      </c>
      <c r="E73" s="621">
        <f t="shared" si="11"/>
        <v>1</v>
      </c>
      <c r="F73" s="34">
        <v>120788.58</v>
      </c>
      <c r="G73" s="34">
        <v>0</v>
      </c>
      <c r="H73" s="34">
        <f t="shared" si="12"/>
        <v>120788.58</v>
      </c>
      <c r="I73" s="309"/>
    </row>
    <row r="74" spans="1:9" ht="18.95" customHeight="1">
      <c r="A74" s="18">
        <f t="shared" si="13"/>
        <v>46</v>
      </c>
      <c r="B74" s="859">
        <v>544</v>
      </c>
      <c r="C74" t="s">
        <v>1970</v>
      </c>
      <c r="D74" s="34">
        <v>428855.6</v>
      </c>
      <c r="E74" s="621">
        <f t="shared" si="11"/>
        <v>1</v>
      </c>
      <c r="F74" s="34">
        <v>428855.6</v>
      </c>
      <c r="G74" s="34">
        <v>0</v>
      </c>
      <c r="H74" s="34">
        <f t="shared" si="12"/>
        <v>428855.6</v>
      </c>
      <c r="I74" s="309"/>
    </row>
    <row r="75" spans="1:9" ht="18.95" customHeight="1">
      <c r="A75" s="18">
        <f t="shared" si="13"/>
        <v>47</v>
      </c>
      <c r="B75" s="859">
        <v>545</v>
      </c>
      <c r="C75" t="s">
        <v>1979</v>
      </c>
      <c r="D75" s="34">
        <v>71738.76999999999</v>
      </c>
      <c r="E75" s="621">
        <v>1</v>
      </c>
      <c r="F75" s="34">
        <v>71738.76999999999</v>
      </c>
      <c r="G75" s="34">
        <v>0</v>
      </c>
      <c r="H75" s="34">
        <f t="shared" si="12"/>
        <v>71738.76999999999</v>
      </c>
      <c r="I75" s="309"/>
    </row>
    <row r="76" spans="1:9" ht="18.95" customHeight="1">
      <c r="A76" s="18">
        <f t="shared" si="13"/>
        <v>48</v>
      </c>
      <c r="B76" s="859"/>
      <c r="C76" s="125" t="s">
        <v>1980</v>
      </c>
      <c r="D76" s="623">
        <f>SUM(D65:D75)</f>
        <v>2281322.2799999998</v>
      </c>
      <c r="F76" s="623">
        <f>SUM(F65:F75)</f>
        <v>2281322.2799999998</v>
      </c>
      <c r="G76" s="623">
        <f>SUM(G65:G75)</f>
        <v>0</v>
      </c>
      <c r="H76" s="623">
        <f>SUM(H65:H75)</f>
        <v>2281322.2799999998</v>
      </c>
    </row>
    <row r="77" spans="1:9" ht="18.95" customHeight="1">
      <c r="A77" s="18"/>
      <c r="B77" s="859"/>
      <c r="C77" s="860"/>
    </row>
    <row r="78" spans="1:9" ht="18.95" customHeight="1">
      <c r="A78" s="18">
        <f>A76+1</f>
        <v>49</v>
      </c>
      <c r="B78" s="859"/>
      <c r="C78" s="767" t="s">
        <v>1981</v>
      </c>
    </row>
    <row r="79" spans="1:9" ht="18.95" customHeight="1">
      <c r="A79" s="18">
        <f>A78+1</f>
        <v>50</v>
      </c>
      <c r="B79" s="859">
        <v>546</v>
      </c>
      <c r="C79" t="s">
        <v>1982</v>
      </c>
      <c r="D79" s="34">
        <v>404362.48</v>
      </c>
      <c r="E79" s="621">
        <f t="shared" ref="E79:E81" si="14">IF(D79=0,0,F79/D79)</f>
        <v>1</v>
      </c>
      <c r="F79" s="34">
        <v>404362.48</v>
      </c>
      <c r="G79" s="34">
        <v>0</v>
      </c>
      <c r="H79" s="34">
        <f t="shared" ref="H79:H99" si="15">SUM(F79:G79)</f>
        <v>404362.48</v>
      </c>
      <c r="I79" s="309"/>
    </row>
    <row r="80" spans="1:9" ht="18.95" customHeight="1">
      <c r="A80" s="18">
        <f t="shared" si="13"/>
        <v>51</v>
      </c>
      <c r="B80" s="859">
        <v>547</v>
      </c>
      <c r="C80" t="s">
        <v>1983</v>
      </c>
      <c r="D80" s="34">
        <v>55421400.560812011</v>
      </c>
      <c r="E80" s="621">
        <f t="shared" si="14"/>
        <v>1</v>
      </c>
      <c r="F80" s="34">
        <v>55421400.560812011</v>
      </c>
      <c r="G80" s="34">
        <v>-1408381.0299999902</v>
      </c>
      <c r="H80" s="34">
        <f t="shared" si="15"/>
        <v>54013019.530812018</v>
      </c>
      <c r="I80" s="309"/>
    </row>
    <row r="81" spans="1:9" ht="18.95" customHeight="1">
      <c r="A81" s="18">
        <f t="shared" si="13"/>
        <v>52</v>
      </c>
      <c r="B81" s="859">
        <v>548</v>
      </c>
      <c r="C81" t="s">
        <v>1984</v>
      </c>
      <c r="D81" s="34">
        <v>232901.6599999998</v>
      </c>
      <c r="E81" s="621">
        <f t="shared" si="14"/>
        <v>1</v>
      </c>
      <c r="F81" s="34">
        <v>232901.6599999998</v>
      </c>
      <c r="G81" s="34">
        <v>0</v>
      </c>
      <c r="H81" s="34">
        <f t="shared" si="15"/>
        <v>232901.6599999998</v>
      </c>
      <c r="I81" s="309"/>
    </row>
    <row r="82" spans="1:9" s="16" customFormat="1" ht="20.100000000000001" customHeight="1">
      <c r="A82" s="831" t="str">
        <f>$A$1</f>
        <v>LOUISVILLE GAS AND ELECTRIC COMPANY</v>
      </c>
      <c r="B82" s="831"/>
      <c r="C82" s="831"/>
      <c r="D82" s="831"/>
      <c r="E82" s="831"/>
      <c r="F82" s="831"/>
      <c r="G82" s="831"/>
      <c r="H82" s="831"/>
      <c r="I82" s="831"/>
    </row>
    <row r="83" spans="1:9" s="16" customFormat="1" ht="20.100000000000001" customHeight="1">
      <c r="A83" s="831" t="str">
        <f>$A$2</f>
        <v>CASE NO. 2018-00295 - ELECTRIC OPERATIONS</v>
      </c>
      <c r="B83" s="831"/>
      <c r="C83" s="831"/>
      <c r="D83" s="831"/>
      <c r="E83" s="831"/>
      <c r="F83" s="831"/>
      <c r="G83" s="831"/>
      <c r="H83" s="831"/>
      <c r="I83" s="831"/>
    </row>
    <row r="84" spans="1:9" s="16" customFormat="1" ht="20.100000000000001" customHeight="1">
      <c r="A84" s="831" t="s">
        <v>1927</v>
      </c>
      <c r="B84" s="831"/>
      <c r="C84" s="831"/>
      <c r="D84" s="831"/>
      <c r="E84" s="831"/>
      <c r="F84" s="831"/>
      <c r="G84" s="831"/>
      <c r="H84" s="831"/>
      <c r="I84" s="831"/>
    </row>
    <row r="85" spans="1:9" s="16" customFormat="1" ht="20.100000000000001" customHeight="1">
      <c r="A85" s="831" t="str">
        <f>$A$4</f>
        <v>FOR THE 12 MONTHS ENDED DECEMBER 31, 2018</v>
      </c>
      <c r="B85" s="831"/>
      <c r="C85" s="831"/>
      <c r="D85" s="831"/>
      <c r="E85" s="831"/>
      <c r="F85" s="831"/>
      <c r="G85" s="831"/>
      <c r="H85" s="831"/>
      <c r="I85" s="831"/>
    </row>
    <row r="86" spans="1:9" s="16" customFormat="1" ht="20.100000000000001" customHeight="1">
      <c r="A86" s="775"/>
      <c r="B86" s="775"/>
      <c r="C86" s="775"/>
      <c r="D86" s="775"/>
      <c r="E86" s="775"/>
      <c r="F86" s="775"/>
      <c r="G86" s="775"/>
      <c r="H86" s="775"/>
      <c r="I86" s="775"/>
    </row>
    <row r="87" spans="1:9" s="16" customFormat="1" ht="20.100000000000001" customHeight="1">
      <c r="A87" s="15" t="s">
        <v>94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1985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1933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59">
        <v>549</v>
      </c>
      <c r="C94" t="s">
        <v>1986</v>
      </c>
      <c r="D94" s="34">
        <v>1213475.06</v>
      </c>
      <c r="E94" s="621">
        <f t="shared" ref="E94:E99" si="16">IF(D94=0,0,F94/D94)</f>
        <v>1</v>
      </c>
      <c r="F94" s="34">
        <v>1213475.06</v>
      </c>
      <c r="G94" s="34">
        <v>0</v>
      </c>
      <c r="H94" s="34">
        <f t="shared" si="15"/>
        <v>1213475.06</v>
      </c>
      <c r="I94" s="309"/>
    </row>
    <row r="95" spans="1:9" ht="18.95" customHeight="1">
      <c r="A95" s="18">
        <f t="shared" si="13"/>
        <v>54</v>
      </c>
      <c r="B95" s="859">
        <v>550</v>
      </c>
      <c r="C95" t="s">
        <v>1965</v>
      </c>
      <c r="D95" s="34">
        <v>13682.5</v>
      </c>
      <c r="E95" s="621">
        <f t="shared" si="16"/>
        <v>1</v>
      </c>
      <c r="F95" s="34">
        <v>13682.5</v>
      </c>
      <c r="G95" s="34">
        <v>0</v>
      </c>
      <c r="H95" s="34">
        <f t="shared" si="15"/>
        <v>13682.5</v>
      </c>
      <c r="I95" s="309"/>
    </row>
    <row r="96" spans="1:9" ht="18.95" customHeight="1">
      <c r="A96" s="18">
        <f t="shared" si="13"/>
        <v>55</v>
      </c>
      <c r="B96" s="859">
        <v>551</v>
      </c>
      <c r="C96" t="s">
        <v>1967</v>
      </c>
      <c r="D96" s="34">
        <v>144346.02999999991</v>
      </c>
      <c r="E96" s="621">
        <f t="shared" si="16"/>
        <v>1</v>
      </c>
      <c r="F96" s="34">
        <v>144346.02999999991</v>
      </c>
      <c r="G96" s="34">
        <v>0</v>
      </c>
      <c r="H96" s="34">
        <f t="shared" si="15"/>
        <v>144346.02999999991</v>
      </c>
      <c r="I96" s="309"/>
    </row>
    <row r="97" spans="1:9" ht="18.95" customHeight="1">
      <c r="A97" s="18">
        <f t="shared" si="13"/>
        <v>56</v>
      </c>
      <c r="B97" s="859">
        <v>552</v>
      </c>
      <c r="C97" t="s">
        <v>1968</v>
      </c>
      <c r="D97" s="34">
        <v>379036.44</v>
      </c>
      <c r="E97" s="621">
        <f t="shared" si="16"/>
        <v>1</v>
      </c>
      <c r="F97" s="34">
        <v>379036.44</v>
      </c>
      <c r="G97" s="34">
        <v>0</v>
      </c>
      <c r="H97" s="34">
        <f t="shared" si="15"/>
        <v>379036.44</v>
      </c>
      <c r="I97" s="309"/>
    </row>
    <row r="98" spans="1:9" ht="18.95" customHeight="1">
      <c r="A98" s="18">
        <f t="shared" si="13"/>
        <v>57</v>
      </c>
      <c r="B98" s="859">
        <v>553</v>
      </c>
      <c r="C98" t="s">
        <v>1987</v>
      </c>
      <c r="D98" s="34">
        <v>1978773.38</v>
      </c>
      <c r="E98" s="621">
        <f t="shared" si="16"/>
        <v>1</v>
      </c>
      <c r="F98" s="34">
        <v>1978773.38</v>
      </c>
      <c r="G98" s="34">
        <v>0</v>
      </c>
      <c r="H98" s="34">
        <f t="shared" si="15"/>
        <v>1978773.38</v>
      </c>
      <c r="I98" s="309"/>
    </row>
    <row r="99" spans="1:9" ht="18.95" customHeight="1">
      <c r="A99" s="18">
        <f t="shared" si="13"/>
        <v>58</v>
      </c>
      <c r="B99" s="859">
        <v>554</v>
      </c>
      <c r="C99" t="s">
        <v>1988</v>
      </c>
      <c r="D99" s="34">
        <v>1050984.1099999999</v>
      </c>
      <c r="E99" s="621">
        <f t="shared" si="16"/>
        <v>1</v>
      </c>
      <c r="F99" s="34">
        <v>1050984.1099999999</v>
      </c>
      <c r="G99" s="34">
        <v>0</v>
      </c>
      <c r="H99" s="34">
        <f t="shared" si="15"/>
        <v>1050984.1099999999</v>
      </c>
      <c r="I99" s="309"/>
    </row>
    <row r="100" spans="1:9" ht="18.95" customHeight="1">
      <c r="A100" s="18">
        <f t="shared" si="13"/>
        <v>59</v>
      </c>
      <c r="B100" s="859"/>
      <c r="C100" s="125" t="s">
        <v>1105</v>
      </c>
      <c r="D100" s="623">
        <f>SUM(D79:D99)</f>
        <v>60838962.220812008</v>
      </c>
      <c r="F100" s="623">
        <f>SUM(F79:F99)</f>
        <v>60838962.220812008</v>
      </c>
      <c r="G100" s="623">
        <f>SUM(G79:G99)</f>
        <v>-1408381.0299999902</v>
      </c>
      <c r="H100" s="623">
        <f>SUM(H79:H99)</f>
        <v>59430581.190812014</v>
      </c>
    </row>
    <row r="101" spans="1:9" ht="18.95" customHeight="1">
      <c r="A101" s="18"/>
      <c r="B101" s="859"/>
      <c r="C101" s="125"/>
    </row>
    <row r="102" spans="1:9" ht="18.95" customHeight="1">
      <c r="A102" s="18">
        <f>A100+1</f>
        <v>60</v>
      </c>
      <c r="B102" s="859"/>
      <c r="C102" s="767" t="s">
        <v>1989</v>
      </c>
    </row>
    <row r="103" spans="1:9" ht="18.95" customHeight="1">
      <c r="A103" s="18">
        <f>A102+1</f>
        <v>61</v>
      </c>
      <c r="B103" s="859">
        <v>555</v>
      </c>
      <c r="C103" t="s">
        <v>1990</v>
      </c>
      <c r="D103" s="34">
        <v>59316874.772985369</v>
      </c>
      <c r="E103" s="621">
        <f t="shared" ref="E103:E105" si="17">IF(D103=0,0,F103/D103)</f>
        <v>1</v>
      </c>
      <c r="F103" s="34">
        <v>59316874.772985369</v>
      </c>
      <c r="G103" s="34">
        <v>-7143983.2100000009</v>
      </c>
      <c r="H103" s="34">
        <f t="shared" ref="H103:H105" si="18">SUM(F103:G103)</f>
        <v>52172891.562985368</v>
      </c>
      <c r="I103" s="309"/>
    </row>
    <row r="104" spans="1:9" ht="18.95" customHeight="1">
      <c r="A104" s="18">
        <f t="shared" si="13"/>
        <v>62</v>
      </c>
      <c r="B104" s="859">
        <v>556</v>
      </c>
      <c r="C104" t="s">
        <v>1991</v>
      </c>
      <c r="D104" s="34">
        <v>1163759.4899999998</v>
      </c>
      <c r="E104" s="621">
        <f t="shared" si="17"/>
        <v>1</v>
      </c>
      <c r="F104" s="34">
        <v>1163759.4899999998</v>
      </c>
      <c r="G104" s="34">
        <v>0</v>
      </c>
      <c r="H104" s="34">
        <f t="shared" si="18"/>
        <v>1163759.4899999998</v>
      </c>
      <c r="I104" s="309"/>
    </row>
    <row r="105" spans="1:9" ht="18.95" customHeight="1">
      <c r="A105" s="18">
        <f t="shared" si="13"/>
        <v>63</v>
      </c>
      <c r="B105" s="859">
        <v>557</v>
      </c>
      <c r="C105" t="s">
        <v>1992</v>
      </c>
      <c r="D105" s="34">
        <v>783453.77999999991</v>
      </c>
      <c r="E105" s="621">
        <f t="shared" si="17"/>
        <v>1</v>
      </c>
      <c r="F105" s="34">
        <v>783453.77999999991</v>
      </c>
      <c r="G105" s="34">
        <v>-706895.02999999991</v>
      </c>
      <c r="H105" s="34">
        <f t="shared" si="18"/>
        <v>76558.75</v>
      </c>
      <c r="I105" s="309"/>
    </row>
    <row r="106" spans="1:9" ht="18.95" customHeight="1">
      <c r="A106" s="18">
        <f t="shared" si="13"/>
        <v>64</v>
      </c>
      <c r="B106" s="859"/>
      <c r="C106" s="125" t="s">
        <v>1993</v>
      </c>
      <c r="D106" s="623">
        <f>SUM(D103:D105)</f>
        <v>61264088.042985372</v>
      </c>
      <c r="F106" s="623">
        <f>SUM(F103:F105)</f>
        <v>61264088.042985372</v>
      </c>
      <c r="G106" s="623">
        <f>SUM(G103:G105)</f>
        <v>-7850878.2400000012</v>
      </c>
      <c r="H106" s="623">
        <f>SUM(H103:H105)</f>
        <v>53413209.80298537</v>
      </c>
      <c r="I106" s="309"/>
    </row>
    <row r="107" spans="1:9" ht="18.95" customHeight="1">
      <c r="A107" s="18">
        <f t="shared" si="13"/>
        <v>65</v>
      </c>
      <c r="B107" s="859"/>
      <c r="C107" s="125" t="s">
        <v>1112</v>
      </c>
      <c r="D107" s="623">
        <f>SUM(D62,D76,D100,D106)</f>
        <v>464880308.19674289</v>
      </c>
      <c r="F107" s="623">
        <f>SUM(F62,F76,F100,F106)</f>
        <v>464880308.19674289</v>
      </c>
      <c r="G107" s="623">
        <f>SUM(G62,G76,G100,G106)</f>
        <v>-13376200.905340776</v>
      </c>
      <c r="H107" s="623">
        <f>SUM(H62,H76,H100,H106)</f>
        <v>451504107.29140216</v>
      </c>
      <c r="I107" s="309"/>
    </row>
    <row r="108" spans="1:9" ht="18.95" customHeight="1">
      <c r="B108" s="859"/>
      <c r="C108" s="125"/>
      <c r="I108" s="309"/>
    </row>
    <row r="109" spans="1:9" ht="18.95" customHeight="1">
      <c r="A109" s="18">
        <f>A107+1</f>
        <v>66</v>
      </c>
      <c r="B109" s="859"/>
      <c r="C109" s="767" t="s">
        <v>1113</v>
      </c>
      <c r="I109" s="309"/>
    </row>
    <row r="110" spans="1:9" ht="18.95" customHeight="1">
      <c r="A110" s="18">
        <f>A109+1</f>
        <v>67</v>
      </c>
      <c r="B110" s="859">
        <v>560</v>
      </c>
      <c r="C110" t="s">
        <v>1994</v>
      </c>
      <c r="D110" s="34">
        <v>948356.7</v>
      </c>
      <c r="E110" s="621">
        <f t="shared" ref="E110:E113" si="19">IF(D110=0,0,F110/D110)</f>
        <v>1</v>
      </c>
      <c r="F110" s="34">
        <v>948356.7</v>
      </c>
      <c r="G110" s="34">
        <v>0</v>
      </c>
      <c r="H110" s="34">
        <f t="shared" ref="H110:H136" si="20">SUM(F110:G110)</f>
        <v>948356.7</v>
      </c>
      <c r="I110" s="309"/>
    </row>
    <row r="111" spans="1:9" ht="18.95" customHeight="1">
      <c r="A111" s="18">
        <f t="shared" ref="A111:A137" si="21">A110+1</f>
        <v>68</v>
      </c>
      <c r="B111" s="859">
        <v>561</v>
      </c>
      <c r="C111" t="s">
        <v>1995</v>
      </c>
      <c r="D111" s="34">
        <v>2521720.0999999992</v>
      </c>
      <c r="E111" s="621">
        <f t="shared" si="19"/>
        <v>1</v>
      </c>
      <c r="F111" s="34">
        <v>2521720.0999999992</v>
      </c>
      <c r="G111" s="34">
        <v>0</v>
      </c>
      <c r="H111" s="34">
        <f t="shared" si="20"/>
        <v>2521720.0999999992</v>
      </c>
      <c r="I111" s="309"/>
    </row>
    <row r="112" spans="1:9" ht="18.95" customHeight="1">
      <c r="A112" s="18">
        <f t="shared" si="21"/>
        <v>69</v>
      </c>
      <c r="B112" s="859">
        <v>562</v>
      </c>
      <c r="C112" t="s">
        <v>1996</v>
      </c>
      <c r="D112" s="34">
        <v>935681.82999999984</v>
      </c>
      <c r="E112" s="621">
        <f t="shared" si="19"/>
        <v>1</v>
      </c>
      <c r="F112" s="34">
        <v>935681.82999999984</v>
      </c>
      <c r="G112" s="34">
        <v>0</v>
      </c>
      <c r="H112" s="34">
        <f t="shared" si="20"/>
        <v>935681.82999999984</v>
      </c>
      <c r="I112" s="309"/>
    </row>
    <row r="113" spans="1:9" ht="18.95" customHeight="1">
      <c r="A113" s="18">
        <f t="shared" si="21"/>
        <v>70</v>
      </c>
      <c r="B113" s="859">
        <v>563</v>
      </c>
      <c r="C113" t="s">
        <v>1997</v>
      </c>
      <c r="D113" s="34">
        <v>337078.42999999993</v>
      </c>
      <c r="E113" s="621">
        <f t="shared" si="19"/>
        <v>1</v>
      </c>
      <c r="F113" s="34">
        <v>337078.42999999993</v>
      </c>
      <c r="G113" s="34">
        <v>0</v>
      </c>
      <c r="H113" s="34">
        <f t="shared" si="20"/>
        <v>337078.42999999993</v>
      </c>
      <c r="I113" s="309"/>
    </row>
    <row r="114" spans="1:9" ht="18.95" customHeight="1">
      <c r="A114" s="18">
        <f t="shared" si="21"/>
        <v>71</v>
      </c>
      <c r="B114" s="859">
        <v>564</v>
      </c>
      <c r="C114" t="s">
        <v>1998</v>
      </c>
      <c r="D114" s="34">
        <v>0</v>
      </c>
      <c r="E114" s="621">
        <f t="shared" ref="E114:E122" si="22">IF(D114=0,1,F114/D114)</f>
        <v>1</v>
      </c>
      <c r="F114" s="34">
        <v>0</v>
      </c>
      <c r="G114" s="34">
        <v>0</v>
      </c>
      <c r="H114" s="34">
        <f t="shared" si="20"/>
        <v>0</v>
      </c>
      <c r="I114" s="309"/>
    </row>
    <row r="115" spans="1:9" ht="18.95" customHeight="1">
      <c r="A115" s="18">
        <f t="shared" si="21"/>
        <v>72</v>
      </c>
      <c r="B115" s="859">
        <v>565</v>
      </c>
      <c r="C115" t="s">
        <v>1999</v>
      </c>
      <c r="D115" s="34">
        <v>1656616.1500000001</v>
      </c>
      <c r="E115" s="621">
        <f t="shared" si="22"/>
        <v>1</v>
      </c>
      <c r="F115" s="34">
        <v>1656616.1500000001</v>
      </c>
      <c r="G115" s="34">
        <v>-2078963.1300000001</v>
      </c>
      <c r="H115" s="34">
        <f t="shared" si="20"/>
        <v>-422346.98</v>
      </c>
      <c r="I115" s="309"/>
    </row>
    <row r="116" spans="1:9" ht="18.95" customHeight="1">
      <c r="A116" s="18">
        <f t="shared" si="21"/>
        <v>73</v>
      </c>
      <c r="B116" s="859">
        <v>566</v>
      </c>
      <c r="C116" t="s">
        <v>2000</v>
      </c>
      <c r="D116" s="34">
        <v>8964626.75</v>
      </c>
      <c r="E116" s="621">
        <f t="shared" si="22"/>
        <v>1</v>
      </c>
      <c r="F116" s="34">
        <v>8964626.75</v>
      </c>
      <c r="G116" s="34">
        <v>0</v>
      </c>
      <c r="H116" s="34">
        <f t="shared" si="20"/>
        <v>8964626.75</v>
      </c>
      <c r="I116" s="309"/>
    </row>
    <row r="117" spans="1:9" ht="18.95" customHeight="1">
      <c r="A117" s="18">
        <f t="shared" si="21"/>
        <v>74</v>
      </c>
      <c r="B117" s="859">
        <v>567</v>
      </c>
      <c r="C117" t="s">
        <v>1965</v>
      </c>
      <c r="D117" s="34">
        <v>95748.819999999978</v>
      </c>
      <c r="E117" s="621">
        <f t="shared" si="22"/>
        <v>1</v>
      </c>
      <c r="F117" s="34">
        <v>95748.819999999978</v>
      </c>
      <c r="G117" s="34">
        <v>0</v>
      </c>
      <c r="H117" s="34">
        <f t="shared" si="20"/>
        <v>95748.819999999978</v>
      </c>
      <c r="I117" s="309"/>
    </row>
    <row r="118" spans="1:9" ht="18.95" customHeight="1">
      <c r="A118" s="18">
        <f t="shared" si="21"/>
        <v>75</v>
      </c>
      <c r="B118" s="859">
        <v>568</v>
      </c>
      <c r="C118" t="s">
        <v>2001</v>
      </c>
      <c r="D118" s="34">
        <v>0</v>
      </c>
      <c r="E118" s="621">
        <f t="shared" si="22"/>
        <v>1</v>
      </c>
      <c r="F118" s="34">
        <v>0</v>
      </c>
      <c r="G118" s="34">
        <v>0</v>
      </c>
      <c r="H118" s="34">
        <f t="shared" si="20"/>
        <v>0</v>
      </c>
      <c r="I118" s="309"/>
    </row>
    <row r="119" spans="1:9" ht="18.95" customHeight="1">
      <c r="A119" s="18">
        <f t="shared" si="21"/>
        <v>76</v>
      </c>
      <c r="B119" s="859">
        <v>569</v>
      </c>
      <c r="C119" t="s">
        <v>1968</v>
      </c>
      <c r="D119" s="34">
        <v>0</v>
      </c>
      <c r="E119" s="621">
        <f t="shared" si="22"/>
        <v>1</v>
      </c>
      <c r="F119" s="34">
        <v>0</v>
      </c>
      <c r="G119" s="34">
        <v>0</v>
      </c>
      <c r="H119" s="34">
        <f t="shared" si="20"/>
        <v>0</v>
      </c>
      <c r="I119" s="309"/>
    </row>
    <row r="120" spans="1:9" ht="18.95" customHeight="1">
      <c r="A120" s="18">
        <f t="shared" si="21"/>
        <v>77</v>
      </c>
      <c r="B120" s="859">
        <v>570</v>
      </c>
      <c r="C120" t="s">
        <v>2002</v>
      </c>
      <c r="D120" s="34">
        <v>1859166.31</v>
      </c>
      <c r="E120" s="621">
        <f t="shared" si="22"/>
        <v>1</v>
      </c>
      <c r="F120" s="34">
        <v>1859166.31</v>
      </c>
      <c r="G120" s="34">
        <v>0</v>
      </c>
      <c r="H120" s="34">
        <f t="shared" si="20"/>
        <v>1859166.31</v>
      </c>
      <c r="I120" s="309"/>
    </row>
    <row r="121" spans="1:9" ht="18.95" customHeight="1">
      <c r="A121" s="18">
        <f t="shared" si="21"/>
        <v>78</v>
      </c>
      <c r="B121" s="859">
        <v>571</v>
      </c>
      <c r="C121" t="s">
        <v>2003</v>
      </c>
      <c r="D121" s="34">
        <v>3580798.55</v>
      </c>
      <c r="E121" s="621">
        <f t="shared" si="22"/>
        <v>1</v>
      </c>
      <c r="F121" s="34">
        <v>3580798.55</v>
      </c>
      <c r="G121" s="34">
        <v>0</v>
      </c>
      <c r="H121" s="34">
        <f t="shared" si="20"/>
        <v>3580798.55</v>
      </c>
      <c r="I121" s="309"/>
    </row>
    <row r="122" spans="1:9" ht="18.95" customHeight="1">
      <c r="A122" s="18">
        <f t="shared" si="21"/>
        <v>79</v>
      </c>
      <c r="B122" s="859">
        <v>572</v>
      </c>
      <c r="C122" t="s">
        <v>2004</v>
      </c>
      <c r="D122" s="34">
        <v>0</v>
      </c>
      <c r="E122" s="621">
        <f t="shared" si="22"/>
        <v>1</v>
      </c>
      <c r="F122" s="34">
        <v>0</v>
      </c>
      <c r="G122" s="34">
        <v>0</v>
      </c>
      <c r="H122" s="34">
        <f t="shared" si="20"/>
        <v>0</v>
      </c>
      <c r="I122" s="309"/>
    </row>
    <row r="123" spans="1:9" s="16" customFormat="1" ht="20.100000000000001" customHeight="1">
      <c r="A123" s="831" t="str">
        <f>$A$1</f>
        <v>LOUISVILLE GAS AND ELECTRIC COMPANY</v>
      </c>
      <c r="B123" s="831"/>
      <c r="C123" s="831"/>
      <c r="D123" s="831"/>
      <c r="E123" s="831"/>
      <c r="F123" s="831"/>
      <c r="G123" s="831"/>
      <c r="H123" s="831"/>
      <c r="I123" s="831"/>
    </row>
    <row r="124" spans="1:9" s="16" customFormat="1" ht="20.100000000000001" customHeight="1">
      <c r="A124" s="831" t="str">
        <f>$A$2</f>
        <v>CASE NO. 2018-00295 - ELECTRIC OPERATIONS</v>
      </c>
      <c r="B124" s="831"/>
      <c r="C124" s="831"/>
      <c r="D124" s="831"/>
      <c r="E124" s="831"/>
      <c r="F124" s="831"/>
      <c r="G124" s="831"/>
      <c r="H124" s="831"/>
      <c r="I124" s="831"/>
    </row>
    <row r="125" spans="1:9" s="16" customFormat="1" ht="20.100000000000001" customHeight="1">
      <c r="A125" s="831" t="s">
        <v>1927</v>
      </c>
      <c r="B125" s="831"/>
      <c r="C125" s="831"/>
      <c r="D125" s="831"/>
      <c r="E125" s="831"/>
      <c r="F125" s="831"/>
      <c r="G125" s="831"/>
      <c r="H125" s="831"/>
      <c r="I125" s="831"/>
    </row>
    <row r="126" spans="1:9" s="16" customFormat="1" ht="20.100000000000001" customHeight="1">
      <c r="A126" s="831" t="str">
        <f>$A$4</f>
        <v>FOR THE 12 MONTHS ENDED DECEMBER 31, 2018</v>
      </c>
      <c r="B126" s="831"/>
      <c r="C126" s="831"/>
      <c r="D126" s="831"/>
      <c r="E126" s="831"/>
      <c r="F126" s="831"/>
      <c r="G126" s="831"/>
      <c r="H126" s="831"/>
      <c r="I126" s="831"/>
    </row>
    <row r="127" spans="1:9" s="16" customFormat="1" ht="20.100000000000001" customHeight="1">
      <c r="A127" s="775"/>
      <c r="B127" s="775"/>
      <c r="C127" s="775"/>
      <c r="D127" s="775"/>
      <c r="E127" s="775"/>
      <c r="F127" s="775"/>
      <c r="G127" s="775"/>
      <c r="H127" s="775"/>
      <c r="I127" s="775"/>
    </row>
    <row r="128" spans="1:9" s="16" customFormat="1" ht="20.100000000000001" customHeight="1">
      <c r="A128" s="15" t="s">
        <v>94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2005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1933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59">
        <v>573</v>
      </c>
      <c r="C135" t="s">
        <v>2006</v>
      </c>
      <c r="D135" s="34">
        <v>245251.54999999978</v>
      </c>
      <c r="E135" s="621">
        <f t="shared" ref="E135:E136" si="23">IF(D135=0,0,F135/D135)</f>
        <v>1</v>
      </c>
      <c r="F135" s="34">
        <v>245251.54999999978</v>
      </c>
      <c r="G135" s="34">
        <v>0</v>
      </c>
      <c r="H135" s="34">
        <f t="shared" si="20"/>
        <v>245251.54999999978</v>
      </c>
      <c r="I135" s="309"/>
    </row>
    <row r="136" spans="1:9" ht="18.95" customHeight="1">
      <c r="A136" s="18">
        <f t="shared" si="21"/>
        <v>81</v>
      </c>
      <c r="B136" s="859">
        <v>575</v>
      </c>
      <c r="C136" t="s">
        <v>2007</v>
      </c>
      <c r="D136" s="34">
        <v>4609.5999999999894</v>
      </c>
      <c r="E136" s="621">
        <f t="shared" si="23"/>
        <v>1</v>
      </c>
      <c r="F136" s="34">
        <v>4609.5999999999894</v>
      </c>
      <c r="G136" s="34">
        <v>0</v>
      </c>
      <c r="H136" s="34">
        <f t="shared" si="20"/>
        <v>4609.5999999999894</v>
      </c>
      <c r="I136" s="309"/>
    </row>
    <row r="137" spans="1:9" ht="18.95" customHeight="1">
      <c r="A137" s="18">
        <f t="shared" si="21"/>
        <v>82</v>
      </c>
      <c r="B137" s="859"/>
      <c r="C137" s="125" t="s">
        <v>1131</v>
      </c>
      <c r="D137" s="623">
        <f>SUM(D110:D136)</f>
        <v>21149654.790000003</v>
      </c>
      <c r="F137" s="623">
        <f>SUM(F110:F136)</f>
        <v>21149654.790000003</v>
      </c>
      <c r="G137" s="623">
        <f>SUM(G110:G136)</f>
        <v>-2078963.1300000001</v>
      </c>
      <c r="H137" s="623">
        <f>SUM(H110:H136)</f>
        <v>19070691.66</v>
      </c>
      <c r="I137" s="309"/>
    </row>
    <row r="138" spans="1:9" ht="18.95" customHeight="1">
      <c r="B138" s="859"/>
      <c r="C138"/>
      <c r="I138" s="309"/>
    </row>
    <row r="139" spans="1:9" ht="18.95" customHeight="1">
      <c r="A139" s="18">
        <f>A137+1</f>
        <v>83</v>
      </c>
      <c r="B139" s="859"/>
      <c r="C139" s="767" t="s">
        <v>1132</v>
      </c>
      <c r="I139" s="309"/>
    </row>
    <row r="140" spans="1:9" ht="18.95" customHeight="1">
      <c r="A140" s="18">
        <f>A139+1</f>
        <v>84</v>
      </c>
      <c r="B140" s="859">
        <v>580</v>
      </c>
      <c r="C140" t="s">
        <v>2008</v>
      </c>
      <c r="D140" s="34">
        <v>2519488.83</v>
      </c>
      <c r="E140" s="621">
        <f t="shared" ref="E140:E158" si="24">IF(D140=0,0,F140/D140)</f>
        <v>1</v>
      </c>
      <c r="F140" s="34">
        <v>2519488.83</v>
      </c>
      <c r="G140" s="34">
        <v>0</v>
      </c>
      <c r="H140" s="34">
        <f t="shared" ref="H140:H158" si="25">SUM(F140:G140)</f>
        <v>2519488.83</v>
      </c>
      <c r="I140" s="309"/>
    </row>
    <row r="141" spans="1:9" ht="18.95" customHeight="1">
      <c r="A141" s="18">
        <f t="shared" ref="A141:A159" si="26">A140+1</f>
        <v>85</v>
      </c>
      <c r="B141" s="859">
        <v>581</v>
      </c>
      <c r="C141" t="s">
        <v>1995</v>
      </c>
      <c r="D141" s="34">
        <v>321790.92999999993</v>
      </c>
      <c r="E141" s="621">
        <f t="shared" si="24"/>
        <v>1</v>
      </c>
      <c r="F141" s="34">
        <v>321790.92999999993</v>
      </c>
      <c r="G141" s="34">
        <v>0</v>
      </c>
      <c r="H141" s="34">
        <f t="shared" si="25"/>
        <v>321790.92999999993</v>
      </c>
      <c r="I141" s="309"/>
    </row>
    <row r="142" spans="1:9" ht="18.95" customHeight="1">
      <c r="A142" s="18">
        <f t="shared" si="26"/>
        <v>86</v>
      </c>
      <c r="B142" s="859">
        <v>582</v>
      </c>
      <c r="C142" t="s">
        <v>1996</v>
      </c>
      <c r="D142" s="34">
        <v>1612170.17</v>
      </c>
      <c r="E142" s="621">
        <f t="shared" si="24"/>
        <v>1</v>
      </c>
      <c r="F142" s="34">
        <v>1612170.17</v>
      </c>
      <c r="G142" s="34">
        <v>0</v>
      </c>
      <c r="H142" s="34">
        <f t="shared" si="25"/>
        <v>1612170.17</v>
      </c>
      <c r="I142" s="309"/>
    </row>
    <row r="143" spans="1:9" ht="18.95" customHeight="1">
      <c r="A143" s="18">
        <f t="shared" si="26"/>
        <v>87</v>
      </c>
      <c r="B143" s="859">
        <v>583</v>
      </c>
      <c r="C143" t="s">
        <v>1997</v>
      </c>
      <c r="D143" s="34">
        <v>7003985.1699999971</v>
      </c>
      <c r="E143" s="621">
        <f t="shared" si="24"/>
        <v>1</v>
      </c>
      <c r="F143" s="34">
        <v>7003985.1699999971</v>
      </c>
      <c r="G143" s="34">
        <v>0</v>
      </c>
      <c r="H143" s="34">
        <f t="shared" si="25"/>
        <v>7003985.1699999971</v>
      </c>
      <c r="I143" s="309"/>
    </row>
    <row r="144" spans="1:9" ht="18.95" customHeight="1">
      <c r="A144" s="18">
        <f t="shared" si="26"/>
        <v>88</v>
      </c>
      <c r="B144" s="859">
        <v>584</v>
      </c>
      <c r="C144" t="s">
        <v>1998</v>
      </c>
      <c r="D144" s="34">
        <v>482966.52999999997</v>
      </c>
      <c r="E144" s="621">
        <f t="shared" si="24"/>
        <v>1</v>
      </c>
      <c r="F144" s="34">
        <v>482966.52999999997</v>
      </c>
      <c r="G144" s="34">
        <v>0</v>
      </c>
      <c r="H144" s="34">
        <f t="shared" si="25"/>
        <v>482966.52999999997</v>
      </c>
      <c r="I144" s="309"/>
    </row>
    <row r="145" spans="1:9" ht="18.95" customHeight="1">
      <c r="A145" s="18">
        <f t="shared" si="26"/>
        <v>89</v>
      </c>
      <c r="B145" s="859">
        <v>585</v>
      </c>
      <c r="C145" t="s">
        <v>2009</v>
      </c>
      <c r="D145" s="34">
        <v>0</v>
      </c>
      <c r="E145" s="621">
        <v>1</v>
      </c>
      <c r="F145" s="34">
        <v>0</v>
      </c>
      <c r="G145" s="34">
        <v>0</v>
      </c>
      <c r="H145" s="34">
        <f t="shared" si="25"/>
        <v>0</v>
      </c>
      <c r="I145" s="309"/>
    </row>
    <row r="146" spans="1:9" ht="18.95" customHeight="1">
      <c r="A146" s="18">
        <f t="shared" si="26"/>
        <v>90</v>
      </c>
      <c r="B146" s="859">
        <v>586</v>
      </c>
      <c r="C146" t="s">
        <v>2010</v>
      </c>
      <c r="D146" s="34">
        <v>6904663.3299999991</v>
      </c>
      <c r="E146" s="621">
        <f t="shared" si="24"/>
        <v>1</v>
      </c>
      <c r="F146" s="34">
        <v>6904663.3299999991</v>
      </c>
      <c r="G146" s="34">
        <v>0</v>
      </c>
      <c r="H146" s="34">
        <f t="shared" si="25"/>
        <v>6904663.3299999991</v>
      </c>
      <c r="I146" s="309"/>
    </row>
    <row r="147" spans="1:9" ht="18.95" customHeight="1">
      <c r="A147" s="18">
        <f t="shared" si="26"/>
        <v>91</v>
      </c>
      <c r="B147" s="859">
        <v>587</v>
      </c>
      <c r="C147" t="s">
        <v>2011</v>
      </c>
      <c r="D147" s="34">
        <v>354.16</v>
      </c>
      <c r="E147" s="621">
        <f t="shared" si="24"/>
        <v>1</v>
      </c>
      <c r="F147" s="34">
        <v>354.16</v>
      </c>
      <c r="G147" s="34">
        <v>0</v>
      </c>
      <c r="H147" s="34">
        <f t="shared" si="25"/>
        <v>354.16</v>
      </c>
      <c r="I147" s="309"/>
    </row>
    <row r="148" spans="1:9" ht="18.95" customHeight="1">
      <c r="A148" s="18">
        <f t="shared" si="26"/>
        <v>92</v>
      </c>
      <c r="B148" s="859">
        <v>588</v>
      </c>
      <c r="C148" t="s">
        <v>2012</v>
      </c>
      <c r="D148" s="34">
        <v>5948855.3599999975</v>
      </c>
      <c r="E148" s="621">
        <f t="shared" si="24"/>
        <v>1</v>
      </c>
      <c r="F148" s="34">
        <v>5948855.3599999975</v>
      </c>
      <c r="G148" s="34">
        <v>0</v>
      </c>
      <c r="H148" s="34">
        <f t="shared" si="25"/>
        <v>5948855.3599999975</v>
      </c>
      <c r="I148" s="309"/>
    </row>
    <row r="149" spans="1:9" ht="18.95" customHeight="1">
      <c r="A149" s="18">
        <f t="shared" si="26"/>
        <v>93</v>
      </c>
      <c r="B149" s="859">
        <v>589</v>
      </c>
      <c r="C149" t="s">
        <v>1965</v>
      </c>
      <c r="D149" s="34">
        <v>20022.690000000002</v>
      </c>
      <c r="E149" s="621">
        <f t="shared" si="24"/>
        <v>1</v>
      </c>
      <c r="F149" s="34">
        <v>20022.690000000002</v>
      </c>
      <c r="G149" s="34">
        <v>0</v>
      </c>
      <c r="H149" s="34">
        <f t="shared" si="25"/>
        <v>20022.690000000002</v>
      </c>
      <c r="I149" s="309"/>
    </row>
    <row r="150" spans="1:9" ht="18.95" customHeight="1">
      <c r="A150" s="18">
        <f t="shared" si="26"/>
        <v>94</v>
      </c>
      <c r="B150" s="859">
        <v>590</v>
      </c>
      <c r="C150" t="s">
        <v>2013</v>
      </c>
      <c r="D150" s="34">
        <v>61447.939999999988</v>
      </c>
      <c r="E150" s="621">
        <f t="shared" si="24"/>
        <v>1</v>
      </c>
      <c r="F150" s="34">
        <v>61447.939999999988</v>
      </c>
      <c r="G150" s="34">
        <v>0</v>
      </c>
      <c r="H150" s="34">
        <f t="shared" si="25"/>
        <v>61447.939999999988</v>
      </c>
      <c r="I150" s="309"/>
    </row>
    <row r="151" spans="1:9" ht="18.95" customHeight="1">
      <c r="A151" s="18">
        <f t="shared" si="26"/>
        <v>95</v>
      </c>
      <c r="B151" s="859">
        <v>591</v>
      </c>
      <c r="C151" t="s">
        <v>1968</v>
      </c>
      <c r="D151" s="34">
        <v>1411.93</v>
      </c>
      <c r="E151" s="621">
        <f t="shared" si="24"/>
        <v>1</v>
      </c>
      <c r="F151" s="34">
        <v>1411.93</v>
      </c>
      <c r="G151" s="34">
        <v>0</v>
      </c>
      <c r="H151" s="34">
        <f t="shared" si="25"/>
        <v>1411.93</v>
      </c>
      <c r="I151" s="309"/>
    </row>
    <row r="152" spans="1:9" ht="18.95" customHeight="1">
      <c r="A152" s="18">
        <f t="shared" si="26"/>
        <v>96</v>
      </c>
      <c r="B152" s="859">
        <v>592</v>
      </c>
      <c r="C152" t="s">
        <v>2002</v>
      </c>
      <c r="D152" s="34">
        <v>1561142.0499999998</v>
      </c>
      <c r="E152" s="621">
        <f t="shared" si="24"/>
        <v>1</v>
      </c>
      <c r="F152" s="34">
        <v>1561142.0499999998</v>
      </c>
      <c r="G152" s="34">
        <v>0</v>
      </c>
      <c r="H152" s="34">
        <f t="shared" si="25"/>
        <v>1561142.0499999998</v>
      </c>
      <c r="I152" s="309"/>
    </row>
    <row r="153" spans="1:9" ht="18.95" customHeight="1">
      <c r="A153" s="18">
        <f t="shared" si="26"/>
        <v>97</v>
      </c>
      <c r="B153" s="859">
        <v>593</v>
      </c>
      <c r="C153" t="s">
        <v>2003</v>
      </c>
      <c r="D153" s="34">
        <v>22792433.73999998</v>
      </c>
      <c r="E153" s="621">
        <f t="shared" si="24"/>
        <v>1</v>
      </c>
      <c r="F153" s="34">
        <v>22792433.73999998</v>
      </c>
      <c r="G153" s="34">
        <v>0</v>
      </c>
      <c r="H153" s="34">
        <f t="shared" si="25"/>
        <v>22792433.73999998</v>
      </c>
      <c r="I153" s="309"/>
    </row>
    <row r="154" spans="1:9" ht="18.95" customHeight="1">
      <c r="A154" s="18">
        <f t="shared" si="26"/>
        <v>98</v>
      </c>
      <c r="B154" s="859">
        <v>594</v>
      </c>
      <c r="C154" t="s">
        <v>2004</v>
      </c>
      <c r="D154" s="34">
        <v>1347662.08</v>
      </c>
      <c r="E154" s="621">
        <f t="shared" si="24"/>
        <v>1</v>
      </c>
      <c r="F154" s="34">
        <v>1347662.08</v>
      </c>
      <c r="G154" s="34">
        <v>0</v>
      </c>
      <c r="H154" s="34">
        <f t="shared" si="25"/>
        <v>1347662.08</v>
      </c>
      <c r="I154" s="309"/>
    </row>
    <row r="155" spans="1:9" ht="18.95" customHeight="1">
      <c r="A155" s="18">
        <f>A154+1</f>
        <v>99</v>
      </c>
      <c r="B155" s="859">
        <v>595</v>
      </c>
      <c r="C155" t="s">
        <v>2014</v>
      </c>
      <c r="D155" s="34">
        <v>199014.5</v>
      </c>
      <c r="E155" s="621">
        <f t="shared" si="24"/>
        <v>1</v>
      </c>
      <c r="F155" s="34">
        <v>199014.5</v>
      </c>
      <c r="G155" s="34">
        <v>0</v>
      </c>
      <c r="H155" s="34">
        <f t="shared" si="25"/>
        <v>199014.5</v>
      </c>
      <c r="I155" s="309"/>
    </row>
    <row r="156" spans="1:9" ht="18.95" customHeight="1">
      <c r="A156" s="18">
        <f t="shared" si="26"/>
        <v>100</v>
      </c>
      <c r="B156" s="859">
        <v>596</v>
      </c>
      <c r="C156" t="s">
        <v>2015</v>
      </c>
      <c r="D156" s="34">
        <v>327769.14</v>
      </c>
      <c r="E156" s="621">
        <f t="shared" si="24"/>
        <v>1</v>
      </c>
      <c r="F156" s="34">
        <v>327769.14</v>
      </c>
      <c r="G156" s="34">
        <v>0</v>
      </c>
      <c r="H156" s="34">
        <f t="shared" si="25"/>
        <v>327769.14</v>
      </c>
      <c r="I156" s="309"/>
    </row>
    <row r="157" spans="1:9" ht="18.95" customHeight="1">
      <c r="A157" s="18">
        <f t="shared" si="26"/>
        <v>101</v>
      </c>
      <c r="B157" s="859">
        <v>597</v>
      </c>
      <c r="C157" t="s">
        <v>2016</v>
      </c>
      <c r="D157" s="34">
        <v>0</v>
      </c>
      <c r="E157" s="621">
        <v>1</v>
      </c>
      <c r="F157" s="34">
        <v>0</v>
      </c>
      <c r="G157" s="34">
        <v>0</v>
      </c>
      <c r="H157" s="34">
        <f t="shared" si="25"/>
        <v>0</v>
      </c>
      <c r="I157" s="309"/>
    </row>
    <row r="158" spans="1:9" ht="18.95" customHeight="1">
      <c r="A158" s="18">
        <f t="shared" si="26"/>
        <v>102</v>
      </c>
      <c r="B158" s="859">
        <v>598</v>
      </c>
      <c r="C158" t="s">
        <v>2017</v>
      </c>
      <c r="D158" s="34">
        <v>642298.46</v>
      </c>
      <c r="E158" s="621">
        <f t="shared" si="24"/>
        <v>1</v>
      </c>
      <c r="F158" s="34">
        <v>642298.46</v>
      </c>
      <c r="G158" s="34">
        <v>0</v>
      </c>
      <c r="H158" s="34">
        <f t="shared" si="25"/>
        <v>642298.46</v>
      </c>
      <c r="I158" s="309"/>
    </row>
    <row r="159" spans="1:9" ht="18.95" customHeight="1">
      <c r="A159" s="18">
        <f t="shared" si="26"/>
        <v>103</v>
      </c>
      <c r="B159" s="859"/>
      <c r="C159" s="125" t="s">
        <v>1154</v>
      </c>
      <c r="D159" s="623">
        <f>SUM(D140:D158)</f>
        <v>51747477.009999983</v>
      </c>
      <c r="F159" s="623">
        <f>SUM(F140:F158)</f>
        <v>51747477.009999983</v>
      </c>
      <c r="G159" s="623">
        <f>SUM(G140:G158)</f>
        <v>0</v>
      </c>
      <c r="H159" s="623">
        <f>SUM(H140:H158)</f>
        <v>51747477.009999983</v>
      </c>
      <c r="I159" s="309"/>
    </row>
    <row r="160" spans="1:9" ht="18.95" customHeight="1">
      <c r="B160" s="859"/>
      <c r="C160"/>
      <c r="I160" s="309"/>
    </row>
    <row r="161" spans="1:9" ht="18.95" customHeight="1">
      <c r="A161" s="18">
        <f>A159+1</f>
        <v>104</v>
      </c>
      <c r="B161" s="859"/>
      <c r="C161" s="767" t="s">
        <v>2018</v>
      </c>
      <c r="I161" s="309"/>
    </row>
    <row r="162" spans="1:9" ht="18.95" customHeight="1">
      <c r="A162" s="18">
        <f>A161+1</f>
        <v>105</v>
      </c>
      <c r="B162" s="859">
        <v>901</v>
      </c>
      <c r="C162" t="s">
        <v>2019</v>
      </c>
      <c r="D162" s="34">
        <v>1428254.9999999998</v>
      </c>
      <c r="E162" s="621">
        <f t="shared" ref="E162:E163" si="27">IF(D162=0,0,F162/D162)</f>
        <v>1</v>
      </c>
      <c r="F162" s="34">
        <v>1428254.9999999998</v>
      </c>
      <c r="G162" s="34">
        <v>0</v>
      </c>
      <c r="H162" s="34">
        <f t="shared" ref="H162:H178" si="28">SUM(F162:G162)</f>
        <v>1428254.9999999998</v>
      </c>
      <c r="I162" s="309"/>
    </row>
    <row r="163" spans="1:9" ht="18.95" customHeight="1">
      <c r="A163" s="18">
        <f t="shared" ref="A163:A179" si="29">A162+1</f>
        <v>106</v>
      </c>
      <c r="B163" s="859">
        <v>902</v>
      </c>
      <c r="C163" t="s">
        <v>2020</v>
      </c>
      <c r="D163" s="34">
        <v>2514154.4999999981</v>
      </c>
      <c r="E163" s="621">
        <f t="shared" si="27"/>
        <v>1</v>
      </c>
      <c r="F163" s="34">
        <v>2514154.4999999981</v>
      </c>
      <c r="G163" s="34">
        <v>0</v>
      </c>
      <c r="H163" s="34">
        <f t="shared" si="28"/>
        <v>2514154.4999999981</v>
      </c>
      <c r="I163" s="309"/>
    </row>
    <row r="164" spans="1:9" s="16" customFormat="1" ht="20.100000000000001" customHeight="1">
      <c r="A164" s="831" t="str">
        <f>$A$1</f>
        <v>LOUISVILLE GAS AND ELECTRIC COMPANY</v>
      </c>
      <c r="B164" s="831"/>
      <c r="C164" s="831"/>
      <c r="D164" s="831"/>
      <c r="E164" s="831"/>
      <c r="F164" s="831"/>
      <c r="G164" s="831"/>
      <c r="H164" s="831"/>
      <c r="I164" s="831"/>
    </row>
    <row r="165" spans="1:9" s="16" customFormat="1" ht="20.100000000000001" customHeight="1">
      <c r="A165" s="831" t="str">
        <f>$A$2</f>
        <v>CASE NO. 2018-00295 - ELECTRIC OPERATIONS</v>
      </c>
      <c r="B165" s="831"/>
      <c r="C165" s="831"/>
      <c r="D165" s="831"/>
      <c r="E165" s="831"/>
      <c r="F165" s="831"/>
      <c r="G165" s="831"/>
      <c r="H165" s="831"/>
      <c r="I165" s="831"/>
    </row>
    <row r="166" spans="1:9" s="16" customFormat="1" ht="20.100000000000001" customHeight="1">
      <c r="A166" s="831" t="s">
        <v>1927</v>
      </c>
      <c r="B166" s="831"/>
      <c r="C166" s="831"/>
      <c r="D166" s="831"/>
      <c r="E166" s="831"/>
      <c r="F166" s="831"/>
      <c r="G166" s="831"/>
      <c r="H166" s="831"/>
      <c r="I166" s="831"/>
    </row>
    <row r="167" spans="1:9" s="16" customFormat="1" ht="20.100000000000001" customHeight="1">
      <c r="A167" s="831" t="str">
        <f>$A$4</f>
        <v>FOR THE 12 MONTHS ENDED DECEMBER 31, 2018</v>
      </c>
      <c r="B167" s="831"/>
      <c r="C167" s="831"/>
      <c r="D167" s="831"/>
      <c r="E167" s="831"/>
      <c r="F167" s="831"/>
      <c r="G167" s="831"/>
      <c r="H167" s="831"/>
      <c r="I167" s="831"/>
    </row>
    <row r="168" spans="1:9" s="16" customFormat="1" ht="20.100000000000001" customHeight="1">
      <c r="A168" s="775"/>
      <c r="B168" s="775"/>
      <c r="C168" s="775"/>
      <c r="D168" s="775"/>
      <c r="E168" s="775"/>
      <c r="F168" s="775"/>
      <c r="G168" s="775"/>
      <c r="H168" s="775"/>
      <c r="I168" s="775"/>
    </row>
    <row r="169" spans="1:9" s="16" customFormat="1" ht="20.100000000000001" customHeight="1">
      <c r="A169" s="15" t="s">
        <v>94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2021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1933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59">
        <v>903</v>
      </c>
      <c r="C176" t="s">
        <v>2022</v>
      </c>
      <c r="D176" s="34">
        <v>7098799.9199999981</v>
      </c>
      <c r="E176" s="621">
        <f t="shared" ref="E176:E178" si="30">IF(D176=0,0,F176/D176)</f>
        <v>1</v>
      </c>
      <c r="F176" s="34">
        <v>7098799.9199999981</v>
      </c>
      <c r="G176" s="34">
        <v>0</v>
      </c>
      <c r="H176" s="34">
        <f t="shared" si="28"/>
        <v>7098799.9199999981</v>
      </c>
      <c r="I176" s="309"/>
    </row>
    <row r="177" spans="1:9" ht="18.95" customHeight="1">
      <c r="A177" s="18">
        <f t="shared" si="29"/>
        <v>108</v>
      </c>
      <c r="B177" s="859">
        <v>904</v>
      </c>
      <c r="C177" t="s">
        <v>2023</v>
      </c>
      <c r="D177" s="34">
        <v>2515453.6099999971</v>
      </c>
      <c r="E177" s="621">
        <f t="shared" si="30"/>
        <v>1</v>
      </c>
      <c r="F177" s="34">
        <v>2515453.6099999971</v>
      </c>
      <c r="G177" s="34">
        <v>0</v>
      </c>
      <c r="H177" s="34">
        <f t="shared" si="28"/>
        <v>2515453.6099999971</v>
      </c>
      <c r="I177" s="309"/>
    </row>
    <row r="178" spans="1:9" ht="18.95" customHeight="1">
      <c r="A178" s="18">
        <f t="shared" si="29"/>
        <v>109</v>
      </c>
      <c r="B178" s="859">
        <v>905</v>
      </c>
      <c r="C178" t="s">
        <v>2024</v>
      </c>
      <c r="D178" s="34">
        <v>25636.93</v>
      </c>
      <c r="E178" s="621">
        <f t="shared" si="30"/>
        <v>1</v>
      </c>
      <c r="F178" s="34">
        <v>25636.93</v>
      </c>
      <c r="G178" s="34">
        <v>0</v>
      </c>
      <c r="H178" s="34">
        <f t="shared" si="28"/>
        <v>25636.93</v>
      </c>
      <c r="I178" s="309"/>
    </row>
    <row r="179" spans="1:9" ht="18.95" customHeight="1">
      <c r="A179" s="18">
        <f t="shared" si="29"/>
        <v>110</v>
      </c>
      <c r="B179" s="859"/>
      <c r="C179" s="125" t="s">
        <v>2025</v>
      </c>
      <c r="D179" s="623">
        <f>SUM(D162:D178)</f>
        <v>13582299.959999993</v>
      </c>
      <c r="F179" s="623">
        <f>SUM(F162:F178)</f>
        <v>13582299.959999993</v>
      </c>
      <c r="G179" s="623">
        <f>SUM(G162:G178)</f>
        <v>0</v>
      </c>
      <c r="H179" s="623">
        <f>SUM(H162:H178)</f>
        <v>13582299.959999993</v>
      </c>
      <c r="I179" s="309"/>
    </row>
    <row r="180" spans="1:9" ht="18.95" customHeight="1">
      <c r="B180" s="859"/>
      <c r="C180"/>
      <c r="I180" s="309"/>
    </row>
    <row r="181" spans="1:9" ht="18.95" customHeight="1">
      <c r="A181" s="18">
        <f>A179+1</f>
        <v>111</v>
      </c>
      <c r="B181" s="859"/>
      <c r="C181" s="767" t="s">
        <v>2026</v>
      </c>
      <c r="I181" s="309"/>
    </row>
    <row r="182" spans="1:9" ht="18.95" customHeight="1">
      <c r="A182" s="18">
        <f>A181+1</f>
        <v>112</v>
      </c>
      <c r="B182" s="859">
        <v>907</v>
      </c>
      <c r="C182" t="s">
        <v>2027</v>
      </c>
      <c r="D182" s="34">
        <v>343542.0400000001</v>
      </c>
      <c r="E182" s="621">
        <f t="shared" ref="E182:E185" si="31">IF(D182=0,0,F182/D182)</f>
        <v>1</v>
      </c>
      <c r="F182" s="34">
        <v>343542.0400000001</v>
      </c>
      <c r="G182" s="34">
        <v>0</v>
      </c>
      <c r="H182" s="34">
        <f t="shared" ref="H182:H185" si="32">SUM(F182:G182)</f>
        <v>343542.0400000001</v>
      </c>
      <c r="I182" s="309"/>
    </row>
    <row r="183" spans="1:9" ht="18.95" customHeight="1">
      <c r="A183" s="18">
        <f t="shared" ref="A183:A186" si="33">A182+1</f>
        <v>113</v>
      </c>
      <c r="B183" s="859">
        <v>908</v>
      </c>
      <c r="C183" t="s">
        <v>2028</v>
      </c>
      <c r="D183" s="34">
        <v>14048175.09</v>
      </c>
      <c r="E183" s="621">
        <f t="shared" si="31"/>
        <v>1</v>
      </c>
      <c r="F183" s="34">
        <v>14048175.09</v>
      </c>
      <c r="G183" s="34">
        <v>-13799648.619999999</v>
      </c>
      <c r="H183" s="34">
        <f t="shared" si="32"/>
        <v>248526.47000000067</v>
      </c>
      <c r="I183" s="309"/>
    </row>
    <row r="184" spans="1:9" ht="18.95" customHeight="1">
      <c r="A184" s="18">
        <f t="shared" si="33"/>
        <v>114</v>
      </c>
      <c r="B184" s="859">
        <v>909</v>
      </c>
      <c r="C184" t="s">
        <v>2029</v>
      </c>
      <c r="D184" s="34">
        <v>426145.31999999995</v>
      </c>
      <c r="E184" s="621">
        <f t="shared" si="31"/>
        <v>1</v>
      </c>
      <c r="F184" s="34">
        <v>426145.31999999995</v>
      </c>
      <c r="G184" s="34">
        <v>0</v>
      </c>
      <c r="H184" s="34">
        <f t="shared" si="32"/>
        <v>426145.31999999995</v>
      </c>
      <c r="I184" s="309"/>
    </row>
    <row r="185" spans="1:9" ht="18.95" customHeight="1">
      <c r="A185" s="18">
        <f t="shared" si="33"/>
        <v>115</v>
      </c>
      <c r="B185" s="859">
        <v>910</v>
      </c>
      <c r="C185" t="s">
        <v>2030</v>
      </c>
      <c r="D185" s="34">
        <v>688547.20999999973</v>
      </c>
      <c r="E185" s="621">
        <f t="shared" si="31"/>
        <v>1</v>
      </c>
      <c r="F185" s="34">
        <v>688547.20999999973</v>
      </c>
      <c r="G185" s="34">
        <v>0</v>
      </c>
      <c r="H185" s="34">
        <f t="shared" si="32"/>
        <v>688547.20999999973</v>
      </c>
      <c r="I185" s="309"/>
    </row>
    <row r="186" spans="1:9" ht="18.95" customHeight="1">
      <c r="A186" s="18">
        <f t="shared" si="33"/>
        <v>116</v>
      </c>
      <c r="B186" s="859"/>
      <c r="C186" s="125" t="s">
        <v>2031</v>
      </c>
      <c r="D186" s="623">
        <f>SUM(D182:D185)</f>
        <v>15506409.66</v>
      </c>
      <c r="F186" s="623">
        <f>SUM(F182:F185)</f>
        <v>15506409.66</v>
      </c>
      <c r="G186" s="623">
        <f>SUM(G182:G185)</f>
        <v>-13799648.619999999</v>
      </c>
      <c r="H186" s="623">
        <f>SUM(H182:H185)</f>
        <v>1706761.0400000005</v>
      </c>
      <c r="I186" s="309"/>
    </row>
    <row r="187" spans="1:9" ht="18.95" customHeight="1">
      <c r="A187" s="18"/>
      <c r="B187" s="859"/>
      <c r="C187"/>
      <c r="I187" s="309"/>
    </row>
    <row r="188" spans="1:9" ht="18.95" customHeight="1">
      <c r="A188" s="18">
        <f>A186+1</f>
        <v>117</v>
      </c>
      <c r="B188" s="859"/>
      <c r="C188" s="767" t="s">
        <v>2032</v>
      </c>
      <c r="I188" s="309"/>
    </row>
    <row r="189" spans="1:9" ht="18.95" customHeight="1">
      <c r="A189" s="18">
        <f>A188+1</f>
        <v>118</v>
      </c>
      <c r="B189" s="859">
        <v>911</v>
      </c>
      <c r="C189" t="s">
        <v>2033</v>
      </c>
      <c r="D189" s="34">
        <v>0</v>
      </c>
      <c r="E189" s="621">
        <v>1</v>
      </c>
      <c r="F189" s="34">
        <v>0</v>
      </c>
      <c r="G189" s="34">
        <v>0</v>
      </c>
      <c r="H189" s="34">
        <f t="shared" ref="H189:H192" si="34">SUM(F189:G189)</f>
        <v>0</v>
      </c>
      <c r="I189" s="309"/>
    </row>
    <row r="190" spans="1:9" ht="18.95" customHeight="1">
      <c r="A190" s="18">
        <f t="shared" ref="A190:A193" si="35">A189+1</f>
        <v>119</v>
      </c>
      <c r="B190" s="859">
        <v>912</v>
      </c>
      <c r="C190" t="s">
        <v>2034</v>
      </c>
      <c r="D190" s="34">
        <v>0</v>
      </c>
      <c r="E190" s="621">
        <v>1</v>
      </c>
      <c r="F190" s="34">
        <v>0</v>
      </c>
      <c r="G190" s="34">
        <v>0</v>
      </c>
      <c r="H190" s="34">
        <f t="shared" si="34"/>
        <v>0</v>
      </c>
      <c r="I190" s="309"/>
    </row>
    <row r="191" spans="1:9" ht="18.95" customHeight="1">
      <c r="A191" s="18">
        <f t="shared" si="35"/>
        <v>120</v>
      </c>
      <c r="B191" s="859">
        <v>913</v>
      </c>
      <c r="C191" t="s">
        <v>2035</v>
      </c>
      <c r="D191" s="34">
        <v>1071475.0699999989</v>
      </c>
      <c r="E191" s="621">
        <f t="shared" ref="E191" si="36">IF(D191=0,0,F191/D191)</f>
        <v>1</v>
      </c>
      <c r="F191" s="34">
        <v>1071475.0699999989</v>
      </c>
      <c r="G191" s="34">
        <v>0</v>
      </c>
      <c r="H191" s="34">
        <f t="shared" si="34"/>
        <v>1071475.0699999989</v>
      </c>
      <c r="I191" s="309"/>
    </row>
    <row r="192" spans="1:9" ht="18.95" customHeight="1">
      <c r="A192" s="18">
        <f t="shared" si="35"/>
        <v>121</v>
      </c>
      <c r="B192" s="859">
        <v>916</v>
      </c>
      <c r="C192" t="s">
        <v>2036</v>
      </c>
      <c r="D192" s="34">
        <v>0</v>
      </c>
      <c r="E192" s="621">
        <v>1</v>
      </c>
      <c r="F192" s="34">
        <v>0</v>
      </c>
      <c r="G192" s="34">
        <v>0</v>
      </c>
      <c r="H192" s="34">
        <f t="shared" si="34"/>
        <v>0</v>
      </c>
      <c r="I192" s="309"/>
    </row>
    <row r="193" spans="1:9" ht="18.95" customHeight="1">
      <c r="A193" s="18">
        <f t="shared" si="35"/>
        <v>122</v>
      </c>
      <c r="B193" s="859"/>
      <c r="C193" s="860" t="s">
        <v>2037</v>
      </c>
      <c r="D193" s="623">
        <f>SUM(D189:D192)</f>
        <v>1071475.0699999989</v>
      </c>
      <c r="F193" s="623">
        <f>SUM(F189:F192)</f>
        <v>1071475.0699999989</v>
      </c>
      <c r="G193" s="623">
        <f>SUM(G189:G192)</f>
        <v>0</v>
      </c>
      <c r="H193" s="623">
        <f>SUM(H189:H192)</f>
        <v>1071475.0699999989</v>
      </c>
      <c r="I193" s="309"/>
    </row>
    <row r="194" spans="1:9" ht="18.95" customHeight="1">
      <c r="B194" s="859"/>
      <c r="C194"/>
      <c r="I194" s="309"/>
    </row>
    <row r="195" spans="1:9" ht="18.95" customHeight="1">
      <c r="A195" s="18">
        <f>A193+1</f>
        <v>123</v>
      </c>
      <c r="B195" s="859"/>
      <c r="C195" s="767" t="s">
        <v>2038</v>
      </c>
      <c r="I195" s="309"/>
    </row>
    <row r="196" spans="1:9" ht="18.95" customHeight="1">
      <c r="A196" s="18">
        <f>A195+1</f>
        <v>124</v>
      </c>
      <c r="B196" s="859">
        <v>920</v>
      </c>
      <c r="C196" t="s">
        <v>2039</v>
      </c>
      <c r="D196" s="34">
        <v>25159047.21115157</v>
      </c>
      <c r="E196" s="621">
        <f t="shared" ref="E196:E204" si="37">IF(D196=0,0,F196/D196)</f>
        <v>1</v>
      </c>
      <c r="F196" s="34">
        <v>25159047.21115157</v>
      </c>
      <c r="G196" s="34">
        <v>0</v>
      </c>
      <c r="H196" s="34">
        <f t="shared" ref="H196:H221" si="38">SUM(F196:G196)</f>
        <v>25159047.21115157</v>
      </c>
      <c r="I196" s="309"/>
    </row>
    <row r="197" spans="1:9" ht="18.95" customHeight="1">
      <c r="A197" s="18">
        <f t="shared" ref="A197:A232" si="39">A196+1</f>
        <v>125</v>
      </c>
      <c r="B197" s="859">
        <v>921</v>
      </c>
      <c r="C197" t="s">
        <v>2040</v>
      </c>
      <c r="D197" s="34">
        <v>6980264.9715230828</v>
      </c>
      <c r="E197" s="621">
        <f t="shared" si="37"/>
        <v>1</v>
      </c>
      <c r="F197" s="34">
        <v>6980264.9715230828</v>
      </c>
      <c r="G197" s="34">
        <v>0</v>
      </c>
      <c r="H197" s="34">
        <f t="shared" si="38"/>
        <v>6980264.9715230828</v>
      </c>
      <c r="I197" s="309"/>
    </row>
    <row r="198" spans="1:9" ht="18.95" customHeight="1">
      <c r="A198" s="18">
        <f t="shared" si="39"/>
        <v>126</v>
      </c>
      <c r="B198" s="859">
        <v>922</v>
      </c>
      <c r="C198" t="s">
        <v>2041</v>
      </c>
      <c r="D198" s="34">
        <v>-4497295.7299999967</v>
      </c>
      <c r="E198" s="621">
        <f t="shared" si="37"/>
        <v>1</v>
      </c>
      <c r="F198" s="34">
        <v>-4497295.7299999967</v>
      </c>
      <c r="G198" s="34">
        <v>0</v>
      </c>
      <c r="H198" s="34">
        <f t="shared" si="38"/>
        <v>-4497295.7299999967</v>
      </c>
      <c r="I198" s="309"/>
    </row>
    <row r="199" spans="1:9" ht="18.95" customHeight="1">
      <c r="A199" s="18">
        <f t="shared" si="39"/>
        <v>127</v>
      </c>
      <c r="B199" s="859">
        <v>923</v>
      </c>
      <c r="C199" t="s">
        <v>2042</v>
      </c>
      <c r="D199" s="34">
        <v>14636134.870000001</v>
      </c>
      <c r="E199" s="621">
        <f t="shared" si="37"/>
        <v>1</v>
      </c>
      <c r="F199" s="34">
        <v>14636134.870000001</v>
      </c>
      <c r="G199" s="34">
        <v>-3252.4</v>
      </c>
      <c r="H199" s="34">
        <f t="shared" si="38"/>
        <v>14632882.470000001</v>
      </c>
      <c r="I199" s="309"/>
    </row>
    <row r="200" spans="1:9" ht="18.95" customHeight="1">
      <c r="A200" s="18">
        <f t="shared" si="39"/>
        <v>128</v>
      </c>
      <c r="B200" s="859">
        <v>924</v>
      </c>
      <c r="C200" t="s">
        <v>2043</v>
      </c>
      <c r="D200" s="34">
        <v>3800351.1199999969</v>
      </c>
      <c r="E200" s="621">
        <f t="shared" si="37"/>
        <v>1</v>
      </c>
      <c r="F200" s="34">
        <v>3800351.1199999969</v>
      </c>
      <c r="G200" s="34">
        <v>0</v>
      </c>
      <c r="H200" s="34">
        <f t="shared" si="38"/>
        <v>3800351.1199999969</v>
      </c>
      <c r="I200" s="309"/>
    </row>
    <row r="201" spans="1:9" ht="18.95" customHeight="1">
      <c r="A201" s="18">
        <f t="shared" si="39"/>
        <v>129</v>
      </c>
      <c r="B201" s="859">
        <v>925</v>
      </c>
      <c r="C201" t="s">
        <v>2044</v>
      </c>
      <c r="D201" s="34">
        <v>2108031.4199999948</v>
      </c>
      <c r="E201" s="621">
        <f t="shared" si="37"/>
        <v>1</v>
      </c>
      <c r="F201" s="34">
        <v>2108031.4199999948</v>
      </c>
      <c r="G201" s="34">
        <v>0</v>
      </c>
      <c r="H201" s="34">
        <f t="shared" si="38"/>
        <v>2108031.4199999948</v>
      </c>
      <c r="I201" s="309"/>
    </row>
    <row r="202" spans="1:9" ht="18.95" customHeight="1">
      <c r="A202" s="18">
        <f t="shared" si="39"/>
        <v>130</v>
      </c>
      <c r="B202" s="859">
        <v>926</v>
      </c>
      <c r="C202" t="s">
        <v>2045</v>
      </c>
      <c r="D202" s="34">
        <v>22451217.499999937</v>
      </c>
      <c r="E202" s="621">
        <f t="shared" si="37"/>
        <v>1</v>
      </c>
      <c r="F202" s="34">
        <v>22451217.499999937</v>
      </c>
      <c r="G202" s="34">
        <v>0</v>
      </c>
      <c r="H202" s="34">
        <f t="shared" si="38"/>
        <v>22451217.499999937</v>
      </c>
      <c r="I202" s="309"/>
    </row>
    <row r="203" spans="1:9" ht="18.95" customHeight="1">
      <c r="A203" s="18">
        <f t="shared" si="39"/>
        <v>131</v>
      </c>
      <c r="B203" s="859">
        <v>927</v>
      </c>
      <c r="C203" t="s">
        <v>2046</v>
      </c>
      <c r="D203" s="34">
        <v>18026.45</v>
      </c>
      <c r="E203" s="621">
        <f t="shared" si="37"/>
        <v>1</v>
      </c>
      <c r="F203" s="34">
        <v>18026.45</v>
      </c>
      <c r="G203" s="34">
        <v>0</v>
      </c>
      <c r="H203" s="34">
        <f t="shared" si="38"/>
        <v>18026.45</v>
      </c>
      <c r="I203" s="309"/>
    </row>
    <row r="204" spans="1:9" ht="18.95" customHeight="1">
      <c r="A204" s="18">
        <f t="shared" si="39"/>
        <v>132</v>
      </c>
      <c r="B204" s="859">
        <v>928</v>
      </c>
      <c r="C204" t="s">
        <v>2047</v>
      </c>
      <c r="D204" s="34">
        <v>1441639.2099999986</v>
      </c>
      <c r="E204" s="621">
        <f t="shared" si="37"/>
        <v>1</v>
      </c>
      <c r="F204" s="34">
        <v>1441639.2099999986</v>
      </c>
      <c r="G204" s="34">
        <v>0</v>
      </c>
      <c r="H204" s="34">
        <f t="shared" si="38"/>
        <v>1441639.2099999986</v>
      </c>
      <c r="I204" s="309"/>
    </row>
    <row r="205" spans="1:9" s="16" customFormat="1" ht="20.100000000000001" customHeight="1">
      <c r="A205" s="831" t="str">
        <f>$A$1</f>
        <v>LOUISVILLE GAS AND ELECTRIC COMPANY</v>
      </c>
      <c r="B205" s="831"/>
      <c r="C205" s="831"/>
      <c r="D205" s="831"/>
      <c r="E205" s="831"/>
      <c r="F205" s="831"/>
      <c r="G205" s="831"/>
      <c r="H205" s="831"/>
      <c r="I205" s="831"/>
    </row>
    <row r="206" spans="1:9" s="16" customFormat="1" ht="20.100000000000001" customHeight="1">
      <c r="A206" s="831" t="str">
        <f>$A$2</f>
        <v>CASE NO. 2018-00295 - ELECTRIC OPERATIONS</v>
      </c>
      <c r="B206" s="831"/>
      <c r="C206" s="831"/>
      <c r="D206" s="831"/>
      <c r="E206" s="831"/>
      <c r="F206" s="831"/>
      <c r="G206" s="831"/>
      <c r="H206" s="831"/>
      <c r="I206" s="831"/>
    </row>
    <row r="207" spans="1:9" s="16" customFormat="1" ht="20.100000000000001" customHeight="1">
      <c r="A207" s="831" t="s">
        <v>1927</v>
      </c>
      <c r="B207" s="831"/>
      <c r="C207" s="831"/>
      <c r="D207" s="831"/>
      <c r="E207" s="831"/>
      <c r="F207" s="831"/>
      <c r="G207" s="831"/>
      <c r="H207" s="831"/>
      <c r="I207" s="831"/>
    </row>
    <row r="208" spans="1:9" s="16" customFormat="1" ht="20.100000000000001" customHeight="1">
      <c r="A208" s="831" t="str">
        <f>$A$4</f>
        <v>FOR THE 12 MONTHS ENDED DECEMBER 31, 2018</v>
      </c>
      <c r="B208" s="831"/>
      <c r="C208" s="831"/>
      <c r="D208" s="831"/>
      <c r="E208" s="831"/>
      <c r="F208" s="831"/>
      <c r="G208" s="831"/>
      <c r="H208" s="831"/>
      <c r="I208" s="831"/>
    </row>
    <row r="209" spans="1:9" s="16" customFormat="1" ht="20.100000000000001" customHeight="1">
      <c r="A209" s="775"/>
      <c r="B209" s="775"/>
      <c r="C209" s="775"/>
      <c r="D209" s="775"/>
      <c r="E209" s="775"/>
      <c r="F209" s="775"/>
      <c r="G209" s="775"/>
      <c r="H209" s="775"/>
      <c r="I209" s="775"/>
    </row>
    <row r="210" spans="1:9" s="16" customFormat="1" ht="20.100000000000001" customHeight="1">
      <c r="A210" s="15" t="s">
        <v>94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2048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1933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59">
        <v>929</v>
      </c>
      <c r="C217" t="s">
        <v>2049</v>
      </c>
      <c r="D217" s="34">
        <v>-241882.32</v>
      </c>
      <c r="E217" s="621">
        <f t="shared" ref="E217:E221" si="40">IF(D217=0,0,F217/D217)</f>
        <v>1</v>
      </c>
      <c r="F217" s="34">
        <v>-241882.32</v>
      </c>
      <c r="G217" s="34">
        <v>0</v>
      </c>
      <c r="H217" s="34">
        <f t="shared" si="38"/>
        <v>-241882.32</v>
      </c>
      <c r="I217" s="309"/>
    </row>
    <row r="218" spans="1:9" ht="18.95" customHeight="1">
      <c r="A218" s="18">
        <f t="shared" si="39"/>
        <v>134</v>
      </c>
      <c r="B218" s="859">
        <v>930.1</v>
      </c>
      <c r="C218" t="s">
        <v>2050</v>
      </c>
      <c r="D218" s="34">
        <v>31408.919999999991</v>
      </c>
      <c r="E218" s="621">
        <f t="shared" si="40"/>
        <v>1</v>
      </c>
      <c r="F218" s="34">
        <v>31408.919999999991</v>
      </c>
      <c r="G218" s="34">
        <v>0</v>
      </c>
      <c r="H218" s="34">
        <f t="shared" si="38"/>
        <v>31408.919999999991</v>
      </c>
      <c r="I218" s="309"/>
    </row>
    <row r="219" spans="1:9" ht="18.95" customHeight="1">
      <c r="A219" s="18">
        <f t="shared" si="39"/>
        <v>135</v>
      </c>
      <c r="B219" s="859">
        <v>930.2</v>
      </c>
      <c r="C219" t="s">
        <v>2051</v>
      </c>
      <c r="D219" s="34">
        <v>3166949.3899999936</v>
      </c>
      <c r="E219" s="621">
        <f t="shared" si="40"/>
        <v>1</v>
      </c>
      <c r="F219" s="34">
        <v>3166949.3899999936</v>
      </c>
      <c r="G219" s="34">
        <v>0</v>
      </c>
      <c r="H219" s="34">
        <f t="shared" si="38"/>
        <v>3166949.3899999936</v>
      </c>
      <c r="I219" s="309"/>
    </row>
    <row r="220" spans="1:9" ht="18.95" customHeight="1">
      <c r="A220" s="18">
        <f t="shared" si="39"/>
        <v>136</v>
      </c>
      <c r="B220" s="859">
        <v>931</v>
      </c>
      <c r="C220" t="s">
        <v>1965</v>
      </c>
      <c r="D220" s="34">
        <v>1741509.4399999997</v>
      </c>
      <c r="E220" s="621">
        <f t="shared" si="40"/>
        <v>1</v>
      </c>
      <c r="F220" s="34">
        <v>1741509.4399999997</v>
      </c>
      <c r="G220" s="34">
        <v>0</v>
      </c>
      <c r="H220" s="34">
        <f t="shared" si="38"/>
        <v>1741509.4399999997</v>
      </c>
      <c r="I220" s="309"/>
    </row>
    <row r="221" spans="1:9" ht="18.95" customHeight="1">
      <c r="A221" s="18">
        <f t="shared" si="39"/>
        <v>137</v>
      </c>
      <c r="B221" s="859">
        <v>935</v>
      </c>
      <c r="C221" t="s">
        <v>2052</v>
      </c>
      <c r="D221" s="34">
        <v>827796.29257189645</v>
      </c>
      <c r="E221" s="621">
        <f t="shared" si="40"/>
        <v>1</v>
      </c>
      <c r="F221" s="34">
        <v>827796.29257189645</v>
      </c>
      <c r="G221" s="34">
        <v>0</v>
      </c>
      <c r="H221" s="34">
        <f t="shared" si="38"/>
        <v>827796.29257189645</v>
      </c>
      <c r="I221" s="309"/>
    </row>
    <row r="222" spans="1:9" ht="18.95" customHeight="1">
      <c r="A222" s="18">
        <f t="shared" si="39"/>
        <v>138</v>
      </c>
      <c r="C222" s="125" t="s">
        <v>2053</v>
      </c>
      <c r="D222" s="623">
        <f>SUM(D196:D221)</f>
        <v>77623198.7452465</v>
      </c>
      <c r="F222" s="623">
        <f>SUM(F196:F221)</f>
        <v>77623198.7452465</v>
      </c>
      <c r="G222" s="623">
        <f>SUM(G196:G221)</f>
        <v>-3252.4</v>
      </c>
      <c r="H222" s="623">
        <f>SUM(H196:H221)</f>
        <v>77619946.345246494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645560823.43198943</v>
      </c>
      <c r="F224" s="52">
        <f>SUM(F107,F137,F159,F179,F186,F193,F222)</f>
        <v>645560823.43198943</v>
      </c>
      <c r="G224" s="52">
        <f>SUM(G107,G137,G159,G179,G186,G193,G222)</f>
        <v>-29258065.055340774</v>
      </c>
      <c r="H224" s="52">
        <f>SUM(H107,H137,H159,H179,H186,H193,H222)</f>
        <v>616302758.37664866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8" t="s">
        <v>1776</v>
      </c>
      <c r="C226" s="125" t="s">
        <v>2055</v>
      </c>
      <c r="D226" s="34">
        <v>159451257.02658349</v>
      </c>
      <c r="E226" s="621">
        <f t="shared" ref="E226:E232" si="41">IF(D226=0,0,F226/D226)</f>
        <v>1</v>
      </c>
      <c r="F226" s="34">
        <v>159451257.02658349</v>
      </c>
      <c r="G226" s="34">
        <v>-30156677.714664541</v>
      </c>
      <c r="H226" s="34">
        <f t="shared" ref="H226:H232" si="42">SUM(F226:G226)</f>
        <v>129294579.31191894</v>
      </c>
      <c r="I226" s="309"/>
    </row>
    <row r="227" spans="1:11" ht="18.95" customHeight="1">
      <c r="A227" s="18">
        <f t="shared" si="39"/>
        <v>141</v>
      </c>
      <c r="B227" s="859">
        <v>407.3</v>
      </c>
      <c r="C227" s="125" t="s">
        <v>2056</v>
      </c>
      <c r="D227" s="34">
        <v>564492.15995498886</v>
      </c>
      <c r="E227" s="621">
        <f t="shared" si="41"/>
        <v>1</v>
      </c>
      <c r="F227" s="34">
        <v>564492.15995498886</v>
      </c>
      <c r="G227" s="34">
        <v>-564492.16503087583</v>
      </c>
      <c r="H227" s="34">
        <f>ROUND(SUM(F227:G227),0)</f>
        <v>0</v>
      </c>
      <c r="I227" s="309"/>
    </row>
    <row r="228" spans="1:11" ht="18.95" customHeight="1">
      <c r="A228" s="18">
        <f t="shared" si="39"/>
        <v>142</v>
      </c>
      <c r="B228" s="859">
        <v>408.1</v>
      </c>
      <c r="C228" s="125" t="s">
        <v>2057</v>
      </c>
      <c r="D228" s="34">
        <v>34353326.323789433</v>
      </c>
      <c r="E228" s="621">
        <f t="shared" si="41"/>
        <v>1</v>
      </c>
      <c r="F228" s="34">
        <v>34353326.323789433</v>
      </c>
      <c r="G228" s="34">
        <v>-1649175.7304837147</v>
      </c>
      <c r="H228" s="34">
        <f t="shared" si="42"/>
        <v>32704150.593305718</v>
      </c>
      <c r="I228" s="309"/>
    </row>
    <row r="229" spans="1:11" ht="18.95" customHeight="1">
      <c r="A229" s="18">
        <f t="shared" si="39"/>
        <v>143</v>
      </c>
      <c r="B229" s="768" t="s">
        <v>2058</v>
      </c>
      <c r="C229" s="125" t="s">
        <v>2059</v>
      </c>
      <c r="D229" s="34">
        <v>42646948.785969391</v>
      </c>
      <c r="E229" s="621">
        <v>1</v>
      </c>
      <c r="F229" s="34">
        <f>D229*E229</f>
        <v>42646948.785969391</v>
      </c>
      <c r="G229" s="34">
        <v>-15270574.987223454</v>
      </c>
      <c r="H229" s="34">
        <f t="shared" si="42"/>
        <v>27376373.798745938</v>
      </c>
      <c r="I229" s="309"/>
      <c r="K229" s="34"/>
    </row>
    <row r="230" spans="1:11" ht="18.95" customHeight="1">
      <c r="A230" s="18">
        <f t="shared" si="39"/>
        <v>144</v>
      </c>
      <c r="B230" s="768" t="s">
        <v>2058</v>
      </c>
      <c r="C230" s="125" t="s">
        <v>2060</v>
      </c>
      <c r="D230" s="34">
        <v>11384451.868851447</v>
      </c>
      <c r="E230" s="621">
        <v>1</v>
      </c>
      <c r="F230" s="34">
        <f t="shared" ref="F230:F231" si="43">D230*E230</f>
        <v>11384451.868851447</v>
      </c>
      <c r="G230" s="34">
        <v>-3848625.7172275763</v>
      </c>
      <c r="H230" s="34">
        <f t="shared" si="42"/>
        <v>7535826.1516238712</v>
      </c>
      <c r="I230" s="309"/>
      <c r="K230" s="34"/>
    </row>
    <row r="231" spans="1:11" ht="18.95" customHeight="1">
      <c r="A231" s="18">
        <f t="shared" si="39"/>
        <v>145</v>
      </c>
      <c r="B231" s="768">
        <v>411.4</v>
      </c>
      <c r="C231" s="125" t="s">
        <v>2061</v>
      </c>
      <c r="D231" s="34">
        <v>-1102488</v>
      </c>
      <c r="E231" s="621">
        <v>1</v>
      </c>
      <c r="F231" s="34">
        <f t="shared" si="43"/>
        <v>-1102488</v>
      </c>
      <c r="G231" s="34">
        <v>0</v>
      </c>
      <c r="H231" s="34">
        <f t="shared" si="42"/>
        <v>-1102488</v>
      </c>
      <c r="I231" s="309"/>
    </row>
    <row r="232" spans="1:11" ht="18.95" customHeight="1">
      <c r="A232" s="18">
        <f t="shared" si="39"/>
        <v>146</v>
      </c>
      <c r="B232" s="768">
        <v>411.8</v>
      </c>
      <c r="C232" s="125" t="s">
        <v>2062</v>
      </c>
      <c r="D232" s="52">
        <v>-17792.759999999998</v>
      </c>
      <c r="E232" s="621">
        <f t="shared" si="41"/>
        <v>1</v>
      </c>
      <c r="F232" s="52">
        <v>-17792.759999999998</v>
      </c>
      <c r="G232" s="52">
        <v>0</v>
      </c>
      <c r="H232" s="52">
        <f t="shared" si="42"/>
        <v>-17792.759999999998</v>
      </c>
      <c r="I232" s="309"/>
    </row>
    <row r="233" spans="1:11" ht="18.95" customHeight="1">
      <c r="B233" s="859"/>
      <c r="C233" s="125"/>
      <c r="I233" s="309"/>
    </row>
    <row r="234" spans="1:11" ht="18.95" customHeight="1" thickBot="1">
      <c r="A234" s="18">
        <f>A232+1</f>
        <v>147</v>
      </c>
      <c r="B234" s="859"/>
      <c r="C234" s="133" t="s">
        <v>2063</v>
      </c>
      <c r="D234" s="42">
        <f>SUM(D224:D232)</f>
        <v>892841018.83713818</v>
      </c>
      <c r="F234" s="42">
        <f>SUM(F224:F232)</f>
        <v>892841018.83713818</v>
      </c>
      <c r="G234" s="42">
        <f>SUM(G224:G232)</f>
        <v>-80747611.369970948</v>
      </c>
      <c r="H234" s="42">
        <f>SUM(H224:H232)</f>
        <v>812093407.47224319</v>
      </c>
      <c r="I234" s="309"/>
    </row>
    <row r="235" spans="1:11" ht="18.95" customHeight="1" thickTop="1">
      <c r="B235" s="859"/>
      <c r="C235" s="133"/>
      <c r="I235" s="309"/>
    </row>
    <row r="236" spans="1:11" ht="18.95" customHeight="1" thickBot="1">
      <c r="A236" s="18">
        <f>A234+1</f>
        <v>148</v>
      </c>
      <c r="B236" s="859"/>
      <c r="C236" s="133" t="s">
        <v>2064</v>
      </c>
      <c r="D236" s="42">
        <f>D32-D234</f>
        <v>258811047.60949326</v>
      </c>
      <c r="F236" s="42">
        <f>F32-F234</f>
        <v>258811047.60949326</v>
      </c>
      <c r="G236" s="42">
        <f>G32-G234</f>
        <v>-75499950.232213825</v>
      </c>
      <c r="H236" s="42">
        <f>H32-H234</f>
        <v>183311097.37220335</v>
      </c>
      <c r="I236" s="309"/>
    </row>
    <row r="237" spans="1:11" ht="18.95" customHeight="1" thickTop="1">
      <c r="B237" s="859"/>
    </row>
    <row r="238" spans="1:11" ht="18.95" customHeight="1">
      <c r="B238" s="859"/>
      <c r="F238" s="34">
        <v>311739960.26431453</v>
      </c>
      <c r="G238" s="34">
        <v>-75499950.232213825</v>
      </c>
      <c r="H238" s="34"/>
    </row>
    <row r="239" spans="1:11" ht="18.95" customHeight="1">
      <c r="B239" s="859"/>
      <c r="D239" s="34"/>
      <c r="F239" s="34">
        <f>F236+F229+F230+F231</f>
        <v>311739960.26431406</v>
      </c>
      <c r="G239" s="624"/>
      <c r="H239" s="34">
        <f>H236+H229+H230+H231</f>
        <v>217120809.32257316</v>
      </c>
    </row>
    <row r="240" spans="1:11" ht="18.95" customHeight="1">
      <c r="B240" s="859"/>
      <c r="F240" s="34">
        <f>F239-F238</f>
        <v>-4.76837158203125E-7</v>
      </c>
      <c r="G240" s="34"/>
    </row>
    <row r="241" spans="2:7" ht="18.95" customHeight="1">
      <c r="B241" s="859"/>
      <c r="G241" s="624"/>
    </row>
    <row r="242" spans="2:7" ht="18.95" customHeight="1">
      <c r="B242" s="859"/>
      <c r="G242" s="34"/>
    </row>
    <row r="243" spans="2:7" ht="18.95" customHeight="1">
      <c r="B243" s="859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8.33203125" style="17" customWidth="1"/>
    <col min="3" max="4" width="13.6640625" style="17" customWidth="1"/>
    <col min="5" max="5" width="15.77734375" style="17" customWidth="1"/>
    <col min="6" max="6" width="14.77734375" style="17" customWidth="1"/>
    <col min="7" max="7" width="13.664062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197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</row>
    <row r="5" spans="1:7" s="16" customFormat="1" ht="20.100000000000001" customHeight="1">
      <c r="A5" s="32"/>
      <c r="B5" s="32"/>
      <c r="C5" s="32"/>
      <c r="D5" s="32"/>
      <c r="E5" s="32"/>
      <c r="F5" s="32"/>
      <c r="G5" s="32"/>
    </row>
    <row r="6" spans="1:7" s="16" customFormat="1" ht="20.100000000000001" customHeight="1">
      <c r="A6" s="15" t="s">
        <v>94</v>
      </c>
      <c r="F6" s="22"/>
      <c r="G6" s="22" t="s">
        <v>196</v>
      </c>
    </row>
    <row r="7" spans="1:7" s="16" customFormat="1" ht="20.100000000000001" customHeight="1">
      <c r="A7" s="16" t="str">
        <f>'Rate Case Constants'!C29</f>
        <v>TYPE OF FILING: _____ ORIGINAL  _____ UPDATED  __X__ REVISED</v>
      </c>
      <c r="F7" s="22"/>
      <c r="G7" s="22" t="s">
        <v>137</v>
      </c>
    </row>
    <row r="8" spans="1:7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7" s="16" customFormat="1" ht="20.100000000000001" customHeight="1"/>
    <row r="10" spans="1:7" ht="58.5" customHeight="1">
      <c r="A10" s="24" t="s">
        <v>92</v>
      </c>
      <c r="B10" s="27" t="s">
        <v>198</v>
      </c>
      <c r="C10" s="24" t="s">
        <v>183</v>
      </c>
      <c r="D10" s="24" t="s">
        <v>184</v>
      </c>
      <c r="E10" s="24" t="s">
        <v>185</v>
      </c>
      <c r="F10" s="24" t="s">
        <v>186</v>
      </c>
      <c r="G10" s="24" t="s">
        <v>187</v>
      </c>
    </row>
    <row r="11" spans="1:7" ht="23.1" customHeight="1">
      <c r="A11" s="28"/>
      <c r="B11" s="29"/>
      <c r="C11" s="30" t="s">
        <v>103</v>
      </c>
      <c r="D11" s="30"/>
      <c r="E11" s="30" t="s">
        <v>103</v>
      </c>
      <c r="F11" s="30" t="s">
        <v>103</v>
      </c>
      <c r="G11" s="30" t="s">
        <v>103</v>
      </c>
    </row>
    <row r="12" spans="1:7" ht="23.1" customHeight="1">
      <c r="A12" s="21"/>
      <c r="B12" s="26" t="s">
        <v>205</v>
      </c>
      <c r="C12" s="43"/>
      <c r="D12" s="43"/>
      <c r="E12" s="43"/>
      <c r="F12" s="43"/>
      <c r="G12" s="43"/>
    </row>
    <row r="13" spans="1:7" ht="18.95" customHeight="1">
      <c r="A13" s="18">
        <v>1</v>
      </c>
      <c r="B13" s="26" t="s">
        <v>191</v>
      </c>
      <c r="C13" s="34">
        <f>'SCH B-2.1 B'!D16</f>
        <v>2240.29</v>
      </c>
      <c r="D13" s="51">
        <f>E13/C13</f>
        <v>1</v>
      </c>
      <c r="E13" s="34">
        <f>'SCH B-2.1 B'!F16</f>
        <v>2240.29</v>
      </c>
      <c r="F13" s="34">
        <f>'SCH B-2.1 B'!G16</f>
        <v>0</v>
      </c>
      <c r="G13" s="36">
        <f>SUM(E13:F13)</f>
        <v>2240.29</v>
      </c>
    </row>
    <row r="14" spans="1:7" ht="18.95" customHeight="1">
      <c r="A14" s="18"/>
      <c r="B14" s="26"/>
      <c r="C14" s="34"/>
      <c r="D14" s="51"/>
      <c r="E14" s="34"/>
      <c r="F14" s="34"/>
      <c r="G14" s="34"/>
    </row>
    <row r="15" spans="1:7" ht="18.95" customHeight="1">
      <c r="A15" s="18">
        <v>2</v>
      </c>
      <c r="B15" s="26" t="s">
        <v>199</v>
      </c>
      <c r="C15" s="34">
        <f>'SCH B-2.1 B'!D27</f>
        <v>3209611912.7099996</v>
      </c>
      <c r="D15" s="51">
        <f>E15/C15</f>
        <v>1</v>
      </c>
      <c r="E15" s="34">
        <f>'SCH B-2.1 B'!F27</f>
        <v>3209611912.7099996</v>
      </c>
      <c r="F15" s="34">
        <f>'SCH B-2.1 B'!G27</f>
        <v>-1343586809.8</v>
      </c>
      <c r="G15" s="36">
        <f>SUM(E15:F15)</f>
        <v>1866025102.9099996</v>
      </c>
    </row>
    <row r="16" spans="1:7" ht="18.95" customHeight="1">
      <c r="A16" s="18"/>
      <c r="B16" s="26"/>
      <c r="C16" s="34"/>
      <c r="D16" s="34"/>
      <c r="E16" s="34"/>
      <c r="F16" s="34"/>
      <c r="G16" s="34"/>
    </row>
    <row r="17" spans="1:7" ht="18.95" customHeight="1">
      <c r="A17" s="18">
        <v>3</v>
      </c>
      <c r="B17" s="26" t="s">
        <v>201</v>
      </c>
      <c r="C17" s="34">
        <f>'SCH B-2.1 B'!D38</f>
        <v>158217935.84000003</v>
      </c>
      <c r="D17" s="51">
        <f>E17/C17</f>
        <v>1</v>
      </c>
      <c r="E17" s="34">
        <f>'SCH B-2.1 B'!F38</f>
        <v>158217935.84000003</v>
      </c>
      <c r="F17" s="34">
        <f>'SCH B-2.1 B'!G38</f>
        <v>-463569.14999999997</v>
      </c>
      <c r="G17" s="36">
        <f>SUM(E17:F17)</f>
        <v>157754366.69000003</v>
      </c>
    </row>
    <row r="18" spans="1:7" ht="18.95" customHeight="1">
      <c r="A18" s="18"/>
      <c r="B18" s="26"/>
      <c r="C18" s="34"/>
      <c r="D18" s="34"/>
      <c r="E18" s="34"/>
      <c r="F18" s="34"/>
      <c r="G18" s="34"/>
    </row>
    <row r="19" spans="1:7" ht="18.95" customHeight="1">
      <c r="A19" s="18">
        <v>4</v>
      </c>
      <c r="B19" s="26" t="s">
        <v>202</v>
      </c>
      <c r="C19" s="34">
        <f>'SCH B-2.1 B'!D60</f>
        <v>400171068.02999997</v>
      </c>
      <c r="D19" s="51">
        <f>E19/C19</f>
        <v>1</v>
      </c>
      <c r="E19" s="34">
        <f>'SCH B-2.1 B'!F60</f>
        <v>400171068.02999997</v>
      </c>
      <c r="F19" s="34">
        <f>'SCH B-2.1 B'!G60</f>
        <v>-111984.04</v>
      </c>
      <c r="G19" s="36">
        <f>SUM(E19:F19)</f>
        <v>400059083.98999995</v>
      </c>
    </row>
    <row r="20" spans="1:7" ht="18.95" customHeight="1">
      <c r="A20" s="18"/>
      <c r="B20" s="26"/>
      <c r="C20" s="34"/>
      <c r="D20" s="34"/>
      <c r="E20" s="34"/>
      <c r="F20" s="34"/>
      <c r="G20" s="34"/>
    </row>
    <row r="21" spans="1:7" ht="18.95" customHeight="1">
      <c r="A21" s="18">
        <v>5</v>
      </c>
      <c r="B21" s="26" t="s">
        <v>189</v>
      </c>
      <c r="C21" s="34">
        <f>'SCH B-2.1 B'!D72</f>
        <v>476244409.50999999</v>
      </c>
      <c r="D21" s="51">
        <f>E21/C21</f>
        <v>1</v>
      </c>
      <c r="E21" s="34">
        <f>'SCH B-2.1 B'!F72</f>
        <v>476244409.50999999</v>
      </c>
      <c r="F21" s="34">
        <f>'SCH B-2.1 B'!G72</f>
        <v>-195962.44999999998</v>
      </c>
      <c r="G21" s="36">
        <f>SUM(E21:F21)</f>
        <v>476048447.06</v>
      </c>
    </row>
    <row r="22" spans="1:7" ht="18.95" customHeight="1">
      <c r="A22" s="18"/>
      <c r="B22" s="26"/>
      <c r="C22" s="34"/>
      <c r="D22" s="34"/>
      <c r="E22" s="34"/>
      <c r="F22" s="34"/>
      <c r="G22" s="34"/>
    </row>
    <row r="23" spans="1:7" ht="18.95" customHeight="1">
      <c r="A23" s="18">
        <v>6</v>
      </c>
      <c r="B23" s="26" t="s">
        <v>203</v>
      </c>
      <c r="C23" s="34">
        <f>'SCH B-2.1 B'!D88</f>
        <v>1469504865.8999996</v>
      </c>
      <c r="D23" s="51">
        <f>E23/C23</f>
        <v>1</v>
      </c>
      <c r="E23" s="34">
        <f>'SCH B-2.1 B'!F88</f>
        <v>1469504865.8999996</v>
      </c>
      <c r="F23" s="34">
        <f>'SCH B-2.1 B'!G88</f>
        <v>-2020728.6600000001</v>
      </c>
      <c r="G23" s="36">
        <f>SUM(E23:F23)</f>
        <v>1467484137.2399995</v>
      </c>
    </row>
    <row r="24" spans="1:7" ht="18.95" customHeight="1">
      <c r="A24" s="18"/>
      <c r="B24" s="26"/>
      <c r="C24" s="34"/>
      <c r="D24" s="34"/>
      <c r="E24" s="34"/>
      <c r="F24" s="34"/>
      <c r="G24" s="34"/>
    </row>
    <row r="25" spans="1:7" ht="18.95" customHeight="1">
      <c r="A25" s="18">
        <v>7</v>
      </c>
      <c r="B25" s="26" t="s">
        <v>204</v>
      </c>
      <c r="C25" s="34">
        <f>'SCH B-2.1 B'!D111</f>
        <v>22982824.859999988</v>
      </c>
      <c r="D25" s="51">
        <f>E25/C25</f>
        <v>1</v>
      </c>
      <c r="E25" s="34">
        <f>'SCH B-2.1 B'!F111</f>
        <v>22982824.859999988</v>
      </c>
      <c r="F25" s="34">
        <f>'SCH B-2.1 B'!G111</f>
        <v>-6978086.8700000001</v>
      </c>
      <c r="G25" s="36">
        <f>SUM(E25:F25)</f>
        <v>16004737.989999987</v>
      </c>
    </row>
    <row r="26" spans="1:7" ht="18.95" customHeight="1">
      <c r="A26" s="18"/>
      <c r="B26" s="26"/>
      <c r="C26" s="34"/>
      <c r="D26" s="34"/>
      <c r="E26" s="34"/>
      <c r="F26" s="34"/>
      <c r="G26" s="34"/>
    </row>
    <row r="27" spans="1:7" ht="18.95" customHeight="1">
      <c r="A27" s="18">
        <v>8</v>
      </c>
      <c r="B27" s="26" t="s">
        <v>946</v>
      </c>
      <c r="C27" s="52">
        <f>'SCH B-2.1 B'!D128</f>
        <v>207150287.81669989</v>
      </c>
      <c r="D27" s="51">
        <f>E27/C27</f>
        <v>1</v>
      </c>
      <c r="E27" s="52">
        <f>'SCH B-2.1 B'!F128</f>
        <v>207150287.81669989</v>
      </c>
      <c r="F27" s="52">
        <f>'SCH B-2.1 B'!G128</f>
        <v>0</v>
      </c>
      <c r="G27" s="37">
        <f>SUM(E27:F27)</f>
        <v>207150287.81669989</v>
      </c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ht="18.95" customHeight="1" thickBot="1">
      <c r="A29" s="18">
        <v>9</v>
      </c>
      <c r="B29" s="26" t="s">
        <v>207</v>
      </c>
      <c r="C29" s="42">
        <f>SUM(C13:C27)</f>
        <v>5943885544.9566994</v>
      </c>
      <c r="D29" s="34"/>
      <c r="E29" s="42">
        <f>SUM(E13:E27)</f>
        <v>5943885544.9566994</v>
      </c>
      <c r="F29" s="42">
        <f>SUM(F13:F27)</f>
        <v>-1353357140.97</v>
      </c>
      <c r="G29" s="42">
        <f>SUM(G13:G27)</f>
        <v>4590528403.9866991</v>
      </c>
    </row>
    <row r="30" spans="1:7" ht="18.95" customHeight="1" thickTop="1">
      <c r="A30" s="18"/>
      <c r="B30" s="26"/>
      <c r="C30" s="34"/>
      <c r="D30" s="34"/>
      <c r="E30" s="34"/>
      <c r="F30" s="34"/>
      <c r="G30" s="34"/>
    </row>
    <row r="31" spans="1:7" s="16" customFormat="1" ht="20.100000000000001" customHeight="1">
      <c r="A31" s="831" t="str">
        <f>$A$1</f>
        <v>LOUISVILLE GAS AND ELECTRIC COMPANY</v>
      </c>
      <c r="B31" s="831"/>
      <c r="C31" s="831"/>
      <c r="D31" s="831"/>
      <c r="E31" s="831"/>
      <c r="F31" s="831"/>
      <c r="G31" s="831"/>
    </row>
    <row r="32" spans="1:7" s="16" customFormat="1" ht="20.100000000000001" customHeight="1">
      <c r="A32" s="831" t="str">
        <f>$A$2</f>
        <v>CASE NO. 2018-00295 - ELECTRIC OPERATIONS</v>
      </c>
      <c r="B32" s="831"/>
      <c r="C32" s="831"/>
      <c r="D32" s="831"/>
      <c r="E32" s="831"/>
      <c r="F32" s="831"/>
      <c r="G32" s="831"/>
    </row>
    <row r="33" spans="1:7" s="16" customFormat="1" ht="20.100000000000001" customHeight="1">
      <c r="A33" s="831" t="str">
        <f>$A$3</f>
        <v>PLANT IN SERVICE BY MAJOR PROPERTY GROUPING</v>
      </c>
      <c r="B33" s="831"/>
      <c r="C33" s="831"/>
      <c r="D33" s="831"/>
      <c r="E33" s="831"/>
      <c r="F33" s="831"/>
      <c r="G33" s="831"/>
    </row>
    <row r="34" spans="1:7" s="16" customFormat="1" ht="20.100000000000001" customHeight="1">
      <c r="A34" s="832" t="str">
        <f>'Rate Case Constants'!C18</f>
        <v>AS OF APRIL 30, 2020</v>
      </c>
      <c r="B34" s="831"/>
      <c r="C34" s="831"/>
      <c r="D34" s="831"/>
      <c r="E34" s="831"/>
      <c r="F34" s="831"/>
      <c r="G34" s="831"/>
    </row>
    <row r="35" spans="1:7" s="16" customFormat="1" ht="20.100000000000001" customHeight="1">
      <c r="A35" s="32"/>
      <c r="B35" s="32"/>
      <c r="C35" s="32"/>
      <c r="D35" s="32"/>
      <c r="E35" s="32"/>
      <c r="F35" s="32"/>
      <c r="G35" s="32"/>
    </row>
    <row r="36" spans="1:7" s="16" customFormat="1" ht="20.100000000000001" customHeight="1">
      <c r="A36" s="15" t="s">
        <v>122</v>
      </c>
      <c r="F36" s="22"/>
      <c r="G36" s="22" t="s">
        <v>196</v>
      </c>
    </row>
    <row r="37" spans="1:7" s="16" customFormat="1" ht="20.100000000000001" customHeight="1">
      <c r="A37" s="15" t="str">
        <f>$A$7</f>
        <v>TYPE OF FILING: _____ ORIGINAL  _____ UPDATED  __X__ REVISED</v>
      </c>
      <c r="F37" s="22"/>
      <c r="G37" s="22" t="s">
        <v>145</v>
      </c>
    </row>
    <row r="38" spans="1:7" s="16" customFormat="1" ht="20.100000000000001" customHeight="1">
      <c r="A38" s="15" t="str">
        <f>$A$8</f>
        <v>WORKPAPER REFERENCE NO(S).:</v>
      </c>
      <c r="E38" s="15"/>
      <c r="F38" s="23"/>
      <c r="G38" s="23" t="str">
        <f>$G$8</f>
        <v>WITNESS:   C. M. GARRETT</v>
      </c>
    </row>
    <row r="39" spans="1:7" s="16" customFormat="1" ht="20.100000000000001" customHeight="1"/>
    <row r="40" spans="1:7" ht="81.95" customHeight="1">
      <c r="A40" s="24" t="s">
        <v>92</v>
      </c>
      <c r="B40" s="27" t="s">
        <v>182</v>
      </c>
      <c r="C40" s="24" t="s">
        <v>200</v>
      </c>
      <c r="D40" s="24" t="s">
        <v>184</v>
      </c>
      <c r="E40" s="24" t="s">
        <v>185</v>
      </c>
      <c r="F40" s="24" t="s">
        <v>186</v>
      </c>
      <c r="G40" s="24" t="s">
        <v>206</v>
      </c>
    </row>
    <row r="41" spans="1:7" ht="23.1" customHeight="1">
      <c r="A41" s="28"/>
      <c r="B41" s="29"/>
      <c r="C41" s="30" t="s">
        <v>103</v>
      </c>
      <c r="D41" s="30"/>
      <c r="E41" s="30" t="s">
        <v>103</v>
      </c>
      <c r="F41" s="30" t="s">
        <v>103</v>
      </c>
      <c r="G41" s="30" t="s">
        <v>103</v>
      </c>
    </row>
    <row r="42" spans="1:7" ht="23.1" customHeight="1">
      <c r="A42" s="21"/>
      <c r="B42" s="53" t="s">
        <v>205</v>
      </c>
      <c r="C42" s="43"/>
      <c r="D42" s="43"/>
      <c r="E42" s="43"/>
      <c r="F42" s="43"/>
      <c r="G42" s="43"/>
    </row>
    <row r="43" spans="1:7" ht="18.95" customHeight="1">
      <c r="A43" s="18">
        <v>1</v>
      </c>
      <c r="B43" s="26" t="s">
        <v>191</v>
      </c>
      <c r="C43" s="34">
        <f>'SCH B-2.1 F'!D16</f>
        <v>2240.2900000000009</v>
      </c>
      <c r="D43" s="51">
        <f>E43/C43</f>
        <v>1</v>
      </c>
      <c r="E43" s="34">
        <f>'SCH B-2.1 F'!F16</f>
        <v>2240.2900000000009</v>
      </c>
      <c r="F43" s="34">
        <f>'SCH B-2.1 F'!G16</f>
        <v>0</v>
      </c>
      <c r="G43" s="36">
        <f>SUM(E43:F43)</f>
        <v>2240.2900000000009</v>
      </c>
    </row>
    <row r="44" spans="1:7" ht="18.95" customHeight="1">
      <c r="A44" s="18"/>
      <c r="B44" s="26"/>
      <c r="C44" s="34"/>
      <c r="D44" s="51"/>
      <c r="E44" s="34"/>
      <c r="F44" s="34"/>
      <c r="G44" s="34"/>
    </row>
    <row r="45" spans="1:7" ht="18.95" customHeight="1">
      <c r="A45" s="18">
        <v>2</v>
      </c>
      <c r="B45" s="26" t="s">
        <v>199</v>
      </c>
      <c r="C45" s="34">
        <f>'SCH B-2.1 F'!D27</f>
        <v>3477278349.8384533</v>
      </c>
      <c r="D45" s="51">
        <f>E45/C45</f>
        <v>1</v>
      </c>
      <c r="E45" s="34">
        <f>'SCH B-2.1 F'!F27</f>
        <v>3477278349.8384533</v>
      </c>
      <c r="F45" s="34">
        <f>'SCH B-2.1 F'!G27</f>
        <v>-1590454325.221539</v>
      </c>
      <c r="G45" s="36">
        <f>SUM(E45:F45)</f>
        <v>1886824024.6169143</v>
      </c>
    </row>
    <row r="46" spans="1:7" ht="18.95" customHeight="1">
      <c r="A46" s="18"/>
      <c r="B46" s="26"/>
      <c r="C46" s="34"/>
      <c r="D46" s="34"/>
      <c r="E46" s="34"/>
      <c r="F46" s="34"/>
      <c r="G46" s="34"/>
    </row>
    <row r="47" spans="1:7" ht="18.95" customHeight="1">
      <c r="A47" s="18">
        <v>3</v>
      </c>
      <c r="B47" s="26" t="s">
        <v>201</v>
      </c>
      <c r="C47" s="34">
        <f>'SCH B-2.1 F'!D38</f>
        <v>158273296.55153847</v>
      </c>
      <c r="D47" s="51">
        <f>E47/C47</f>
        <v>1</v>
      </c>
      <c r="E47" s="34">
        <f>'SCH B-2.1 F'!F38</f>
        <v>158273296.55153847</v>
      </c>
      <c r="F47" s="34">
        <f>'SCH B-2.1 F'!G38</f>
        <v>-463569.15</v>
      </c>
      <c r="G47" s="36">
        <f>SUM(E47:F47)</f>
        <v>157809727.40153846</v>
      </c>
    </row>
    <row r="48" spans="1:7" ht="18.95" customHeight="1">
      <c r="A48" s="18"/>
      <c r="B48" s="26"/>
      <c r="C48" s="34"/>
      <c r="D48" s="34"/>
      <c r="E48" s="34"/>
      <c r="F48" s="34"/>
      <c r="G48" s="34"/>
    </row>
    <row r="49" spans="1:7" ht="18.95" customHeight="1">
      <c r="A49" s="18">
        <v>4</v>
      </c>
      <c r="B49" s="26" t="s">
        <v>202</v>
      </c>
      <c r="C49" s="34">
        <f>'SCH B-2.1 F'!D60</f>
        <v>410044097.84153789</v>
      </c>
      <c r="D49" s="51">
        <f>E49/C49</f>
        <v>1</v>
      </c>
      <c r="E49" s="34">
        <f>'SCH B-2.1 F'!F60</f>
        <v>410044097.84153789</v>
      </c>
      <c r="F49" s="34">
        <f>'SCH B-2.1 F'!G60</f>
        <v>-111984.04000000004</v>
      </c>
      <c r="G49" s="36">
        <f>SUM(E49:F49)</f>
        <v>409932113.80153787</v>
      </c>
    </row>
    <row r="50" spans="1:7" ht="18.95" customHeight="1">
      <c r="A50" s="18"/>
      <c r="B50" s="26"/>
      <c r="C50" s="34"/>
      <c r="D50" s="34"/>
      <c r="E50" s="34"/>
      <c r="F50" s="34"/>
      <c r="G50" s="34"/>
    </row>
    <row r="51" spans="1:7" ht="18.95" customHeight="1">
      <c r="A51" s="18">
        <v>5</v>
      </c>
      <c r="B51" s="26" t="s">
        <v>189</v>
      </c>
      <c r="C51" s="34">
        <f>'SCH B-2.1 F'!D72</f>
        <v>500821069.27999991</v>
      </c>
      <c r="D51" s="51">
        <f>E51/C51</f>
        <v>1</v>
      </c>
      <c r="E51" s="34">
        <f>'SCH B-2.1 F'!F72</f>
        <v>500821069.27999991</v>
      </c>
      <c r="F51" s="34">
        <f>'SCH B-2.1 F'!G72</f>
        <v>-195962.44999999998</v>
      </c>
      <c r="G51" s="36">
        <f>SUM(E51:F51)</f>
        <v>500625106.82999992</v>
      </c>
    </row>
    <row r="52" spans="1:7" ht="18.95" customHeight="1">
      <c r="A52" s="18"/>
      <c r="B52" s="26"/>
      <c r="C52" s="34"/>
      <c r="D52" s="34"/>
      <c r="E52" s="34"/>
      <c r="F52" s="34"/>
      <c r="G52" s="34"/>
    </row>
    <row r="53" spans="1:7" ht="18.95" customHeight="1">
      <c r="A53" s="18">
        <v>6</v>
      </c>
      <c r="B53" s="26" t="s">
        <v>203</v>
      </c>
      <c r="C53" s="34">
        <f>'SCH B-2.1 F'!D88</f>
        <v>1557116234.8692279</v>
      </c>
      <c r="D53" s="51">
        <f>E53/C53</f>
        <v>1</v>
      </c>
      <c r="E53" s="34">
        <f>'SCH B-2.1 F'!F88</f>
        <v>1557116234.8692279</v>
      </c>
      <c r="F53" s="34">
        <f>'SCH B-2.1 F'!G88</f>
        <v>-2020728.66</v>
      </c>
      <c r="G53" s="36">
        <f>SUM(E53:F53)</f>
        <v>1555095506.2092278</v>
      </c>
    </row>
    <row r="54" spans="1:7" ht="18.95" customHeight="1">
      <c r="A54" s="18"/>
      <c r="B54" s="26"/>
      <c r="C54" s="34"/>
      <c r="D54" s="34"/>
      <c r="E54" s="34"/>
      <c r="F54" s="34"/>
      <c r="G54" s="34"/>
    </row>
    <row r="55" spans="1:7" ht="18.95" customHeight="1">
      <c r="A55" s="18">
        <v>7</v>
      </c>
      <c r="B55" s="26" t="s">
        <v>204</v>
      </c>
      <c r="C55" s="34">
        <f>'SCH B-2.1 F'!D111</f>
        <v>23321573.418461531</v>
      </c>
      <c r="D55" s="51">
        <f>E55/C55</f>
        <v>1</v>
      </c>
      <c r="E55" s="34">
        <f>'SCH B-2.1 F'!F111</f>
        <v>23321573.418461531</v>
      </c>
      <c r="F55" s="34">
        <f>'SCH B-2.1 F'!G111</f>
        <v>-7172349.6961538456</v>
      </c>
      <c r="G55" s="36">
        <f>SUM(E55:F55)</f>
        <v>16149223.722307686</v>
      </c>
    </row>
    <row r="56" spans="1:7" ht="18.95" customHeight="1">
      <c r="A56" s="18"/>
      <c r="B56" s="26"/>
      <c r="C56" s="34"/>
      <c r="D56" s="34"/>
      <c r="E56" s="34"/>
      <c r="F56" s="34"/>
      <c r="G56" s="34"/>
    </row>
    <row r="57" spans="1:7" ht="18.95" customHeight="1">
      <c r="A57" s="18">
        <v>8</v>
      </c>
      <c r="B57" s="26" t="s">
        <v>946</v>
      </c>
      <c r="C57" s="52">
        <f>'SCH B-2.1 F'!D128</f>
        <v>183181103.76410741</v>
      </c>
      <c r="D57" s="51">
        <f>E57/C57</f>
        <v>1</v>
      </c>
      <c r="E57" s="52">
        <f>'SCH B-2.1 F'!F128</f>
        <v>183181103.76410741</v>
      </c>
      <c r="F57" s="52">
        <f>'SCH B-2.1 F'!G128</f>
        <v>0</v>
      </c>
      <c r="G57" s="37">
        <f>SUM(E57:F57)</f>
        <v>183181103.76410741</v>
      </c>
    </row>
    <row r="58" spans="1:7" ht="18.95" customHeight="1">
      <c r="A58" s="18"/>
      <c r="B58" s="26"/>
      <c r="C58" s="34"/>
      <c r="D58" s="34"/>
      <c r="E58" s="34"/>
      <c r="F58" s="34"/>
      <c r="G58" s="34"/>
    </row>
    <row r="59" spans="1:7" ht="18.95" customHeight="1" thickBot="1">
      <c r="A59" s="18">
        <v>9</v>
      </c>
      <c r="B59" s="26" t="s">
        <v>207</v>
      </c>
      <c r="C59" s="42">
        <f>SUM(C43:C57)</f>
        <v>6310037965.8533268</v>
      </c>
      <c r="D59" s="34"/>
      <c r="E59" s="42">
        <f>SUM(E43:E57)</f>
        <v>6310037965.8533268</v>
      </c>
      <c r="F59" s="42">
        <f>SUM(F43:F57)</f>
        <v>-1600418919.2176931</v>
      </c>
      <c r="G59" s="42">
        <f>SUM(G43:G57)</f>
        <v>4709619046.6356344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8" fitToHeight="0" orientation="portrait" r:id="rId1"/>
  <rowBreaks count="1" manualBreakCount="1">
    <brk id="3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4.77734375" style="17" customWidth="1"/>
    <col min="5" max="5" width="13.6640625" style="17" customWidth="1"/>
    <col min="6" max="6" width="15.77734375" style="17" customWidth="1"/>
    <col min="7" max="7" width="14.77734375" style="17" customWidth="1"/>
    <col min="8" max="8" width="13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181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133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182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49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B'!H13</f>
        <v>2240.29</v>
      </c>
      <c r="E13" s="51"/>
      <c r="F13" s="34">
        <f>D13</f>
        <v>2240.29</v>
      </c>
      <c r="G13" s="34">
        <f>SUMIFS('SCH B-2.2'!$F$12:$F$23,'SCH B-2.2'!$B$12:$B$23,B13)</f>
        <v>0</v>
      </c>
      <c r="H13" s="34">
        <f>SUM(F13:G13)</f>
        <v>2240.29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B'!H14</f>
        <v>0</v>
      </c>
      <c r="E14" s="51"/>
      <c r="F14" s="36">
        <f>D14</f>
        <v>0</v>
      </c>
      <c r="G14" s="35">
        <f>SUMIFS('SCH B-2.2'!$F$12:$F$23,'SCH B-2.2'!$B$12:$B$23,B14)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B'!H15</f>
        <v>0</v>
      </c>
      <c r="E15" s="51"/>
      <c r="F15" s="37">
        <f>D15</f>
        <v>0</v>
      </c>
      <c r="G15" s="37">
        <f>SUMIFS('SCH B-2.2'!$F$12:$F$23,'SCH B-2.2'!$B$12:$B$23,B15)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/>
      <c r="F16" s="34">
        <f>SUM(F13:F15)</f>
        <v>2240.29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B'!H19</f>
        <v>11234131.259999989</v>
      </c>
      <c r="E19" s="51"/>
      <c r="F19" s="36">
        <f t="shared" ref="F19:F26" si="1">D19</f>
        <v>11234131.259999989</v>
      </c>
      <c r="G19" s="36">
        <f>SUMIFS('SCH B-2.2'!$F$12:$F$23,'SCH B-2.2'!$B$12:$B$23,B19)</f>
        <v>-3967520.8099999898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B'!H20</f>
        <v>311454485.72999996</v>
      </c>
      <c r="E20" s="51"/>
      <c r="F20" s="36">
        <f t="shared" si="1"/>
        <v>311454485.72999996</v>
      </c>
      <c r="G20" s="36">
        <f>SUMIFS('SCH B-2.2'!$F$12:$F$23,'SCH B-2.2'!$B$12:$B$23,B20)</f>
        <v>-31664290.949999999</v>
      </c>
      <c r="H20" s="36">
        <f t="shared" si="2"/>
        <v>279790194.77999997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B'!H21</f>
        <v>2359229470.25</v>
      </c>
      <c r="E21" s="51"/>
      <c r="F21" s="36">
        <f t="shared" si="1"/>
        <v>2359229470.25</v>
      </c>
      <c r="G21" s="36">
        <f>SUMIFS('SCH B-2.2'!$F$12:$F$23,'SCH B-2.2'!$B$12:$B$23,B21)</f>
        <v>-1170478380.74</v>
      </c>
      <c r="H21" s="36">
        <f t="shared" si="2"/>
        <v>1188751089.51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B'!H22</f>
        <v>0</v>
      </c>
      <c r="E22" s="51"/>
      <c r="F22" s="36">
        <f t="shared" si="1"/>
        <v>0</v>
      </c>
      <c r="G22" s="36">
        <f>SUMIFS('SCH B-2.2'!$F$12:$F$23,'SCH B-2.2'!$B$12:$B$23,B22)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B'!H23</f>
        <v>234779172.69</v>
      </c>
      <c r="E23" s="51"/>
      <c r="F23" s="36">
        <f t="shared" si="1"/>
        <v>234779172.69</v>
      </c>
      <c r="G23" s="36">
        <f>SUMIFS('SCH B-2.2'!$F$12:$F$23,'SCH B-2.2'!$B$12:$B$23,B23)</f>
        <v>0</v>
      </c>
      <c r="H23" s="36">
        <f t="shared" si="2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B'!H24</f>
        <v>183299673.08999997</v>
      </c>
      <c r="E24" s="51"/>
      <c r="F24" s="36">
        <f t="shared" si="1"/>
        <v>183299673.08999997</v>
      </c>
      <c r="G24" s="36">
        <f>SUMIFS('SCH B-2.2'!$F$12:$F$23,'SCH B-2.2'!$B$12:$B$23,B24)</f>
        <v>-47379452.670000002</v>
      </c>
      <c r="H24" s="36">
        <f t="shared" si="2"/>
        <v>135920220.41999996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B'!H25</f>
        <v>20428079.589999896</v>
      </c>
      <c r="E25" s="51"/>
      <c r="F25" s="36">
        <f t="shared" si="1"/>
        <v>20428079.589999896</v>
      </c>
      <c r="G25" s="36">
        <f>SUMIFS('SCH B-2.2'!$F$12:$F$23,'SCH B-2.2'!$B$12:$B$23,B25)</f>
        <v>-910264.52999999898</v>
      </c>
      <c r="H25" s="36">
        <f t="shared" si="2"/>
        <v>19517815.059999898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B'!H26</f>
        <v>89186900.100000009</v>
      </c>
      <c r="E26" s="51"/>
      <c r="F26" s="37">
        <f t="shared" si="1"/>
        <v>89186900.100000009</v>
      </c>
      <c r="G26" s="37">
        <f>SUMIFS('SCH B-2.2'!$F$12:$F$23,'SCH B-2.2'!$B$12:$B$23,B26)</f>
        <v>-89186900.099999994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3209611912.7099996</v>
      </c>
      <c r="E27" s="51"/>
      <c r="F27" s="34">
        <f>SUM(F19:F26)</f>
        <v>3209611912.7099996</v>
      </c>
      <c r="G27" s="34">
        <f>SUM(G19:G26)</f>
        <v>-1343586809.8</v>
      </c>
      <c r="H27" s="34">
        <f>SUM(H19:H26)</f>
        <v>1866025102.9099998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B'!H30</f>
        <v>6.5</v>
      </c>
      <c r="E30" s="51"/>
      <c r="F30" s="36">
        <f t="shared" ref="F30:F37" si="3">D30</f>
        <v>6.5</v>
      </c>
      <c r="G30" s="36">
        <f>SUMIFS('SCH B-2.2'!$F$12:$F$23,'SCH B-2.2'!$B$12:$B$23,B30)</f>
        <v>0</v>
      </c>
      <c r="H30" s="36">
        <f t="shared" ref="H30:H37" si="4">SUM(F30:G30)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B'!H31</f>
        <v>12870684.620000001</v>
      </c>
      <c r="E31" s="51"/>
      <c r="F31" s="36">
        <f t="shared" si="3"/>
        <v>12870684.620000001</v>
      </c>
      <c r="G31" s="36">
        <f>SUMIFS('SCH B-2.2'!$F$12:$F$23,'SCH B-2.2'!$B$12:$B$23,B31)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B'!H32</f>
        <v>26209847.310000002</v>
      </c>
      <c r="E32" s="51"/>
      <c r="F32" s="36">
        <f t="shared" si="3"/>
        <v>26209847.310000002</v>
      </c>
      <c r="G32" s="36">
        <f>SUMIFS('SCH B-2.2'!$F$12:$F$23,'SCH B-2.2'!$B$12:$B$23,B32)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B'!H33</f>
        <v>101920448.19999999</v>
      </c>
      <c r="E33" s="51"/>
      <c r="F33" s="36">
        <f t="shared" si="3"/>
        <v>101920448.19999999</v>
      </c>
      <c r="G33" s="36">
        <f>SUMIFS('SCH B-2.2'!$F$12:$F$23,'SCH B-2.2'!$B$12:$B$23,B33)</f>
        <v>0</v>
      </c>
      <c r="H33" s="36">
        <f t="shared" si="4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B'!H34</f>
        <v>13160323.679999998</v>
      </c>
      <c r="E34" s="51"/>
      <c r="F34" s="36">
        <f t="shared" si="3"/>
        <v>13160323.679999998</v>
      </c>
      <c r="G34" s="36">
        <f>SUMIFS('SCH B-2.2'!$F$12:$F$23,'SCH B-2.2'!$B$12:$B$23,B34)</f>
        <v>0</v>
      </c>
      <c r="H34" s="36">
        <f t="shared" si="4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B'!H35</f>
        <v>3563125.77</v>
      </c>
      <c r="E35" s="51"/>
      <c r="F35" s="36">
        <f t="shared" si="3"/>
        <v>3563125.77</v>
      </c>
      <c r="G35" s="36">
        <f>SUMIFS('SCH B-2.2'!$F$12:$F$23,'SCH B-2.2'!$B$12:$B$23,B35)</f>
        <v>0</v>
      </c>
      <c r="H35" s="36">
        <f t="shared" si="4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B'!H36</f>
        <v>29930.61</v>
      </c>
      <c r="E36" s="51"/>
      <c r="F36" s="36">
        <f t="shared" si="3"/>
        <v>29930.61</v>
      </c>
      <c r="G36" s="36">
        <f>SUMIFS('SCH B-2.2'!$F$12:$F$23,'SCH B-2.2'!$B$12:$B$23,B36)</f>
        <v>0</v>
      </c>
      <c r="H36" s="36">
        <f t="shared" si="4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B'!H37</f>
        <v>463569.15</v>
      </c>
      <c r="E37" s="51"/>
      <c r="F37" s="37">
        <f t="shared" si="3"/>
        <v>463569.15</v>
      </c>
      <c r="G37" s="37">
        <f>SUMIFS('SCH B-2.2'!$F$12:$F$23,'SCH B-2.2'!$B$12:$B$23,B37)</f>
        <v>-463569.14999999997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158217935.84000003</v>
      </c>
      <c r="E38" s="34"/>
      <c r="F38" s="34">
        <f>SUM(F30:F37)</f>
        <v>158217935.84000003</v>
      </c>
      <c r="G38" s="34">
        <f>SUM(G30:G37)</f>
        <v>-463569.14999999997</v>
      </c>
      <c r="H38" s="34">
        <f>SUM(H30:H37)</f>
        <v>157754366.69000003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B'!H41</f>
        <v>414278.16</v>
      </c>
      <c r="E41" s="51"/>
      <c r="F41" s="36">
        <f>D41</f>
        <v>414278.16</v>
      </c>
      <c r="G41" s="36">
        <f>SUMIFS('SCH B-2.2'!$F$12:$F$23,'SCH B-2.2'!$B$12:$B$23,B41)</f>
        <v>0</v>
      </c>
      <c r="H41" s="36">
        <f>SUM(F41:G41)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B'!H42</f>
        <v>33942182.450000003</v>
      </c>
      <c r="E42" s="51"/>
      <c r="F42" s="36">
        <f>D42</f>
        <v>33942182.450000003</v>
      </c>
      <c r="G42" s="36">
        <f>SUMIFS('SCH B-2.2'!$F$12:$F$23,'SCH B-2.2'!$B$12:$B$23,B42)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B'!H43</f>
        <v>24767192.59</v>
      </c>
      <c r="E43" s="51"/>
      <c r="F43" s="36">
        <f>D43</f>
        <v>24767192.59</v>
      </c>
      <c r="G43" s="36">
        <f>SUMIFS('SCH B-2.2'!$F$12:$F$23,'SCH B-2.2'!$B$12:$B$23,B43)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B'!H44</f>
        <v>243935567.73999998</v>
      </c>
      <c r="E44" s="51"/>
      <c r="F44" s="36">
        <f>D44</f>
        <v>243935567.73999998</v>
      </c>
      <c r="G44" s="36">
        <f>SUMIFS('SCH B-2.2'!$F$12:$F$23,'SCH B-2.2'!$B$12:$B$23,B44)</f>
        <v>0</v>
      </c>
      <c r="H44" s="36">
        <f>SUM(F44:G44)</f>
        <v>243935567.73999998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PLANT IN SERVICE BY ACCOUNTS AND SUBACCOUNTS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AS OF DECEMBER 31, 2018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 xml:space="preserve">WORKPAPER REFERENCE NO(S).: 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182</v>
      </c>
      <c r="D54" s="24" t="s">
        <v>183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49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B'!H56</f>
        <v>59666441.119999997</v>
      </c>
      <c r="E56" s="51"/>
      <c r="F56" s="36">
        <f>D56</f>
        <v>59666441.119999997</v>
      </c>
      <c r="G56" s="36">
        <f>SUMIFS('SCH B-2.2'!$F$12:$F$23,'SCH B-2.2'!$B$12:$B$23,B56)</f>
        <v>0</v>
      </c>
      <c r="H56" s="36">
        <f>SUM(F56:G56)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B'!H57</f>
        <v>32099835.649999999</v>
      </c>
      <c r="E57" s="51"/>
      <c r="F57" s="36">
        <f>D57</f>
        <v>32099835.649999999</v>
      </c>
      <c r="G57" s="36">
        <f>SUMIFS('SCH B-2.2'!$F$12:$F$23,'SCH B-2.2'!$B$12:$B$23,B57)</f>
        <v>0</v>
      </c>
      <c r="H57" s="36">
        <f>SUM(F57:G57)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B'!H58</f>
        <v>5233586.2799999984</v>
      </c>
      <c r="E58" s="51"/>
      <c r="F58" s="36">
        <f>D58</f>
        <v>5233586.2799999984</v>
      </c>
      <c r="G58" s="36">
        <f>SUMIFS('SCH B-2.2'!$F$12:$F$23,'SCH B-2.2'!$B$12:$B$23,B58)</f>
        <v>0</v>
      </c>
      <c r="H58" s="36">
        <f>SUM(F58:G58)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B'!H59</f>
        <v>111984.04</v>
      </c>
      <c r="E59" s="51"/>
      <c r="F59" s="37">
        <f>D59</f>
        <v>111984.04</v>
      </c>
      <c r="G59" s="37">
        <f>SUMIFS('SCH B-2.2'!$F$12:$F$23,'SCH B-2.2'!$B$12:$B$23,B59)</f>
        <v>-111984.04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400171068.02999997</v>
      </c>
      <c r="E60" s="34"/>
      <c r="F60" s="34">
        <f>SUM(F41:F44,F56:F59)</f>
        <v>400171068.02999997</v>
      </c>
      <c r="G60" s="34">
        <f>SUM(G41:G44,G56:G59)</f>
        <v>-111984.04</v>
      </c>
      <c r="H60" s="34">
        <f>SUM(H41:H44,H56:H59)</f>
        <v>400059083.98999995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B'!H63</f>
        <v>11144162.02</v>
      </c>
      <c r="E63" s="51"/>
      <c r="F63" s="36">
        <f t="shared" ref="F63:F71" si="5">D63</f>
        <v>11144162.02</v>
      </c>
      <c r="G63" s="36">
        <f>SUMIFS('SCH B-2.2'!$F$12:$F$23,'SCH B-2.2'!$B$12:$B$23,B63)</f>
        <v>0</v>
      </c>
      <c r="H63" s="36">
        <f t="shared" ref="H63:H71" si="6">SUM(F63:G63)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B'!H64</f>
        <v>17704470.390000004</v>
      </c>
      <c r="E64" s="51"/>
      <c r="F64" s="36">
        <f t="shared" si="5"/>
        <v>17704470.390000004</v>
      </c>
      <c r="G64" s="36">
        <f>SUMIFS('SCH B-2.2'!$F$12:$F$23,'SCH B-2.2'!$B$12:$B$23,B64)</f>
        <v>0</v>
      </c>
      <c r="H64" s="36">
        <f t="shared" si="6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B'!H65</f>
        <v>232170481.12</v>
      </c>
      <c r="E65" s="51"/>
      <c r="F65" s="36">
        <f t="shared" si="5"/>
        <v>232170481.12</v>
      </c>
      <c r="G65" s="36">
        <f>SUMIFS('SCH B-2.2'!$F$12:$F$23,'SCH B-2.2'!$B$12:$B$23,B65)</f>
        <v>0</v>
      </c>
      <c r="H65" s="36">
        <f t="shared" si="6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B'!H66</f>
        <v>43849203.199999996</v>
      </c>
      <c r="E66" s="51"/>
      <c r="F66" s="36">
        <f t="shared" si="5"/>
        <v>43849203.199999996</v>
      </c>
      <c r="G66" s="36">
        <f>SUMIFS('SCH B-2.2'!$F$12:$F$23,'SCH B-2.2'!$B$12:$B$23,B66)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B'!H67</f>
        <v>100474530.12000002</v>
      </c>
      <c r="E67" s="51"/>
      <c r="F67" s="36">
        <f t="shared" si="5"/>
        <v>100474530.12000002</v>
      </c>
      <c r="G67" s="36">
        <f>SUMIFS('SCH B-2.2'!$F$12:$F$23,'SCH B-2.2'!$B$12:$B$23,B67)</f>
        <v>0</v>
      </c>
      <c r="H67" s="36">
        <f t="shared" si="6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B'!H68</f>
        <v>61372371.700000003</v>
      </c>
      <c r="E68" s="51"/>
      <c r="F68" s="36">
        <f t="shared" si="5"/>
        <v>61372371.700000003</v>
      </c>
      <c r="G68" s="36">
        <f>SUMIFS('SCH B-2.2'!$F$12:$F$23,'SCH B-2.2'!$B$12:$B$23,B68)</f>
        <v>0</v>
      </c>
      <c r="H68" s="36">
        <f t="shared" si="6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B'!H69</f>
        <v>1804058.69</v>
      </c>
      <c r="E69" s="51"/>
      <c r="F69" s="36">
        <f t="shared" si="5"/>
        <v>1804058.69</v>
      </c>
      <c r="G69" s="36">
        <f>SUMIFS('SCH B-2.2'!$F$12:$F$23,'SCH B-2.2'!$B$12:$B$23,B69)</f>
        <v>0</v>
      </c>
      <c r="H69" s="36">
        <f t="shared" si="6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B'!H70</f>
        <v>7529169.8199999994</v>
      </c>
      <c r="E70" s="51"/>
      <c r="F70" s="36">
        <f t="shared" si="5"/>
        <v>7529169.8199999994</v>
      </c>
      <c r="G70" s="36">
        <f>SUMIFS('SCH B-2.2'!$F$12:$F$23,'SCH B-2.2'!$B$12:$B$23,B70)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B'!H71</f>
        <v>195962.45</v>
      </c>
      <c r="E71" s="51"/>
      <c r="F71" s="37">
        <f t="shared" si="5"/>
        <v>195962.45</v>
      </c>
      <c r="G71" s="37">
        <f>SUMIFS('SCH B-2.2'!$F$12:$F$23,'SCH B-2.2'!$B$12:$B$23,B71)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476244409.50999999</v>
      </c>
      <c r="E72" s="34"/>
      <c r="F72" s="34">
        <f>SUM(F63:F71)</f>
        <v>476244409.50999999</v>
      </c>
      <c r="G72" s="34">
        <f>SUM(G63:G71)</f>
        <v>-195962.44999999998</v>
      </c>
      <c r="H72" s="34">
        <f>SUM(H63:H71)</f>
        <v>476048447.06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B'!H75</f>
        <v>4103252.72</v>
      </c>
      <c r="E75" s="51"/>
      <c r="F75" s="36">
        <f t="shared" ref="F75:F87" si="7">D75</f>
        <v>4103252.72</v>
      </c>
      <c r="G75" s="36">
        <f>SUMIFS('SCH B-2.2'!$F$12:$F$23,'SCH B-2.2'!$B$12:$B$23,B75)</f>
        <v>0</v>
      </c>
      <c r="H75" s="36">
        <f t="shared" ref="H75:H87" si="8">SUM(F75:G75)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B'!H76</f>
        <v>14978150.11999999</v>
      </c>
      <c r="E76" s="51"/>
      <c r="F76" s="36">
        <f t="shared" si="7"/>
        <v>14978150.11999999</v>
      </c>
      <c r="G76" s="36">
        <f>SUMIFS('SCH B-2.2'!$F$12:$F$23,'SCH B-2.2'!$B$12:$B$23,B76)</f>
        <v>0</v>
      </c>
      <c r="H76" s="36">
        <f t="shared" si="8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B'!H77</f>
        <v>144316578.26000002</v>
      </c>
      <c r="E77" s="51"/>
      <c r="F77" s="36">
        <f t="shared" si="7"/>
        <v>144316578.26000002</v>
      </c>
      <c r="G77" s="36">
        <f>SUMIFS('SCH B-2.2'!$F$12:$F$23,'SCH B-2.2'!$B$12:$B$23,B77)</f>
        <v>0</v>
      </c>
      <c r="H77" s="36">
        <f t="shared" si="8"/>
        <v>144316578.26000002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B'!H78</f>
        <v>208981296.42999998</v>
      </c>
      <c r="E78" s="51"/>
      <c r="F78" s="36">
        <f t="shared" si="7"/>
        <v>208981296.42999998</v>
      </c>
      <c r="G78" s="36">
        <f>SUMIFS('SCH B-2.2'!$F$12:$F$23,'SCH B-2.2'!$B$12:$B$23,B78)</f>
        <v>0</v>
      </c>
      <c r="H78" s="36">
        <f t="shared" si="8"/>
        <v>208981296.42999998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B'!H79</f>
        <v>355099507.56</v>
      </c>
      <c r="E79" s="51"/>
      <c r="F79" s="36">
        <f t="shared" si="7"/>
        <v>355099507.56</v>
      </c>
      <c r="G79" s="36">
        <f>SUMIFS('SCH B-2.2'!$F$12:$F$23,'SCH B-2.2'!$B$12:$B$23,B79)</f>
        <v>0</v>
      </c>
      <c r="H79" s="36">
        <f t="shared" si="8"/>
        <v>355099507.56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B'!H80</f>
        <v>96674999.530000001</v>
      </c>
      <c r="E80" s="51"/>
      <c r="F80" s="36">
        <f t="shared" si="7"/>
        <v>96674999.530000001</v>
      </c>
      <c r="G80" s="36">
        <f>SUMIFS('SCH B-2.2'!$F$12:$F$23,'SCH B-2.2'!$B$12:$B$23,B80)</f>
        <v>0</v>
      </c>
      <c r="H80" s="36">
        <f t="shared" si="8"/>
        <v>96674999.530000001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B'!H81</f>
        <v>276659561.50999993</v>
      </c>
      <c r="E81" s="51"/>
      <c r="F81" s="36">
        <f t="shared" si="7"/>
        <v>276659561.50999993</v>
      </c>
      <c r="G81" s="36">
        <f>SUMIFS('SCH B-2.2'!$F$12:$F$23,'SCH B-2.2'!$B$12:$B$23,B81)</f>
        <v>0</v>
      </c>
      <c r="H81" s="36">
        <f t="shared" si="8"/>
        <v>276659561.50999993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B'!H82</f>
        <v>171974837.23999998</v>
      </c>
      <c r="E82" s="51"/>
      <c r="F82" s="36">
        <f t="shared" si="7"/>
        <v>171974837.23999998</v>
      </c>
      <c r="G82" s="36">
        <f>SUMIFS('SCH B-2.2'!$F$12:$F$23,'SCH B-2.2'!$B$12:$B$23,B82)</f>
        <v>0</v>
      </c>
      <c r="H82" s="36">
        <f t="shared" si="8"/>
        <v>171974837.23999998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B'!H83</f>
        <v>37462116.850000001</v>
      </c>
      <c r="E83" s="51"/>
      <c r="F83" s="36">
        <f t="shared" si="7"/>
        <v>37462116.850000001</v>
      </c>
      <c r="G83" s="36">
        <f>SUMIFS('SCH B-2.2'!$F$12:$F$23,'SCH B-2.2'!$B$12:$B$23,B83)</f>
        <v>0</v>
      </c>
      <c r="H83" s="36">
        <f t="shared" si="8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B'!H84</f>
        <v>42689361.609999999</v>
      </c>
      <c r="E84" s="51"/>
      <c r="F84" s="36">
        <f t="shared" si="7"/>
        <v>42689361.609999999</v>
      </c>
      <c r="G84" s="36">
        <f>SUMIFS('SCH B-2.2'!$F$12:$F$23,'SCH B-2.2'!$B$12:$B$23,B84)</f>
        <v>-1652764.79</v>
      </c>
      <c r="H84" s="36">
        <f t="shared" si="8"/>
        <v>41036596.82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B'!H85</f>
        <v>156536.15000000002</v>
      </c>
      <c r="E85" s="51"/>
      <c r="F85" s="36">
        <f t="shared" si="7"/>
        <v>156536.15000000002</v>
      </c>
      <c r="G85" s="36">
        <f>SUMIFS('SCH B-2.2'!$F$12:$F$23,'SCH B-2.2'!$B$12:$B$23,B85)</f>
        <v>0</v>
      </c>
      <c r="H85" s="36">
        <f t="shared" si="8"/>
        <v>156536.15000000002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B'!H86</f>
        <v>116040704.05</v>
      </c>
      <c r="E86" s="51"/>
      <c r="F86" s="36">
        <f t="shared" si="7"/>
        <v>116040704.05</v>
      </c>
      <c r="G86" s="36">
        <f>SUMIFS('SCH B-2.2'!$F$12:$F$23,'SCH B-2.2'!$B$12:$B$23,B86)</f>
        <v>0</v>
      </c>
      <c r="H86" s="36">
        <f t="shared" si="8"/>
        <v>116040704.05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B'!H87</f>
        <v>367963.87</v>
      </c>
      <c r="E87" s="51"/>
      <c r="F87" s="37">
        <f t="shared" si="7"/>
        <v>367963.87</v>
      </c>
      <c r="G87" s="37">
        <f>SUMIFS('SCH B-2.2'!$F$12:$F$23,'SCH B-2.2'!$B$12:$B$23,B87)</f>
        <v>-367963.87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1469504865.8999996</v>
      </c>
      <c r="E88" s="34"/>
      <c r="F88" s="34">
        <f>SUM(F75:F87)</f>
        <v>1469504865.8999996</v>
      </c>
      <c r="G88" s="34">
        <f>SUM(G75:G87)</f>
        <v>-2020728.6600000001</v>
      </c>
      <c r="H88" s="34">
        <f>SUM(H75:H87)</f>
        <v>1467484137.2399998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PLANT IN SERVICE BY ACCOUNTS AND SUBACCOUNTS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AS OF DECEMBER 31, 2018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 xml:space="preserve">WORKPAPER REFERENCE NO(S).: 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182</v>
      </c>
      <c r="D98" s="24" t="s">
        <v>183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49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B'!H101</f>
        <v>0</v>
      </c>
      <c r="E101" s="51"/>
      <c r="F101" s="36">
        <f t="shared" ref="F101:F110" si="11">D101</f>
        <v>0</v>
      </c>
      <c r="G101" s="36">
        <f>SUMIFS('SCH B-2.2'!$F$12:$F$23,'SCH B-2.2'!$B$12:$B$23,B101)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B'!H102</f>
        <v>0</v>
      </c>
      <c r="E102" s="51"/>
      <c r="F102" s="36">
        <f t="shared" si="11"/>
        <v>0</v>
      </c>
      <c r="G102" s="36">
        <f>SUMIFS('SCH B-2.2'!$F$12:$F$23,'SCH B-2.2'!$B$12:$B$23,B102)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B'!H103</f>
        <v>0</v>
      </c>
      <c r="E103" s="51"/>
      <c r="F103" s="36">
        <f t="shared" si="11"/>
        <v>0</v>
      </c>
      <c r="G103" s="36">
        <f>SUMIFS('SCH B-2.2'!$F$12:$F$23,'SCH B-2.2'!$B$12:$B$23,B103)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B'!H104</f>
        <v>7134532.4399999892</v>
      </c>
      <c r="E104" s="51"/>
      <c r="F104" s="36">
        <f t="shared" si="11"/>
        <v>7134532.4399999892</v>
      </c>
      <c r="G104" s="36">
        <f>SUMIFS('SCH B-2.2'!$F$12:$F$23,'SCH B-2.2'!$B$12:$B$23,B104)</f>
        <v>0</v>
      </c>
      <c r="H104" s="36">
        <f t="shared" si="12"/>
        <v>7134532.4399999892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B'!H105</f>
        <v>0</v>
      </c>
      <c r="E105" s="51"/>
      <c r="F105" s="36">
        <f t="shared" si="11"/>
        <v>0</v>
      </c>
      <c r="G105" s="36">
        <f>SUMIFS('SCH B-2.2'!$F$12:$F$23,'SCH B-2.2'!$B$12:$B$23,B105)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B'!H106</f>
        <v>6786023.2000000002</v>
      </c>
      <c r="E106" s="51"/>
      <c r="F106" s="36">
        <f t="shared" si="11"/>
        <v>6786023.2000000002</v>
      </c>
      <c r="G106" s="36">
        <f>SUMIFS('SCH B-2.2'!$F$12:$F$23,'SCH B-2.2'!$B$12:$B$23,B106)</f>
        <v>0</v>
      </c>
      <c r="H106" s="36">
        <f t="shared" si="12"/>
        <v>6786023.2000000002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B'!H107</f>
        <v>0</v>
      </c>
      <c r="E107" s="51"/>
      <c r="F107" s="36">
        <f t="shared" si="11"/>
        <v>0</v>
      </c>
      <c r="G107" s="36">
        <f>SUMIFS('SCH B-2.2'!$F$12:$F$23,'SCH B-2.2'!$B$12:$B$23,B107)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B'!H108</f>
        <v>2084182.3499999989</v>
      </c>
      <c r="E108" s="51"/>
      <c r="F108" s="36">
        <f t="shared" si="11"/>
        <v>2084182.3499999989</v>
      </c>
      <c r="G108" s="36">
        <f>SUMIFS('SCH B-2.2'!$F$12:$F$23,'SCH B-2.2'!$B$12:$B$23,B108)</f>
        <v>0</v>
      </c>
      <c r="H108" s="36">
        <f t="shared" si="12"/>
        <v>2084182.3499999989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B'!H109</f>
        <v>6978086.8700000001</v>
      </c>
      <c r="E109" s="51"/>
      <c r="F109" s="36">
        <f t="shared" si="11"/>
        <v>6978086.8700000001</v>
      </c>
      <c r="G109" s="36">
        <f>SUMIFS('SCH B-2.2'!$F$12:$F$23,'SCH B-2.2'!$B$12:$B$23,B109)</f>
        <v>-6978086.8700000001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B'!H110</f>
        <v>0</v>
      </c>
      <c r="E110" s="51"/>
      <c r="F110" s="37">
        <f t="shared" si="11"/>
        <v>0</v>
      </c>
      <c r="G110" s="37">
        <f>SUMIFS('SCH B-2.2'!$F$12:$F$23,'SCH B-2.2'!$B$12:$B$23,B110)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22982824.859999988</v>
      </c>
      <c r="E111" s="34"/>
      <c r="F111" s="34">
        <f>SUM(F101:F110)</f>
        <v>22982824.859999988</v>
      </c>
      <c r="G111" s="34">
        <f>SUM(G101:G110)</f>
        <v>-6978086.8700000001</v>
      </c>
      <c r="H111" s="34">
        <f>SUM(H101:H110)</f>
        <v>16004737.989999989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B'!H114</f>
        <v>57809.780099999931</v>
      </c>
      <c r="E114" s="51"/>
      <c r="F114" s="34">
        <f>D114</f>
        <v>57809.780099999931</v>
      </c>
      <c r="G114" s="34">
        <v>0</v>
      </c>
      <c r="H114" s="34">
        <f>SUM(F114:G114)</f>
        <v>57809.780099999931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B'!H115</f>
        <v>0</v>
      </c>
      <c r="E115" s="51"/>
      <c r="F115" s="36">
        <f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B'!H116</f>
        <v>86924813.741699904</v>
      </c>
      <c r="E116" s="51"/>
      <c r="F116" s="36">
        <f>D116</f>
        <v>86924813.741699904</v>
      </c>
      <c r="G116" s="36">
        <v>0</v>
      </c>
      <c r="H116" s="36">
        <f>SUM(F116:G116)</f>
        <v>86924813.741699904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B'!H117</f>
        <v>1079432.1152999999</v>
      </c>
      <c r="E117" s="51"/>
      <c r="F117" s="36">
        <f t="shared" ref="F117:F127" si="14">D117</f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B'!H118</f>
        <v>58705353.545699999</v>
      </c>
      <c r="E118" s="51"/>
      <c r="F118" s="36">
        <f t="shared" si="14"/>
        <v>58705353.545699999</v>
      </c>
      <c r="G118" s="36">
        <v>0</v>
      </c>
      <c r="H118" s="36">
        <f t="shared" si="15"/>
        <v>58705353.545699999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B'!H119</f>
        <v>30171684.613499999</v>
      </c>
      <c r="E119" s="51"/>
      <c r="F119" s="36">
        <f t="shared" si="14"/>
        <v>30171684.613499999</v>
      </c>
      <c r="G119" s="36">
        <v>0</v>
      </c>
      <c r="H119" s="36">
        <f t="shared" si="15"/>
        <v>30171684.613499999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B'!H120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B'!H121</f>
        <v>1181432.6831999999</v>
      </c>
      <c r="E121" s="51"/>
      <c r="F121" s="36">
        <f t="shared" si="14"/>
        <v>1181432.6831999999</v>
      </c>
      <c r="G121" s="36">
        <v>0</v>
      </c>
      <c r="H121" s="36">
        <f t="shared" si="15"/>
        <v>1181432.6831999999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B'!H122</f>
        <v>2904111.4334999993</v>
      </c>
      <c r="E122" s="51"/>
      <c r="F122" s="36">
        <f t="shared" si="14"/>
        <v>2904111.4334999993</v>
      </c>
      <c r="G122" s="36">
        <v>0</v>
      </c>
      <c r="H122" s="36">
        <f t="shared" si="15"/>
        <v>2904111.4334999993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B'!H123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B'!H124</f>
        <v>365595.6029999993</v>
      </c>
      <c r="E124" s="51"/>
      <c r="F124" s="36">
        <f t="shared" si="14"/>
        <v>365595.6029999993</v>
      </c>
      <c r="G124" s="36">
        <v>0</v>
      </c>
      <c r="H124" s="36">
        <f t="shared" si="15"/>
        <v>365595.6029999993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B'!H125</f>
        <v>25535566.367999997</v>
      </c>
      <c r="E125" s="51"/>
      <c r="F125" s="36">
        <f t="shared" si="14"/>
        <v>25535566.367999997</v>
      </c>
      <c r="G125" s="36">
        <v>0</v>
      </c>
      <c r="H125" s="36">
        <f t="shared" si="15"/>
        <v>25535566.367999997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B'!H126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B'!H127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207150287.81669989</v>
      </c>
      <c r="E128" s="34"/>
      <c r="F128" s="34">
        <f>SUM(F114:F127)</f>
        <v>207150287.81669989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5943885544.9566994</v>
      </c>
      <c r="E130" s="34"/>
      <c r="F130" s="42">
        <f>SUM(F16,F27,F38,F60,F72,F88,F111,F128)</f>
        <v>5943885544.9566994</v>
      </c>
      <c r="G130" s="42">
        <f>SUM(G16,G27,G38,G60,G72,G88,G111,G128)</f>
        <v>-1353357140.97</v>
      </c>
      <c r="H130" s="42">
        <f>SUM(H16,H27,H38,H60,H72,H88,H111,H128)</f>
        <v>4590528403.9866991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5" width="13.6640625" style="17" customWidth="1"/>
    <col min="6" max="6" width="15.77734375" style="17" customWidth="1"/>
    <col min="7" max="7" width="14.77734375" style="17" customWidth="1"/>
    <col min="8" max="8" width="13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181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2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122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128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81.95" customHeight="1">
      <c r="A10" s="24" t="s">
        <v>92</v>
      </c>
      <c r="B10" s="24" t="s">
        <v>95</v>
      </c>
      <c r="C10" s="27" t="s">
        <v>182</v>
      </c>
      <c r="D10" s="24" t="s">
        <v>195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35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F'!I13</f>
        <v>2240.2900000000009</v>
      </c>
      <c r="E13" s="51"/>
      <c r="F13" s="34">
        <f>D13</f>
        <v>2240.2900000000009</v>
      </c>
      <c r="G13" s="34">
        <f>SUMIFS('SCH B-2.2'!$F$38:$F$49,'SCH B-2.2'!$B$38:$B$49,B13)</f>
        <v>0</v>
      </c>
      <c r="H13" s="34">
        <f>SUM(F13:G13)</f>
        <v>2240.2900000000009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F'!I14</f>
        <v>0</v>
      </c>
      <c r="E14" s="51"/>
      <c r="F14" s="36">
        <f>D14</f>
        <v>0</v>
      </c>
      <c r="G14" s="35">
        <f>SUMIFS('SCH B-2.2'!$F$38:$F$49,'SCH B-2.2'!$B$38:$B$49,B14)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F'!I15</f>
        <v>0</v>
      </c>
      <c r="E15" s="51"/>
      <c r="F15" s="37">
        <f>D15</f>
        <v>0</v>
      </c>
      <c r="G15" s="37">
        <f>SUMIFS('SCH B-2.2'!$F$38:$F$49,'SCH B-2.2'!$B$38:$B$49,B15)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2240.2900000000009</v>
      </c>
      <c r="E16" s="34"/>
      <c r="F16" s="34">
        <f>SUM(F13:F15)</f>
        <v>2240.2900000000009</v>
      </c>
      <c r="G16" s="34">
        <f>SUM(G13:G15)</f>
        <v>0</v>
      </c>
      <c r="H16" s="34">
        <f>SUM(H13:H15)</f>
        <v>2240.2900000000009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F'!I19</f>
        <v>11234131.25999999</v>
      </c>
      <c r="E19" s="51"/>
      <c r="F19" s="36">
        <f t="shared" ref="F19:F26" si="1">D19</f>
        <v>11234131.25999999</v>
      </c>
      <c r="G19" s="36">
        <f>SUMIFS('SCH B-2.2'!$F$38:$F$49,'SCH B-2.2'!$B$38:$B$49,B19)</f>
        <v>-3967520.8099999907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F'!I20</f>
        <v>305898610.75461531</v>
      </c>
      <c r="E20" s="51"/>
      <c r="F20" s="36">
        <f t="shared" si="1"/>
        <v>305898610.75461531</v>
      </c>
      <c r="G20" s="36">
        <f>SUMIFS('SCH B-2.2'!$F$38:$F$49,'SCH B-2.2'!$B$38:$B$49,B20)</f>
        <v>-31664290.949999996</v>
      </c>
      <c r="H20" s="36">
        <f t="shared" si="2"/>
        <v>274234319.80461532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F'!I21</f>
        <v>2617706023.0323005</v>
      </c>
      <c r="E21" s="51"/>
      <c r="F21" s="36">
        <f t="shared" si="1"/>
        <v>2617706023.0323005</v>
      </c>
      <c r="G21" s="36">
        <f>SUMIFS('SCH B-2.2'!$F$38:$F$49,'SCH B-2.2'!$B$38:$B$49,B21)</f>
        <v>-1421400181.158462</v>
      </c>
      <c r="H21" s="36">
        <f t="shared" si="2"/>
        <v>1196305841.8738384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F'!I22</f>
        <v>0</v>
      </c>
      <c r="E22" s="51"/>
      <c r="F22" s="36">
        <f t="shared" si="1"/>
        <v>0</v>
      </c>
      <c r="G22" s="36">
        <f>SUMIFS('SCH B-2.2'!$F$38:$F$49,'SCH B-2.2'!$B$38:$B$49,B22)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F'!I23</f>
        <v>239942780.71538362</v>
      </c>
      <c r="E23" s="51"/>
      <c r="F23" s="36">
        <f t="shared" si="1"/>
        <v>239942780.71538362</v>
      </c>
      <c r="G23" s="36">
        <f>SUMIFS('SCH B-2.2'!$F$38:$F$49,'SCH B-2.2'!$B$38:$B$49,B23)</f>
        <v>0</v>
      </c>
      <c r="H23" s="36">
        <f t="shared" si="2"/>
        <v>239942780.71538362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F'!I24</f>
        <v>184975687.96384615</v>
      </c>
      <c r="E24" s="51"/>
      <c r="F24" s="36">
        <f t="shared" si="1"/>
        <v>184975687.96384615</v>
      </c>
      <c r="G24" s="36">
        <f>SUMIFS('SCH B-2.2'!$F$38:$F$49,'SCH B-2.2'!$B$38:$B$49,B24)</f>
        <v>-47379452.669999987</v>
      </c>
      <c r="H24" s="36">
        <f t="shared" si="2"/>
        <v>137596235.29384616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F'!I25</f>
        <v>32388501.009230729</v>
      </c>
      <c r="E25" s="51"/>
      <c r="F25" s="36">
        <f t="shared" si="1"/>
        <v>32388501.009230729</v>
      </c>
      <c r="G25" s="36">
        <f>SUMIFS('SCH B-2.2'!$F$38:$F$49,'SCH B-2.2'!$B$38:$B$49,B25)</f>
        <v>-910264.52999999863</v>
      </c>
      <c r="H25" s="36">
        <f t="shared" si="2"/>
        <v>31478236.479230732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F'!I26</f>
        <v>85132615.10307692</v>
      </c>
      <c r="E26" s="51"/>
      <c r="F26" s="37">
        <f t="shared" si="1"/>
        <v>85132615.10307692</v>
      </c>
      <c r="G26" s="37">
        <f>SUMIFS('SCH B-2.2'!$F$38:$F$49,'SCH B-2.2'!$B$38:$B$49,B26)</f>
        <v>-85132615.10307692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3477278349.8384533</v>
      </c>
      <c r="E27" s="51"/>
      <c r="F27" s="34">
        <f>SUM(F19:F26)</f>
        <v>3477278349.8384533</v>
      </c>
      <c r="G27" s="34">
        <f>SUM(G19:G26)</f>
        <v>-1590454325.221539</v>
      </c>
      <c r="H27" s="34">
        <f>SUM(H19:H26)</f>
        <v>1886824024.616914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F'!I30</f>
        <v>6.5000000000000018</v>
      </c>
      <c r="E30" s="51"/>
      <c r="F30" s="36">
        <f t="shared" ref="F30:F37" si="3">D30</f>
        <v>6.5000000000000018</v>
      </c>
      <c r="G30" s="36">
        <f>SUMIFS('SCH B-2.2'!$F$38:$F$49,'SCH B-2.2'!$B$38:$B$49,B30)</f>
        <v>0</v>
      </c>
      <c r="H30" s="36">
        <f t="shared" ref="H30:H37" si="4">SUM(F30:G30)</f>
        <v>6.5000000000000018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F'!I31</f>
        <v>12870684.620000001</v>
      </c>
      <c r="E31" s="51"/>
      <c r="F31" s="36">
        <f t="shared" si="3"/>
        <v>12870684.620000001</v>
      </c>
      <c r="G31" s="36">
        <f>SUMIFS('SCH B-2.2'!$F$38:$F$49,'SCH B-2.2'!$B$38:$B$49,B31)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F'!I32</f>
        <v>26209847.310000002</v>
      </c>
      <c r="E32" s="51"/>
      <c r="F32" s="36">
        <f t="shared" si="3"/>
        <v>26209847.310000002</v>
      </c>
      <c r="G32" s="36">
        <f>SUMIFS('SCH B-2.2'!$F$38:$F$49,'SCH B-2.2'!$B$38:$B$49,B32)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F'!I33</f>
        <v>101920448.2</v>
      </c>
      <c r="E33" s="51"/>
      <c r="F33" s="36">
        <f t="shared" si="3"/>
        <v>101920448.2</v>
      </c>
      <c r="G33" s="36">
        <f>SUMIFS('SCH B-2.2'!$F$38:$F$49,'SCH B-2.2'!$B$38:$B$49,B33)</f>
        <v>0</v>
      </c>
      <c r="H33" s="36">
        <f t="shared" si="4"/>
        <v>101920448.2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F'!I34</f>
        <v>13160323.68</v>
      </c>
      <c r="E34" s="51"/>
      <c r="F34" s="36">
        <f t="shared" si="3"/>
        <v>13160323.68</v>
      </c>
      <c r="G34" s="36">
        <f>SUMIFS('SCH B-2.2'!$F$38:$F$49,'SCH B-2.2'!$B$38:$B$49,B34)</f>
        <v>0</v>
      </c>
      <c r="H34" s="36">
        <f t="shared" si="4"/>
        <v>13160323.68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F'!I35</f>
        <v>3563125.7699999991</v>
      </c>
      <c r="E35" s="51"/>
      <c r="F35" s="36">
        <f t="shared" si="3"/>
        <v>3563125.7699999991</v>
      </c>
      <c r="G35" s="36">
        <f>SUMIFS('SCH B-2.2'!$F$38:$F$49,'SCH B-2.2'!$B$38:$B$49,B35)</f>
        <v>0</v>
      </c>
      <c r="H35" s="36">
        <f t="shared" si="4"/>
        <v>3563125.7699999991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F'!I36</f>
        <v>85291.321538461518</v>
      </c>
      <c r="E36" s="51"/>
      <c r="F36" s="36">
        <f t="shared" si="3"/>
        <v>85291.321538461518</v>
      </c>
      <c r="G36" s="36">
        <f>SUMIFS('SCH B-2.2'!$F$38:$F$49,'SCH B-2.2'!$B$38:$B$49,B36)</f>
        <v>0</v>
      </c>
      <c r="H36" s="36">
        <f t="shared" si="4"/>
        <v>85291.321538461518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F'!I37</f>
        <v>463569.15</v>
      </c>
      <c r="E37" s="51"/>
      <c r="F37" s="37">
        <f t="shared" si="3"/>
        <v>463569.15</v>
      </c>
      <c r="G37" s="37">
        <f>SUMIFS('SCH B-2.2'!$F$38:$F$49,'SCH B-2.2'!$B$38:$B$49,B37)</f>
        <v>-463569.15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158273296.55153847</v>
      </c>
      <c r="E38" s="34"/>
      <c r="F38" s="34">
        <f>SUM(F30:F37)</f>
        <v>158273296.55153847</v>
      </c>
      <c r="G38" s="34">
        <f>SUM(G30:G37)</f>
        <v>-463569.15</v>
      </c>
      <c r="H38" s="34">
        <f>SUM(H30:H37)</f>
        <v>157809727.40153846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F'!I41</f>
        <v>414278.15999999992</v>
      </c>
      <c r="E41" s="51"/>
      <c r="F41" s="36">
        <f>D41</f>
        <v>414278.15999999992</v>
      </c>
      <c r="G41" s="36">
        <f>SUMIFS('SCH B-2.2'!$F$38:$F$49,'SCH B-2.2'!$B$38:$B$49,B41)</f>
        <v>0</v>
      </c>
      <c r="H41" s="36">
        <f>SUM(F41:G41)</f>
        <v>414278.15999999992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F'!I42</f>
        <v>33942182.450000003</v>
      </c>
      <c r="E42" s="51"/>
      <c r="F42" s="36">
        <f>D42</f>
        <v>33942182.450000003</v>
      </c>
      <c r="G42" s="36">
        <f>SUMIFS('SCH B-2.2'!$F$38:$F$49,'SCH B-2.2'!$B$38:$B$49,B42)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F'!I43</f>
        <v>24767192.59</v>
      </c>
      <c r="E43" s="51"/>
      <c r="F43" s="36">
        <f>D43</f>
        <v>24767192.59</v>
      </c>
      <c r="G43" s="36">
        <f>SUMIFS('SCH B-2.2'!$F$38:$F$49,'SCH B-2.2'!$B$38:$B$49,B43)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F'!I44</f>
        <v>252457120.51076865</v>
      </c>
      <c r="E44" s="51"/>
      <c r="F44" s="36">
        <f>D44</f>
        <v>252457120.51076865</v>
      </c>
      <c r="G44" s="36">
        <f>SUMIFS('SCH B-2.2'!$F$38:$F$49,'SCH B-2.2'!$B$38:$B$49,B44)</f>
        <v>0</v>
      </c>
      <c r="H44" s="36">
        <f>SUM(F44:G44)</f>
        <v>252457120.51076865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PLANT IN SERVICE BY ACCOUNTS AND SUBACCOUNTS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AS OF APRIL 30, 2020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DATA:____BASE  PERIOD__X__FORECASTED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129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81.95" customHeight="1">
      <c r="A54" s="24" t="s">
        <v>92</v>
      </c>
      <c r="B54" s="24" t="s">
        <v>95</v>
      </c>
      <c r="C54" s="27" t="s">
        <v>182</v>
      </c>
      <c r="D54" s="24" t="s">
        <v>195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35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F'!I45</f>
        <v>59993738.64538461</v>
      </c>
      <c r="E56" s="51"/>
      <c r="F56" s="36">
        <f>D56</f>
        <v>59993738.64538461</v>
      </c>
      <c r="G56" s="36">
        <f>SUMIFS('SCH B-2.2'!$F$38:$F$49,'SCH B-2.2'!$B$38:$B$49,B56)</f>
        <v>0</v>
      </c>
      <c r="H56" s="36">
        <f>SUM(F56:G56)</f>
        <v>59993738.64538461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F'!I46</f>
        <v>32561502.810000002</v>
      </c>
      <c r="E57" s="51"/>
      <c r="F57" s="36">
        <f>D57</f>
        <v>32561502.810000002</v>
      </c>
      <c r="G57" s="36">
        <f>SUMIFS('SCH B-2.2'!$F$38:$F$49,'SCH B-2.2'!$B$38:$B$49,B57)</f>
        <v>0</v>
      </c>
      <c r="H57" s="36">
        <f>SUM(F57:G57)</f>
        <v>32561502.810000002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F'!I47</f>
        <v>5796098.6353846146</v>
      </c>
      <c r="E58" s="51"/>
      <c r="F58" s="36">
        <f>D58</f>
        <v>5796098.6353846146</v>
      </c>
      <c r="G58" s="36">
        <f>SUMIFS('SCH B-2.2'!$F$38:$F$49,'SCH B-2.2'!$B$38:$B$49,B58)</f>
        <v>0</v>
      </c>
      <c r="H58" s="36">
        <f>SUM(F58:G58)</f>
        <v>5796098.6353846146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F'!I48</f>
        <v>111984.04000000004</v>
      </c>
      <c r="E59" s="51"/>
      <c r="F59" s="37">
        <f>D59</f>
        <v>111984.04000000004</v>
      </c>
      <c r="G59" s="37">
        <f>SUMIFS('SCH B-2.2'!$F$38:$F$49,'SCH B-2.2'!$B$38:$B$49,B59)</f>
        <v>-111984.04000000004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410044097.84153789</v>
      </c>
      <c r="E60" s="34"/>
      <c r="F60" s="34">
        <f>SUM(F41:F44,F56:F59)</f>
        <v>410044097.84153789</v>
      </c>
      <c r="G60" s="34">
        <f>SUM(G41:G44,G56:G59)</f>
        <v>-111984.04000000004</v>
      </c>
      <c r="H60" s="34">
        <f>SUM(H41:H44,H56:H59)</f>
        <v>409932113.80153787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F'!I63</f>
        <v>11144162.020000001</v>
      </c>
      <c r="E63" s="51"/>
      <c r="F63" s="36">
        <f t="shared" ref="F63:F71" si="5">D63</f>
        <v>11144162.020000001</v>
      </c>
      <c r="G63" s="36">
        <f>SUMIFS('SCH B-2.2'!$F$38:$F$49,'SCH B-2.2'!$B$38:$B$49,B63)</f>
        <v>0</v>
      </c>
      <c r="H63" s="36">
        <f t="shared" ref="H63:H71" si="6">SUM(F63:G63)</f>
        <v>11144162.020000001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F'!I64</f>
        <v>17728931.077692308</v>
      </c>
      <c r="E64" s="51"/>
      <c r="F64" s="36">
        <f t="shared" si="5"/>
        <v>17728931.077692308</v>
      </c>
      <c r="G64" s="36">
        <f>SUMIFS('SCH B-2.2'!$F$38:$F$49,'SCH B-2.2'!$B$38:$B$49,B64)</f>
        <v>0</v>
      </c>
      <c r="H64" s="36">
        <f t="shared" si="6"/>
        <v>17728931.077692308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F'!I65</f>
        <v>247685387.55461532</v>
      </c>
      <c r="E65" s="51"/>
      <c r="F65" s="36">
        <f t="shared" si="5"/>
        <v>247685387.55461532</v>
      </c>
      <c r="G65" s="36">
        <f>SUMIFS('SCH B-2.2'!$F$38:$F$49,'SCH B-2.2'!$B$38:$B$49,B65)</f>
        <v>0</v>
      </c>
      <c r="H65" s="36">
        <f t="shared" si="6"/>
        <v>247685387.55461532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F'!I66</f>
        <v>43849203.199999996</v>
      </c>
      <c r="E66" s="51"/>
      <c r="F66" s="36">
        <f t="shared" si="5"/>
        <v>43849203.199999996</v>
      </c>
      <c r="G66" s="36">
        <f>SUMIFS('SCH B-2.2'!$F$38:$F$49,'SCH B-2.2'!$B$38:$B$49,B66)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F'!I67</f>
        <v>108569894.11769226</v>
      </c>
      <c r="E67" s="51"/>
      <c r="F67" s="36">
        <f t="shared" si="5"/>
        <v>108569894.11769226</v>
      </c>
      <c r="G67" s="36">
        <f>SUMIFS('SCH B-2.2'!$F$38:$F$49,'SCH B-2.2'!$B$38:$B$49,B67)</f>
        <v>0</v>
      </c>
      <c r="H67" s="36">
        <f t="shared" si="6"/>
        <v>108569894.11769226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F'!I68</f>
        <v>62314300.349999994</v>
      </c>
      <c r="E68" s="51"/>
      <c r="F68" s="36">
        <f t="shared" si="5"/>
        <v>62314300.349999994</v>
      </c>
      <c r="G68" s="36">
        <f>SUMIFS('SCH B-2.2'!$F$38:$F$49,'SCH B-2.2'!$B$38:$B$49,B68)</f>
        <v>0</v>
      </c>
      <c r="H68" s="36">
        <f t="shared" si="6"/>
        <v>62314300.349999994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F'!I69</f>
        <v>1804058.6900000004</v>
      </c>
      <c r="E69" s="51"/>
      <c r="F69" s="36">
        <f t="shared" si="5"/>
        <v>1804058.6900000004</v>
      </c>
      <c r="G69" s="36">
        <f>SUMIFS('SCH B-2.2'!$F$38:$F$49,'SCH B-2.2'!$B$38:$B$49,B69)</f>
        <v>0</v>
      </c>
      <c r="H69" s="36">
        <f t="shared" si="6"/>
        <v>1804058.6900000004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F'!I70</f>
        <v>7529169.8199999994</v>
      </c>
      <c r="E70" s="51"/>
      <c r="F70" s="36">
        <f t="shared" si="5"/>
        <v>7529169.8199999994</v>
      </c>
      <c r="G70" s="36">
        <f>SUMIFS('SCH B-2.2'!$F$38:$F$49,'SCH B-2.2'!$B$38:$B$49,B70)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F'!I71</f>
        <v>195962.44999999998</v>
      </c>
      <c r="E71" s="51"/>
      <c r="F71" s="37">
        <f t="shared" si="5"/>
        <v>195962.44999999998</v>
      </c>
      <c r="G71" s="37">
        <f>SUMIFS('SCH B-2.2'!$F$38:$F$49,'SCH B-2.2'!$B$38:$B$49,B71)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500821069.27999991</v>
      </c>
      <c r="E72" s="34"/>
      <c r="F72" s="34">
        <f>SUM(F63:F71)</f>
        <v>500821069.27999991</v>
      </c>
      <c r="G72" s="34">
        <f>SUM(G63:G71)</f>
        <v>-195962.44999999998</v>
      </c>
      <c r="H72" s="34">
        <f>SUM(H63:H71)</f>
        <v>500625106.82999992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F'!I75</f>
        <v>4103252.7200000021</v>
      </c>
      <c r="E75" s="51"/>
      <c r="F75" s="36">
        <f t="shared" ref="F75:F87" si="7">D75</f>
        <v>4103252.7200000021</v>
      </c>
      <c r="G75" s="36">
        <f>SUMIFS('SCH B-2.2'!$F$38:$F$49,'SCH B-2.2'!$B$38:$B$49,B75)</f>
        <v>0</v>
      </c>
      <c r="H75" s="36">
        <f t="shared" ref="H75:H87" si="8">SUM(F75:G75)</f>
        <v>4103252.7200000021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F'!I76</f>
        <v>31522130.619999945</v>
      </c>
      <c r="E76" s="51"/>
      <c r="F76" s="36">
        <f t="shared" si="7"/>
        <v>31522130.619999945</v>
      </c>
      <c r="G76" s="36">
        <f>SUMIFS('SCH B-2.2'!$F$38:$F$49,'SCH B-2.2'!$B$38:$B$49,B76)</f>
        <v>0</v>
      </c>
      <c r="H76" s="36">
        <f t="shared" si="8"/>
        <v>31522130.619999945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F'!I77</f>
        <v>155480834.24615383</v>
      </c>
      <c r="E77" s="51"/>
      <c r="F77" s="36">
        <f t="shared" si="7"/>
        <v>155480834.24615383</v>
      </c>
      <c r="G77" s="36">
        <f>SUMIFS('SCH B-2.2'!$F$38:$F$49,'SCH B-2.2'!$B$38:$B$49,B77)</f>
        <v>0</v>
      </c>
      <c r="H77" s="36">
        <f t="shared" si="8"/>
        <v>155480834.24615383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F'!I78</f>
        <v>215120718.84230724</v>
      </c>
      <c r="E78" s="51"/>
      <c r="F78" s="36">
        <f t="shared" si="7"/>
        <v>215120718.84230724</v>
      </c>
      <c r="G78" s="36">
        <f>SUMIFS('SCH B-2.2'!$F$38:$F$49,'SCH B-2.2'!$B$38:$B$49,B78)</f>
        <v>0</v>
      </c>
      <c r="H78" s="36">
        <f t="shared" si="8"/>
        <v>215120718.84230724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F'!I79</f>
        <v>377289104.34307593</v>
      </c>
      <c r="E79" s="51"/>
      <c r="F79" s="36">
        <f t="shared" si="7"/>
        <v>377289104.34307593</v>
      </c>
      <c r="G79" s="36">
        <f>SUMIFS('SCH B-2.2'!$F$38:$F$49,'SCH B-2.2'!$B$38:$B$49,B79)</f>
        <v>0</v>
      </c>
      <c r="H79" s="36">
        <f t="shared" si="8"/>
        <v>377289104.34307593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F'!I80</f>
        <v>101000073.1415384</v>
      </c>
      <c r="E80" s="51"/>
      <c r="F80" s="36">
        <f t="shared" si="7"/>
        <v>101000073.1415384</v>
      </c>
      <c r="G80" s="36">
        <f>SUMIFS('SCH B-2.2'!$F$38:$F$49,'SCH B-2.2'!$B$38:$B$49,B80)</f>
        <v>0</v>
      </c>
      <c r="H80" s="36">
        <f t="shared" si="8"/>
        <v>101000073.1415384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F'!I81</f>
        <v>294177307.13999945</v>
      </c>
      <c r="E81" s="51"/>
      <c r="F81" s="36">
        <f t="shared" si="7"/>
        <v>294177307.13999945</v>
      </c>
      <c r="G81" s="36">
        <f>SUMIFS('SCH B-2.2'!$F$38:$F$49,'SCH B-2.2'!$B$38:$B$49,B81)</f>
        <v>0</v>
      </c>
      <c r="H81" s="36">
        <f t="shared" si="8"/>
        <v>294177307.13999945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F'!I82</f>
        <v>176418522.2015385</v>
      </c>
      <c r="E82" s="51"/>
      <c r="F82" s="36">
        <f t="shared" si="7"/>
        <v>176418522.2015385</v>
      </c>
      <c r="G82" s="36">
        <f>SUMIFS('SCH B-2.2'!$F$38:$F$49,'SCH B-2.2'!$B$38:$B$49,B82)</f>
        <v>0</v>
      </c>
      <c r="H82" s="36">
        <f t="shared" si="8"/>
        <v>176418522.2015385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F'!I83</f>
        <v>37740878.411538459</v>
      </c>
      <c r="E83" s="51"/>
      <c r="F83" s="36">
        <f t="shared" si="7"/>
        <v>37740878.411538459</v>
      </c>
      <c r="G83" s="36">
        <f>SUMIFS('SCH B-2.2'!$F$38:$F$49,'SCH B-2.2'!$B$38:$B$49,B83)</f>
        <v>0</v>
      </c>
      <c r="H83" s="36">
        <f t="shared" si="8"/>
        <v>37740878.411538459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F'!I84</f>
        <v>43691863.67999994</v>
      </c>
      <c r="E84" s="51"/>
      <c r="F84" s="36">
        <f t="shared" si="7"/>
        <v>43691863.67999994</v>
      </c>
      <c r="G84" s="36">
        <f>SUMIFS('SCH B-2.2'!$F$38:$F$49,'SCH B-2.2'!$B$38:$B$49,B84)</f>
        <v>-1652764.79</v>
      </c>
      <c r="H84" s="36">
        <f t="shared" si="8"/>
        <v>42039098.889999941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F'!I85</f>
        <v>156536.14999999997</v>
      </c>
      <c r="E85" s="51"/>
      <c r="F85" s="36">
        <f t="shared" si="7"/>
        <v>156536.14999999997</v>
      </c>
      <c r="G85" s="36">
        <f>SUMIFS('SCH B-2.2'!$F$38:$F$49,'SCH B-2.2'!$B$38:$B$49,B85)</f>
        <v>0</v>
      </c>
      <c r="H85" s="36">
        <f t="shared" si="8"/>
        <v>156536.14999999997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F'!I86</f>
        <v>120047049.5030763</v>
      </c>
      <c r="E86" s="51"/>
      <c r="F86" s="36">
        <f t="shared" si="7"/>
        <v>120047049.5030763</v>
      </c>
      <c r="G86" s="36">
        <f>SUMIFS('SCH B-2.2'!$F$38:$F$49,'SCH B-2.2'!$B$38:$B$49,B86)</f>
        <v>0</v>
      </c>
      <c r="H86" s="36">
        <f t="shared" si="8"/>
        <v>120047049.5030763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F'!I87</f>
        <v>367963.86999999994</v>
      </c>
      <c r="E87" s="51"/>
      <c r="F87" s="37">
        <f t="shared" si="7"/>
        <v>367963.86999999994</v>
      </c>
      <c r="G87" s="37">
        <f>SUMIFS('SCH B-2.2'!$F$38:$F$49,'SCH B-2.2'!$B$38:$B$49,B87)</f>
        <v>-367963.86999999994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1557116234.8692279</v>
      </c>
      <c r="E88" s="34"/>
      <c r="F88" s="34">
        <f>SUM(F75:F87)</f>
        <v>1557116234.8692279</v>
      </c>
      <c r="G88" s="34">
        <f>SUM(G75:G87)</f>
        <v>-2020728.66</v>
      </c>
      <c r="H88" s="34">
        <f>SUM(H75:H87)</f>
        <v>1555095506.209228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PLANT IN SERVICE BY ACCOUNTS AND SUBACCOUNTS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AS OF APRIL 30, 2020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DATA:____BASE  PERIOD__X__FORECASTED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130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81.95" customHeight="1">
      <c r="A98" s="24" t="s">
        <v>92</v>
      </c>
      <c r="B98" s="24" t="s">
        <v>95</v>
      </c>
      <c r="C98" s="27" t="s">
        <v>182</v>
      </c>
      <c r="D98" s="24" t="s">
        <v>195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35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F'!I91</f>
        <v>0</v>
      </c>
      <c r="E101" s="51"/>
      <c r="F101" s="36">
        <f t="shared" ref="F101:F109" si="11">D101</f>
        <v>0</v>
      </c>
      <c r="G101" s="36">
        <f>SUMIFS('SCH B-2.2'!$F$38:$F$49,'SCH B-2.2'!$B$38:$B$49,B101)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F'!I92</f>
        <v>0</v>
      </c>
      <c r="E102" s="51"/>
      <c r="F102" s="36">
        <f t="shared" si="11"/>
        <v>0</v>
      </c>
      <c r="G102" s="36">
        <f>SUMIFS('SCH B-2.2'!$F$38:$F$49,'SCH B-2.2'!$B$38:$B$49,B102)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F'!I93</f>
        <v>0</v>
      </c>
      <c r="E103" s="51"/>
      <c r="F103" s="36">
        <f t="shared" si="11"/>
        <v>0</v>
      </c>
      <c r="G103" s="36">
        <f>SUMIFS('SCH B-2.2'!$F$38:$F$49,'SCH B-2.2'!$B$38:$B$49,B103)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F'!I94</f>
        <v>7107527.1846153857</v>
      </c>
      <c r="E104" s="51"/>
      <c r="F104" s="36">
        <f t="shared" si="11"/>
        <v>7107527.1846153857</v>
      </c>
      <c r="G104" s="36">
        <f>SUMIFS('SCH B-2.2'!$F$38:$F$49,'SCH B-2.2'!$B$38:$B$49,B104)</f>
        <v>0</v>
      </c>
      <c r="H104" s="36">
        <f t="shared" si="12"/>
        <v>7107527.1846153857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F'!I95</f>
        <v>0</v>
      </c>
      <c r="E105" s="51"/>
      <c r="F105" s="36">
        <f t="shared" si="11"/>
        <v>0</v>
      </c>
      <c r="G105" s="36">
        <f>SUMIFS('SCH B-2.2'!$F$38:$F$49,'SCH B-2.2'!$B$38:$B$49,B105)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F'!I96</f>
        <v>6957514.1876923023</v>
      </c>
      <c r="E106" s="51"/>
      <c r="F106" s="36">
        <f t="shared" si="11"/>
        <v>6957514.1876923023</v>
      </c>
      <c r="G106" s="36">
        <f>SUMIFS('SCH B-2.2'!$F$38:$F$49,'SCH B-2.2'!$B$38:$B$49,B106)</f>
        <v>0</v>
      </c>
      <c r="H106" s="36">
        <f t="shared" si="12"/>
        <v>6957514.1876923023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F'!I97</f>
        <v>0</v>
      </c>
      <c r="E107" s="51"/>
      <c r="F107" s="36">
        <f t="shared" si="11"/>
        <v>0</v>
      </c>
      <c r="G107" s="36">
        <f>SUMIFS('SCH B-2.2'!$F$38:$F$49,'SCH B-2.2'!$B$38:$B$49,B107)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F'!I98</f>
        <v>2084182.35</v>
      </c>
      <c r="E108" s="51"/>
      <c r="F108" s="36">
        <f t="shared" si="11"/>
        <v>2084182.35</v>
      </c>
      <c r="G108" s="36">
        <f>SUMIFS('SCH B-2.2'!$F$38:$F$49,'SCH B-2.2'!$B$38:$B$49,B108)</f>
        <v>0</v>
      </c>
      <c r="H108" s="36">
        <f t="shared" si="12"/>
        <v>2084182.35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F'!I99</f>
        <v>7172349.6961538456</v>
      </c>
      <c r="E109" s="51"/>
      <c r="F109" s="36">
        <f t="shared" si="11"/>
        <v>7172349.6961538456</v>
      </c>
      <c r="G109" s="36">
        <f>SUMIFS('SCH B-2.2'!$F$38:$F$49,'SCH B-2.2'!$B$38:$B$49,B109)</f>
        <v>-7172349.6961538456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F'!I111</f>
        <v>0</v>
      </c>
      <c r="E110" s="51"/>
      <c r="F110" s="37">
        <f>D110</f>
        <v>0</v>
      </c>
      <c r="G110" s="37">
        <f>SUMIFS('SCH B-2.2'!$F$38:$F$49,'SCH B-2.2'!$B$38:$B$49,B110)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23321573.418461531</v>
      </c>
      <c r="E111" s="34"/>
      <c r="F111" s="34">
        <f>SUM(F101:F110)</f>
        <v>23321573.418461531</v>
      </c>
      <c r="G111" s="34">
        <f>SUM(G101:G110)</f>
        <v>-7172349.6961538456</v>
      </c>
      <c r="H111" s="34">
        <f>SUM(H101:H110)</f>
        <v>16149223.722307688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F'!I115</f>
        <v>57809.780099999924</v>
      </c>
      <c r="E114" s="51"/>
      <c r="F114" s="34">
        <f>D114</f>
        <v>57809.780099999924</v>
      </c>
      <c r="G114" s="34">
        <v>0</v>
      </c>
      <c r="H114" s="34">
        <f>SUM(F114:G114)</f>
        <v>57809.780099999924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F'!I116</f>
        <v>0</v>
      </c>
      <c r="E115" s="51"/>
      <c r="F115" s="36">
        <f t="shared" ref="F115:F127" si="14"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F'!I117</f>
        <v>59950103.073092207</v>
      </c>
      <c r="E116" s="51"/>
      <c r="F116" s="36">
        <f t="shared" si="14"/>
        <v>59950103.073092207</v>
      </c>
      <c r="G116" s="36">
        <v>0</v>
      </c>
      <c r="H116" s="36">
        <f>SUM(F116:G116)</f>
        <v>59950103.073092207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F'!I118</f>
        <v>1079432.1152999999</v>
      </c>
      <c r="E117" s="51"/>
      <c r="F117" s="36">
        <f t="shared" si="14"/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F'!I119</f>
        <v>62105491.306084521</v>
      </c>
      <c r="E118" s="51"/>
      <c r="F118" s="36">
        <f t="shared" si="14"/>
        <v>62105491.306084521</v>
      </c>
      <c r="G118" s="36">
        <v>0</v>
      </c>
      <c r="H118" s="36">
        <f t="shared" si="15"/>
        <v>62105491.306084521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F'!I120</f>
        <v>28747766.036538459</v>
      </c>
      <c r="E119" s="51"/>
      <c r="F119" s="36">
        <f t="shared" si="14"/>
        <v>28747766.036538459</v>
      </c>
      <c r="G119" s="36">
        <v>0</v>
      </c>
      <c r="H119" s="36">
        <f t="shared" si="15"/>
        <v>28747766.036538459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F'!I121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F'!I122</f>
        <v>1181432.6832000003</v>
      </c>
      <c r="E121" s="51"/>
      <c r="F121" s="36">
        <f t="shared" si="14"/>
        <v>1181432.6832000003</v>
      </c>
      <c r="G121" s="36">
        <v>0</v>
      </c>
      <c r="H121" s="36">
        <f t="shared" si="15"/>
        <v>1181432.6832000003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F'!I123</f>
        <v>2893187.7043384616</v>
      </c>
      <c r="E122" s="51"/>
      <c r="F122" s="36">
        <f t="shared" si="14"/>
        <v>2893187.7043384616</v>
      </c>
      <c r="G122" s="36">
        <v>0</v>
      </c>
      <c r="H122" s="36">
        <f t="shared" si="15"/>
        <v>2893187.7043384616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F'!I124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F'!I125</f>
        <v>365595.60299999994</v>
      </c>
      <c r="E124" s="51"/>
      <c r="F124" s="36">
        <f t="shared" si="14"/>
        <v>365595.60299999994</v>
      </c>
      <c r="G124" s="36">
        <v>0</v>
      </c>
      <c r="H124" s="36">
        <f t="shared" si="15"/>
        <v>365595.60299999994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F'!I126</f>
        <v>26575797.529753774</v>
      </c>
      <c r="E125" s="51"/>
      <c r="F125" s="36">
        <f t="shared" si="14"/>
        <v>26575797.529753774</v>
      </c>
      <c r="G125" s="36">
        <v>0</v>
      </c>
      <c r="H125" s="36">
        <f t="shared" si="15"/>
        <v>26575797.529753774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F'!I127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F'!I128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183181103.76410741</v>
      </c>
      <c r="E128" s="34"/>
      <c r="F128" s="34">
        <f>SUM(F114:F127)</f>
        <v>183181103.76410741</v>
      </c>
      <c r="G128" s="34">
        <f>SUM(G114:G127)</f>
        <v>0</v>
      </c>
      <c r="H128" s="34">
        <f>SUM(H114:H127)</f>
        <v>183181103.76410741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6310037965.8533268</v>
      </c>
      <c r="E130" s="34"/>
      <c r="F130" s="42">
        <f>SUM(F16,F27,F38,F60,F72,F88,F111,F128)</f>
        <v>6310037965.8533268</v>
      </c>
      <c r="G130" s="42">
        <f>SUM(G16,G27,G38,G60,G72,G88,G111,G128)</f>
        <v>-1600418919.2176931</v>
      </c>
      <c r="H130" s="42">
        <f>SUM(H16,H27,H38,H60,H72,H88,H111,H128)</f>
        <v>4709619046.6356335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3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4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0" style="17" customWidth="1"/>
    <col min="4" max="6" width="15.77734375" style="17" customWidth="1"/>
    <col min="7" max="7" width="15.33203125" style="17" customWidth="1"/>
    <col min="8" max="8" width="31.33203125" style="17" customWidth="1"/>
    <col min="9" max="9" width="1.6640625" style="17" customWidth="1"/>
    <col min="10" max="10" width="9" style="17"/>
    <col min="11" max="11" width="17" style="17" customWidth="1"/>
    <col min="12" max="12" width="9" style="17"/>
    <col min="13" max="13" width="12.6640625" style="17" bestFit="1" customWidth="1"/>
    <col min="14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13" s="16" customFormat="1" ht="20.100000000000001" customHeight="1">
      <c r="A3" s="831" t="s">
        <v>175</v>
      </c>
      <c r="B3" s="831"/>
      <c r="C3" s="831"/>
      <c r="D3" s="831"/>
      <c r="E3" s="831"/>
      <c r="F3" s="831"/>
      <c r="G3" s="831"/>
      <c r="H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174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698</v>
      </c>
      <c r="C12" s="15" t="s">
        <v>115</v>
      </c>
      <c r="D12" s="36">
        <f>SUMIFS('FCPIS B'!$R$5:$R$116,'FCPIS B'!$E$5:$E$116,$J12,'FCPIS B'!$C$5:$C$116,$B12)*-1000</f>
        <v>-3967520.8099999898</v>
      </c>
      <c r="E12" s="58">
        <v>1</v>
      </c>
      <c r="F12" s="324">
        <f t="shared" ref="F12:F23" si="0">D12*E12</f>
        <v>-3967520.8099999898</v>
      </c>
      <c r="H12" s="16" t="s">
        <v>1030</v>
      </c>
      <c r="J12" s="16" t="s">
        <v>1443</v>
      </c>
      <c r="K12" s="36">
        <f>SUMIFS('FCPIS B'!$R$5:$R$116,'FCPIS B'!$E$5:$E$116,$K11)*-1000</f>
        <v>-1259463010.49</v>
      </c>
      <c r="L12" s="36">
        <f>'ECR Exclusions'!$G$7</f>
        <v>5063100.7899999991</v>
      </c>
      <c r="M12" s="451">
        <f>SUM(K12:L12)</f>
        <v>-1254399909.7</v>
      </c>
    </row>
    <row r="13" spans="1:13" ht="18.95" customHeight="1">
      <c r="A13" s="172">
        <f>A12+1</f>
        <v>2</v>
      </c>
      <c r="B13" s="494" t="s">
        <v>699</v>
      </c>
      <c r="C13" s="15" t="s">
        <v>109</v>
      </c>
      <c r="D13" s="36">
        <f>SUMIFS('FCPIS B'!$R$5:$R$116,'FCPIS B'!$E$5:$E$116,$J13,'FCPIS B'!$C$5:$C$116,$B13)*-1000</f>
        <v>-31664290.949999999</v>
      </c>
      <c r="E13" s="58">
        <v>1</v>
      </c>
      <c r="F13" s="324">
        <f t="shared" si="0"/>
        <v>-31664290.949999999</v>
      </c>
      <c r="H13" s="16" t="s">
        <v>1030</v>
      </c>
      <c r="J13" s="16" t="s">
        <v>1443</v>
      </c>
      <c r="K13" s="36">
        <f>SUM(D12:D16)-'ECR Exclusions'!$G$7</f>
        <v>-1259463010.49</v>
      </c>
      <c r="M13" s="451">
        <f>SUM(D12:D16)</f>
        <v>-1254399909.7</v>
      </c>
    </row>
    <row r="14" spans="1:13" ht="18.95" customHeight="1">
      <c r="A14" s="172">
        <f>A13+1</f>
        <v>3</v>
      </c>
      <c r="B14" s="494" t="s">
        <v>700</v>
      </c>
      <c r="C14" s="15" t="s">
        <v>701</v>
      </c>
      <c r="D14" s="36">
        <f>SUMIFS('FCPIS B'!$R$5:$R$116,'FCPIS B'!$E$5:$E$116,$J14,'FCPIS B'!$C$5:$C$116,$B14)*-1000+'ECR Exclusions'!$G$7</f>
        <v>-1170478380.74</v>
      </c>
      <c r="E14" s="58">
        <v>1</v>
      </c>
      <c r="F14" s="324">
        <f t="shared" si="0"/>
        <v>-1170478380.74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>
        <v>315</v>
      </c>
      <c r="C15" s="26" t="s">
        <v>705</v>
      </c>
      <c r="D15" s="324">
        <f>SUMIFS('FCPIS B'!$R$5:$R$116,'FCPIS B'!$E$5:$E$116,$J15,'FCPIS B'!$C$5:$C$116,$B15)*-1000</f>
        <v>-47379452.670000002</v>
      </c>
      <c r="E15" s="58">
        <v>1</v>
      </c>
      <c r="F15" s="324">
        <f t="shared" si="0"/>
        <v>-47379452.670000002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381">
        <f>A15+1</f>
        <v>5</v>
      </c>
      <c r="B16" s="494" t="s">
        <v>706</v>
      </c>
      <c r="C16" s="26" t="s">
        <v>707</v>
      </c>
      <c r="D16" s="324">
        <f>SUMIFS('FCPIS B'!$R$5:$R$116,'FCPIS B'!$E$5:$E$116,$J16,'FCPIS B'!$C$5:$C$116,$B16)*-1000</f>
        <v>-910264.52999999898</v>
      </c>
      <c r="E16" s="58">
        <v>1</v>
      </c>
      <c r="F16" s="324">
        <f>D16*E16</f>
        <v>-910264.52999999898</v>
      </c>
      <c r="H16" s="16" t="s">
        <v>1030</v>
      </c>
      <c r="J16" s="16" t="s">
        <v>1443</v>
      </c>
      <c r="K16" s="36">
        <f>SUMIFS('FCPIS B'!$R$5:$R$116,'FCPIS B'!$E$5:$E$116,$K15)*-1000</f>
        <v>-90326379.609999999</v>
      </c>
    </row>
    <row r="17" spans="1:11" ht="18.95" customHeight="1">
      <c r="A17" s="172">
        <f>A16+1</f>
        <v>6</v>
      </c>
      <c r="B17" s="494" t="s">
        <v>708</v>
      </c>
      <c r="C17" s="15" t="str">
        <f>'SCH B-2.1 B'!C26</f>
        <v>ARO Cost Steam Production</v>
      </c>
      <c r="D17" s="324">
        <f>SUMIFS('FCPIS B'!$R$5:$R$116,'FCPIS B'!$E$5:$E$116,$J17,'FCPIS B'!$C$5:$C$116,$B17)*-1000</f>
        <v>-89186900.099999994</v>
      </c>
      <c r="E17" s="58">
        <v>1</v>
      </c>
      <c r="F17" s="324">
        <f t="shared" si="0"/>
        <v>-89186900.099999994</v>
      </c>
      <c r="H17" s="16" t="s">
        <v>366</v>
      </c>
      <c r="J17" s="16" t="s">
        <v>1471</v>
      </c>
      <c r="K17" s="36">
        <f>SUM(D17:D21)</f>
        <v>-90326379.610000014</v>
      </c>
    </row>
    <row r="18" spans="1:11" ht="18.95" customHeight="1">
      <c r="A18" s="172">
        <f t="shared" ref="A18:A23" si="1">A17+1</f>
        <v>7</v>
      </c>
      <c r="B18" s="494" t="s">
        <v>721</v>
      </c>
      <c r="C18" s="15" t="str">
        <f>'SCH B-2.1 B'!C37</f>
        <v>ARO Cost Hydro Production</v>
      </c>
      <c r="D18" s="324">
        <f>SUMIFS('FCPIS B'!$R$5:$R$116,'FCPIS B'!$E$5:$E$116,$J18,'FCPIS B'!$C$5:$C$116,$B18)*-1000</f>
        <v>-463569.14999999997</v>
      </c>
      <c r="E18" s="58">
        <v>1</v>
      </c>
      <c r="F18" s="324">
        <f t="shared" si="0"/>
        <v>-463569.14999999997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494" t="s">
        <v>733</v>
      </c>
      <c r="C19" s="15" t="str">
        <f>'SCH B-2.1 B'!C59</f>
        <v>ARO Cost Other Production</v>
      </c>
      <c r="D19" s="324">
        <f>SUMIFS('FCPIS B'!$R$5:$R$116,'FCPIS B'!$E$5:$E$116,$J19,'FCPIS B'!$C$5:$C$116,$B19)*-1000</f>
        <v>-111984.04</v>
      </c>
      <c r="E19" s="58">
        <v>1</v>
      </c>
      <c r="F19" s="324">
        <f t="shared" si="0"/>
        <v>-111984.04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494" t="s">
        <v>748</v>
      </c>
      <c r="C20" s="15" t="str">
        <f>'SCH B-2.1 B'!C71</f>
        <v>ARO Cost Elec Transmission</v>
      </c>
      <c r="D20" s="324">
        <f>SUMIFS('FCPIS B'!$R$5:$R$116,'FCPIS B'!$E$5:$E$116,$J20,'FCPIS B'!$C$5:$C$116,$B20)*-1000</f>
        <v>-195962.44999999998</v>
      </c>
      <c r="E20" s="58">
        <v>1</v>
      </c>
      <c r="F20" s="324">
        <f t="shared" si="0"/>
        <v>-195962.44999999998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 t="shared" si="1"/>
        <v>10</v>
      </c>
      <c r="B21" s="494" t="s">
        <v>768</v>
      </c>
      <c r="C21" s="15" t="str">
        <f>'SCH B-2.1 B'!C87</f>
        <v>ARO Cost Elec Distribution</v>
      </c>
      <c r="D21" s="324">
        <f>SUMIFS('FCPIS B'!$R$5:$R$116,'FCPIS B'!$E$5:$E$116,$J21,'FCPIS B'!$C$5:$C$116,$B21)*-1000</f>
        <v>-367963.87</v>
      </c>
      <c r="E21" s="58">
        <v>1</v>
      </c>
      <c r="F21" s="324">
        <f t="shared" si="0"/>
        <v>-367963.87</v>
      </c>
      <c r="H21" s="16" t="s">
        <v>366</v>
      </c>
      <c r="J21" s="16" t="s">
        <v>1471</v>
      </c>
      <c r="K21" s="36">
        <f>SUMIFS('FCPIS B'!$R$5:$R$116,'FCPIS B'!$E$5:$E$116,$K20)*-1000</f>
        <v>-8630851.6600000001</v>
      </c>
    </row>
    <row r="22" spans="1:11" ht="18.95" customHeight="1">
      <c r="A22" s="495">
        <f t="shared" si="1"/>
        <v>11</v>
      </c>
      <c r="B22" s="494">
        <v>370</v>
      </c>
      <c r="C22" s="26" t="s">
        <v>763</v>
      </c>
      <c r="D22" s="324">
        <f>SUMIFS('FCPIS B'!$R$5:$R$116,'FCPIS B'!$E$5:$E$116,$J22,'FCPIS B'!$C$5:$C$116,$B22)*-1000</f>
        <v>-1652764.79</v>
      </c>
      <c r="E22" s="58">
        <v>1</v>
      </c>
      <c r="F22" s="324">
        <f>D22*E22</f>
        <v>-1652764.79</v>
      </c>
      <c r="H22" s="16" t="s">
        <v>1031</v>
      </c>
      <c r="J22" s="16" t="s">
        <v>1470</v>
      </c>
      <c r="K22" s="36">
        <f>SUM(D22:D23)</f>
        <v>-8630851.6600000001</v>
      </c>
    </row>
    <row r="23" spans="1:11" ht="18.95" customHeight="1">
      <c r="A23" s="495">
        <f t="shared" si="1"/>
        <v>12</v>
      </c>
      <c r="B23" s="494" t="s">
        <v>781</v>
      </c>
      <c r="C23" s="15" t="s">
        <v>118</v>
      </c>
      <c r="D23" s="325">
        <f>SUMIFS('FCPIS B'!$R$5:$R$116,'FCPIS B'!$E$5:$E$116,$J23,'FCPIS B'!$C$5:$C$116,$B23)*-1000</f>
        <v>-6978086.8700000001</v>
      </c>
      <c r="E23" s="58">
        <v>1</v>
      </c>
      <c r="F23" s="325">
        <f t="shared" si="0"/>
        <v>-6978086.8700000001</v>
      </c>
      <c r="H23" s="16" t="s">
        <v>1031</v>
      </c>
      <c r="J23" s="16" t="s">
        <v>1470</v>
      </c>
      <c r="K23" s="36">
        <f>K21-K22</f>
        <v>0</v>
      </c>
    </row>
    <row r="24" spans="1:11" ht="18.95" customHeight="1">
      <c r="A24" s="172"/>
      <c r="B24" s="322"/>
      <c r="C24" s="15"/>
      <c r="D24" s="324"/>
      <c r="E24" s="58"/>
      <c r="F24" s="324"/>
      <c r="H24" s="16"/>
    </row>
    <row r="25" spans="1:11" ht="18.95" customHeight="1" thickBot="1">
      <c r="A25" s="172">
        <f>A23+1</f>
        <v>13</v>
      </c>
      <c r="B25" s="322"/>
      <c r="C25" s="15" t="s">
        <v>1395</v>
      </c>
      <c r="D25" s="326">
        <f>SUM(D12:D24)</f>
        <v>-1353357140.9699998</v>
      </c>
      <c r="E25" s="58"/>
      <c r="F25" s="326">
        <f>SUM(F12:F24)</f>
        <v>-1353357140.9699998</v>
      </c>
      <c r="H25" s="16"/>
    </row>
    <row r="26" spans="1:11" ht="18.95" customHeight="1" thickTop="1">
      <c r="B26" s="19"/>
      <c r="D26" s="34"/>
    </row>
    <row r="27" spans="1:11" s="16" customFormat="1" ht="20.100000000000001" customHeight="1">
      <c r="A27" s="831" t="str">
        <f>$A$1</f>
        <v>LOUISVILLE GAS AND ELECTRIC COMPANY</v>
      </c>
      <c r="B27" s="831"/>
      <c r="C27" s="831"/>
      <c r="D27" s="831"/>
      <c r="E27" s="831"/>
      <c r="F27" s="831"/>
      <c r="G27" s="831"/>
      <c r="H27" s="831"/>
    </row>
    <row r="28" spans="1:11" s="16" customFormat="1" ht="20.100000000000001" customHeight="1">
      <c r="A28" s="831" t="str">
        <f>$A$2</f>
        <v>CASE NO. 2018-00295 - ELECTRIC OPERATIONS</v>
      </c>
      <c r="B28" s="831"/>
      <c r="C28" s="831"/>
      <c r="D28" s="831"/>
      <c r="E28" s="831"/>
      <c r="F28" s="831"/>
      <c r="G28" s="831"/>
      <c r="H28" s="831"/>
    </row>
    <row r="29" spans="1:11" s="16" customFormat="1" ht="20.100000000000001" customHeight="1">
      <c r="A29" s="831" t="str">
        <f>$A$3</f>
        <v>PROPOSED ADJUSTMENTS TO PLANT IN SERVICE</v>
      </c>
      <c r="B29" s="831"/>
      <c r="C29" s="831"/>
      <c r="D29" s="831"/>
      <c r="E29" s="831"/>
      <c r="F29" s="831"/>
      <c r="G29" s="831"/>
      <c r="H29" s="831"/>
    </row>
    <row r="30" spans="1:11" s="16" customFormat="1" ht="20.100000000000001" customHeight="1">
      <c r="A30" s="831" t="str">
        <f>'Rate Case Constants'!C18</f>
        <v>AS OF APRIL 30, 2020</v>
      </c>
      <c r="B30" s="831"/>
      <c r="C30" s="831"/>
      <c r="D30" s="831"/>
      <c r="E30" s="831"/>
      <c r="F30" s="831"/>
      <c r="G30" s="831"/>
      <c r="H30" s="831"/>
    </row>
    <row r="31" spans="1:11" s="16" customFormat="1" ht="20.100000000000001" customHeight="1">
      <c r="A31" s="32"/>
      <c r="B31" s="32"/>
      <c r="C31" s="32"/>
      <c r="D31" s="32"/>
      <c r="E31" s="32"/>
      <c r="F31" s="32"/>
      <c r="G31" s="32"/>
      <c r="H31" s="32"/>
    </row>
    <row r="32" spans="1:11" s="16" customFormat="1" ht="20.100000000000001" customHeight="1">
      <c r="A32" s="15" t="s">
        <v>122</v>
      </c>
      <c r="B32" s="15"/>
      <c r="G32" s="22"/>
      <c r="H32" s="22" t="s">
        <v>174</v>
      </c>
    </row>
    <row r="33" spans="1:13" s="16" customFormat="1" ht="20.100000000000001" customHeight="1">
      <c r="A33" s="15" t="str">
        <f>$A$7</f>
        <v>TYPE OF FILING: _____ ORIGINAL  _____ UPDATED  __X__ REVISED</v>
      </c>
      <c r="G33" s="22"/>
      <c r="H33" s="22" t="s">
        <v>145</v>
      </c>
    </row>
    <row r="34" spans="1:13" s="16" customFormat="1" ht="20.100000000000001" customHeight="1">
      <c r="A34" s="15" t="str">
        <f>$A$8</f>
        <v>WORKPAPER REFERENCE NO(S).:</v>
      </c>
      <c r="B34" s="15"/>
      <c r="F34" s="15"/>
      <c r="G34" s="23"/>
      <c r="H34" s="23" t="str">
        <f>$H$8</f>
        <v>WITNESS:   C. M. GARRETT</v>
      </c>
    </row>
    <row r="35" spans="1:13" s="16" customFormat="1" ht="20.100000000000001" customHeight="1"/>
    <row r="36" spans="1:13" ht="58.5" customHeight="1">
      <c r="A36" s="24" t="s">
        <v>92</v>
      </c>
      <c r="B36" s="24" t="s">
        <v>95</v>
      </c>
      <c r="C36" s="27" t="s">
        <v>96</v>
      </c>
      <c r="D36" s="24" t="s">
        <v>176</v>
      </c>
      <c r="E36" s="24" t="s">
        <v>177</v>
      </c>
      <c r="F36" s="24" t="s">
        <v>178</v>
      </c>
      <c r="G36" s="24" t="s">
        <v>179</v>
      </c>
      <c r="H36" s="24" t="s">
        <v>180</v>
      </c>
      <c r="K36" s="381" t="s">
        <v>1590</v>
      </c>
    </row>
    <row r="37" spans="1:13" ht="23.1" customHeight="1">
      <c r="A37" s="28"/>
      <c r="B37" s="28"/>
      <c r="C37" s="29"/>
      <c r="D37" s="30" t="s">
        <v>103</v>
      </c>
      <c r="E37" s="30"/>
      <c r="F37" s="30" t="s">
        <v>103</v>
      </c>
      <c r="G37" s="30"/>
      <c r="H37" s="30"/>
      <c r="K37" s="397" t="s">
        <v>1443</v>
      </c>
    </row>
    <row r="38" spans="1:13" ht="18.95" customHeight="1">
      <c r="A38" s="172">
        <v>1</v>
      </c>
      <c r="B38" s="322" t="s">
        <v>698</v>
      </c>
      <c r="C38" s="15" t="s">
        <v>115</v>
      </c>
      <c r="D38" s="36">
        <f>SUMIFS('FCPIS F'!$T$5:$T$116,'FCPIS F'!$E$5:$E$116,$J38,'FCPIS F'!$C$5:$C$116,$B38)*-1000</f>
        <v>-3967520.8099999907</v>
      </c>
      <c r="E38" s="58">
        <v>1</v>
      </c>
      <c r="F38" s="324">
        <f t="shared" ref="F38:F49" si="2">D38*E38</f>
        <v>-3967520.8099999907</v>
      </c>
      <c r="H38" s="16" t="s">
        <v>1030</v>
      </c>
      <c r="J38" s="16" t="s">
        <v>1443</v>
      </c>
      <c r="K38" s="36">
        <f>SUMIFS('FCPIS F'!$T$5:$T$116,'FCPIS F'!$E$5:$E$116,$K37)*-1000</f>
        <v>-1510384810.9084618</v>
      </c>
      <c r="L38" s="36">
        <f>'ECR Exclusions'!$G$7</f>
        <v>5063100.7899999991</v>
      </c>
      <c r="M38" s="451">
        <f>SUM(K38:L38)</f>
        <v>-1505321710.1184618</v>
      </c>
    </row>
    <row r="39" spans="1:13" ht="18.95" customHeight="1">
      <c r="A39" s="172">
        <f t="shared" ref="A39:A49" si="3">A38+1</f>
        <v>2</v>
      </c>
      <c r="B39" s="322" t="s">
        <v>699</v>
      </c>
      <c r="C39" s="15" t="s">
        <v>109</v>
      </c>
      <c r="D39" s="36">
        <f>SUMIFS('FCPIS F'!$T$5:$T$116,'FCPIS F'!$E$5:$E$116,$J39,'FCPIS F'!$C$5:$C$116,$B39)*-1000</f>
        <v>-31664290.949999996</v>
      </c>
      <c r="E39" s="58">
        <v>1</v>
      </c>
      <c r="F39" s="324">
        <f t="shared" si="2"/>
        <v>-31664290.949999996</v>
      </c>
      <c r="H39" s="16" t="s">
        <v>1030</v>
      </c>
      <c r="J39" s="16" t="s">
        <v>1443</v>
      </c>
      <c r="K39" s="36">
        <f>SUM(D38:D42)-'ECR Exclusions'!$G$7</f>
        <v>-1510384810.908462</v>
      </c>
      <c r="M39" s="451">
        <f>SUM(D38:D42)</f>
        <v>-1505321710.1184621</v>
      </c>
    </row>
    <row r="40" spans="1:13" ht="18.95" customHeight="1">
      <c r="A40" s="172">
        <f t="shared" si="3"/>
        <v>3</v>
      </c>
      <c r="B40" s="322" t="s">
        <v>700</v>
      </c>
      <c r="C40" s="15" t="s">
        <v>701</v>
      </c>
      <c r="D40" s="36">
        <f>SUMIFS('FCPIS F'!$T$5:$T$116,'FCPIS F'!$E$5:$E$116,$J40,'FCPIS F'!$C$5:$C$116,$B40)*-1000+'ECR Exclusions'!$G$7</f>
        <v>-1421400181.158462</v>
      </c>
      <c r="E40" s="58">
        <v>1</v>
      </c>
      <c r="F40" s="324">
        <f t="shared" si="2"/>
        <v>-1421400181.158462</v>
      </c>
      <c r="H40" s="16" t="s">
        <v>1030</v>
      </c>
      <c r="J40" s="16" t="s">
        <v>1443</v>
      </c>
      <c r="K40" s="36">
        <f>K38-K39</f>
        <v>0</v>
      </c>
    </row>
    <row r="41" spans="1:13" ht="18.95" customHeight="1">
      <c r="A41" s="381">
        <f t="shared" si="3"/>
        <v>4</v>
      </c>
      <c r="B41" s="380">
        <v>315</v>
      </c>
      <c r="C41" s="26" t="s">
        <v>705</v>
      </c>
      <c r="D41" s="36">
        <f>SUMIFS('FCPIS F'!$T$5:$T$116,'FCPIS F'!$E$5:$E$116,$J41,'FCPIS F'!$C$5:$C$116,$B41)*-1000</f>
        <v>-47379452.669999987</v>
      </c>
      <c r="E41" s="58">
        <v>1</v>
      </c>
      <c r="F41" s="324">
        <f>D41*E41</f>
        <v>-47379452.669999987</v>
      </c>
      <c r="H41" s="16" t="s">
        <v>1030</v>
      </c>
      <c r="J41" s="16" t="s">
        <v>1443</v>
      </c>
      <c r="K41" s="397" t="s">
        <v>1471</v>
      </c>
    </row>
    <row r="42" spans="1:13" ht="18.95" customHeight="1">
      <c r="A42" s="172">
        <f t="shared" si="3"/>
        <v>5</v>
      </c>
      <c r="B42" s="322" t="s">
        <v>706</v>
      </c>
      <c r="C42" s="15" t="s">
        <v>707</v>
      </c>
      <c r="D42" s="36">
        <f>SUMIFS('FCPIS F'!$T$5:$T$116,'FCPIS F'!$E$5:$E$116,$J42,'FCPIS F'!$C$5:$C$116,$B42)*-1000</f>
        <v>-910264.52999999863</v>
      </c>
      <c r="E42" s="58">
        <v>1</v>
      </c>
      <c r="F42" s="324">
        <f t="shared" si="2"/>
        <v>-910264.52999999863</v>
      </c>
      <c r="H42" s="16" t="s">
        <v>1030</v>
      </c>
      <c r="J42" s="16" t="s">
        <v>1443</v>
      </c>
      <c r="K42" s="36">
        <f>SUMIFS('FCPIS F'!$T$5:$T$116,'FCPIS F'!$E$5:$E$116,$K41)*-1000</f>
        <v>-86272094.613076925</v>
      </c>
    </row>
    <row r="43" spans="1:13" ht="18.95" customHeight="1">
      <c r="A43" s="172">
        <f t="shared" si="3"/>
        <v>6</v>
      </c>
      <c r="B43" s="322" t="s">
        <v>708</v>
      </c>
      <c r="C43" s="15" t="s">
        <v>970</v>
      </c>
      <c r="D43" s="36">
        <f>SUMIFS('FCPIS F'!$T$5:$T$116,'FCPIS F'!$E$5:$E$116,$J43,'FCPIS F'!$C$5:$C$116,$B43)*-1000</f>
        <v>-85132615.10307692</v>
      </c>
      <c r="E43" s="58">
        <v>1</v>
      </c>
      <c r="F43" s="324">
        <f t="shared" si="2"/>
        <v>-85132615.10307692</v>
      </c>
      <c r="H43" s="16" t="s">
        <v>366</v>
      </c>
      <c r="J43" s="16" t="s">
        <v>1471</v>
      </c>
      <c r="K43" s="36">
        <f>SUM(D43:D46,D48)</f>
        <v>-86272094.61307694</v>
      </c>
    </row>
    <row r="44" spans="1:13" ht="18.95" customHeight="1">
      <c r="A44" s="172">
        <f t="shared" si="3"/>
        <v>7</v>
      </c>
      <c r="B44" s="322" t="s">
        <v>721</v>
      </c>
      <c r="C44" s="15" t="s">
        <v>968</v>
      </c>
      <c r="D44" s="36">
        <f>SUMIFS('FCPIS F'!$T$5:$T$116,'FCPIS F'!$E$5:$E$116,$J44,'FCPIS F'!$C$5:$C$116,$B44)*-1000</f>
        <v>-463569.15</v>
      </c>
      <c r="E44" s="58">
        <v>1</v>
      </c>
      <c r="F44" s="324">
        <f t="shared" si="2"/>
        <v>-463569.15</v>
      </c>
      <c r="H44" s="16" t="s">
        <v>366</v>
      </c>
      <c r="J44" s="16" t="s">
        <v>1471</v>
      </c>
      <c r="K44" s="36">
        <f>K42-K43</f>
        <v>0</v>
      </c>
    </row>
    <row r="45" spans="1:13" ht="18.95" customHeight="1">
      <c r="A45" s="172">
        <f t="shared" si="3"/>
        <v>8</v>
      </c>
      <c r="B45" s="322" t="s">
        <v>733</v>
      </c>
      <c r="C45" s="15" t="s">
        <v>969</v>
      </c>
      <c r="D45" s="36">
        <f>SUMIFS('FCPIS F'!$T$5:$T$116,'FCPIS F'!$E$5:$E$116,$J45,'FCPIS F'!$C$5:$C$116,$B45)*-1000</f>
        <v>-111984.04000000004</v>
      </c>
      <c r="E45" s="58">
        <v>1</v>
      </c>
      <c r="F45" s="324">
        <f t="shared" si="2"/>
        <v>-111984.04000000004</v>
      </c>
      <c r="H45" s="16" t="s">
        <v>366</v>
      </c>
      <c r="J45" s="16" t="s">
        <v>1471</v>
      </c>
      <c r="K45" s="397"/>
    </row>
    <row r="46" spans="1:13" ht="18.95" customHeight="1">
      <c r="A46" s="770">
        <f t="shared" si="3"/>
        <v>9</v>
      </c>
      <c r="B46" s="322" t="s">
        <v>748</v>
      </c>
      <c r="C46" s="15" t="s">
        <v>113</v>
      </c>
      <c r="D46" s="36">
        <f>SUMIFS('FCPIS F'!$T$5:$T$116,'FCPIS F'!$E$5:$E$116,$J46,'FCPIS F'!$C$5:$C$116,$B46)*-1000</f>
        <v>-195962.44999999998</v>
      </c>
      <c r="E46" s="58">
        <v>1</v>
      </c>
      <c r="F46" s="324">
        <f t="shared" si="2"/>
        <v>-195962.44999999998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0">
        <f t="shared" si="3"/>
        <v>10</v>
      </c>
      <c r="B47" s="769">
        <v>370</v>
      </c>
      <c r="C47" s="26" t="s">
        <v>763</v>
      </c>
      <c r="D47" s="36">
        <f>SUMIFS('FCPIS F'!$T$5:$T$116,'FCPIS F'!$E$5:$E$116,$J47,'FCPIS F'!$C$5:$C$116,$B47)*-1000</f>
        <v>-1652764.79</v>
      </c>
      <c r="E47" s="58">
        <v>1</v>
      </c>
      <c r="F47" s="324">
        <f>D47*E47</f>
        <v>-1652764.79</v>
      </c>
      <c r="H47" s="16" t="s">
        <v>1031</v>
      </c>
      <c r="J47" s="16" t="s">
        <v>1470</v>
      </c>
      <c r="K47" s="36"/>
    </row>
    <row r="48" spans="1:13" ht="18.95" customHeight="1">
      <c r="A48" s="770">
        <f t="shared" si="3"/>
        <v>11</v>
      </c>
      <c r="B48" s="322" t="s">
        <v>768</v>
      </c>
      <c r="C48" s="15" t="s">
        <v>112</v>
      </c>
      <c r="D48" s="36">
        <f>SUMIFS('FCPIS F'!$T$5:$T$116,'FCPIS F'!$E$5:$E$116,$J48,'FCPIS F'!$C$5:$C$116,$B48)*-1000</f>
        <v>-367963.86999999994</v>
      </c>
      <c r="E48" s="58">
        <v>1</v>
      </c>
      <c r="F48" s="324">
        <f t="shared" si="2"/>
        <v>-367963.86999999994</v>
      </c>
      <c r="H48" s="16" t="s">
        <v>366</v>
      </c>
      <c r="J48" s="16" t="s">
        <v>1471</v>
      </c>
      <c r="K48" s="36">
        <f>SUMIFS('FCPIS F'!$T$5:$T$116,'FCPIS F'!$E$5:$E$116,$K46)*-1000</f>
        <v>-8825114.4861538447</v>
      </c>
    </row>
    <row r="49" spans="1:11" ht="18.95" customHeight="1">
      <c r="A49" s="770">
        <f t="shared" si="3"/>
        <v>12</v>
      </c>
      <c r="B49" s="322" t="s">
        <v>781</v>
      </c>
      <c r="C49" s="15" t="s">
        <v>118</v>
      </c>
      <c r="D49" s="325">
        <f>SUMIFS('FCPIS F'!$T$5:$T$116,'FCPIS F'!$E$5:$E$116,$J49,'FCPIS F'!$C$5:$C$116,$B49)*-1000</f>
        <v>-7172349.6961538456</v>
      </c>
      <c r="E49" s="58">
        <v>1</v>
      </c>
      <c r="F49" s="325">
        <f t="shared" si="2"/>
        <v>-7172349.6961538456</v>
      </c>
      <c r="H49" s="16" t="s">
        <v>1031</v>
      </c>
      <c r="J49" s="16" t="s">
        <v>1470</v>
      </c>
      <c r="K49" s="36">
        <f>SUM(D49,D47)</f>
        <v>-8825114.4861538447</v>
      </c>
    </row>
    <row r="50" spans="1:11" ht="18.95" customHeight="1">
      <c r="A50" s="172"/>
      <c r="B50" s="322"/>
      <c r="C50" s="15"/>
      <c r="D50" s="324"/>
      <c r="E50" s="58"/>
      <c r="F50" s="324"/>
      <c r="H50" s="16"/>
      <c r="K50" s="36">
        <f>K48-K49</f>
        <v>0</v>
      </c>
    </row>
    <row r="51" spans="1:11" ht="18.95" customHeight="1" thickBot="1">
      <c r="A51" s="172">
        <f>A49+1</f>
        <v>13</v>
      </c>
      <c r="B51" s="322"/>
      <c r="C51" s="15" t="s">
        <v>1395</v>
      </c>
      <c r="D51" s="326">
        <f>SUM(D38:D50)</f>
        <v>-1600418919.2176929</v>
      </c>
      <c r="E51" s="58"/>
      <c r="F51" s="326">
        <f>SUM(F38:F50)</f>
        <v>-1600418919.2176929</v>
      </c>
      <c r="H51" s="16"/>
    </row>
    <row r="52" spans="1:11" ht="18.95" customHeight="1" thickTop="1"/>
    <row r="53" spans="1:11" ht="18.95" customHeight="1"/>
    <row r="54" spans="1:11" ht="18.95" customHeight="1"/>
  </sheetData>
  <mergeCells count="8">
    <mergeCell ref="A29:H29"/>
    <mergeCell ref="A30:H30"/>
    <mergeCell ref="A1:H1"/>
    <mergeCell ref="A2:H2"/>
    <mergeCell ref="A3:H3"/>
    <mergeCell ref="A4:H4"/>
    <mergeCell ref="A27:H27"/>
    <mergeCell ref="A28:H28"/>
  </mergeCells>
  <pageMargins left="0.95" right="0.5" top="0.75" bottom="0.75" header="0.3" footer="0.3"/>
  <pageSetup scale="65" fitToHeight="0" orientation="portrait" r:id="rId1"/>
  <rowBreaks count="1" manualBreakCount="1">
    <brk id="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5.77734375" style="17" customWidth="1"/>
    <col min="5" max="7" width="13.77734375" style="17" customWidth="1"/>
    <col min="8" max="8" width="15.7773437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93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Constants'!C14</f>
        <v>FROM JANUARY 1, 2018 TO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6" customFormat="1" ht="20.100000000000001" customHeight="1">
      <c r="A6" s="15" t="s">
        <v>94</v>
      </c>
      <c r="B6" s="15"/>
      <c r="G6" s="22"/>
      <c r="H6" s="22" t="s">
        <v>100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133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96</v>
      </c>
      <c r="D10" s="24" t="s">
        <v>97</v>
      </c>
      <c r="E10" s="24" t="s">
        <v>98</v>
      </c>
      <c r="F10" s="24" t="s">
        <v>99</v>
      </c>
      <c r="G10" s="24" t="s">
        <v>101</v>
      </c>
      <c r="H10" s="24" t="s">
        <v>102</v>
      </c>
    </row>
    <row r="11" spans="1:8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SUMIFS('PIS B'!$D$11:$D$141,'PIS B'!$A$11:$A$141,$B$100,'PIS B'!$B$11:$B$141,'SCH B-2.3 B'!$B13)</f>
        <v>2240.29</v>
      </c>
      <c r="E13" s="34">
        <f>SUMIFS('PIS B'!$F$11:$F$141,'PIS B'!$A$11:$A$141,$B$100,'PIS B'!$B$11:$B$141,'SCH B-2.3 B'!$B13)</f>
        <v>0</v>
      </c>
      <c r="F13" s="34">
        <f>SUMIFS('PIS B'!$H$11:$H$141,'PIS B'!$A$11:$A$141,$B$100,'PIS B'!$B$11:$B$141,'SCH B-2.3 B'!$B13)</f>
        <v>0</v>
      </c>
      <c r="G13" s="34">
        <f>SUMIFS('PIS B'!$J$11:$J$141,'PIS B'!$A$11:$A$141,$B$100,'PIS B'!$B$11:$B$141,'SCH B-2.3 B'!$B13)</f>
        <v>0</v>
      </c>
      <c r="H13" s="34">
        <f>SUM(D13:G13)</f>
        <v>2240.29</v>
      </c>
    </row>
    <row r="14" spans="1:8" ht="18.95" customHeight="1">
      <c r="A14" s="18">
        <f t="shared" ref="A14:A88" si="0">A13+1</f>
        <v>3</v>
      </c>
      <c r="B14" s="19" t="s">
        <v>694</v>
      </c>
      <c r="C14" s="26" t="s">
        <v>695</v>
      </c>
      <c r="D14" s="34">
        <f>SUMIFS('PIS B'!$D$11:$D$141,'PIS B'!$A$11:$A$141,$B$100,'PIS B'!$B$11:$B$141,'SCH B-2.3 B'!$B14)</f>
        <v>0</v>
      </c>
      <c r="E14" s="34">
        <f>SUMIFS('PIS B'!$F$11:$F$141,'PIS B'!$A$11:$A$141,$B$100,'PIS B'!$B$11:$B$141,'SCH B-2.3 B'!$B14)</f>
        <v>0</v>
      </c>
      <c r="F14" s="35">
        <f>SUMIFS('PIS B'!$H$11:$H$141,'PIS B'!$A$11:$A$141,$B$100,'PIS B'!$B$11:$B$141,'SCH B-2.3 B'!$B14)</f>
        <v>0</v>
      </c>
      <c r="G14" s="35">
        <f>SUMIFS('PIS B'!$J$11:$J$141,'PIS B'!$A$11:$A$141,$B$100,'PIS B'!$B$11:$B$141,'SCH B-2.3 B'!$B14)</f>
        <v>0</v>
      </c>
      <c r="H14" s="35">
        <f>SUM(D14:G14)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B'!$D$11:$D$141,'PIS B'!$A$11:$A$141,$B$100,'PIS B'!$B$11:$B$141,'SCH B-2.3 B'!$B15)</f>
        <v>0</v>
      </c>
      <c r="E15" s="37">
        <f>SUMIFS('PIS B'!$F$11:$F$141,'PIS B'!$A$11:$A$141,$B$100,'PIS B'!$B$11:$B$141,'SCH B-2.3 B'!$B15)</f>
        <v>0</v>
      </c>
      <c r="F15" s="37">
        <f>SUMIFS('PIS B'!$H$11:$H$141,'PIS B'!$A$11:$A$141,$B$100,'PIS B'!$B$11:$B$141,'SCH B-2.3 B'!$B15)</f>
        <v>0</v>
      </c>
      <c r="G15" s="37">
        <f>SUMIFS('PIS B'!$J$11:$J$141,'PIS B'!$A$11:$A$141,$B$100,'PIS B'!$B$11:$B$141,'SCH B-2.3 B'!$B15)</f>
        <v>0</v>
      </c>
      <c r="H15" s="37">
        <f>SUM(D15:G15)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>
        <f>SUM(E13:E15)</f>
        <v>0</v>
      </c>
      <c r="F16" s="34">
        <f>SUM(F13:F15)</f>
        <v>0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B'!$D$11:$D$141,'PIS B'!$B$11:$B$141,'SCH B-2.3 B'!$B19)</f>
        <v>8872703.7999999989</v>
      </c>
      <c r="E19" s="36">
        <f>SUMIFS('PIS B'!$F$11:$F$141,'PIS B'!$B$11:$B$141,'SCH B-2.3 B'!$B19)</f>
        <v>2361427.4599999902</v>
      </c>
      <c r="F19" s="36">
        <f>SUMIFS('PIS B'!$H$11:$H$141,'PIS B'!$B$11:$B$141,'SCH B-2.3 B'!$B19)</f>
        <v>0</v>
      </c>
      <c r="G19" s="36">
        <f>SUMIFS('PIS B'!$J$11:$J$141,'PIS B'!$B$11:$B$141,'SCH B-2.3 B'!$B19)</f>
        <v>0</v>
      </c>
      <c r="H19" s="36">
        <f t="shared" ref="H19:H26" si="1">SUM(D19:G19)</f>
        <v>11234131.259999989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B'!$D$11:$D$141,'PIS B'!$B$11:$B$141,'SCH B-2.3 B'!$B20)</f>
        <v>302035559.22999996</v>
      </c>
      <c r="E20" s="36">
        <f>SUMIFS('PIS B'!$F$11:$F$141,'PIS B'!$B$11:$B$141,'SCH B-2.3 B'!$B20)</f>
        <v>2270019.83</v>
      </c>
      <c r="F20" s="36">
        <f>SUMIFS('PIS B'!$H$11:$H$141,'PIS B'!$B$11:$B$141,'SCH B-2.3 B'!$B20)</f>
        <v>-530674.93999999994</v>
      </c>
      <c r="G20" s="36">
        <f>SUMIFS('PIS B'!$J$11:$J$141,'PIS B'!$B$11:$B$141,'SCH B-2.3 B'!$B20)</f>
        <v>7679581.6100000003</v>
      </c>
      <c r="H20" s="36">
        <f t="shared" si="1"/>
        <v>311454485.72999996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B'!$D$11:$D$141,'PIS B'!$B$11:$B$141,'SCH B-2.3 B'!$B21)</f>
        <v>2186630366.0999999</v>
      </c>
      <c r="E21" s="36">
        <f>SUMIFS('PIS B'!$F$11:$F$141,'PIS B'!$B$11:$B$141,'SCH B-2.3 B'!$B21)</f>
        <v>193345263.49999997</v>
      </c>
      <c r="F21" s="36">
        <f>SUMIFS('PIS B'!$H$11:$H$141,'PIS B'!$B$11:$B$141,'SCH B-2.3 B'!$B21)</f>
        <v>-14856264.459999992</v>
      </c>
      <c r="G21" s="36">
        <f>SUMIFS('PIS B'!$J$11:$J$141,'PIS B'!$B$11:$B$141,'SCH B-2.3 B'!$B21)</f>
        <v>-5889894.8899999997</v>
      </c>
      <c r="H21" s="36">
        <f t="shared" si="1"/>
        <v>2359229470.25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B'!$D$11:$D$141,'PIS B'!$B$11:$B$141,'SCH B-2.3 B'!$B22)</f>
        <v>0</v>
      </c>
      <c r="E22" s="36">
        <f>SUMIFS('PIS B'!$F$11:$F$141,'PIS B'!$B$11:$B$141,'SCH B-2.3 B'!$B22)</f>
        <v>0</v>
      </c>
      <c r="F22" s="36">
        <f>SUMIFS('PIS B'!$H$11:$H$141,'PIS B'!$B$11:$B$141,'SCH B-2.3 B'!$B22)</f>
        <v>0</v>
      </c>
      <c r="G22" s="36">
        <f>SUMIFS('PIS B'!$J$11:$J$141,'PIS B'!$B$11:$B$141,'SCH B-2.3 B'!$B22)</f>
        <v>0</v>
      </c>
      <c r="H22" s="36">
        <f>SUM(D22:G22)</f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B'!$D$11:$D$141,'PIS B'!$B$11:$B$141,'SCH B-2.3 B'!$B23)</f>
        <v>226849693.17000002</v>
      </c>
      <c r="E23" s="36">
        <f>SUMIFS('PIS B'!$F$11:$F$141,'PIS B'!$B$11:$B$141,'SCH B-2.3 B'!$B23)</f>
        <v>9390248.9500000011</v>
      </c>
      <c r="F23" s="36">
        <f>SUMIFS('PIS B'!$H$11:$H$141,'PIS B'!$B$11:$B$141,'SCH B-2.3 B'!$B23)</f>
        <v>-280325.81</v>
      </c>
      <c r="G23" s="36">
        <f>SUMIFS('PIS B'!$J$11:$J$141,'PIS B'!$B$11:$B$141,'SCH B-2.3 B'!$B23)</f>
        <v>-1180443.6200000001</v>
      </c>
      <c r="H23" s="36">
        <f t="shared" si="1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B'!$D$11:$D$141,'PIS B'!$B$11:$B$141,'SCH B-2.3 B'!$B24)</f>
        <v>182395484.26999998</v>
      </c>
      <c r="E24" s="36">
        <f>SUMIFS('PIS B'!$F$11:$F$141,'PIS B'!$B$11:$B$141,'SCH B-2.3 B'!$B24)</f>
        <v>1656550.0499999998</v>
      </c>
      <c r="F24" s="36">
        <f>SUMIFS('PIS B'!$H$11:$H$141,'PIS B'!$B$11:$B$141,'SCH B-2.3 B'!$B24)</f>
        <v>-751240.37</v>
      </c>
      <c r="G24" s="36">
        <f>SUMIFS('PIS B'!$J$11:$J$141,'PIS B'!$B$11:$B$141,'SCH B-2.3 B'!$B24)</f>
        <v>-1120.8599999999999</v>
      </c>
      <c r="H24" s="36">
        <f t="shared" si="1"/>
        <v>183299673.08999997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B'!$D$11:$D$141,'PIS B'!$B$11:$B$141,'SCH B-2.3 B'!$B25)</f>
        <v>20317674.809999898</v>
      </c>
      <c r="E25" s="36">
        <f>SUMIFS('PIS B'!$F$11:$F$141,'PIS B'!$B$11:$B$141,'SCH B-2.3 B'!$B25)</f>
        <v>727055.43999999808</v>
      </c>
      <c r="F25" s="36">
        <f>SUMIFS('PIS B'!$H$11:$H$141,'PIS B'!$B$11:$B$141,'SCH B-2.3 B'!$B25)</f>
        <v>-8528.42</v>
      </c>
      <c r="G25" s="36">
        <f>SUMIFS('PIS B'!$J$11:$J$141,'PIS B'!$B$11:$B$141,'SCH B-2.3 B'!$B25)</f>
        <v>-608122.24</v>
      </c>
      <c r="H25" s="36">
        <f t="shared" si="1"/>
        <v>20428079.589999896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B'!$D$11:$D$141,'PIS B'!$B$11:$B$141,'SCH B-2.3 B'!$B26)</f>
        <v>96996109.780000001</v>
      </c>
      <c r="E26" s="37">
        <f>SUMIFS('PIS B'!$F$11:$F$141,'PIS B'!$B$11:$B$141,'SCH B-2.3 B'!$B26)</f>
        <v>0</v>
      </c>
      <c r="F26" s="37">
        <f>SUMIFS('PIS B'!$H$11:$H$141,'PIS B'!$B$11:$B$141,'SCH B-2.3 B'!$B26)</f>
        <v>-2465169.08</v>
      </c>
      <c r="G26" s="37">
        <f>SUMIFS('PIS B'!$J$11:$J$141,'PIS B'!$B$11:$B$141,'SCH B-2.3 B'!$B26)</f>
        <v>-5344040.6000000006</v>
      </c>
      <c r="H26" s="37">
        <f t="shared" si="1"/>
        <v>89186900.100000009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3024097591.1600003</v>
      </c>
      <c r="E27" s="34">
        <f>SUM(E19:E26)</f>
        <v>209750565.22999996</v>
      </c>
      <c r="F27" s="34">
        <f>SUM(F19:F26)</f>
        <v>-18892203.079999991</v>
      </c>
      <c r="G27" s="34">
        <f>SUM(G19:G26)</f>
        <v>-5344040.5999999996</v>
      </c>
      <c r="H27" s="34">
        <f>SUM(H19:H26)</f>
        <v>3209611912.7099996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B'!$D$11:$D$141,'PIS B'!$B$11:$B$141,'SCH B-2.3 B'!$B30)</f>
        <v>6.5</v>
      </c>
      <c r="E30" s="36">
        <f>SUMIFS('PIS B'!$F$11:$F$141,'PIS B'!$B$11:$B$141,'SCH B-2.3 B'!$B30)</f>
        <v>0</v>
      </c>
      <c r="F30" s="36">
        <f>SUMIFS('PIS B'!$H$11:$H$141,'PIS B'!$B$11:$B$141,'SCH B-2.3 B'!$B30)</f>
        <v>0</v>
      </c>
      <c r="G30" s="36">
        <f>SUMIFS('PIS B'!$J$11:$J$141,'PIS B'!$B$11:$B$141,'SCH B-2.3 B'!$B30)</f>
        <v>0</v>
      </c>
      <c r="H30" s="36">
        <f t="shared" ref="H30:H37" si="2">SUM(D30:G30)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B'!$D$11:$D$141,'PIS B'!$B$11:$B$141,'SCH B-2.3 B'!$B31)</f>
        <v>12870708.210000001</v>
      </c>
      <c r="E31" s="36">
        <f>SUMIFS('PIS B'!$F$11:$F$141,'PIS B'!$B$11:$B$141,'SCH B-2.3 B'!$B31)</f>
        <v>-23.589999999998668</v>
      </c>
      <c r="F31" s="36">
        <f>SUMIFS('PIS B'!$H$11:$H$141,'PIS B'!$B$11:$B$141,'SCH B-2.3 B'!$B31)</f>
        <v>0</v>
      </c>
      <c r="G31" s="36">
        <f>SUMIFS('PIS B'!$J$11:$J$141,'PIS B'!$B$11:$B$141,'SCH B-2.3 B'!$B31)</f>
        <v>0</v>
      </c>
      <c r="H31" s="36">
        <f t="shared" si="2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B'!$D$11:$D$141,'PIS B'!$B$11:$B$141,'SCH B-2.3 B'!$B32)</f>
        <v>24492839.420000002</v>
      </c>
      <c r="E32" s="36">
        <f>SUMIFS('PIS B'!$F$11:$F$141,'PIS B'!$B$11:$B$141,'SCH B-2.3 B'!$B32)</f>
        <v>1717007.89</v>
      </c>
      <c r="F32" s="36">
        <f>SUMIFS('PIS B'!$H$11:$H$141,'PIS B'!$B$11:$B$141,'SCH B-2.3 B'!$B32)</f>
        <v>0</v>
      </c>
      <c r="G32" s="36">
        <f>SUMIFS('PIS B'!$J$11:$J$141,'PIS B'!$B$11:$B$141,'SCH B-2.3 B'!$B32)</f>
        <v>0</v>
      </c>
      <c r="H32" s="36">
        <f t="shared" si="2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B'!$D$11:$D$141,'PIS B'!$B$11:$B$141,'SCH B-2.3 B'!$B33)</f>
        <v>91627246.079999998</v>
      </c>
      <c r="E33" s="36">
        <f>SUMIFS('PIS B'!$F$11:$F$141,'PIS B'!$B$11:$B$141,'SCH B-2.3 B'!$B33)</f>
        <v>10899715.45999999</v>
      </c>
      <c r="F33" s="36">
        <f>SUMIFS('PIS B'!$H$11:$H$141,'PIS B'!$B$11:$B$141,'SCH B-2.3 B'!$B33)</f>
        <v>-606513.34</v>
      </c>
      <c r="G33" s="36">
        <f>SUMIFS('PIS B'!$J$11:$J$141,'PIS B'!$B$11:$B$141,'SCH B-2.3 B'!$B33)</f>
        <v>0</v>
      </c>
      <c r="H33" s="36">
        <f t="shared" si="2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B'!$D$11:$D$141,'PIS B'!$B$11:$B$141,'SCH B-2.3 B'!$B34)</f>
        <v>13070389.689999999</v>
      </c>
      <c r="E34" s="36">
        <f>SUMIFS('PIS B'!$F$11:$F$141,'PIS B'!$B$11:$B$141,'SCH B-2.3 B'!$B34)</f>
        <v>90887.389999998995</v>
      </c>
      <c r="F34" s="36">
        <f>SUMIFS('PIS B'!$H$11:$H$141,'PIS B'!$B$11:$B$141,'SCH B-2.3 B'!$B34)</f>
        <v>-953.4</v>
      </c>
      <c r="G34" s="36">
        <f>SUMIFS('PIS B'!$J$11:$J$141,'PIS B'!$B$11:$B$141,'SCH B-2.3 B'!$B34)</f>
        <v>0</v>
      </c>
      <c r="H34" s="36">
        <f t="shared" si="2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B'!$D$11:$D$141,'PIS B'!$B$11:$B$141,'SCH B-2.3 B'!$B35)</f>
        <v>3586293.04</v>
      </c>
      <c r="E35" s="36">
        <f>SUMIFS('PIS B'!$F$11:$F$141,'PIS B'!$B$11:$B$141,'SCH B-2.3 B'!$B35)</f>
        <v>-23167.270000000004</v>
      </c>
      <c r="F35" s="36">
        <f>SUMIFS('PIS B'!$H$11:$H$141,'PIS B'!$B$11:$B$141,'SCH B-2.3 B'!$B35)</f>
        <v>0</v>
      </c>
      <c r="G35" s="36">
        <f>SUMIFS('PIS B'!$J$11:$J$141,'PIS B'!$B$11:$B$141,'SCH B-2.3 B'!$B35)</f>
        <v>0</v>
      </c>
      <c r="H35" s="36">
        <f t="shared" si="2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B'!$D$11:$D$141,'PIS B'!$B$11:$B$141,'SCH B-2.3 B'!$B36)</f>
        <v>29930.61</v>
      </c>
      <c r="E36" s="36">
        <f>SUMIFS('PIS B'!$F$11:$F$141,'PIS B'!$B$11:$B$141,'SCH B-2.3 B'!$B36)</f>
        <v>0</v>
      </c>
      <c r="F36" s="36">
        <f>SUMIFS('PIS B'!$H$11:$H$141,'PIS B'!$B$11:$B$141,'SCH B-2.3 B'!$B36)</f>
        <v>0</v>
      </c>
      <c r="G36" s="36">
        <f>SUMIFS('PIS B'!$J$11:$J$141,'PIS B'!$B$11:$B$141,'SCH B-2.3 B'!$B36)</f>
        <v>0</v>
      </c>
      <c r="H36" s="36">
        <f t="shared" si="2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B'!$D$11:$D$141,'PIS B'!$B$11:$B$141,'SCH B-2.3 B'!$B37)</f>
        <v>466645.73000000004</v>
      </c>
      <c r="E37" s="37">
        <f>SUMIFS('PIS B'!$F$11:$F$141,'PIS B'!$B$11:$B$141,'SCH B-2.3 B'!$B37)</f>
        <v>0</v>
      </c>
      <c r="F37" s="37">
        <f>SUMIFS('PIS B'!$H$11:$H$141,'PIS B'!$B$11:$B$141,'SCH B-2.3 B'!$B37)</f>
        <v>-3076.58</v>
      </c>
      <c r="G37" s="37">
        <f>SUMIFS('PIS B'!$J$11:$J$141,'PIS B'!$B$11:$B$141,'SCH B-2.3 B'!$B37)</f>
        <v>0</v>
      </c>
      <c r="H37" s="37">
        <f t="shared" si="2"/>
        <v>463569.15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146144059.28</v>
      </c>
      <c r="E38" s="34">
        <f>SUM(E30:E37)</f>
        <v>12684419.87999999</v>
      </c>
      <c r="F38" s="34">
        <f>SUM(F30:F37)</f>
        <v>-610543.31999999995</v>
      </c>
      <c r="G38" s="34">
        <f>SUM(G30:G37)</f>
        <v>0</v>
      </c>
      <c r="H38" s="34">
        <f>SUM(H30:H37)</f>
        <v>158217935.84000003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B'!$D$11:$D$141,'PIS B'!$B$11:$B$141,'SCH B-2.3 B'!$B41)</f>
        <v>123878.15999999999</v>
      </c>
      <c r="E41" s="36">
        <f>SUMIFS('PIS B'!$F$11:$F$141,'PIS B'!$B$11:$B$141,'SCH B-2.3 B'!$B41)</f>
        <v>290400</v>
      </c>
      <c r="F41" s="36">
        <f>SUMIFS('PIS B'!$H$11:$H$141,'PIS B'!$B$11:$B$141,'SCH B-2.3 B'!$B41)</f>
        <v>0</v>
      </c>
      <c r="G41" s="36">
        <f>SUMIFS('PIS B'!$J$11:$J$141,'PIS B'!$B$11:$B$141,'SCH B-2.3 B'!$B41)</f>
        <v>0</v>
      </c>
      <c r="H41" s="36">
        <f>SUM(D41:G41)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B'!$D$11:$D$141,'PIS B'!$B$11:$B$141,'SCH B-2.3 B'!$B42)</f>
        <v>33615343.020000003</v>
      </c>
      <c r="E42" s="36">
        <f>SUMIFS('PIS B'!$F$11:$F$141,'PIS B'!$B$11:$B$141,'SCH B-2.3 B'!$B42)</f>
        <v>326839.42999999895</v>
      </c>
      <c r="F42" s="36">
        <f>SUMIFS('PIS B'!$H$11:$H$141,'PIS B'!$B$11:$B$141,'SCH B-2.3 B'!$B42)</f>
        <v>0</v>
      </c>
      <c r="G42" s="36">
        <f>SUMIFS('PIS B'!$J$11:$J$141,'PIS B'!$B$11:$B$141,'SCH B-2.3 B'!$B42)</f>
        <v>0</v>
      </c>
      <c r="H42" s="36">
        <f>SUM(D42:G42)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B'!$D$11:$D$141,'PIS B'!$B$11:$B$141,'SCH B-2.3 B'!$B43)</f>
        <v>24642025.890000001</v>
      </c>
      <c r="E43" s="36">
        <f>SUMIFS('PIS B'!$F$11:$F$141,'PIS B'!$B$11:$B$141,'SCH B-2.3 B'!$B43)</f>
        <v>125166.69999999991</v>
      </c>
      <c r="F43" s="36">
        <f>SUMIFS('PIS B'!$H$11:$H$141,'PIS B'!$B$11:$B$141,'SCH B-2.3 B'!$B43)</f>
        <v>0</v>
      </c>
      <c r="G43" s="36">
        <f>SUMIFS('PIS B'!$J$11:$J$141,'PIS B'!$B$11:$B$141,'SCH B-2.3 B'!$B43)</f>
        <v>0</v>
      </c>
      <c r="H43" s="36">
        <f>SUM(D43:G43)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B'!$D$11:$D$141,'PIS B'!$B$11:$B$141,'SCH B-2.3 B'!$B44)</f>
        <v>244053093.88</v>
      </c>
      <c r="E44" s="36">
        <f>SUMIFS('PIS B'!$F$11:$F$141,'PIS B'!$B$11:$B$141,'SCH B-2.3 B'!$B44)</f>
        <v>3407033.0600000005</v>
      </c>
      <c r="F44" s="36">
        <f>SUMIFS('PIS B'!$H$11:$H$141,'PIS B'!$B$11:$B$141,'SCH B-2.3 B'!$B44)</f>
        <v>-3501109.4</v>
      </c>
      <c r="G44" s="36">
        <f>SUMIFS('PIS B'!$J$11:$J$141,'PIS B'!$B$11:$B$141,'SCH B-2.3 B'!$B44)</f>
        <v>-23449.8</v>
      </c>
      <c r="H44" s="36">
        <f>SUM(D44:G44)</f>
        <v>243935567.73999998</v>
      </c>
    </row>
    <row r="45" spans="1:8" s="16" customFormat="1" ht="20.100000000000001" customHeight="1">
      <c r="A45" s="831" t="str">
        <f>$A$1</f>
        <v>LOUISVILLE GAS AND ELECTRIC COMPANY</v>
      </c>
      <c r="B45" s="831"/>
      <c r="C45" s="831"/>
      <c r="D45" s="831"/>
      <c r="E45" s="831"/>
      <c r="F45" s="831"/>
      <c r="G45" s="831"/>
      <c r="H45" s="831"/>
    </row>
    <row r="46" spans="1:8" s="16" customFormat="1" ht="20.100000000000001" customHeight="1">
      <c r="A46" s="831" t="str">
        <f>$A$2</f>
        <v>CASE NO. 2018-00295 - ELECTRIC OPERATIONS</v>
      </c>
      <c r="B46" s="831"/>
      <c r="C46" s="831"/>
      <c r="D46" s="831"/>
      <c r="E46" s="831"/>
      <c r="F46" s="831"/>
      <c r="G46" s="831"/>
      <c r="H46" s="831"/>
    </row>
    <row r="47" spans="1:8" s="16" customFormat="1" ht="20.100000000000001" customHeight="1">
      <c r="A47" s="831" t="str">
        <f>$A$3</f>
        <v>GROSS ADDITIONS, RETIREMENTS, AND TRANSFERS</v>
      </c>
      <c r="B47" s="831"/>
      <c r="C47" s="831"/>
      <c r="D47" s="831"/>
      <c r="E47" s="831"/>
      <c r="F47" s="831"/>
      <c r="G47" s="831"/>
      <c r="H47" s="831"/>
    </row>
    <row r="48" spans="1:8" s="16" customFormat="1" ht="20.100000000000001" customHeight="1">
      <c r="A48" s="832" t="str">
        <f>$A$4</f>
        <v>FROM JANUARY 1, 2018 TO DECEMBER 31, 2018</v>
      </c>
      <c r="B48" s="831"/>
      <c r="C48" s="831"/>
      <c r="D48" s="831"/>
      <c r="E48" s="831"/>
      <c r="F48" s="831"/>
      <c r="G48" s="831"/>
      <c r="H48" s="831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3" t="str">
        <f>$H$6</f>
        <v>SCHEDULE B-2.3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96</v>
      </c>
      <c r="D54" s="24" t="s">
        <v>97</v>
      </c>
      <c r="E54" s="24" t="s">
        <v>98</v>
      </c>
      <c r="F54" s="24" t="s">
        <v>99</v>
      </c>
      <c r="G54" s="24" t="s">
        <v>101</v>
      </c>
      <c r="H54" s="24" t="s">
        <v>102</v>
      </c>
    </row>
    <row r="55" spans="1:8" ht="23.1" customHeight="1">
      <c r="A55" s="28"/>
      <c r="B55" s="28"/>
      <c r="C55" s="29"/>
      <c r="D55" s="30" t="s">
        <v>103</v>
      </c>
      <c r="E55" s="30" t="s">
        <v>103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SUMIFS('PIS B'!$D$11:$D$141,'PIS B'!$B$11:$B$141,'SCH B-2.3 B'!$B56)</f>
        <v>59025351.759999998</v>
      </c>
      <c r="E56" s="36">
        <f>SUMIFS('PIS B'!$F$11:$F$141,'PIS B'!$B$11:$B$141,'SCH B-2.3 B'!$B56)</f>
        <v>617639.56000000006</v>
      </c>
      <c r="F56" s="36">
        <f>SUMIFS('PIS B'!$H$11:$H$141,'PIS B'!$B$11:$B$141,'SCH B-2.3 B'!$B56)</f>
        <v>0</v>
      </c>
      <c r="G56" s="36">
        <f>SUMIFS('PIS B'!$J$11:$J$141,'PIS B'!$B$11:$B$141,'SCH B-2.3 B'!$B56)</f>
        <v>23449.8</v>
      </c>
      <c r="H56" s="36">
        <f>SUM(D56:G56)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SUMIFS('PIS B'!$D$11:$D$141,'PIS B'!$B$11:$B$141,'SCH B-2.3 B'!$B57)</f>
        <v>32064059.809999999</v>
      </c>
      <c r="E57" s="36">
        <f>SUMIFS('PIS B'!$F$11:$F$141,'PIS B'!$B$11:$B$141,'SCH B-2.3 B'!$B57)</f>
        <v>35775.840000000004</v>
      </c>
      <c r="F57" s="36">
        <f>SUMIFS('PIS B'!$H$11:$H$141,'PIS B'!$B$11:$B$141,'SCH B-2.3 B'!$B57)</f>
        <v>0</v>
      </c>
      <c r="G57" s="36">
        <f>SUMIFS('PIS B'!$J$11:$J$141,'PIS B'!$B$11:$B$141,'SCH B-2.3 B'!$B57)</f>
        <v>0</v>
      </c>
      <c r="H57" s="36">
        <f>SUM(D57:G57)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SUMIFS('PIS B'!$D$11:$D$141,'PIS B'!$B$11:$B$141,'SCH B-2.3 B'!$B58)</f>
        <v>5002219.9299999988</v>
      </c>
      <c r="E58" s="36">
        <f>SUMIFS('PIS B'!$F$11:$F$141,'PIS B'!$B$11:$B$141,'SCH B-2.3 B'!$B58)</f>
        <v>231366.35</v>
      </c>
      <c r="F58" s="36">
        <f>SUMIFS('PIS B'!$H$11:$H$141,'PIS B'!$B$11:$B$141,'SCH B-2.3 B'!$B58)</f>
        <v>0</v>
      </c>
      <c r="G58" s="36">
        <f>SUMIFS('PIS B'!$J$11:$J$141,'PIS B'!$B$11:$B$141,'SCH B-2.3 B'!$B58)</f>
        <v>0</v>
      </c>
      <c r="H58" s="36">
        <f>SUM(D58:G58)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SUMIFS('PIS B'!$D$11:$D$141,'PIS B'!$B$11:$B$141,'SCH B-2.3 B'!$B59)</f>
        <v>111984.04</v>
      </c>
      <c r="E59" s="37">
        <f>SUMIFS('PIS B'!$F$11:$F$141,'PIS B'!$B$11:$B$141,'SCH B-2.3 B'!$B59)</f>
        <v>0</v>
      </c>
      <c r="F59" s="37">
        <f>SUMIFS('PIS B'!$H$11:$H$141,'PIS B'!$B$11:$B$141,'SCH B-2.3 B'!$B59)</f>
        <v>0</v>
      </c>
      <c r="G59" s="37">
        <f>SUMIFS('PIS B'!$J$11:$J$141,'PIS B'!$B$11:$B$141,'SCH B-2.3 B'!$B59)</f>
        <v>0</v>
      </c>
      <c r="H59" s="37">
        <f>SUM(D59:G59)</f>
        <v>111984.04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398637956.49000001</v>
      </c>
      <c r="E60" s="34">
        <f>SUM(E41:E44,E56:E59)</f>
        <v>5034220.9399999995</v>
      </c>
      <c r="F60" s="34">
        <f>SUM(F41:F44,F56:F59)</f>
        <v>-3501109.4</v>
      </c>
      <c r="G60" s="34">
        <f>SUM(G41:G44,G56:G59)</f>
        <v>0</v>
      </c>
      <c r="H60" s="34">
        <f>SUM(H41:H44,H56:H59)</f>
        <v>400171068.02999997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B'!$D$11:$D$141,'PIS B'!$B$11:$B$141,'SCH B-2.3 B'!$B63)</f>
        <v>11144162.02</v>
      </c>
      <c r="E63" s="36">
        <f>SUMIFS('PIS B'!$F$11:$F$141,'PIS B'!$B$11:$B$141,'SCH B-2.3 B'!$B63)</f>
        <v>0</v>
      </c>
      <c r="F63" s="36">
        <f>SUMIFS('PIS B'!$H$11:$H$141,'PIS B'!$B$11:$B$141,'SCH B-2.3 B'!$B63)</f>
        <v>0</v>
      </c>
      <c r="G63" s="36">
        <f>SUMIFS('PIS B'!$J$11:$J$141,'PIS B'!$B$11:$B$141,'SCH B-2.3 B'!$B63)</f>
        <v>0</v>
      </c>
      <c r="H63" s="36">
        <f t="shared" ref="H63:H71" si="3">SUM(D63:G63)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B'!$D$11:$D$141,'PIS B'!$B$11:$B$141,'SCH B-2.3 B'!$B64)</f>
        <v>17126016.730000004</v>
      </c>
      <c r="E64" s="36">
        <f>SUMIFS('PIS B'!$F$11:$F$141,'PIS B'!$B$11:$B$141,'SCH B-2.3 B'!$B64)</f>
        <v>589954.00000000012</v>
      </c>
      <c r="F64" s="36">
        <f>SUMIFS('PIS B'!$H$11:$H$141,'PIS B'!$B$11:$B$141,'SCH B-2.3 B'!$B64)</f>
        <v>-11500.340000000002</v>
      </c>
      <c r="G64" s="36">
        <f>SUMIFS('PIS B'!$J$11:$J$141,'PIS B'!$B$11:$B$141,'SCH B-2.3 B'!$B64)</f>
        <v>0</v>
      </c>
      <c r="H64" s="36">
        <f t="shared" si="3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B'!$D$11:$D$141,'PIS B'!$B$11:$B$141,'SCH B-2.3 B'!$B65)</f>
        <v>196595055.59999999</v>
      </c>
      <c r="E65" s="36">
        <f>SUMIFS('PIS B'!$F$11:$F$141,'PIS B'!$B$11:$B$141,'SCH B-2.3 B'!$B65)</f>
        <v>37090810.43</v>
      </c>
      <c r="F65" s="36">
        <f>SUMIFS('PIS B'!$H$11:$H$141,'PIS B'!$B$11:$B$141,'SCH B-2.3 B'!$B65)</f>
        <v>-2000671.9099999992</v>
      </c>
      <c r="G65" s="36">
        <f>SUMIFS('PIS B'!$J$11:$J$141,'PIS B'!$B$11:$B$141,'SCH B-2.3 B'!$B65)</f>
        <v>485287</v>
      </c>
      <c r="H65" s="36">
        <f t="shared" si="3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B'!$D$11:$D$141,'PIS B'!$B$11:$B$141,'SCH B-2.3 B'!$B66)</f>
        <v>43846468.93</v>
      </c>
      <c r="E66" s="36">
        <f>SUMIFS('PIS B'!$F$11:$F$141,'PIS B'!$B$11:$B$141,'SCH B-2.3 B'!$B66)</f>
        <v>3434.19</v>
      </c>
      <c r="F66" s="36">
        <f>SUMIFS('PIS B'!$H$11:$H$141,'PIS B'!$B$11:$B$141,'SCH B-2.3 B'!$B66)</f>
        <v>-699.92</v>
      </c>
      <c r="G66" s="36">
        <f>SUMIFS('PIS B'!$J$11:$J$141,'PIS B'!$B$11:$B$141,'SCH B-2.3 B'!$B66)</f>
        <v>0</v>
      </c>
      <c r="H66" s="36">
        <f t="shared" si="3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B'!$D$11:$D$141,'PIS B'!$B$11:$B$141,'SCH B-2.3 B'!$B67)</f>
        <v>95073398.200000018</v>
      </c>
      <c r="E67" s="36">
        <f>SUMIFS('PIS B'!$F$11:$F$141,'PIS B'!$B$11:$B$141,'SCH B-2.3 B'!$B67)</f>
        <v>5553501.0800000001</v>
      </c>
      <c r="F67" s="36">
        <f>SUMIFS('PIS B'!$H$11:$H$141,'PIS B'!$B$11:$B$141,'SCH B-2.3 B'!$B67)</f>
        <v>-152369.16000000003</v>
      </c>
      <c r="G67" s="36">
        <f>SUMIFS('PIS B'!$J$11:$J$141,'PIS B'!$B$11:$B$141,'SCH B-2.3 B'!$B67)</f>
        <v>0</v>
      </c>
      <c r="H67" s="36">
        <f t="shared" si="3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B'!$D$11:$D$141,'PIS B'!$B$11:$B$141,'SCH B-2.3 B'!$B68)</f>
        <v>59692007.940000005</v>
      </c>
      <c r="E68" s="36">
        <f>SUMIFS('PIS B'!$F$11:$F$141,'PIS B'!$B$11:$B$141,'SCH B-2.3 B'!$B68)</f>
        <v>1770698.0899999989</v>
      </c>
      <c r="F68" s="36">
        <f>SUMIFS('PIS B'!$H$11:$H$141,'PIS B'!$B$11:$B$141,'SCH B-2.3 B'!$B68)</f>
        <v>-90334.329999999987</v>
      </c>
      <c r="G68" s="36">
        <f>SUMIFS('PIS B'!$J$11:$J$141,'PIS B'!$B$11:$B$141,'SCH B-2.3 B'!$B68)</f>
        <v>0</v>
      </c>
      <c r="H68" s="36">
        <f t="shared" si="3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B'!$D$11:$D$141,'PIS B'!$B$11:$B$141,'SCH B-2.3 B'!$B69)</f>
        <v>1783443.32</v>
      </c>
      <c r="E69" s="36">
        <f>SUMIFS('PIS B'!$F$11:$F$141,'PIS B'!$B$11:$B$141,'SCH B-2.3 B'!$B69)</f>
        <v>-95630.36</v>
      </c>
      <c r="F69" s="36">
        <f>SUMIFS('PIS B'!$H$11:$H$141,'PIS B'!$B$11:$B$141,'SCH B-2.3 B'!$B69)</f>
        <v>116245.73</v>
      </c>
      <c r="G69" s="36">
        <f>SUMIFS('PIS B'!$J$11:$J$141,'PIS B'!$B$11:$B$141,'SCH B-2.3 B'!$B69)</f>
        <v>0</v>
      </c>
      <c r="H69" s="36">
        <f t="shared" si="3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B'!$D$11:$D$141,'PIS B'!$B$11:$B$141,'SCH B-2.3 B'!$B70)</f>
        <v>7372066.1499999994</v>
      </c>
      <c r="E70" s="36">
        <f>SUMIFS('PIS B'!$F$11:$F$141,'PIS B'!$B$11:$B$141,'SCH B-2.3 B'!$B70)</f>
        <v>2831.17</v>
      </c>
      <c r="F70" s="36">
        <f>SUMIFS('PIS B'!$H$11:$H$141,'PIS B'!$B$11:$B$141,'SCH B-2.3 B'!$B70)</f>
        <v>154272.5</v>
      </c>
      <c r="G70" s="36">
        <f>SUMIFS('PIS B'!$J$11:$J$141,'PIS B'!$B$11:$B$141,'SCH B-2.3 B'!$B70)</f>
        <v>0</v>
      </c>
      <c r="H70" s="36">
        <f t="shared" si="3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B'!$D$11:$D$141,'PIS B'!$B$11:$B$141,'SCH B-2.3 B'!$B71)</f>
        <v>197171.33000000002</v>
      </c>
      <c r="E71" s="37">
        <f>SUMIFS('PIS B'!$F$11:$F$141,'PIS B'!$B$11:$B$141,'SCH B-2.3 B'!$B71)</f>
        <v>0</v>
      </c>
      <c r="F71" s="37">
        <f>SUMIFS('PIS B'!$H$11:$H$141,'PIS B'!$B$11:$B$141,'SCH B-2.3 B'!$B71)</f>
        <v>-1208.8799999999999</v>
      </c>
      <c r="G71" s="37">
        <f>SUMIFS('PIS B'!$J$11:$J$141,'PIS B'!$B$11:$B$141,'SCH B-2.3 B'!$B71)</f>
        <v>0</v>
      </c>
      <c r="H71" s="37">
        <f t="shared" si="3"/>
        <v>195962.45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432829790.21999997</v>
      </c>
      <c r="E72" s="34">
        <f>SUM(E63:E71)</f>
        <v>44915598.599999994</v>
      </c>
      <c r="F72" s="34">
        <f>SUM(F63:F71)</f>
        <v>-1986266.3099999991</v>
      </c>
      <c r="G72" s="34">
        <f>SUM(G63:G71)</f>
        <v>485287</v>
      </c>
      <c r="H72" s="34">
        <f>SUM(H63:H71)</f>
        <v>476244409.50999999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B'!$D$11:$D$141,'PIS B'!$B$11:$B$141,'SCH B-2.3 B'!$B75)</f>
        <v>4100654.47</v>
      </c>
      <c r="E75" s="36">
        <f>SUMIFS('PIS B'!$F$11:$F$141,'PIS B'!$B$11:$B$141,'SCH B-2.3 B'!$B75)</f>
        <v>2598.25</v>
      </c>
      <c r="F75" s="36">
        <f>SUMIFS('PIS B'!$H$11:$H$141,'PIS B'!$B$11:$B$141,'SCH B-2.3 B'!$B75)</f>
        <v>0</v>
      </c>
      <c r="G75" s="36">
        <f>SUMIFS('PIS B'!$J$11:$J$141,'PIS B'!$B$11:$B$141,'SCH B-2.3 B'!$B75)</f>
        <v>0</v>
      </c>
      <c r="H75" s="36">
        <f t="shared" ref="H75:H87" si="4">SUM(D75:G75)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B'!$D$11:$D$141,'PIS B'!$B$11:$B$141,'SCH B-2.3 B'!$B76)</f>
        <v>6974552.7000000002</v>
      </c>
      <c r="E76" s="36">
        <f>SUMIFS('PIS B'!$F$11:$F$141,'PIS B'!$B$11:$B$141,'SCH B-2.3 B'!$B76)</f>
        <v>8003597.4199999887</v>
      </c>
      <c r="F76" s="36">
        <f>SUMIFS('PIS B'!$H$11:$H$141,'PIS B'!$B$11:$B$141,'SCH B-2.3 B'!$B76)</f>
        <v>0</v>
      </c>
      <c r="G76" s="36">
        <f>SUMIFS('PIS B'!$J$11:$J$141,'PIS B'!$B$11:$B$141,'SCH B-2.3 B'!$B76)</f>
        <v>0</v>
      </c>
      <c r="H76" s="36">
        <f t="shared" si="4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B'!$D$11:$D$141,'PIS B'!$B$11:$B$141,'SCH B-2.3 B'!$B77)</f>
        <v>139539803.30000001</v>
      </c>
      <c r="E77" s="36">
        <f>SUMIFS('PIS B'!$F$11:$F$141,'PIS B'!$B$11:$B$141,'SCH B-2.3 B'!$B77)</f>
        <v>5497533.9299999997</v>
      </c>
      <c r="F77" s="36">
        <f>SUMIFS('PIS B'!$H$11:$H$141,'PIS B'!$B$11:$B$141,'SCH B-2.3 B'!$B77)</f>
        <v>-235471.97</v>
      </c>
      <c r="G77" s="36">
        <f>SUMIFS('PIS B'!$J$11:$J$141,'PIS B'!$B$11:$B$141,'SCH B-2.3 B'!$B77)</f>
        <v>-485287</v>
      </c>
      <c r="H77" s="36">
        <f t="shared" si="4"/>
        <v>144316578.26000002</v>
      </c>
    </row>
    <row r="78" spans="1:8" ht="18.95" customHeight="1">
      <c r="A78" s="18">
        <f t="shared" si="0"/>
        <v>51</v>
      </c>
      <c r="B78" s="19" t="s">
        <v>753</v>
      </c>
      <c r="C78" s="26" t="s">
        <v>754</v>
      </c>
      <c r="D78" s="36">
        <f>SUMIFS('PIS B'!$D$11:$D$141,'PIS B'!$B$11:$B$141,'SCH B-2.3 B'!$B78)</f>
        <v>201966681.19999999</v>
      </c>
      <c r="E78" s="36">
        <f>SUMIFS('PIS B'!$F$11:$F$141,'PIS B'!$B$11:$B$141,'SCH B-2.3 B'!$B78)</f>
        <v>7639403.8799999887</v>
      </c>
      <c r="F78" s="36">
        <f>SUMIFS('PIS B'!$H$11:$H$141,'PIS B'!$B$11:$B$141,'SCH B-2.3 B'!$B78)</f>
        <v>-624788.64999999991</v>
      </c>
      <c r="G78" s="36">
        <f>SUMIFS('PIS B'!$J$11:$J$141,'PIS B'!$B$11:$B$141,'SCH B-2.3 B'!$B78)</f>
        <v>0</v>
      </c>
      <c r="H78" s="36">
        <f t="shared" si="4"/>
        <v>208981296.42999998</v>
      </c>
    </row>
    <row r="79" spans="1:8" ht="18.95" customHeight="1">
      <c r="A79" s="18">
        <f t="shared" si="0"/>
        <v>52</v>
      </c>
      <c r="B79" s="19" t="s">
        <v>755</v>
      </c>
      <c r="C79" s="26" t="s">
        <v>743</v>
      </c>
      <c r="D79" s="36">
        <f>SUMIFS('PIS B'!$D$11:$D$141,'PIS B'!$B$11:$B$141,'SCH B-2.3 B'!$B79)</f>
        <v>325928931.39999998</v>
      </c>
      <c r="E79" s="36">
        <f>SUMIFS('PIS B'!$F$11:$F$141,'PIS B'!$B$11:$B$141,'SCH B-2.3 B'!$B79)</f>
        <v>30849533.559999995</v>
      </c>
      <c r="F79" s="36">
        <f>SUMIFS('PIS B'!$H$11:$H$141,'PIS B'!$B$11:$B$141,'SCH B-2.3 B'!$B79)</f>
        <v>-1678957.4</v>
      </c>
      <c r="G79" s="36">
        <f>SUMIFS('PIS B'!$J$11:$J$141,'PIS B'!$B$11:$B$141,'SCH B-2.3 B'!$B79)</f>
        <v>0</v>
      </c>
      <c r="H79" s="36">
        <f t="shared" si="4"/>
        <v>355099507.56</v>
      </c>
    </row>
    <row r="80" spans="1:8" ht="18.95" customHeight="1">
      <c r="A80" s="18">
        <f t="shared" si="0"/>
        <v>53</v>
      </c>
      <c r="B80" s="19" t="s">
        <v>756</v>
      </c>
      <c r="C80" s="26" t="s">
        <v>745</v>
      </c>
      <c r="D80" s="36">
        <f>SUMIFS('PIS B'!$D$11:$D$141,'PIS B'!$B$11:$B$141,'SCH B-2.3 B'!$B80)</f>
        <v>84150164.590000004</v>
      </c>
      <c r="E80" s="36">
        <f>SUMIFS('PIS B'!$F$11:$F$141,'PIS B'!$B$11:$B$141,'SCH B-2.3 B'!$B80)</f>
        <v>12524855.249999998</v>
      </c>
      <c r="F80" s="36">
        <f>SUMIFS('PIS B'!$H$11:$H$141,'PIS B'!$B$11:$B$141,'SCH B-2.3 B'!$B80)</f>
        <v>-20.309999999999903</v>
      </c>
      <c r="G80" s="36">
        <f>SUMIFS('PIS B'!$J$11:$J$141,'PIS B'!$B$11:$B$141,'SCH B-2.3 B'!$B80)</f>
        <v>0</v>
      </c>
      <c r="H80" s="36">
        <f t="shared" si="4"/>
        <v>96674999.530000001</v>
      </c>
    </row>
    <row r="81" spans="1:8" ht="18.95" customHeight="1">
      <c r="A81" s="18">
        <f t="shared" si="0"/>
        <v>54</v>
      </c>
      <c r="B81" s="19" t="s">
        <v>757</v>
      </c>
      <c r="C81" s="26" t="s">
        <v>747</v>
      </c>
      <c r="D81" s="36">
        <f>SUMIFS('PIS B'!$D$11:$D$141,'PIS B'!$B$11:$B$141,'SCH B-2.3 B'!$B81)</f>
        <v>254218956.89999998</v>
      </c>
      <c r="E81" s="36">
        <f>SUMIFS('PIS B'!$F$11:$F$141,'PIS B'!$B$11:$B$141,'SCH B-2.3 B'!$B81)</f>
        <v>24168883.079999991</v>
      </c>
      <c r="F81" s="36">
        <f>SUMIFS('PIS B'!$H$11:$H$141,'PIS B'!$B$11:$B$141,'SCH B-2.3 B'!$B81)</f>
        <v>-1728278.47</v>
      </c>
      <c r="G81" s="36">
        <f>SUMIFS('PIS B'!$J$11:$J$141,'PIS B'!$B$11:$B$141,'SCH B-2.3 B'!$B81)</f>
        <v>0</v>
      </c>
      <c r="H81" s="36">
        <f t="shared" si="4"/>
        <v>276659561.50999993</v>
      </c>
    </row>
    <row r="82" spans="1:8" ht="18.95" customHeight="1">
      <c r="A82" s="18">
        <f t="shared" si="0"/>
        <v>55</v>
      </c>
      <c r="B82" s="19" t="s">
        <v>758</v>
      </c>
      <c r="C82" s="26" t="s">
        <v>759</v>
      </c>
      <c r="D82" s="36">
        <f>SUMIFS('PIS B'!$D$11:$D$141,'PIS B'!$B$11:$B$141,'SCH B-2.3 B'!$B82)</f>
        <v>165811255.5</v>
      </c>
      <c r="E82" s="36">
        <f>SUMIFS('PIS B'!$F$11:$F$141,'PIS B'!$B$11:$B$141,'SCH B-2.3 B'!$B82)</f>
        <v>6412424.9199999999</v>
      </c>
      <c r="F82" s="36">
        <f>SUMIFS('PIS B'!$H$11:$H$141,'PIS B'!$B$11:$B$141,'SCH B-2.3 B'!$B82)</f>
        <v>-248843.17999999991</v>
      </c>
      <c r="G82" s="36">
        <f>SUMIFS('PIS B'!$J$11:$J$141,'PIS B'!$B$11:$B$141,'SCH B-2.3 B'!$B82)</f>
        <v>0</v>
      </c>
      <c r="H82" s="36">
        <f t="shared" si="4"/>
        <v>171974837.23999998</v>
      </c>
    </row>
    <row r="83" spans="1:8" ht="18.95" customHeight="1">
      <c r="A83" s="18">
        <f t="shared" si="0"/>
        <v>56</v>
      </c>
      <c r="B83" s="19" t="s">
        <v>760</v>
      </c>
      <c r="C83" s="26" t="s">
        <v>761</v>
      </c>
      <c r="D83" s="36">
        <f>SUMIFS('PIS B'!$D$11:$D$141,'PIS B'!$B$11:$B$141,'SCH B-2.3 B'!$B83)</f>
        <v>35226840.210000001</v>
      </c>
      <c r="E83" s="36">
        <f>SUMIFS('PIS B'!$F$11:$F$141,'PIS B'!$B$11:$B$141,'SCH B-2.3 B'!$B83)</f>
        <v>2268489.1099999994</v>
      </c>
      <c r="F83" s="36">
        <f>SUMIFS('PIS B'!$H$11:$H$141,'PIS B'!$B$11:$B$141,'SCH B-2.3 B'!$B83)</f>
        <v>-33212.47</v>
      </c>
      <c r="G83" s="36">
        <f>SUMIFS('PIS B'!$J$11:$J$141,'PIS B'!$B$11:$B$141,'SCH B-2.3 B'!$B83)</f>
        <v>0</v>
      </c>
      <c r="H83" s="36">
        <f t="shared" si="4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SUMIFS('PIS B'!$D$11:$D$141,'PIS B'!$B$11:$B$141,'SCH B-2.3 B'!$B84)</f>
        <v>41755547.719999999</v>
      </c>
      <c r="E84" s="36">
        <f>SUMIFS('PIS B'!$F$11:$F$141,'PIS B'!$B$11:$B$141,'SCH B-2.3 B'!$B84)</f>
        <v>1064875.52</v>
      </c>
      <c r="F84" s="36">
        <f>SUMIFS('PIS B'!$H$11:$H$141,'PIS B'!$B$11:$B$141,'SCH B-2.3 B'!$B84)</f>
        <v>-131061.63</v>
      </c>
      <c r="G84" s="36">
        <f>SUMIFS('PIS B'!$J$11:$J$141,'PIS B'!$B$11:$B$141,'SCH B-2.3 B'!$B84)</f>
        <v>0</v>
      </c>
      <c r="H84" s="36">
        <f t="shared" si="4"/>
        <v>42689361.609999999</v>
      </c>
    </row>
    <row r="85" spans="1:8" ht="18.95" customHeight="1">
      <c r="A85" s="18">
        <f t="shared" si="0"/>
        <v>58</v>
      </c>
      <c r="B85" s="19" t="s">
        <v>764</v>
      </c>
      <c r="C85" s="26" t="s">
        <v>765</v>
      </c>
      <c r="D85" s="36">
        <f>SUMIFS('PIS B'!$D$11:$D$141,'PIS B'!$B$11:$B$141,'SCH B-2.3 B'!$B85)</f>
        <v>0</v>
      </c>
      <c r="E85" s="36">
        <f>SUMIFS('PIS B'!$F$11:$F$141,'PIS B'!$B$11:$B$141,'SCH B-2.3 B'!$B85)</f>
        <v>156536.15000000002</v>
      </c>
      <c r="F85" s="36">
        <f>SUMIFS('PIS B'!$H$11:$H$141,'PIS B'!$B$11:$B$141,'SCH B-2.3 B'!$B85)</f>
        <v>0</v>
      </c>
      <c r="G85" s="36">
        <f>SUMIFS('PIS B'!$J$11:$J$141,'PIS B'!$B$11:$B$141,'SCH B-2.3 B'!$B85)</f>
        <v>0</v>
      </c>
      <c r="H85" s="36">
        <f t="shared" si="4"/>
        <v>156536.15000000002</v>
      </c>
    </row>
    <row r="86" spans="1:8" ht="18.95" customHeight="1">
      <c r="A86" s="18">
        <f t="shared" si="0"/>
        <v>59</v>
      </c>
      <c r="B86" s="19" t="s">
        <v>766</v>
      </c>
      <c r="C86" s="26" t="s">
        <v>767</v>
      </c>
      <c r="D86" s="36">
        <f>SUMIFS('PIS B'!$D$11:$D$141,'PIS B'!$B$11:$B$141,'SCH B-2.3 B'!$B86)</f>
        <v>110508570.37</v>
      </c>
      <c r="E86" s="36">
        <f>SUMIFS('PIS B'!$F$11:$F$141,'PIS B'!$B$11:$B$141,'SCH B-2.3 B'!$B86)</f>
        <v>5532133.6799999988</v>
      </c>
      <c r="F86" s="36">
        <f>SUMIFS('PIS B'!$H$11:$H$141,'PIS B'!$B$11:$B$141,'SCH B-2.3 B'!$B86)</f>
        <v>0</v>
      </c>
      <c r="G86" s="36">
        <f>SUMIFS('PIS B'!$J$11:$J$141,'PIS B'!$B$11:$B$141,'SCH B-2.3 B'!$B86)</f>
        <v>0</v>
      </c>
      <c r="H86" s="36">
        <f t="shared" si="4"/>
        <v>116040704.05</v>
      </c>
    </row>
    <row r="87" spans="1:8" ht="18.95" customHeight="1">
      <c r="A87" s="18">
        <f t="shared" si="0"/>
        <v>60</v>
      </c>
      <c r="B87" s="19" t="s">
        <v>768</v>
      </c>
      <c r="C87" s="26" t="s">
        <v>112</v>
      </c>
      <c r="D87" s="37">
        <f>SUMIFS('PIS B'!$D$11:$D$141,'PIS B'!$B$11:$B$141,'SCH B-2.3 B'!$B87)</f>
        <v>367963.87</v>
      </c>
      <c r="E87" s="37">
        <f>SUMIFS('PIS B'!$F$11:$F$141,'PIS B'!$B$11:$B$141,'SCH B-2.3 B'!$B87)</f>
        <v>0</v>
      </c>
      <c r="F87" s="37">
        <f>SUMIFS('PIS B'!$H$11:$H$141,'PIS B'!$B$11:$B$141,'SCH B-2.3 B'!$B87)</f>
        <v>0</v>
      </c>
      <c r="G87" s="37">
        <f>SUMIFS('PIS B'!$J$11:$J$141,'PIS B'!$B$11:$B$141,'SCH B-2.3 B'!$B87)</f>
        <v>0</v>
      </c>
      <c r="H87" s="37">
        <f t="shared" si="4"/>
        <v>367963.87</v>
      </c>
    </row>
    <row r="88" spans="1:8" ht="18.95" customHeight="1">
      <c r="A88" s="18">
        <f t="shared" si="0"/>
        <v>61</v>
      </c>
      <c r="B88" s="19"/>
      <c r="C88" s="26" t="s">
        <v>114</v>
      </c>
      <c r="D88" s="34">
        <f>SUM(D75:D87)</f>
        <v>1370549922.23</v>
      </c>
      <c r="E88" s="34">
        <f>SUM(E75:E87)</f>
        <v>104120864.74999997</v>
      </c>
      <c r="F88" s="34">
        <f>SUM(F75:F87)</f>
        <v>-4680634.0799999991</v>
      </c>
      <c r="G88" s="34">
        <f>SUM(G75:G87)</f>
        <v>-485287</v>
      </c>
      <c r="H88" s="34">
        <f>SUM(H75:H87)</f>
        <v>1469504865.8999996</v>
      </c>
    </row>
    <row r="89" spans="1:8" s="16" customFormat="1" ht="20.100000000000001" customHeight="1">
      <c r="A89" s="831" t="str">
        <f>$A$1</f>
        <v>LOUISVILLE GAS AND ELECTRIC COMPANY</v>
      </c>
      <c r="B89" s="831"/>
      <c r="C89" s="831"/>
      <c r="D89" s="831"/>
      <c r="E89" s="831"/>
      <c r="F89" s="831"/>
      <c r="G89" s="831"/>
      <c r="H89" s="831"/>
    </row>
    <row r="90" spans="1:8" s="16" customFormat="1" ht="20.100000000000001" customHeight="1">
      <c r="A90" s="831" t="str">
        <f>$A$2</f>
        <v>CASE NO. 2018-00295 - ELECTRIC OPERATIONS</v>
      </c>
      <c r="B90" s="831"/>
      <c r="C90" s="831"/>
      <c r="D90" s="831"/>
      <c r="E90" s="831"/>
      <c r="F90" s="831"/>
      <c r="G90" s="831"/>
      <c r="H90" s="831"/>
    </row>
    <row r="91" spans="1:8" s="16" customFormat="1" ht="20.100000000000001" customHeight="1">
      <c r="A91" s="831" t="str">
        <f>$A$3</f>
        <v>GROSS ADDITIONS, RETIREMENTS, AND TRANSFERS</v>
      </c>
      <c r="B91" s="831"/>
      <c r="C91" s="831"/>
      <c r="D91" s="831"/>
      <c r="E91" s="831"/>
      <c r="F91" s="831"/>
      <c r="G91" s="831"/>
      <c r="H91" s="831"/>
    </row>
    <row r="92" spans="1:8" s="16" customFormat="1" ht="20.100000000000001" customHeight="1">
      <c r="A92" s="832" t="str">
        <f>$A$4</f>
        <v>FROM JANUARY 1, 2018 TO DECEMBER 31, 2018</v>
      </c>
      <c r="B92" s="831"/>
      <c r="C92" s="831"/>
      <c r="D92" s="831"/>
      <c r="E92" s="831"/>
      <c r="F92" s="831"/>
      <c r="G92" s="831"/>
      <c r="H92" s="831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3" t="str">
        <f>$H$6</f>
        <v>SCHEDULE B-2.3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96</v>
      </c>
      <c r="D98" s="24" t="s">
        <v>97</v>
      </c>
      <c r="E98" s="24" t="s">
        <v>98</v>
      </c>
      <c r="F98" s="24" t="s">
        <v>99</v>
      </c>
      <c r="G98" s="24" t="s">
        <v>101</v>
      </c>
      <c r="H98" s="24" t="s">
        <v>102</v>
      </c>
    </row>
    <row r="99" spans="1:8" ht="23.1" customHeight="1">
      <c r="A99" s="28"/>
      <c r="B99" s="28"/>
      <c r="C99" s="29"/>
      <c r="D99" s="30" t="s">
        <v>103</v>
      </c>
      <c r="E99" s="30" t="s">
        <v>103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B100" s="147" t="s">
        <v>923</v>
      </c>
      <c r="C100" s="38" t="s">
        <v>28</v>
      </c>
    </row>
    <row r="101" spans="1:8" ht="18.95" customHeight="1">
      <c r="A101" s="18">
        <f t="shared" ref="A101:A110" si="5">A100+1</f>
        <v>63</v>
      </c>
      <c r="B101" s="19" t="s">
        <v>769</v>
      </c>
      <c r="C101" s="26" t="s">
        <v>115</v>
      </c>
      <c r="D101" s="34">
        <f>SUMIFS('PIS B'!$D$11:$D$141,'PIS B'!$A$11:$A$141,$B$100,'PIS B'!$B$11:$B$141,'SCH B-2.3 B'!$B101)</f>
        <v>0</v>
      </c>
      <c r="E101" s="34">
        <f>SUMIFS('PIS B'!$F$11:$F$141,'PIS B'!$A$11:$A$141,$B$100,'PIS B'!$B$11:$B$141,'SCH B-2.3 B'!$B101)</f>
        <v>0</v>
      </c>
      <c r="F101" s="34">
        <f>SUMIFS('PIS B'!$H$11:$H$141,'PIS B'!$A$11:$A$141,$B$100,'PIS B'!$B$11:$B$141,'SCH B-2.3 B'!$B101)</f>
        <v>0</v>
      </c>
      <c r="G101" s="34">
        <f>SUMIFS('PIS B'!$J$11:$J$141,'PIS B'!$A$11:$A$141,$B$100,'PIS B'!$B$11:$B$141,'SCH B-2.3 B'!$B101)</f>
        <v>0</v>
      </c>
      <c r="H101" s="36">
        <f t="shared" ref="H101:H109" si="6">SUM(D101:G101)</f>
        <v>0</v>
      </c>
    </row>
    <row r="102" spans="1:8" ht="18.95" customHeight="1">
      <c r="A102" s="18">
        <f t="shared" si="5"/>
        <v>64</v>
      </c>
      <c r="B102" s="19" t="s">
        <v>770</v>
      </c>
      <c r="C102" s="26" t="s">
        <v>109</v>
      </c>
      <c r="D102" s="36">
        <f>SUMIFS('PIS B'!$D$11:$D$141,'PIS B'!$A$11:$A$141,$B$100,'PIS B'!$B$11:$B$141,'SCH B-2.3 B'!$B102)</f>
        <v>0</v>
      </c>
      <c r="E102" s="36">
        <f>SUMIFS('PIS B'!$F$11:$F$141,'PIS B'!$A$11:$A$141,$B$100,'PIS B'!$B$11:$B$141,'SCH B-2.3 B'!$B102)</f>
        <v>0</v>
      </c>
      <c r="F102" s="36">
        <f>SUMIFS('PIS B'!$H$11:$H$141,'PIS B'!$A$11:$A$141,$B$100,'PIS B'!$B$11:$B$141,'SCH B-2.3 B'!$B102)</f>
        <v>0</v>
      </c>
      <c r="G102" s="36">
        <f>SUMIFS('PIS B'!$J$11:$J$141,'PIS B'!$A$11:$A$141,$B$100,'PIS B'!$B$11:$B$141,'SCH B-2.3 B'!$B102)</f>
        <v>0</v>
      </c>
      <c r="H102" s="36">
        <f t="shared" si="6"/>
        <v>0</v>
      </c>
    </row>
    <row r="103" spans="1:8" ht="18.95" customHeight="1">
      <c r="A103" s="18">
        <f t="shared" si="5"/>
        <v>65</v>
      </c>
      <c r="B103" s="19" t="s">
        <v>771</v>
      </c>
      <c r="C103" s="26" t="s">
        <v>117</v>
      </c>
      <c r="D103" s="36">
        <f>SUMIFS('PIS B'!$D$11:$D$141,'PIS B'!$A$11:$A$141,$B$100,'PIS B'!$B$11:$B$141,'SCH B-2.3 B'!$B103)</f>
        <v>0</v>
      </c>
      <c r="E103" s="36">
        <f>SUMIFS('PIS B'!$F$11:$F$141,'PIS B'!$A$11:$A$141,$B$100,'PIS B'!$B$11:$B$141,'SCH B-2.3 B'!$B103)</f>
        <v>0</v>
      </c>
      <c r="F103" s="36">
        <f>SUMIFS('PIS B'!$H$11:$H$141,'PIS B'!$A$11:$A$141,$B$100,'PIS B'!$B$11:$B$141,'SCH B-2.3 B'!$B103)</f>
        <v>0</v>
      </c>
      <c r="G103" s="36">
        <f>SUMIFS('PIS B'!$J$11:$J$141,'PIS B'!$A$11:$A$141,$B$100,'PIS B'!$B$11:$B$141,'SCH B-2.3 B'!$B103)</f>
        <v>0</v>
      </c>
      <c r="H103" s="36">
        <f t="shared" si="6"/>
        <v>0</v>
      </c>
    </row>
    <row r="104" spans="1:8" ht="18.95" customHeight="1">
      <c r="A104" s="18">
        <f t="shared" si="5"/>
        <v>66</v>
      </c>
      <c r="B104" s="19" t="s">
        <v>772</v>
      </c>
      <c r="C104" s="26" t="s">
        <v>116</v>
      </c>
      <c r="D104" s="36">
        <f>SUMIFS('PIS B'!$D$11:$D$141,'PIS B'!$A$11:$A$141,$B$100,'PIS B'!$B$11:$B$141,'SCH B-2.3 B'!$B104)</f>
        <v>6068369.27999999</v>
      </c>
      <c r="E104" s="36">
        <f>SUMIFS('PIS B'!$F$11:$F$141,'PIS B'!$A$11:$A$141,$B$100,'PIS B'!$B$11:$B$141,'SCH B-2.3 B'!$B104)</f>
        <v>1237768.7799999998</v>
      </c>
      <c r="F104" s="36">
        <f>SUMIFS('PIS B'!$H$11:$H$141,'PIS B'!$A$11:$A$141,$B$100,'PIS B'!$B$11:$B$141,'SCH B-2.3 B'!$B104)</f>
        <v>-171605.62000000002</v>
      </c>
      <c r="G104" s="36">
        <f>SUMIFS('PIS B'!$J$11:$J$141,'PIS B'!$A$11:$A$141,$B$100,'PIS B'!$B$11:$B$141,'SCH B-2.3 B'!$B104)</f>
        <v>0</v>
      </c>
      <c r="H104" s="36">
        <f t="shared" si="6"/>
        <v>7134532.4399999892</v>
      </c>
    </row>
    <row r="105" spans="1:8" ht="18.95" customHeight="1">
      <c r="A105" s="18">
        <f t="shared" si="5"/>
        <v>67</v>
      </c>
      <c r="B105" s="19" t="s">
        <v>773</v>
      </c>
      <c r="C105" s="26" t="s">
        <v>774</v>
      </c>
      <c r="D105" s="36">
        <f>SUMIFS('PIS B'!$D$11:$D$141,'PIS B'!$A$11:$A$141,$B$100,'PIS B'!$B$11:$B$141,'SCH B-2.3 B'!$B105)</f>
        <v>0</v>
      </c>
      <c r="E105" s="36">
        <f>SUMIFS('PIS B'!$F$11:$F$141,'PIS B'!$A$11:$A$141,$B$100,'PIS B'!$B$11:$B$141,'SCH B-2.3 B'!$B105)</f>
        <v>0</v>
      </c>
      <c r="F105" s="36">
        <f>SUMIFS('PIS B'!$H$11:$H$141,'PIS B'!$A$11:$A$141,$B$100,'PIS B'!$B$11:$B$141,'SCH B-2.3 B'!$B105)</f>
        <v>0</v>
      </c>
      <c r="G105" s="36">
        <f>SUMIFS('PIS B'!$J$11:$J$141,'PIS B'!$A$11:$A$141,$B$100,'PIS B'!$B$11:$B$141,'SCH B-2.3 B'!$B105)</f>
        <v>0</v>
      </c>
      <c r="H105" s="36">
        <f t="shared" si="6"/>
        <v>0</v>
      </c>
    </row>
    <row r="106" spans="1:8" ht="18.95" customHeight="1">
      <c r="A106" s="18">
        <f t="shared" si="5"/>
        <v>68</v>
      </c>
      <c r="B106" s="19" t="s">
        <v>775</v>
      </c>
      <c r="C106" s="26" t="s">
        <v>776</v>
      </c>
      <c r="D106" s="36">
        <f>SUMIFS('PIS B'!$D$11:$D$141,'PIS B'!$A$11:$A$141,$B$100,'PIS B'!$B$11:$B$141,'SCH B-2.3 B'!$B106)</f>
        <v>6291795.1100000003</v>
      </c>
      <c r="E106" s="36">
        <f>SUMIFS('PIS B'!$F$11:$F$141,'PIS B'!$A$11:$A$141,$B$100,'PIS B'!$B$11:$B$141,'SCH B-2.3 B'!$B106)</f>
        <v>660118.12</v>
      </c>
      <c r="F106" s="36">
        <f>SUMIFS('PIS B'!$H$11:$H$141,'PIS B'!$A$11:$A$141,$B$100,'PIS B'!$B$11:$B$141,'SCH B-2.3 B'!$B106)</f>
        <v>-165890.03</v>
      </c>
      <c r="G106" s="36">
        <f>SUMIFS('PIS B'!$J$11:$J$141,'PIS B'!$A$11:$A$141,$B$100,'PIS B'!$B$11:$B$141,'SCH B-2.3 B'!$B106)</f>
        <v>0</v>
      </c>
      <c r="H106" s="36">
        <f t="shared" si="6"/>
        <v>6786023.2000000002</v>
      </c>
    </row>
    <row r="107" spans="1:8" ht="18.95" customHeight="1">
      <c r="A107" s="18">
        <f t="shared" si="5"/>
        <v>69</v>
      </c>
      <c r="B107" s="19" t="s">
        <v>777</v>
      </c>
      <c r="C107" s="26" t="s">
        <v>778</v>
      </c>
      <c r="D107" s="36">
        <f>SUMIFS('PIS B'!$D$11:$D$141,'PIS B'!$A$11:$A$141,$B$100,'PIS B'!$B$11:$B$141,'SCH B-2.3 B'!$B107)</f>
        <v>0</v>
      </c>
      <c r="E107" s="36">
        <f>SUMIFS('PIS B'!$F$11:$F$141,'PIS B'!$A$11:$A$141,$B$100,'PIS B'!$B$11:$B$141,'SCH B-2.3 B'!$B107)</f>
        <v>0</v>
      </c>
      <c r="F107" s="36">
        <f>SUMIFS('PIS B'!$H$11:$H$141,'PIS B'!$A$11:$A$141,$B$100,'PIS B'!$B$11:$B$141,'SCH B-2.3 B'!$B107)</f>
        <v>0</v>
      </c>
      <c r="G107" s="36">
        <f>SUMIFS('PIS B'!$J$11:$J$141,'PIS B'!$A$11:$A$141,$B$100,'PIS B'!$B$11:$B$141,'SCH B-2.3 B'!$B107)</f>
        <v>0</v>
      </c>
      <c r="H107" s="36">
        <f t="shared" si="6"/>
        <v>0</v>
      </c>
    </row>
    <row r="108" spans="1:8" ht="18.95" customHeight="1">
      <c r="A108" s="18">
        <f t="shared" si="5"/>
        <v>70</v>
      </c>
      <c r="B108" s="19" t="s">
        <v>779</v>
      </c>
      <c r="C108" s="26" t="s">
        <v>780</v>
      </c>
      <c r="D108" s="36">
        <f>SUMIFS('PIS B'!$D$11:$D$141,'PIS B'!$A$11:$A$141,$B$100,'PIS B'!$B$11:$B$141,'SCH B-2.3 B'!$B108)</f>
        <v>1999074.949999999</v>
      </c>
      <c r="E108" s="36">
        <f>SUMIFS('PIS B'!$F$11:$F$141,'PIS B'!$A$11:$A$141,$B$100,'PIS B'!$B$11:$B$141,'SCH B-2.3 B'!$B108)</f>
        <v>85107.4</v>
      </c>
      <c r="F108" s="36">
        <f>SUMIFS('PIS B'!$H$11:$H$141,'PIS B'!$A$11:$A$141,$B$100,'PIS B'!$B$11:$B$141,'SCH B-2.3 B'!$B108)</f>
        <v>0</v>
      </c>
      <c r="G108" s="36">
        <f>SUMIFS('PIS B'!$J$11:$J$141,'PIS B'!$A$11:$A$141,$B$100,'PIS B'!$B$11:$B$141,'SCH B-2.3 B'!$B108)</f>
        <v>0</v>
      </c>
      <c r="H108" s="36">
        <f t="shared" si="6"/>
        <v>2084182.3499999989</v>
      </c>
    </row>
    <row r="109" spans="1:8" ht="18.95" customHeight="1">
      <c r="A109" s="18">
        <f t="shared" si="5"/>
        <v>71</v>
      </c>
      <c r="B109" s="19" t="s">
        <v>781</v>
      </c>
      <c r="C109" s="26" t="s">
        <v>118</v>
      </c>
      <c r="D109" s="36">
        <f>SUMIFS('PIS B'!$D$11:$D$141,'PIS B'!$A$11:$A$141,$B$100,'PIS B'!$B$11:$B$141,'SCH B-2.3 B'!$B109)</f>
        <v>6852292.7400000002</v>
      </c>
      <c r="E109" s="36">
        <f>SUMIFS('PIS B'!$F$11:$F$141,'PIS B'!$A$11:$A$141,$B$100,'PIS B'!$B$11:$B$141,'SCH B-2.3 B'!$B109)</f>
        <v>125794.12999999999</v>
      </c>
      <c r="F109" s="36">
        <f>SUMIFS('PIS B'!$H$11:$H$141,'PIS B'!$A$11:$A$141,$B$100,'PIS B'!$B$11:$B$141,'SCH B-2.3 B'!$B109)</f>
        <v>0</v>
      </c>
      <c r="G109" s="36">
        <f>SUMIFS('PIS B'!$J$11:$J$141,'PIS B'!$A$11:$A$141,$B$100,'PIS B'!$B$11:$B$141,'SCH B-2.3 B'!$B109)</f>
        <v>0</v>
      </c>
      <c r="H109" s="36">
        <f t="shared" si="6"/>
        <v>6978086.8700000001</v>
      </c>
    </row>
    <row r="110" spans="1:8" ht="18.95" customHeight="1">
      <c r="A110" s="18">
        <f t="shared" si="5"/>
        <v>72</v>
      </c>
      <c r="B110" s="19" t="s">
        <v>782</v>
      </c>
      <c r="C110" s="26" t="s">
        <v>783</v>
      </c>
      <c r="D110" s="37">
        <f>SUMIFS('PIS B'!$D$11:$D$141,'PIS B'!$A$11:$A$141,$B$100,'PIS B'!$B$11:$B$141,'SCH B-2.3 B'!$B110)</f>
        <v>0</v>
      </c>
      <c r="E110" s="37">
        <f>SUMIFS('PIS B'!$F$11:$F$141,'PIS B'!$A$11:$A$141,$B$100,'PIS B'!$B$11:$B$141,'SCH B-2.3 B'!$B110)</f>
        <v>0</v>
      </c>
      <c r="F110" s="37">
        <f>SUMIFS('PIS B'!$H$11:$H$141,'PIS B'!$A$11:$A$141,$B$100,'PIS B'!$B$11:$B$141,'SCH B-2.3 B'!$B110)</f>
        <v>0</v>
      </c>
      <c r="G110" s="37">
        <f>SUMIFS('PIS B'!$J$11:$J$141,'PIS B'!$A$11:$A$141,$B$100,'PIS B'!$B$11:$B$141,'SCH B-2.3 B'!$B110)</f>
        <v>0</v>
      </c>
      <c r="H110" s="37">
        <f>SUM(D110:G110)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21211532.079999991</v>
      </c>
      <c r="E111" s="34">
        <f>SUM(E101:E110)</f>
        <v>2108788.4299999997</v>
      </c>
      <c r="F111" s="34">
        <f>SUM(F101:F110)</f>
        <v>-337495.65</v>
      </c>
      <c r="G111" s="34">
        <f>SUM(G101:G110)</f>
        <v>0</v>
      </c>
      <c r="H111" s="34">
        <f>SUM(H101:H110)</f>
        <v>22982824.859999988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B113" s="147" t="s">
        <v>867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6">
        <f>SUMIFS('PIS B'!$D$11:$D$141,'PIS B'!$A$11:$A$141,$B$113,'PIS B'!$B$11:$B$141,'SCH B-2.3 B'!$B114)</f>
        <v>57809.780099999931</v>
      </c>
      <c r="E114" s="36">
        <f>SUMIFS('PIS B'!$F$11:$F$141,'PIS B'!$A$11:$A$141,$B$113,'PIS B'!$B$11:$B$141,'SCH B-2.3 B'!$B114)</f>
        <v>0</v>
      </c>
      <c r="F114" s="36">
        <f>SUMIFS('PIS B'!$H$11:$H$141,'PIS B'!$A$11:$A$141,$B$113,'PIS B'!$B$11:$B$141,'SCH B-2.3 B'!$B114)</f>
        <v>0</v>
      </c>
      <c r="G114" s="36">
        <f>SUMIFS('PIS B'!$J$11:$J$141,'PIS B'!$A$11:$A$141,$B$113,'PIS B'!$B$11:$B$141,'SCH B-2.3 B'!$B114)</f>
        <v>0</v>
      </c>
      <c r="H114" s="34">
        <f>SUM(D114:G114)</f>
        <v>57809.780099999931</v>
      </c>
    </row>
    <row r="115" spans="1:8" ht="18.95" customHeight="1">
      <c r="A115" s="18">
        <f>A114+1</f>
        <v>76</v>
      </c>
      <c r="B115" s="19" t="s">
        <v>694</v>
      </c>
      <c r="C115" s="26" t="s">
        <v>695</v>
      </c>
      <c r="D115" s="34">
        <f>SUMIFS('PIS B'!$D$11:$D$141,'PIS B'!$A$11:$A$141,$B$113,'PIS B'!$B$11:$B$141,'SCH B-2.3 B'!$B115)</f>
        <v>0</v>
      </c>
      <c r="E115" s="34">
        <f>SUMIFS('PIS B'!$F$11:$F$141,'PIS B'!$A$11:$A$141,$B$113,'PIS B'!$B$11:$B$141,'SCH B-2.3 B'!$B115)</f>
        <v>0</v>
      </c>
      <c r="F115" s="35">
        <f>SUMIFS('PIS B'!$H$11:$H$141,'PIS B'!$A$11:$A$141,$B$113,'PIS B'!$B$11:$B$141,'SCH B-2.3 B'!$B115)</f>
        <v>0</v>
      </c>
      <c r="G115" s="35">
        <f>SUMIFS('PIS B'!$J$11:$J$141,'PIS B'!$A$11:$A$141,$B$113,'PIS B'!$B$11:$B$141,'SCH B-2.3 B'!$B115)</f>
        <v>0</v>
      </c>
      <c r="H115" s="35">
        <f>SUM(D115:G115)</f>
        <v>0</v>
      </c>
    </row>
    <row r="116" spans="1:8" ht="18.95" customHeight="1">
      <c r="A116" s="18">
        <f>A115+1</f>
        <v>77</v>
      </c>
      <c r="B116" s="19" t="s">
        <v>696</v>
      </c>
      <c r="C116" s="26" t="s">
        <v>697</v>
      </c>
      <c r="D116" s="36">
        <f>SUMIFS('PIS B'!$D$11:$D$141,'PIS B'!$A$11:$A$141,$B$113,'PIS B'!$B$11:$B$141,'SCH B-2.3 B'!$B116)</f>
        <v>78447968.706299931</v>
      </c>
      <c r="E116" s="36">
        <f>SUMIFS('PIS B'!$F$11:$F$141,'PIS B'!$A$11:$A$141,$B$113,'PIS B'!$B$11:$B$141,'SCH B-2.3 B'!$B116)</f>
        <v>13202220.280199982</v>
      </c>
      <c r="F116" s="36">
        <f>SUMIFS('PIS B'!$H$11:$H$141,'PIS B'!$A$11:$A$141,$B$113,'PIS B'!$B$11:$B$141,'SCH B-2.3 B'!$B116)</f>
        <v>-4725375.2447999986</v>
      </c>
      <c r="G116" s="36">
        <f>SUMIFS('PIS B'!$J$11:$J$141,'PIS B'!$A$11:$A$141,$B$113,'PIS B'!$B$11:$B$141,'SCH B-2.3 B'!$B116)</f>
        <v>0</v>
      </c>
      <c r="H116" s="36">
        <f>SUM(D116:G116)</f>
        <v>86924813.741699904</v>
      </c>
    </row>
    <row r="117" spans="1:8" ht="18.95" customHeight="1">
      <c r="A117" s="18">
        <f>A116+1</f>
        <v>78</v>
      </c>
      <c r="B117" s="19" t="s">
        <v>769</v>
      </c>
      <c r="C117" s="26" t="s">
        <v>115</v>
      </c>
      <c r="D117" s="36">
        <f>SUMIFS('PIS B'!$D$11:$D$141,'PIS B'!$A$11:$A$141,$B$113,'PIS B'!$B$11:$B$141,'SCH B-2.3 B'!$B117)</f>
        <v>1079432.1152999999</v>
      </c>
      <c r="E117" s="36">
        <f>SUMIFS('PIS B'!$F$11:$F$141,'PIS B'!$A$11:$A$141,$B$113,'PIS B'!$B$11:$B$141,'SCH B-2.3 B'!$B117)</f>
        <v>0</v>
      </c>
      <c r="F117" s="36">
        <f>SUMIFS('PIS B'!$H$11:$H$141,'PIS B'!$A$11:$A$141,$B$113,'PIS B'!$B$11:$B$141,'SCH B-2.3 B'!$B117)</f>
        <v>0</v>
      </c>
      <c r="G117" s="36">
        <f>SUMIFS('PIS B'!$J$11:$J$141,'PIS B'!$A$11:$A$141,$B$113,'PIS B'!$B$11:$B$141,'SCH B-2.3 B'!$B117)</f>
        <v>0</v>
      </c>
      <c r="H117" s="36">
        <f t="shared" ref="H117:H127" si="7">SUM(D117:G117)</f>
        <v>1079432.1152999999</v>
      </c>
    </row>
    <row r="118" spans="1:8" ht="18.95" customHeight="1">
      <c r="A118" s="18">
        <f t="shared" ref="A118:A128" si="8">A117+1</f>
        <v>79</v>
      </c>
      <c r="B118" s="19" t="s">
        <v>770</v>
      </c>
      <c r="C118" s="26" t="s">
        <v>109</v>
      </c>
      <c r="D118" s="36">
        <f>SUMIFS('PIS B'!$D$11:$D$141,'PIS B'!$A$11:$A$141,$B$113,'PIS B'!$B$11:$B$141,'SCH B-2.3 B'!$B118)</f>
        <v>56085703.382100001</v>
      </c>
      <c r="E118" s="36">
        <f>SUMIFS('PIS B'!$F$11:$F$141,'PIS B'!$A$11:$A$141,$B$113,'PIS B'!$B$11:$B$141,'SCH B-2.3 B'!$B118)</f>
        <v>2852866.2857999918</v>
      </c>
      <c r="F118" s="36">
        <f>SUMIFS('PIS B'!$H$11:$H$141,'PIS B'!$A$11:$A$141,$B$113,'PIS B'!$B$11:$B$141,'SCH B-2.3 B'!$B118)</f>
        <v>-233216.12219999998</v>
      </c>
      <c r="G118" s="36">
        <f>SUMIFS('PIS B'!$J$11:$J$141,'PIS B'!$A$11:$A$141,$B$113,'PIS B'!$B$11:$B$141,'SCH B-2.3 B'!$B118)</f>
        <v>0</v>
      </c>
      <c r="H118" s="36">
        <f t="shared" si="7"/>
        <v>58705353.545699999</v>
      </c>
    </row>
    <row r="119" spans="1:8" ht="18.95" customHeight="1">
      <c r="A119" s="18">
        <f t="shared" si="8"/>
        <v>80</v>
      </c>
      <c r="B119" s="19" t="s">
        <v>771</v>
      </c>
      <c r="C119" s="26" t="s">
        <v>117</v>
      </c>
      <c r="D119" s="36">
        <f>SUMIFS('PIS B'!$D$11:$D$141,'PIS B'!$A$11:$A$141,$B$113,'PIS B'!$B$11:$B$141,'SCH B-2.3 B'!$B119)</f>
        <v>24420232.1175</v>
      </c>
      <c r="E119" s="36">
        <f>SUMIFS('PIS B'!$F$11:$F$141,'PIS B'!$A$11:$A$141,$B$113,'PIS B'!$B$11:$B$141,'SCH B-2.3 B'!$B119)</f>
        <v>8878973.6267999969</v>
      </c>
      <c r="F119" s="36">
        <f>SUMIFS('PIS B'!$H$11:$H$141,'PIS B'!$A$11:$A$141,$B$113,'PIS B'!$B$11:$B$141,'SCH B-2.3 B'!$B119)</f>
        <v>-3127521.1307999985</v>
      </c>
      <c r="G119" s="36">
        <f>SUMIFS('PIS B'!$J$11:$J$141,'PIS B'!$A$11:$A$141,$B$113,'PIS B'!$B$11:$B$141,'SCH B-2.3 B'!$B119)</f>
        <v>0</v>
      </c>
      <c r="H119" s="36">
        <f t="shared" si="7"/>
        <v>30171684.613499999</v>
      </c>
    </row>
    <row r="120" spans="1:8" ht="18.95" customHeight="1">
      <c r="A120" s="18">
        <f t="shared" si="8"/>
        <v>81</v>
      </c>
      <c r="B120" s="19" t="s">
        <v>772</v>
      </c>
      <c r="C120" s="26" t="s">
        <v>116</v>
      </c>
      <c r="D120" s="36">
        <f>SUMIFS('PIS B'!$D$11:$D$141,'PIS B'!$A$11:$A$141,$B$113,'PIS B'!$B$11:$B$141,'SCH B-2.3 B'!$B120)</f>
        <v>191957.99309999999</v>
      </c>
      <c r="E120" s="36">
        <f>SUMIFS('PIS B'!$F$11:$F$141,'PIS B'!$A$11:$A$141,$B$113,'PIS B'!$B$11:$B$141,'SCH B-2.3 B'!$B120)</f>
        <v>51154.619699999996</v>
      </c>
      <c r="F120" s="36">
        <f>SUMIFS('PIS B'!$H$11:$H$141,'PIS B'!$A$11:$A$141,$B$113,'PIS B'!$B$11:$B$141,'SCH B-2.3 B'!$B120)</f>
        <v>-18624.680099999998</v>
      </c>
      <c r="G120" s="36">
        <f>SUMIFS('PIS B'!$J$11:$J$141,'PIS B'!$A$11:$A$141,$B$113,'PIS B'!$B$11:$B$141,'SCH B-2.3 B'!$B120)</f>
        <v>0</v>
      </c>
      <c r="H120" s="36">
        <f t="shared" si="7"/>
        <v>224487.9327</v>
      </c>
    </row>
    <row r="121" spans="1:8" ht="18.95" customHeight="1">
      <c r="A121" s="18">
        <f t="shared" si="8"/>
        <v>82</v>
      </c>
      <c r="B121" s="19" t="s">
        <v>773</v>
      </c>
      <c r="C121" s="26" t="s">
        <v>774</v>
      </c>
      <c r="D121" s="36">
        <f>SUMIFS('PIS B'!$D$11:$D$141,'PIS B'!$A$11:$A$141,$B$113,'PIS B'!$B$11:$B$141,'SCH B-2.3 B'!$B121)</f>
        <v>1015041.7638</v>
      </c>
      <c r="E121" s="36">
        <f>SUMIFS('PIS B'!$F$11:$F$141,'PIS B'!$A$11:$A$141,$B$113,'PIS B'!$B$11:$B$141,'SCH B-2.3 B'!$B121)</f>
        <v>166390.91939999998</v>
      </c>
      <c r="F121" s="36">
        <f>SUMIFS('PIS B'!$H$11:$H$141,'PIS B'!$A$11:$A$141,$B$113,'PIS B'!$B$11:$B$141,'SCH B-2.3 B'!$B121)</f>
        <v>0</v>
      </c>
      <c r="G121" s="36">
        <f>SUMIFS('PIS B'!$J$11:$J$141,'PIS B'!$A$11:$A$141,$B$113,'PIS B'!$B$11:$B$141,'SCH B-2.3 B'!$B121)</f>
        <v>0</v>
      </c>
      <c r="H121" s="36">
        <f t="shared" si="7"/>
        <v>1181432.6831999999</v>
      </c>
    </row>
    <row r="122" spans="1:8" ht="18.95" customHeight="1">
      <c r="A122" s="18">
        <f t="shared" si="8"/>
        <v>83</v>
      </c>
      <c r="B122" s="19" t="s">
        <v>775</v>
      </c>
      <c r="C122" s="26" t="s">
        <v>776</v>
      </c>
      <c r="D122" s="36">
        <f>SUMIFS('PIS B'!$D$11:$D$141,'PIS B'!$A$11:$A$141,$B$113,'PIS B'!$B$11:$B$141,'SCH B-2.3 B'!$B122)</f>
        <v>2898038.3294999995</v>
      </c>
      <c r="E122" s="36">
        <f>SUMIFS('PIS B'!$F$11:$F$141,'PIS B'!$A$11:$A$141,$B$113,'PIS B'!$B$11:$B$141,'SCH B-2.3 B'!$B122)</f>
        <v>97615.78349999999</v>
      </c>
      <c r="F122" s="36">
        <f>SUMIFS('PIS B'!$H$11:$H$141,'PIS B'!$A$11:$A$141,$B$113,'PIS B'!$B$11:$B$141,'SCH B-2.3 B'!$B122)</f>
        <v>-91542.679499999984</v>
      </c>
      <c r="G122" s="36">
        <f>SUMIFS('PIS B'!$J$11:$J$141,'PIS B'!$A$11:$A$141,$B$113,'PIS B'!$B$11:$B$141,'SCH B-2.3 B'!$B122)</f>
        <v>0</v>
      </c>
      <c r="H122" s="36">
        <f t="shared" si="7"/>
        <v>2904111.4334999993</v>
      </c>
    </row>
    <row r="123" spans="1:8" ht="18.95" customHeight="1">
      <c r="A123" s="18">
        <f t="shared" si="8"/>
        <v>84</v>
      </c>
      <c r="B123" s="19" t="s">
        <v>777</v>
      </c>
      <c r="C123" s="26" t="s">
        <v>778</v>
      </c>
      <c r="D123" s="36">
        <f>SUMIFS('PIS B'!$D$11:$D$141,'PIS B'!$A$11:$A$141,$B$113,'PIS B'!$B$11:$B$141,'SCH B-2.3 B'!$B123)</f>
        <v>0</v>
      </c>
      <c r="E123" s="36">
        <f>SUMIFS('PIS B'!$F$11:$F$141,'PIS B'!$A$11:$A$141,$B$113,'PIS B'!$B$11:$B$141,'SCH B-2.3 B'!$B123)</f>
        <v>0</v>
      </c>
      <c r="F123" s="36">
        <f>SUMIFS('PIS B'!$H$11:$H$141,'PIS B'!$A$11:$A$141,$B$113,'PIS B'!$B$11:$B$141,'SCH B-2.3 B'!$B123)</f>
        <v>0</v>
      </c>
      <c r="G123" s="36">
        <f>SUMIFS('PIS B'!$J$11:$J$141,'PIS B'!$A$11:$A$141,$B$113,'PIS B'!$B$11:$B$141,'SCH B-2.3 B'!$B123)</f>
        <v>0</v>
      </c>
      <c r="H123" s="36">
        <f t="shared" si="7"/>
        <v>0</v>
      </c>
    </row>
    <row r="124" spans="1:8" ht="18.95" customHeight="1">
      <c r="A124" s="18">
        <f t="shared" si="8"/>
        <v>85</v>
      </c>
      <c r="B124" s="19" t="s">
        <v>779</v>
      </c>
      <c r="C124" s="26" t="s">
        <v>780</v>
      </c>
      <c r="D124" s="36">
        <f>SUMIFS('PIS B'!$D$11:$D$141,'PIS B'!$A$11:$A$141,$B$113,'PIS B'!$B$11:$B$141,'SCH B-2.3 B'!$B124)</f>
        <v>373784.22629999928</v>
      </c>
      <c r="E124" s="36">
        <f>SUMIFS('PIS B'!$F$11:$F$141,'PIS B'!$A$11:$A$141,$B$113,'PIS B'!$B$11:$B$141,'SCH B-2.3 B'!$B124)</f>
        <v>41799.806699999994</v>
      </c>
      <c r="F124" s="36">
        <f>SUMIFS('PIS B'!$H$11:$H$141,'PIS B'!$A$11:$A$141,$B$113,'PIS B'!$B$11:$B$141,'SCH B-2.3 B'!$B124)</f>
        <v>-49988.429999999993</v>
      </c>
      <c r="G124" s="36">
        <f>SUMIFS('PIS B'!$J$11:$J$141,'PIS B'!$A$11:$A$141,$B$113,'PIS B'!$B$11:$B$141,'SCH B-2.3 B'!$B124)</f>
        <v>0</v>
      </c>
      <c r="H124" s="36">
        <f t="shared" si="7"/>
        <v>365595.6029999993</v>
      </c>
    </row>
    <row r="125" spans="1:8" ht="18.95" customHeight="1">
      <c r="A125" s="18">
        <f t="shared" si="8"/>
        <v>86</v>
      </c>
      <c r="B125" s="19" t="s">
        <v>781</v>
      </c>
      <c r="C125" s="26" t="s">
        <v>118</v>
      </c>
      <c r="D125" s="36">
        <f>SUMIFS('PIS B'!$D$11:$D$141,'PIS B'!$A$11:$A$141,$B$113,'PIS B'!$B$11:$B$141,'SCH B-2.3 B'!$B125)</f>
        <v>23523646.434899997</v>
      </c>
      <c r="E125" s="36">
        <f>SUMIFS('PIS B'!$F$11:$F$141,'PIS B'!$A$11:$A$141,$B$113,'PIS B'!$B$11:$B$141,'SCH B-2.3 B'!$B125)</f>
        <v>2011919.9331</v>
      </c>
      <c r="F125" s="36">
        <f>SUMIFS('PIS B'!$H$11:$H$141,'PIS B'!$A$11:$A$141,$B$113,'PIS B'!$B$11:$B$141,'SCH B-2.3 B'!$B125)</f>
        <v>0</v>
      </c>
      <c r="G125" s="36">
        <f>SUMIFS('PIS B'!$J$11:$J$141,'PIS B'!$A$11:$A$141,$B$113,'PIS B'!$B$11:$B$141,'SCH B-2.3 B'!$B125)</f>
        <v>0</v>
      </c>
      <c r="H125" s="36">
        <f t="shared" si="7"/>
        <v>25535566.367999997</v>
      </c>
    </row>
    <row r="126" spans="1:8" ht="18.95" customHeight="1">
      <c r="A126" s="18">
        <f t="shared" si="8"/>
        <v>87</v>
      </c>
      <c r="B126" s="19" t="s">
        <v>782</v>
      </c>
      <c r="C126" s="26" t="s">
        <v>783</v>
      </c>
      <c r="D126" s="36">
        <f>SUMIFS('PIS B'!$D$11:$D$141,'PIS B'!$A$11:$A$141,$B$113,'PIS B'!$B$11:$B$141,'SCH B-2.3 B'!$B126)</f>
        <v>0</v>
      </c>
      <c r="E126" s="36">
        <f>SUMIFS('PIS B'!$F$11:$F$141,'PIS B'!$A$11:$A$141,$B$113,'PIS B'!$B$11:$B$141,'SCH B-2.3 B'!$B126)</f>
        <v>0</v>
      </c>
      <c r="F126" s="36">
        <f>SUMIFS('PIS B'!$H$11:$H$141,'PIS B'!$A$11:$A$141,$B$113,'PIS B'!$B$11:$B$141,'SCH B-2.3 B'!$B126)</f>
        <v>0</v>
      </c>
      <c r="G126" s="36">
        <f>SUMIFS('PIS B'!$J$11:$J$141,'PIS B'!$A$11:$A$141,$B$113,'PIS B'!$B$11:$B$141,'SCH B-2.3 B'!$B126)</f>
        <v>0</v>
      </c>
      <c r="H126" s="36">
        <f t="shared" si="7"/>
        <v>0</v>
      </c>
    </row>
    <row r="127" spans="1:8" ht="18.95" customHeight="1">
      <c r="A127" s="18">
        <f t="shared" si="8"/>
        <v>88</v>
      </c>
      <c r="B127" s="19">
        <v>399</v>
      </c>
      <c r="C127" s="26" t="s">
        <v>926</v>
      </c>
      <c r="D127" s="37">
        <f>SUMIFS('PIS B'!$D$11:$D$141,'PIS B'!$A$11:$A$141,$B$113,'PIS B'!$B$11:$B$141,'SCH B-2.3 B'!$B127)</f>
        <v>0</v>
      </c>
      <c r="E127" s="37">
        <f>SUMIFS('PIS B'!$F$11:$F$141,'PIS B'!$A$11:$A$141,$B$113,'PIS B'!$B$11:$B$141,'SCH B-2.3 B'!$B127)</f>
        <v>0</v>
      </c>
      <c r="F127" s="37">
        <f>SUMIFS('PIS B'!$H$11:$H$141,'PIS B'!$A$11:$A$141,$B$113,'PIS B'!$B$11:$B$141,'SCH B-2.3 B'!$B127)</f>
        <v>0</v>
      </c>
      <c r="G127" s="37">
        <f>SUMIFS('PIS B'!$J$11:$J$141,'PIS B'!$A$11:$A$141,$B$113,'PIS B'!$B$11:$B$141,'SCH B-2.3 B'!$B127)</f>
        <v>0</v>
      </c>
      <c r="H127" s="37">
        <f t="shared" si="7"/>
        <v>0</v>
      </c>
    </row>
    <row r="128" spans="1:8" ht="18.95" customHeight="1">
      <c r="A128" s="18">
        <f t="shared" si="8"/>
        <v>89</v>
      </c>
      <c r="B128" s="19"/>
      <c r="C128" s="26" t="s">
        <v>945</v>
      </c>
      <c r="D128" s="34">
        <f>SUM(D114:D127)</f>
        <v>188093614.8488999</v>
      </c>
      <c r="E128" s="34">
        <f>SUM(E114:E127)</f>
        <v>27302941.255199969</v>
      </c>
      <c r="F128" s="34">
        <f>SUM(F114:F127)</f>
        <v>-8246268.287399997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5581566706.5988998</v>
      </c>
      <c r="E130" s="42">
        <f>SUM(E16,E27,E38,E60,E72,E88,E111,E128)</f>
        <v>405917399.08519995</v>
      </c>
      <c r="F130" s="42">
        <f>SUM(F16,F27,F38,F60,F72,F88,F111,F128)</f>
        <v>-38254520.127399981</v>
      </c>
      <c r="G130" s="42">
        <f>SUM(G16,G27,G38,G60,G72,G88,G111,G128)</f>
        <v>-5344040.5999999996</v>
      </c>
      <c r="H130" s="42">
        <f>SUM(H16,H27,H38,H60,H72,H88,H111,H128)</f>
        <v>5943885544.9566994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</row>
    <row r="133" spans="1:8" ht="18.95" customHeight="1">
      <c r="B133" s="19"/>
      <c r="C133" s="26"/>
    </row>
    <row r="134" spans="1:8" ht="18.95" customHeight="1">
      <c r="B134" s="19"/>
      <c r="C134" s="16" t="s">
        <v>927</v>
      </c>
      <c r="D134" s="34">
        <f>'PIS B'!D145</f>
        <v>5581566706.5988998</v>
      </c>
      <c r="H134" s="34">
        <f>'PIS B'!N145</f>
        <v>5943885544.9566994</v>
      </c>
    </row>
    <row r="135" spans="1:8" ht="18.95" customHeight="1">
      <c r="B135" s="19"/>
      <c r="D135" s="34">
        <f>D130-D134</f>
        <v>0</v>
      </c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5.77734375" style="17" customWidth="1"/>
    <col min="5" max="7" width="13.77734375" style="17" customWidth="1"/>
    <col min="8" max="9" width="15.77734375" style="17" customWidth="1"/>
    <col min="10" max="10" width="1.6640625" style="17" customWidth="1"/>
    <col min="11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93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tr">
        <f>'Rate Case Constants'!C20</f>
        <v>FROM MAY 1, 2019 TO APRIL 30, 2020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122</v>
      </c>
      <c r="B6" s="15"/>
      <c r="G6" s="22"/>
      <c r="H6" s="22"/>
      <c r="I6" s="22" t="s">
        <v>100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 t="s">
        <v>128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65.099999999999994" customHeight="1">
      <c r="A10" s="24" t="s">
        <v>92</v>
      </c>
      <c r="B10" s="24" t="s">
        <v>95</v>
      </c>
      <c r="C10" s="27" t="s">
        <v>96</v>
      </c>
      <c r="D10" s="24" t="s">
        <v>123</v>
      </c>
      <c r="E10" s="24" t="s">
        <v>98</v>
      </c>
      <c r="F10" s="24" t="s">
        <v>99</v>
      </c>
      <c r="G10" s="24" t="s">
        <v>101</v>
      </c>
      <c r="H10" s="24" t="s">
        <v>124</v>
      </c>
      <c r="I10" s="24" t="s">
        <v>3072</v>
      </c>
    </row>
    <row r="11" spans="1:9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  <c r="I11" s="30" t="s">
        <v>103</v>
      </c>
    </row>
    <row r="12" spans="1:9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  <c r="I12" s="25"/>
    </row>
    <row r="13" spans="1:9" ht="18.95" customHeight="1">
      <c r="A13" s="18">
        <f>A12+1</f>
        <v>2</v>
      </c>
      <c r="B13" s="19" t="s">
        <v>692</v>
      </c>
      <c r="C13" s="26" t="s">
        <v>693</v>
      </c>
      <c r="D13" s="34">
        <f>SUMIFS('PIS F'!$D$11:$D$141,'PIS F'!$A$11:$A$141,$B$90,'PIS F'!$B$11:$B$141,'SCH B-2.3 F'!$B13)</f>
        <v>2240.29</v>
      </c>
      <c r="E13" s="34">
        <f>SUMIFS('PIS F'!$F$11:$F$141,'PIS F'!$A$11:$A$141,$B$90,'PIS F'!$B$11:$B$141,'SCH B-2.3 F'!$B13)</f>
        <v>0</v>
      </c>
      <c r="F13" s="34">
        <f>SUMIFS('PIS F'!$H$11:$H$141,'PIS F'!$A$11:$A$141,$B$90,'PIS F'!$B$11:$B$141,'SCH B-2.3 F'!$B13)</f>
        <v>0</v>
      </c>
      <c r="G13" s="34">
        <f>SUMIFS('PIS F'!$J$11:$J$141,'PIS F'!$A$11:$A$141,$B$90,'PIS F'!$B$11:$B$141,'SCH B-2.3 F'!$B13)</f>
        <v>0</v>
      </c>
      <c r="H13" s="34">
        <f>SUM(D13:G13)</f>
        <v>2240.29</v>
      </c>
      <c r="I13" s="34">
        <f>SUMIFS('PIS F AVG'!$P$11:$P$141,'PIS F AVG'!$A$11:$A$141,$B$90,'PIS F AVG'!$B$11:$B$141,'SCH B-2.3 F'!$B13)</f>
        <v>2240.2900000000009</v>
      </c>
    </row>
    <row r="14" spans="1:9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SUMIFS('PIS F'!$D$11:$D$141,'PIS F'!$A$11:$A$141,$B$90,'PIS F'!$B$11:$B$141,'SCH B-2.3 F'!$B14)</f>
        <v>0</v>
      </c>
      <c r="E14" s="34">
        <f>SUMIFS('PIS F'!$F$11:$F$141,'PIS F'!$A$11:$A$141,$B$90,'PIS F'!$B$11:$B$141,'SCH B-2.3 F'!$B14)</f>
        <v>0</v>
      </c>
      <c r="F14" s="35">
        <f>SUMIFS('PIS F'!$H$11:$H$141,'PIS F'!$A$11:$A$141,$B$90,'PIS F'!$B$11:$B$141,'SCH B-2.3 F'!$B14)</f>
        <v>0</v>
      </c>
      <c r="G14" s="35">
        <f>SUMIFS('PIS F'!$J$11:$J$141,'PIS F'!$A$11:$A$141,$B$90,'PIS F'!$B$11:$B$141,'SCH B-2.3 F'!$B14)</f>
        <v>0</v>
      </c>
      <c r="H14" s="35">
        <f>SUM(D14:G14)</f>
        <v>0</v>
      </c>
      <c r="I14" s="35">
        <f>SUMIFS('PIS F AVG'!$P$11:$P$141,'PIS F AVG'!$A$11:$A$141,$B$90,'PIS F AVG'!$B$11:$B$141,'SCH B-2.3 F'!$B14)</f>
        <v>0</v>
      </c>
    </row>
    <row r="15" spans="1:9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F'!$D$11:$D$141,'PIS F'!$A$11:$A$141,$B$90,'PIS F'!$B$11:$B$141,'SCH B-2.3 F'!$B15)</f>
        <v>0</v>
      </c>
      <c r="E15" s="37">
        <f>SUMIFS('PIS F'!$F$11:$F$141,'PIS F'!$A$11:$A$141,$B$90,'PIS F'!$B$11:$B$141,'SCH B-2.3 F'!$B15)</f>
        <v>0</v>
      </c>
      <c r="F15" s="37">
        <f>SUMIFS('PIS F'!$H$11:$H$141,'PIS F'!$A$11:$A$141,$B$90,'PIS F'!$B$11:$B$141,'SCH B-2.3 F'!$B15)</f>
        <v>0</v>
      </c>
      <c r="G15" s="37">
        <f>SUMIFS('PIS F'!$J$11:$J$141,'PIS F'!$A$11:$A$141,$B$90,'PIS F'!$B$11:$B$141,'SCH B-2.3 F'!$B15)</f>
        <v>0</v>
      </c>
      <c r="H15" s="37">
        <f>SUM(D15:G15)</f>
        <v>0</v>
      </c>
      <c r="I15" s="37">
        <f>SUMIFS('PIS F AVG'!$P$11:$P$141,'PIS F AVG'!$A$11:$A$141,$B$90,'PIS F AVG'!$B$11:$B$141,'SCH B-2.3 F'!$B15)</f>
        <v>0</v>
      </c>
    </row>
    <row r="16" spans="1:9" ht="18.95" customHeight="1">
      <c r="A16" s="18">
        <f t="shared" si="0"/>
        <v>5</v>
      </c>
      <c r="B16" s="18"/>
      <c r="C16" s="26" t="s">
        <v>104</v>
      </c>
      <c r="D16" s="34">
        <f t="shared" ref="D16:I16" si="1">SUM(D13:D15)</f>
        <v>2240.29</v>
      </c>
      <c r="E16" s="34">
        <f t="shared" si="1"/>
        <v>0</v>
      </c>
      <c r="F16" s="34">
        <f t="shared" si="1"/>
        <v>0</v>
      </c>
      <c r="G16" s="34">
        <f t="shared" si="1"/>
        <v>0</v>
      </c>
      <c r="H16" s="34">
        <f t="shared" si="1"/>
        <v>2240.29</v>
      </c>
      <c r="I16" s="34">
        <f t="shared" si="1"/>
        <v>2240.2900000000009</v>
      </c>
    </row>
    <row r="17" spans="1:9" ht="18.95" customHeight="1">
      <c r="A17" s="18"/>
      <c r="B17" s="18"/>
      <c r="D17" s="20"/>
      <c r="E17" s="20"/>
      <c r="F17" s="20"/>
      <c r="G17" s="20"/>
      <c r="H17" s="20"/>
      <c r="I17" s="20"/>
    </row>
    <row r="18" spans="1:9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  <c r="I18" s="20"/>
    </row>
    <row r="19" spans="1:9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F'!$D$11:$D$141,'PIS F'!$B$11:$B$141,'SCH B-2.3 F'!$B19)</f>
        <v>11234131.25999999</v>
      </c>
      <c r="E19" s="36">
        <f>SUMIFS('PIS F'!$F$11:$F$141,'PIS F'!$B$11:$B$141,'SCH B-2.3 F'!$B19)</f>
        <v>0</v>
      </c>
      <c r="F19" s="36">
        <f>SUMIFS('PIS F'!$H$11:$H$141,'PIS F'!$B$11:$B$141,'SCH B-2.3 F'!$B19)</f>
        <v>0</v>
      </c>
      <c r="G19" s="36">
        <f>SUMIFS('PIS F'!$J$11:$J$141,'PIS F'!$B$11:$B$141,'SCH B-2.3 F'!$B19)</f>
        <v>0</v>
      </c>
      <c r="H19" s="36">
        <f>SUM(D19:G19)</f>
        <v>11234131.25999999</v>
      </c>
      <c r="I19" s="36">
        <f>SUMIFS('PIS F AVG'!$P$11:$P$141,'PIS F AVG'!$B$11:$B$141,'SCH B-2.3 F'!$B19)</f>
        <v>11234131.25999999</v>
      </c>
    </row>
    <row r="20" spans="1:9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F'!$D$11:$D$141,'PIS F'!$B$11:$B$141,'SCH B-2.3 F'!$B20)</f>
        <v>311454485.73000002</v>
      </c>
      <c r="E20" s="36">
        <f>SUMIFS('PIS F'!$F$11:$F$141,'PIS F'!$B$11:$B$141,'SCH B-2.3 F'!$B20)</f>
        <v>1564651.07</v>
      </c>
      <c r="F20" s="36">
        <f>SUMIFS('PIS F'!$H$11:$H$141,'PIS F'!$B$11:$B$141,'SCH B-2.3 F'!$B20)</f>
        <v>-16810647.609999999</v>
      </c>
      <c r="G20" s="36">
        <f>SUMIFS('PIS F'!$J$11:$J$141,'PIS F'!$B$11:$B$141,'SCH B-2.3 F'!$B20)</f>
        <v>0</v>
      </c>
      <c r="H20" s="36">
        <f t="shared" ref="H20:H26" si="2">SUM(D20:G20)</f>
        <v>296208489.19</v>
      </c>
      <c r="I20" s="36">
        <f>SUMIFS('PIS F AVG'!$P$11:$P$141,'PIS F AVG'!$B$11:$B$141,'SCH B-2.3 F'!$B20)</f>
        <v>305898610.75461531</v>
      </c>
    </row>
    <row r="21" spans="1:9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F'!$D$11:$D$141,'PIS F'!$B$11:$B$141,'SCH B-2.3 F'!$B21)</f>
        <v>2567170950.3000002</v>
      </c>
      <c r="E21" s="36">
        <f>SUMIFS('PIS F'!$F$11:$F$141,'PIS F'!$B$11:$B$141,'SCH B-2.3 F'!$B21)</f>
        <v>118754387.0999998</v>
      </c>
      <c r="F21" s="36">
        <f>SUMIFS('PIS F'!$H$11:$H$141,'PIS F'!$B$11:$B$141,'SCH B-2.3 F'!$B21)</f>
        <v>-20122200.059999999</v>
      </c>
      <c r="G21" s="36">
        <f>SUMIFS('PIS F'!$J$11:$J$141,'PIS F'!$B$11:$B$141,'SCH B-2.3 F'!$B21)</f>
        <v>0</v>
      </c>
      <c r="H21" s="36">
        <f t="shared" si="2"/>
        <v>2665803137.3400002</v>
      </c>
      <c r="I21" s="36">
        <f>SUMIFS('PIS F AVG'!$P$11:$P$141,'PIS F AVG'!$B$11:$B$141,'SCH B-2.3 F'!$B21)</f>
        <v>2617706023.0323005</v>
      </c>
    </row>
    <row r="22" spans="1:9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F'!$D$11:$D$141,'PIS F'!$B$11:$B$141,'SCH B-2.3 F'!$B22)</f>
        <v>0</v>
      </c>
      <c r="E22" s="36">
        <f>SUMIFS('PIS F'!$F$11:$F$141,'PIS F'!$B$11:$B$141,'SCH B-2.3 F'!$B22)</f>
        <v>0</v>
      </c>
      <c r="F22" s="36">
        <f>SUMIFS('PIS F'!$H$11:$H$141,'PIS F'!$B$11:$B$141,'SCH B-2.3 F'!$B22)</f>
        <v>0</v>
      </c>
      <c r="G22" s="36">
        <f>SUMIFS('PIS F'!$J$11:$J$141,'PIS F'!$B$11:$B$141,'SCH B-2.3 F'!$B22)</f>
        <v>0</v>
      </c>
      <c r="H22" s="36">
        <f t="shared" si="2"/>
        <v>0</v>
      </c>
      <c r="I22" s="36">
        <f>SUMIFS('PIS F AVG'!$P$11:$P$141,'PIS F AVG'!$B$11:$B$141,'SCH B-2.3 F'!$B22)</f>
        <v>0</v>
      </c>
    </row>
    <row r="23" spans="1:9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F'!$D$11:$D$141,'PIS F'!$B$11:$B$141,'SCH B-2.3 F'!$B23)</f>
        <v>234071399.299999</v>
      </c>
      <c r="E23" s="36">
        <f>SUMIFS('PIS F'!$F$11:$F$141,'PIS F'!$B$11:$B$141,'SCH B-2.3 F'!$B23)</f>
        <v>12965193.050000001</v>
      </c>
      <c r="F23" s="36">
        <f>SUMIFS('PIS F'!$H$11:$H$141,'PIS F'!$B$11:$B$141,'SCH B-2.3 F'!$B23)</f>
        <v>-3093934.2699999991</v>
      </c>
      <c r="G23" s="36">
        <f>SUMIFS('PIS F'!$J$11:$J$141,'PIS F'!$B$11:$B$141,'SCH B-2.3 F'!$B23)</f>
        <v>0</v>
      </c>
      <c r="H23" s="36">
        <f t="shared" si="2"/>
        <v>243942658.079999</v>
      </c>
      <c r="I23" s="36">
        <f>SUMIFS('PIS F AVG'!$P$11:$P$141,'PIS F AVG'!$B$11:$B$141,'SCH B-2.3 F'!$B23)</f>
        <v>239942780.71538362</v>
      </c>
    </row>
    <row r="24" spans="1:9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F'!$D$11:$D$141,'PIS F'!$B$11:$B$141,'SCH B-2.3 F'!$B24)</f>
        <v>183557540.87</v>
      </c>
      <c r="E24" s="36">
        <f>SUMIFS('PIS F'!$F$11:$F$141,'PIS F'!$B$11:$B$141,'SCH B-2.3 F'!$B24)</f>
        <v>3151518.4200000004</v>
      </c>
      <c r="F24" s="36">
        <f>SUMIFS('PIS F'!$H$11:$H$141,'PIS F'!$B$11:$B$141,'SCH B-2.3 F'!$B24)</f>
        <v>-1120.8599999999999</v>
      </c>
      <c r="G24" s="36">
        <f>SUMIFS('PIS F'!$J$11:$J$141,'PIS F'!$B$11:$B$141,'SCH B-2.3 F'!$B24)</f>
        <v>0</v>
      </c>
      <c r="H24" s="36">
        <f t="shared" si="2"/>
        <v>186707938.42999998</v>
      </c>
      <c r="I24" s="36">
        <f>SUMIFS('PIS F AVG'!$P$11:$P$141,'PIS F AVG'!$B$11:$B$141,'SCH B-2.3 F'!$B24)</f>
        <v>184975687.96384615</v>
      </c>
    </row>
    <row r="25" spans="1:9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F'!$D$11:$D$141,'PIS F'!$B$11:$B$141,'SCH B-2.3 F'!$B25)</f>
        <v>20731715.18</v>
      </c>
      <c r="E25" s="36">
        <f>SUMIFS('PIS F'!$F$11:$F$141,'PIS F'!$B$11:$B$141,'SCH B-2.3 F'!$B25)</f>
        <v>23800980.009999998</v>
      </c>
      <c r="F25" s="36">
        <f>SUMIFS('PIS F'!$H$11:$H$141,'PIS F'!$B$11:$B$141,'SCH B-2.3 F'!$B25)</f>
        <v>-608122.24</v>
      </c>
      <c r="G25" s="36">
        <f>SUMIFS('PIS F'!$J$11:$J$141,'PIS F'!$B$11:$B$141,'SCH B-2.3 F'!$B25)</f>
        <v>0</v>
      </c>
      <c r="H25" s="36">
        <f t="shared" si="2"/>
        <v>43924572.949999996</v>
      </c>
      <c r="I25" s="36">
        <f>SUMIFS('PIS F AVG'!$P$11:$P$141,'PIS F AVG'!$B$11:$B$141,'SCH B-2.3 F'!$B25)</f>
        <v>32388501.009230729</v>
      </c>
    </row>
    <row r="26" spans="1:9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F'!$D$11:$D$141,'PIS F'!$B$11:$B$141,'SCH B-2.3 F'!$B26)</f>
        <v>89186900.099999994</v>
      </c>
      <c r="E26" s="37">
        <f>SUMIFS('PIS F'!$F$11:$F$141,'PIS F'!$B$11:$B$141,'SCH B-2.3 F'!$B26)</f>
        <v>0</v>
      </c>
      <c r="F26" s="37">
        <f>SUMIFS('PIS F'!$H$11:$H$141,'PIS F'!$B$11:$B$141,'SCH B-2.3 F'!$B26)</f>
        <v>-13078638.460000001</v>
      </c>
      <c r="G26" s="37">
        <f>SUMIFS('PIS F'!$J$11:$J$141,'PIS F'!$B$11:$B$141,'SCH B-2.3 F'!$B26)</f>
        <v>0</v>
      </c>
      <c r="H26" s="37">
        <f t="shared" si="2"/>
        <v>76108261.639999986</v>
      </c>
      <c r="I26" s="37">
        <f>SUMIFS('PIS F AVG'!$P$11:$P$141,'PIS F AVG'!$B$11:$B$141,'SCH B-2.3 F'!$B26)</f>
        <v>85132615.10307692</v>
      </c>
    </row>
    <row r="27" spans="1:9" ht="18.95" customHeight="1">
      <c r="A27" s="18">
        <f t="shared" si="0"/>
        <v>15</v>
      </c>
      <c r="C27" s="26" t="s">
        <v>107</v>
      </c>
      <c r="D27" s="34">
        <f t="shared" ref="D27:I27" si="3">SUM(D19:D26)</f>
        <v>3417407122.7399988</v>
      </c>
      <c r="E27" s="34">
        <f t="shared" si="3"/>
        <v>160236729.64999977</v>
      </c>
      <c r="F27" s="34">
        <f t="shared" si="3"/>
        <v>-53714663.5</v>
      </c>
      <c r="G27" s="34">
        <f t="shared" si="3"/>
        <v>0</v>
      </c>
      <c r="H27" s="34">
        <f t="shared" si="3"/>
        <v>3523929188.8899984</v>
      </c>
      <c r="I27" s="34">
        <f t="shared" si="3"/>
        <v>3477278349.8384533</v>
      </c>
    </row>
    <row r="28" spans="1:9" ht="18.95" customHeight="1">
      <c r="A28" s="18"/>
      <c r="C28" s="26"/>
    </row>
    <row r="29" spans="1:9" ht="18.95" customHeight="1">
      <c r="A29" s="18">
        <f>A27+1</f>
        <v>16</v>
      </c>
      <c r="C29" s="38" t="s">
        <v>33</v>
      </c>
    </row>
    <row r="30" spans="1:9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F'!$D$11:$D$141,'PIS F'!$B$11:$B$141,'SCH B-2.3 F'!$B30)</f>
        <v>6.5</v>
      </c>
      <c r="E30" s="36">
        <f>SUMIFS('PIS F'!$F$11:$F$141,'PIS F'!$B$11:$B$141,'SCH B-2.3 F'!$B30)</f>
        <v>0</v>
      </c>
      <c r="F30" s="36">
        <f>SUMIFS('PIS F'!$H$11:$H$141,'PIS F'!$B$11:$B$141,'SCH B-2.3 F'!$B30)</f>
        <v>0</v>
      </c>
      <c r="G30" s="36">
        <f>SUMIFS('PIS F'!$J$11:$J$141,'PIS F'!$B$11:$B$141,'SCH B-2.3 F'!$B30)</f>
        <v>0</v>
      </c>
      <c r="H30" s="36">
        <f t="shared" ref="H30:H37" si="4">SUM(D30:G30)</f>
        <v>6.5</v>
      </c>
      <c r="I30" s="36">
        <f>SUMIFS('PIS F AVG'!$P$11:$P$141,'PIS F AVG'!$B$11:$B$141,'SCH B-2.3 F'!$B30)</f>
        <v>6.5000000000000018</v>
      </c>
    </row>
    <row r="31" spans="1:9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F'!$D$11:$D$141,'PIS F'!$B$11:$B$141,'SCH B-2.3 F'!$B31)</f>
        <v>12870684.619999999</v>
      </c>
      <c r="E31" s="36">
        <f>SUMIFS('PIS F'!$F$11:$F$141,'PIS F'!$B$11:$B$141,'SCH B-2.3 F'!$B31)</f>
        <v>0</v>
      </c>
      <c r="F31" s="36">
        <f>SUMIFS('PIS F'!$H$11:$H$141,'PIS F'!$B$11:$B$141,'SCH B-2.3 F'!$B31)</f>
        <v>0</v>
      </c>
      <c r="G31" s="36">
        <f>SUMIFS('PIS F'!$J$11:$J$141,'PIS F'!$B$11:$B$141,'SCH B-2.3 F'!$B31)</f>
        <v>0</v>
      </c>
      <c r="H31" s="36">
        <f t="shared" si="4"/>
        <v>12870684.619999999</v>
      </c>
      <c r="I31" s="36">
        <f>SUMIFS('PIS F AVG'!$P$11:$P$141,'PIS F AVG'!$B$11:$B$141,'SCH B-2.3 F'!$B31)</f>
        <v>12870684.620000001</v>
      </c>
    </row>
    <row r="32" spans="1:9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F'!$D$11:$D$141,'PIS F'!$B$11:$B$141,'SCH B-2.3 F'!$B32)</f>
        <v>26209847.310000002</v>
      </c>
      <c r="E32" s="36">
        <f>SUMIFS('PIS F'!$F$11:$F$141,'PIS F'!$B$11:$B$141,'SCH B-2.3 F'!$B32)</f>
        <v>0</v>
      </c>
      <c r="F32" s="36">
        <f>SUMIFS('PIS F'!$H$11:$H$141,'PIS F'!$B$11:$B$141,'SCH B-2.3 F'!$B32)</f>
        <v>0</v>
      </c>
      <c r="G32" s="36">
        <f>SUMIFS('PIS F'!$J$11:$J$141,'PIS F'!$B$11:$B$141,'SCH B-2.3 F'!$B32)</f>
        <v>0</v>
      </c>
      <c r="H32" s="36">
        <f t="shared" si="4"/>
        <v>26209847.310000002</v>
      </c>
      <c r="I32" s="36">
        <f>SUMIFS('PIS F AVG'!$P$11:$P$141,'PIS F AVG'!$B$11:$B$141,'SCH B-2.3 F'!$B32)</f>
        <v>26209847.310000002</v>
      </c>
    </row>
    <row r="33" spans="1:9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F'!$D$11:$D$141,'PIS F'!$B$11:$B$141,'SCH B-2.3 F'!$B33)</f>
        <v>101920448.2</v>
      </c>
      <c r="E33" s="36">
        <f>SUMIFS('PIS F'!$F$11:$F$141,'PIS F'!$B$11:$B$141,'SCH B-2.3 F'!$B33)</f>
        <v>0</v>
      </c>
      <c r="F33" s="36">
        <f>SUMIFS('PIS F'!$H$11:$H$141,'PIS F'!$B$11:$B$141,'SCH B-2.3 F'!$B33)</f>
        <v>0</v>
      </c>
      <c r="G33" s="36">
        <f>SUMIFS('PIS F'!$J$11:$J$141,'PIS F'!$B$11:$B$141,'SCH B-2.3 F'!$B33)</f>
        <v>0</v>
      </c>
      <c r="H33" s="36">
        <f t="shared" si="4"/>
        <v>101920448.2</v>
      </c>
      <c r="I33" s="36">
        <f>SUMIFS('PIS F AVG'!$P$11:$P$141,'PIS F AVG'!$B$11:$B$141,'SCH B-2.3 F'!$B33)</f>
        <v>101920448.2</v>
      </c>
    </row>
    <row r="34" spans="1:9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F'!$D$11:$D$141,'PIS F'!$B$11:$B$141,'SCH B-2.3 F'!$B34)</f>
        <v>13160323.68</v>
      </c>
      <c r="E34" s="36">
        <f>SUMIFS('PIS F'!$F$11:$F$141,'PIS F'!$B$11:$B$141,'SCH B-2.3 F'!$B34)</f>
        <v>0</v>
      </c>
      <c r="F34" s="36">
        <f>SUMIFS('PIS F'!$H$11:$H$141,'PIS F'!$B$11:$B$141,'SCH B-2.3 F'!$B34)</f>
        <v>0</v>
      </c>
      <c r="G34" s="36">
        <f>SUMIFS('PIS F'!$J$11:$J$141,'PIS F'!$B$11:$B$141,'SCH B-2.3 F'!$B34)</f>
        <v>0</v>
      </c>
      <c r="H34" s="36">
        <f t="shared" si="4"/>
        <v>13160323.68</v>
      </c>
      <c r="I34" s="36">
        <f>SUMIFS('PIS F AVG'!$P$11:$P$141,'PIS F AVG'!$B$11:$B$141,'SCH B-2.3 F'!$B34)</f>
        <v>13160323.68</v>
      </c>
    </row>
    <row r="35" spans="1:9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F'!$D$11:$D$141,'PIS F'!$B$11:$B$141,'SCH B-2.3 F'!$B35)</f>
        <v>3563125.77</v>
      </c>
      <c r="E35" s="36">
        <f>SUMIFS('PIS F'!$F$11:$F$141,'PIS F'!$B$11:$B$141,'SCH B-2.3 F'!$B35)</f>
        <v>0</v>
      </c>
      <c r="F35" s="36">
        <f>SUMIFS('PIS F'!$H$11:$H$141,'PIS F'!$B$11:$B$141,'SCH B-2.3 F'!$B35)</f>
        <v>0</v>
      </c>
      <c r="G35" s="36">
        <f>SUMIFS('PIS F'!$J$11:$J$141,'PIS F'!$B$11:$B$141,'SCH B-2.3 F'!$B35)</f>
        <v>0</v>
      </c>
      <c r="H35" s="36">
        <f t="shared" si="4"/>
        <v>3563125.77</v>
      </c>
      <c r="I35" s="36">
        <f>SUMIFS('PIS F AVG'!$P$11:$P$141,'PIS F AVG'!$B$11:$B$141,'SCH B-2.3 F'!$B35)</f>
        <v>3563125.7699999991</v>
      </c>
    </row>
    <row r="36" spans="1:9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F'!$D$11:$D$141,'PIS F'!$B$11:$B$141,'SCH B-2.3 F'!$B36)</f>
        <v>29930.61</v>
      </c>
      <c r="E36" s="36">
        <f>SUMIFS('PIS F'!$F$11:$F$141,'PIS F'!$B$11:$B$141,'SCH B-2.3 F'!$B36)</f>
        <v>102812.75</v>
      </c>
      <c r="F36" s="36">
        <f>SUMIFS('PIS F'!$H$11:$H$141,'PIS F'!$B$11:$B$141,'SCH B-2.3 F'!$B36)</f>
        <v>0</v>
      </c>
      <c r="G36" s="36">
        <f>SUMIFS('PIS F'!$J$11:$J$141,'PIS F'!$B$11:$B$141,'SCH B-2.3 F'!$B36)</f>
        <v>0</v>
      </c>
      <c r="H36" s="36">
        <f t="shared" si="4"/>
        <v>132743.35999999999</v>
      </c>
      <c r="I36" s="36">
        <f>SUMIFS('PIS F AVG'!$P$11:$P$141,'PIS F AVG'!$B$11:$B$141,'SCH B-2.3 F'!$B36)</f>
        <v>85291.321538461518</v>
      </c>
    </row>
    <row r="37" spans="1:9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F'!$D$11:$D$141,'PIS F'!$B$11:$B$141,'SCH B-2.3 F'!$B37)</f>
        <v>463569.14999999997</v>
      </c>
      <c r="E37" s="37">
        <f>SUMIFS('PIS F'!$F$11:$F$141,'PIS F'!$B$11:$B$141,'SCH B-2.3 F'!$B37)</f>
        <v>0</v>
      </c>
      <c r="F37" s="37">
        <f>SUMIFS('PIS F'!$H$11:$H$141,'PIS F'!$B$11:$B$141,'SCH B-2.3 F'!$B37)</f>
        <v>0</v>
      </c>
      <c r="G37" s="37">
        <f>SUMIFS('PIS F'!$J$11:$J$141,'PIS F'!$B$11:$B$141,'SCH B-2.3 F'!$B37)</f>
        <v>0</v>
      </c>
      <c r="H37" s="37">
        <f t="shared" si="4"/>
        <v>463569.14999999997</v>
      </c>
      <c r="I37" s="37">
        <f>SUMIFS('PIS F AVG'!$P$11:$P$141,'PIS F AVG'!$B$11:$B$141,'SCH B-2.3 F'!$B37)</f>
        <v>463569.15</v>
      </c>
    </row>
    <row r="38" spans="1:9" ht="18.95" customHeight="1">
      <c r="A38" s="18">
        <f t="shared" si="0"/>
        <v>25</v>
      </c>
      <c r="B38" s="19" t="s">
        <v>190</v>
      </c>
      <c r="C38" s="26" t="s">
        <v>108</v>
      </c>
      <c r="D38" s="34">
        <f t="shared" ref="D38:I38" si="5">SUM(D30:D37)</f>
        <v>158217935.84000003</v>
      </c>
      <c r="E38" s="34">
        <f t="shared" si="5"/>
        <v>102812.75</v>
      </c>
      <c r="F38" s="34">
        <f t="shared" si="5"/>
        <v>0</v>
      </c>
      <c r="G38" s="34">
        <f t="shared" si="5"/>
        <v>0</v>
      </c>
      <c r="H38" s="34">
        <f t="shared" si="5"/>
        <v>158320748.59000003</v>
      </c>
      <c r="I38" s="34">
        <f t="shared" si="5"/>
        <v>158273296.55153847</v>
      </c>
    </row>
    <row r="39" spans="1:9" ht="18.95" customHeight="1">
      <c r="A39" s="18"/>
      <c r="B39" s="19"/>
      <c r="C39" s="26"/>
      <c r="D39" s="34"/>
      <c r="E39" s="34"/>
      <c r="F39" s="34"/>
      <c r="G39" s="34"/>
      <c r="H39" s="34"/>
      <c r="I39" s="34"/>
    </row>
    <row r="40" spans="1:9" ht="18.95" customHeight="1">
      <c r="A40" s="18">
        <f>A38+1</f>
        <v>26</v>
      </c>
      <c r="C40" s="38" t="s">
        <v>44</v>
      </c>
    </row>
    <row r="41" spans="1:9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F'!$D$11:$D$141,'PIS F'!$B$11:$B$141,'SCH B-2.3 F'!$B41)</f>
        <v>414278.16000000003</v>
      </c>
      <c r="E41" s="36">
        <f>SUMIFS('PIS F'!$F$11:$F$141,'PIS F'!$B$11:$B$141,'SCH B-2.3 F'!$B41)</f>
        <v>0</v>
      </c>
      <c r="F41" s="36">
        <f>SUMIFS('PIS F'!$H$11:$H$141,'PIS F'!$B$11:$B$141,'SCH B-2.3 F'!$B41)</f>
        <v>0</v>
      </c>
      <c r="G41" s="36">
        <f>SUMIFS('PIS F'!$J$11:$J$141,'PIS F'!$B$11:$B$141,'SCH B-2.3 F'!$B41)</f>
        <v>0</v>
      </c>
      <c r="H41" s="36">
        <f t="shared" ref="H41:H48" si="6">SUM(D41:G41)</f>
        <v>414278.16000000003</v>
      </c>
      <c r="I41" s="36">
        <f>SUMIFS('PIS F AVG'!$P$11:$P$141,'PIS F AVG'!$B$11:$B$141,'SCH B-2.3 F'!$B41)</f>
        <v>414278.15999999992</v>
      </c>
    </row>
    <row r="42" spans="1:9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F'!$D$11:$D$141,'PIS F'!$B$11:$B$141,'SCH B-2.3 F'!$B42)</f>
        <v>33942182.450000003</v>
      </c>
      <c r="E42" s="36">
        <f>SUMIFS('PIS F'!$F$11:$F$141,'PIS F'!$B$11:$B$141,'SCH B-2.3 F'!$B42)</f>
        <v>0</v>
      </c>
      <c r="F42" s="36">
        <f>SUMIFS('PIS F'!$H$11:$H$141,'PIS F'!$B$11:$B$141,'SCH B-2.3 F'!$B42)</f>
        <v>0</v>
      </c>
      <c r="G42" s="36">
        <f>SUMIFS('PIS F'!$J$11:$J$141,'PIS F'!$B$11:$B$141,'SCH B-2.3 F'!$B42)</f>
        <v>0</v>
      </c>
      <c r="H42" s="36">
        <f t="shared" si="6"/>
        <v>33942182.450000003</v>
      </c>
      <c r="I42" s="36">
        <f>SUMIFS('PIS F AVG'!$P$11:$P$141,'PIS F AVG'!$B$11:$B$141,'SCH B-2.3 F'!$B42)</f>
        <v>33942182.450000003</v>
      </c>
    </row>
    <row r="43" spans="1:9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F'!$D$11:$D$141,'PIS F'!$B$11:$B$141,'SCH B-2.3 F'!$B43)</f>
        <v>24767192.59</v>
      </c>
      <c r="E43" s="36">
        <f>SUMIFS('PIS F'!$F$11:$F$141,'PIS F'!$B$11:$B$141,'SCH B-2.3 F'!$B43)</f>
        <v>0</v>
      </c>
      <c r="F43" s="36">
        <f>SUMIFS('PIS F'!$H$11:$H$141,'PIS F'!$B$11:$B$141,'SCH B-2.3 F'!$B43)</f>
        <v>0</v>
      </c>
      <c r="G43" s="36">
        <f>SUMIFS('PIS F'!$J$11:$J$141,'PIS F'!$B$11:$B$141,'SCH B-2.3 F'!$B43)</f>
        <v>0</v>
      </c>
      <c r="H43" s="36">
        <f t="shared" si="6"/>
        <v>24767192.59</v>
      </c>
      <c r="I43" s="36">
        <f>SUMIFS('PIS F AVG'!$P$11:$P$141,'PIS F AVG'!$B$11:$B$141,'SCH B-2.3 F'!$B43)</f>
        <v>24767192.59</v>
      </c>
    </row>
    <row r="44" spans="1:9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F'!$D$11:$D$141,'PIS F'!$B$11:$B$141,'SCH B-2.3 F'!$B44)</f>
        <v>244334181.90999898</v>
      </c>
      <c r="E44" s="36">
        <f>SUMIFS('PIS F'!$F$11:$F$141,'PIS F'!$B$11:$B$141,'SCH B-2.3 F'!$B44)</f>
        <v>14069997.68</v>
      </c>
      <c r="F44" s="36">
        <f>SUMIFS('PIS F'!$H$11:$H$141,'PIS F'!$B$11:$B$141,'SCH B-2.3 F'!$B44)</f>
        <v>-1140984.23</v>
      </c>
      <c r="G44" s="36">
        <f>SUMIFS('PIS F'!$J$11:$J$141,'PIS F'!$B$11:$B$141,'SCH B-2.3 F'!$B44)</f>
        <v>0</v>
      </c>
      <c r="H44" s="36">
        <f t="shared" si="6"/>
        <v>257263195.359999</v>
      </c>
      <c r="I44" s="36">
        <f>SUMIFS('PIS F AVG'!$P$11:$P$141,'PIS F AVG'!$B$11:$B$141,'SCH B-2.3 F'!$B44)</f>
        <v>252457120.51076865</v>
      </c>
    </row>
    <row r="45" spans="1:9" ht="18.95" customHeight="1">
      <c r="A45" s="18">
        <f>A44+1</f>
        <v>31</v>
      </c>
      <c r="B45" s="19" t="s">
        <v>729</v>
      </c>
      <c r="C45" s="26" t="s">
        <v>730</v>
      </c>
      <c r="D45" s="36">
        <f>SUMIFS('PIS F'!$D$11:$D$141,'PIS F'!$B$11:$B$141,'SCH B-2.3 F'!$B45)</f>
        <v>59666441.119999997</v>
      </c>
      <c r="E45" s="36">
        <f>SUMIFS('PIS F'!$F$11:$F$141,'PIS F'!$B$11:$B$141,'SCH B-2.3 F'!$B45)</f>
        <v>713358.2</v>
      </c>
      <c r="F45" s="36">
        <f>SUMIFS('PIS F'!$H$11:$H$141,'PIS F'!$B$11:$B$141,'SCH B-2.3 F'!$B45)</f>
        <v>0</v>
      </c>
      <c r="G45" s="36">
        <f>SUMIFS('PIS F'!$J$11:$J$141,'PIS F'!$B$11:$B$141,'SCH B-2.3 F'!$B45)</f>
        <v>0</v>
      </c>
      <c r="H45" s="36">
        <f t="shared" si="6"/>
        <v>60379799.32</v>
      </c>
      <c r="I45" s="36">
        <f>SUMIFS('PIS F AVG'!$P$11:$P$141,'PIS F AVG'!$B$11:$B$141,'SCH B-2.3 F'!$B45)</f>
        <v>59993738.64538461</v>
      </c>
    </row>
    <row r="46" spans="1:9" ht="18.95" customHeight="1">
      <c r="A46" s="18">
        <f t="shared" si="0"/>
        <v>32</v>
      </c>
      <c r="B46" s="19" t="s">
        <v>731</v>
      </c>
      <c r="C46" s="26" t="s">
        <v>705</v>
      </c>
      <c r="D46" s="36">
        <f>SUMIFS('PIS F'!$D$11:$D$141,'PIS F'!$B$11:$B$141,'SCH B-2.3 F'!$B46)</f>
        <v>32129983.469999999</v>
      </c>
      <c r="E46" s="36">
        <f>SUMIFS('PIS F'!$F$11:$F$141,'PIS F'!$B$11:$B$141,'SCH B-2.3 F'!$B46)</f>
        <v>1333259.4200000002</v>
      </c>
      <c r="F46" s="36">
        <f>SUMIFS('PIS F'!$H$11:$H$141,'PIS F'!$B$11:$B$141,'SCH B-2.3 F'!$B46)</f>
        <v>0</v>
      </c>
      <c r="G46" s="36">
        <f>SUMIFS('PIS F'!$J$11:$J$141,'PIS F'!$B$11:$B$141,'SCH B-2.3 F'!$B46)</f>
        <v>0</v>
      </c>
      <c r="H46" s="36">
        <f t="shared" si="6"/>
        <v>33463242.890000001</v>
      </c>
      <c r="I46" s="36">
        <f>SUMIFS('PIS F AVG'!$P$11:$P$141,'PIS F AVG'!$B$11:$B$141,'SCH B-2.3 F'!$B46)</f>
        <v>32561502.810000002</v>
      </c>
    </row>
    <row r="47" spans="1:9" ht="18.95" customHeight="1">
      <c r="A47" s="18">
        <f t="shared" si="0"/>
        <v>33</v>
      </c>
      <c r="B47" s="19" t="s">
        <v>732</v>
      </c>
      <c r="C47" s="26" t="s">
        <v>718</v>
      </c>
      <c r="D47" s="36">
        <f>SUMIFS('PIS F'!$D$11:$D$141,'PIS F'!$B$11:$B$141,'SCH B-2.3 F'!$B47)</f>
        <v>5537528.2699999996</v>
      </c>
      <c r="E47" s="36">
        <f>SUMIFS('PIS F'!$F$11:$F$141,'PIS F'!$B$11:$B$141,'SCH B-2.3 F'!$B47)</f>
        <v>922690.80999999982</v>
      </c>
      <c r="F47" s="36">
        <f>SUMIFS('PIS F'!$H$11:$H$141,'PIS F'!$B$11:$B$141,'SCH B-2.3 F'!$B47)</f>
        <v>0</v>
      </c>
      <c r="G47" s="36">
        <f>SUMIFS('PIS F'!$J$11:$J$141,'PIS F'!$B$11:$B$141,'SCH B-2.3 F'!$B47)</f>
        <v>0</v>
      </c>
      <c r="H47" s="36">
        <f t="shared" si="6"/>
        <v>6460219.0799999991</v>
      </c>
      <c r="I47" s="36">
        <f>SUMIFS('PIS F AVG'!$P$11:$P$141,'PIS F AVG'!$B$11:$B$141,'SCH B-2.3 F'!$B47)</f>
        <v>5796098.6353846146</v>
      </c>
    </row>
    <row r="48" spans="1:9" ht="18.95" customHeight="1">
      <c r="A48" s="18">
        <f t="shared" si="0"/>
        <v>34</v>
      </c>
      <c r="B48" s="19" t="s">
        <v>733</v>
      </c>
      <c r="C48" s="26" t="s">
        <v>969</v>
      </c>
      <c r="D48" s="37">
        <f>SUMIFS('PIS F'!$D$11:$D$141,'PIS F'!$B$11:$B$141,'SCH B-2.3 F'!$B48)</f>
        <v>111984.04</v>
      </c>
      <c r="E48" s="37">
        <f>SUMIFS('PIS F'!$F$11:$F$141,'PIS F'!$B$11:$B$141,'SCH B-2.3 F'!$B48)</f>
        <v>0</v>
      </c>
      <c r="F48" s="37">
        <f>SUMIFS('PIS F'!$H$11:$H$141,'PIS F'!$B$11:$B$141,'SCH B-2.3 F'!$B48)</f>
        <v>0</v>
      </c>
      <c r="G48" s="37">
        <f>SUMIFS('PIS F'!$J$11:$J$141,'PIS F'!$B$11:$B$141,'SCH B-2.3 F'!$B48)</f>
        <v>0</v>
      </c>
      <c r="H48" s="37">
        <f t="shared" si="6"/>
        <v>111984.04</v>
      </c>
      <c r="I48" s="37">
        <f>SUMIFS('PIS F AVG'!$P$11:$P$141,'PIS F AVG'!$B$11:$B$141,'SCH B-2.3 F'!$B48)</f>
        <v>111984.04000000004</v>
      </c>
    </row>
    <row r="49" spans="1:9" ht="18.95" customHeight="1">
      <c r="A49" s="18">
        <f t="shared" si="0"/>
        <v>35</v>
      </c>
      <c r="C49" s="26" t="s">
        <v>106</v>
      </c>
      <c r="D49" s="34">
        <f t="shared" ref="D49:I49" si="7">SUM(D41:D44,D45:D48)</f>
        <v>400903772.00999898</v>
      </c>
      <c r="E49" s="34">
        <f t="shared" si="7"/>
        <v>17039306.109999999</v>
      </c>
      <c r="F49" s="34">
        <f t="shared" si="7"/>
        <v>-1140984.23</v>
      </c>
      <c r="G49" s="34">
        <f t="shared" si="7"/>
        <v>0</v>
      </c>
      <c r="H49" s="34">
        <f t="shared" si="7"/>
        <v>416802093.88999897</v>
      </c>
      <c r="I49" s="34">
        <f t="shared" si="7"/>
        <v>410044097.84153789</v>
      </c>
    </row>
    <row r="50" spans="1:9" ht="18.95" customHeight="1">
      <c r="A50" s="18"/>
    </row>
    <row r="51" spans="1:9" s="16" customFormat="1" ht="20.100000000000001" customHeight="1">
      <c r="A51" s="831" t="str">
        <f>$A$1</f>
        <v>LOUISVILLE GAS AND ELECTRIC COMPANY</v>
      </c>
      <c r="B51" s="831"/>
      <c r="C51" s="831"/>
      <c r="D51" s="831"/>
      <c r="E51" s="831"/>
      <c r="F51" s="831"/>
      <c r="G51" s="831"/>
      <c r="H51" s="831"/>
      <c r="I51" s="831"/>
    </row>
    <row r="52" spans="1:9" s="16" customFormat="1" ht="20.100000000000001" customHeight="1">
      <c r="A52" s="831" t="str">
        <f>$A$2</f>
        <v>CASE NO. 2018-00295 - ELECTRIC OPERATIONS</v>
      </c>
      <c r="B52" s="831"/>
      <c r="C52" s="831"/>
      <c r="D52" s="831"/>
      <c r="E52" s="831"/>
      <c r="F52" s="831"/>
      <c r="G52" s="831"/>
      <c r="H52" s="831"/>
      <c r="I52" s="831"/>
    </row>
    <row r="53" spans="1:9" s="16" customFormat="1" ht="20.100000000000001" customHeight="1">
      <c r="A53" s="831" t="str">
        <f>$A$3</f>
        <v>GROSS ADDITIONS, RETIREMENTS, AND TRANSFERS</v>
      </c>
      <c r="B53" s="831"/>
      <c r="C53" s="831"/>
      <c r="D53" s="831"/>
      <c r="E53" s="831"/>
      <c r="F53" s="831"/>
      <c r="G53" s="831"/>
      <c r="H53" s="831"/>
      <c r="I53" s="831"/>
    </row>
    <row r="54" spans="1:9" s="16" customFormat="1" ht="20.100000000000001" customHeight="1">
      <c r="A54" s="832" t="str">
        <f>$A$4</f>
        <v>FROM MAY 1, 2019 TO APRIL 30, 2020</v>
      </c>
      <c r="B54" s="832"/>
      <c r="C54" s="832"/>
      <c r="D54" s="832"/>
      <c r="E54" s="832"/>
      <c r="F54" s="832"/>
      <c r="G54" s="832"/>
      <c r="H54" s="832"/>
      <c r="I54" s="832"/>
    </row>
    <row r="55" spans="1:9" s="16" customFormat="1" ht="20.100000000000001" customHeight="1">
      <c r="A55" s="32"/>
      <c r="B55" s="32"/>
      <c r="C55" s="32"/>
      <c r="D55" s="32"/>
      <c r="E55" s="32"/>
      <c r="F55" s="32"/>
      <c r="G55" s="32"/>
      <c r="H55" s="32"/>
      <c r="I55" s="32"/>
    </row>
    <row r="56" spans="1:9" s="16" customFormat="1" ht="20.100000000000001" customHeight="1">
      <c r="A56" s="15" t="str">
        <f>$A$6</f>
        <v>DATA:____BASE  PERIOD__X__FORECASTED  PERIOD</v>
      </c>
      <c r="B56" s="15"/>
      <c r="G56" s="22"/>
      <c r="H56" s="22"/>
      <c r="I56" s="23" t="str">
        <f>$I$6</f>
        <v>SCHEDULE B-2.3</v>
      </c>
    </row>
    <row r="57" spans="1:9" s="16" customFormat="1" ht="20.100000000000001" customHeight="1">
      <c r="A57" s="15" t="str">
        <f>$A$7</f>
        <v>TYPE OF FILING: _____ ORIGINAL  _____ UPDATED  __X__ REVISED</v>
      </c>
      <c r="G57" s="22"/>
      <c r="H57" s="22"/>
      <c r="I57" s="22" t="s">
        <v>129</v>
      </c>
    </row>
    <row r="58" spans="1:9" s="16" customFormat="1" ht="20.100000000000001" customHeight="1">
      <c r="A58" s="15" t="str">
        <f>$A$8</f>
        <v>WORKPAPER REFERENCE NO(S).:</v>
      </c>
      <c r="B58" s="15"/>
      <c r="F58" s="15"/>
      <c r="G58" s="23"/>
      <c r="H58" s="23"/>
      <c r="I58" s="23" t="str">
        <f>$I$8</f>
        <v>WITNESS:   C. M. GARRETT</v>
      </c>
    </row>
    <row r="59" spans="1:9" s="16" customFormat="1" ht="20.100000000000001" customHeight="1"/>
    <row r="60" spans="1:9" ht="65.099999999999994" customHeight="1">
      <c r="A60" s="24" t="s">
        <v>92</v>
      </c>
      <c r="B60" s="24" t="s">
        <v>95</v>
      </c>
      <c r="C60" s="27" t="s">
        <v>96</v>
      </c>
      <c r="D60" s="24" t="s">
        <v>123</v>
      </c>
      <c r="E60" s="24" t="s">
        <v>98</v>
      </c>
      <c r="F60" s="24" t="s">
        <v>99</v>
      </c>
      <c r="G60" s="24" t="s">
        <v>101</v>
      </c>
      <c r="H60" s="24" t="s">
        <v>124</v>
      </c>
      <c r="I60" s="24" t="s">
        <v>3072</v>
      </c>
    </row>
    <row r="61" spans="1:9" ht="23.1" customHeight="1">
      <c r="A61" s="28"/>
      <c r="B61" s="28"/>
      <c r="C61" s="29"/>
      <c r="D61" s="30" t="s">
        <v>103</v>
      </c>
      <c r="E61" s="30" t="s">
        <v>103</v>
      </c>
      <c r="F61" s="30" t="s">
        <v>103</v>
      </c>
      <c r="G61" s="30" t="s">
        <v>103</v>
      </c>
      <c r="H61" s="30" t="s">
        <v>103</v>
      </c>
      <c r="I61" s="30" t="s">
        <v>103</v>
      </c>
    </row>
    <row r="62" spans="1:9" ht="18.95" customHeight="1">
      <c r="A62" s="18">
        <f>A49+1</f>
        <v>36</v>
      </c>
      <c r="C62" s="38" t="s">
        <v>64</v>
      </c>
    </row>
    <row r="63" spans="1:9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F'!$D$11:$D$141,'PIS F'!$B$11:$B$141,'SCH B-2.3 F'!$B63)</f>
        <v>11144162.02</v>
      </c>
      <c r="E63" s="36">
        <f>SUMIFS('PIS F'!$F$11:$F$141,'PIS F'!$B$11:$B$141,'SCH B-2.3 F'!$B63)</f>
        <v>0</v>
      </c>
      <c r="F63" s="36">
        <f>SUMIFS('PIS F'!$H$11:$H$141,'PIS F'!$B$11:$B$141,'SCH B-2.3 F'!$B63)</f>
        <v>0</v>
      </c>
      <c r="G63" s="36">
        <f>SUMIFS('PIS F'!$J$11:$J$141,'PIS F'!$B$11:$B$141,'SCH B-2.3 F'!$B63)</f>
        <v>0</v>
      </c>
      <c r="H63" s="36">
        <f t="shared" ref="H63:H71" si="8">SUM(D63:G63)</f>
        <v>11144162.02</v>
      </c>
      <c r="I63" s="36">
        <f>SUMIFS('PIS F AVG'!$P$11:$P$141,'PIS F AVG'!$B$11:$B$141,'SCH B-2.3 F'!$B63)</f>
        <v>11144162.020000001</v>
      </c>
    </row>
    <row r="64" spans="1:9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F'!$D$11:$D$141,'PIS F'!$B$11:$B$141,'SCH B-2.3 F'!$B64)</f>
        <v>17704470.390000001</v>
      </c>
      <c r="E64" s="36">
        <f>SUMIFS('PIS F'!$F$11:$F$141,'PIS F'!$B$11:$B$141,'SCH B-2.3 F'!$B64)</f>
        <v>46997.569999999905</v>
      </c>
      <c r="F64" s="36">
        <f>SUMIFS('PIS F'!$H$11:$H$141,'PIS F'!$B$11:$B$141,'SCH B-2.3 F'!$B64)</f>
        <v>0</v>
      </c>
      <c r="G64" s="36">
        <f>SUMIFS('PIS F'!$J$11:$J$141,'PIS F'!$B$11:$B$141,'SCH B-2.3 F'!$B64)</f>
        <v>0</v>
      </c>
      <c r="H64" s="36">
        <f t="shared" si="8"/>
        <v>17751467.960000001</v>
      </c>
      <c r="I64" s="36">
        <f>SUMIFS('PIS F AVG'!$P$11:$P$141,'PIS F AVG'!$B$11:$B$141,'SCH B-2.3 F'!$B64)</f>
        <v>17728931.077692308</v>
      </c>
    </row>
    <row r="65" spans="1:9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F'!$D$11:$D$141,'PIS F'!$B$11:$B$141,'SCH B-2.3 F'!$B65)</f>
        <v>237589447.03999999</v>
      </c>
      <c r="E65" s="36">
        <f>SUMIFS('PIS F'!$F$11:$F$141,'PIS F'!$B$11:$B$141,'SCH B-2.3 F'!$B65)</f>
        <v>19547454.91</v>
      </c>
      <c r="F65" s="36">
        <f>SUMIFS('PIS F'!$H$11:$H$141,'PIS F'!$B$11:$B$141,'SCH B-2.3 F'!$B65)</f>
        <v>-1960915.1199999992</v>
      </c>
      <c r="G65" s="36">
        <f>SUMIFS('PIS F'!$J$11:$J$141,'PIS F'!$B$11:$B$141,'SCH B-2.3 F'!$B65)</f>
        <v>0</v>
      </c>
      <c r="H65" s="36">
        <f t="shared" si="8"/>
        <v>255175986.82999998</v>
      </c>
      <c r="I65" s="36">
        <f>SUMIFS('PIS F AVG'!$P$11:$P$141,'PIS F AVG'!$B$11:$B$141,'SCH B-2.3 F'!$B65)</f>
        <v>247685387.55461532</v>
      </c>
    </row>
    <row r="66" spans="1:9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F'!$D$11:$D$141,'PIS F'!$B$11:$B$141,'SCH B-2.3 F'!$B66)</f>
        <v>43849203.200000003</v>
      </c>
      <c r="E66" s="36">
        <f>SUMIFS('PIS F'!$F$11:$F$141,'PIS F'!$B$11:$B$141,'SCH B-2.3 F'!$B66)</f>
        <v>0</v>
      </c>
      <c r="F66" s="36">
        <f>SUMIFS('PIS F'!$H$11:$H$141,'PIS F'!$B$11:$B$141,'SCH B-2.3 F'!$B66)</f>
        <v>0</v>
      </c>
      <c r="G66" s="36">
        <f>SUMIFS('PIS F'!$J$11:$J$141,'PIS F'!$B$11:$B$141,'SCH B-2.3 F'!$B66)</f>
        <v>0</v>
      </c>
      <c r="H66" s="36">
        <f t="shared" si="8"/>
        <v>43849203.200000003</v>
      </c>
      <c r="I66" s="36">
        <f>SUMIFS('PIS F AVG'!$P$11:$P$141,'PIS F AVG'!$B$11:$B$141,'SCH B-2.3 F'!$B66)</f>
        <v>43849203.199999996</v>
      </c>
    </row>
    <row r="67" spans="1:9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F'!$D$11:$D$141,'PIS F'!$B$11:$B$141,'SCH B-2.3 F'!$B67)</f>
        <v>102772233.67</v>
      </c>
      <c r="E67" s="36">
        <f>SUMIFS('PIS F'!$F$11:$F$141,'PIS F'!$B$11:$B$141,'SCH B-2.3 F'!$B67)</f>
        <v>7638083.3700000001</v>
      </c>
      <c r="F67" s="36">
        <f>SUMIFS('PIS F'!$H$11:$H$141,'PIS F'!$B$11:$B$141,'SCH B-2.3 F'!$B67)</f>
        <v>0</v>
      </c>
      <c r="G67" s="36">
        <f>SUMIFS('PIS F'!$J$11:$J$141,'PIS F'!$B$11:$B$141,'SCH B-2.3 F'!$B67)</f>
        <v>0</v>
      </c>
      <c r="H67" s="36">
        <f t="shared" si="8"/>
        <v>110410317.04000001</v>
      </c>
      <c r="I67" s="36">
        <f>SUMIFS('PIS F AVG'!$P$11:$P$141,'PIS F AVG'!$B$11:$B$141,'SCH B-2.3 F'!$B67)</f>
        <v>108569894.11769226</v>
      </c>
    </row>
    <row r="68" spans="1:9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F'!$D$11:$D$141,'PIS F'!$B$11:$B$141,'SCH B-2.3 F'!$B68)</f>
        <v>61404207.490000002</v>
      </c>
      <c r="E68" s="36">
        <f>SUMIFS('PIS F'!$F$11:$F$141,'PIS F'!$B$11:$B$141,'SCH B-2.3 F'!$B68)</f>
        <v>1217202.1699999897</v>
      </c>
      <c r="F68" s="36">
        <f>SUMIFS('PIS F'!$H$11:$H$141,'PIS F'!$B$11:$B$141,'SCH B-2.3 F'!$B68)</f>
        <v>0</v>
      </c>
      <c r="G68" s="36">
        <f>SUMIFS('PIS F'!$J$11:$J$141,'PIS F'!$B$11:$B$141,'SCH B-2.3 F'!$B68)</f>
        <v>0</v>
      </c>
      <c r="H68" s="36">
        <f t="shared" si="8"/>
        <v>62621409.659999989</v>
      </c>
      <c r="I68" s="36">
        <f>SUMIFS('PIS F AVG'!$P$11:$P$141,'PIS F AVG'!$B$11:$B$141,'SCH B-2.3 F'!$B68)</f>
        <v>62314300.349999994</v>
      </c>
    </row>
    <row r="69" spans="1:9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F'!$D$11:$D$141,'PIS F'!$B$11:$B$141,'SCH B-2.3 F'!$B69)</f>
        <v>1804058.6900000002</v>
      </c>
      <c r="E69" s="36">
        <f>SUMIFS('PIS F'!$F$11:$F$141,'PIS F'!$B$11:$B$141,'SCH B-2.3 F'!$B69)</f>
        <v>0</v>
      </c>
      <c r="F69" s="36">
        <f>SUMIFS('PIS F'!$H$11:$H$141,'PIS F'!$B$11:$B$141,'SCH B-2.3 F'!$B69)</f>
        <v>0</v>
      </c>
      <c r="G69" s="36">
        <f>SUMIFS('PIS F'!$J$11:$J$141,'PIS F'!$B$11:$B$141,'SCH B-2.3 F'!$B69)</f>
        <v>0</v>
      </c>
      <c r="H69" s="36">
        <f t="shared" si="8"/>
        <v>1804058.6900000002</v>
      </c>
      <c r="I69" s="36">
        <f>SUMIFS('PIS F AVG'!$P$11:$P$141,'PIS F AVG'!$B$11:$B$141,'SCH B-2.3 F'!$B69)</f>
        <v>1804058.6900000004</v>
      </c>
    </row>
    <row r="70" spans="1:9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F'!$D$11:$D$141,'PIS F'!$B$11:$B$141,'SCH B-2.3 F'!$B70)</f>
        <v>7529169.8200000003</v>
      </c>
      <c r="E70" s="36">
        <f>SUMIFS('PIS F'!$F$11:$F$141,'PIS F'!$B$11:$B$141,'SCH B-2.3 F'!$B70)</f>
        <v>0</v>
      </c>
      <c r="F70" s="36">
        <f>SUMIFS('PIS F'!$H$11:$H$141,'PIS F'!$B$11:$B$141,'SCH B-2.3 F'!$B70)</f>
        <v>0</v>
      </c>
      <c r="G70" s="36">
        <f>SUMIFS('PIS F'!$J$11:$J$141,'PIS F'!$B$11:$B$141,'SCH B-2.3 F'!$B70)</f>
        <v>0</v>
      </c>
      <c r="H70" s="36">
        <f t="shared" si="8"/>
        <v>7529169.8200000003</v>
      </c>
      <c r="I70" s="36">
        <f>SUMIFS('PIS F AVG'!$P$11:$P$141,'PIS F AVG'!$B$11:$B$141,'SCH B-2.3 F'!$B70)</f>
        <v>7529169.8199999994</v>
      </c>
    </row>
    <row r="71" spans="1:9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F'!$D$11:$D$141,'PIS F'!$B$11:$B$141,'SCH B-2.3 F'!$B71)</f>
        <v>195962.44999999998</v>
      </c>
      <c r="E71" s="37">
        <f>SUMIFS('PIS F'!$F$11:$F$141,'PIS F'!$B$11:$B$141,'SCH B-2.3 F'!$B71)</f>
        <v>0</v>
      </c>
      <c r="F71" s="37">
        <f>SUMIFS('PIS F'!$H$11:$H$141,'PIS F'!$B$11:$B$141,'SCH B-2.3 F'!$B71)</f>
        <v>0</v>
      </c>
      <c r="G71" s="37">
        <f>SUMIFS('PIS F'!$J$11:$J$141,'PIS F'!$B$11:$B$141,'SCH B-2.3 F'!$B71)</f>
        <v>0</v>
      </c>
      <c r="H71" s="37">
        <f t="shared" si="8"/>
        <v>195962.44999999998</v>
      </c>
      <c r="I71" s="37">
        <f>SUMIFS('PIS F AVG'!$P$11:$P$141,'PIS F AVG'!$B$11:$B$141,'SCH B-2.3 F'!$B71)</f>
        <v>195962.44999999998</v>
      </c>
    </row>
    <row r="72" spans="1:9" ht="18.95" customHeight="1">
      <c r="A72" s="18">
        <f t="shared" si="0"/>
        <v>46</v>
      </c>
      <c r="C72" s="26" t="s">
        <v>111</v>
      </c>
      <c r="D72" s="34">
        <f t="shared" ref="D72:I72" si="9">SUM(D63:D71)</f>
        <v>483992914.76999998</v>
      </c>
      <c r="E72" s="34">
        <f t="shared" si="9"/>
        <v>28449738.019999992</v>
      </c>
      <c r="F72" s="34">
        <f t="shared" si="9"/>
        <v>-1960915.1199999992</v>
      </c>
      <c r="G72" s="34">
        <f t="shared" si="9"/>
        <v>0</v>
      </c>
      <c r="H72" s="34">
        <f t="shared" si="9"/>
        <v>510481737.66999996</v>
      </c>
      <c r="I72" s="34">
        <f t="shared" si="9"/>
        <v>500821069.27999991</v>
      </c>
    </row>
    <row r="73" spans="1:9" ht="18.95" customHeight="1">
      <c r="A73" s="18"/>
      <c r="B73" s="19"/>
    </row>
    <row r="74" spans="1:9" ht="18.95" customHeight="1">
      <c r="A74" s="18">
        <f>A72+1</f>
        <v>47</v>
      </c>
      <c r="B74" s="19" t="s">
        <v>190</v>
      </c>
      <c r="C74" s="38" t="s">
        <v>17</v>
      </c>
    </row>
    <row r="75" spans="1:9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F'!$D$11:$D$141,'PIS F'!$B$11:$B$141,'SCH B-2.3 F'!$B75)</f>
        <v>4103252.72</v>
      </c>
      <c r="E75" s="36">
        <f>SUMIFS('PIS F'!$F$11:$F$141,'PIS F'!$B$11:$B$141,'SCH B-2.3 F'!$B75)</f>
        <v>0</v>
      </c>
      <c r="F75" s="36">
        <f>SUMIFS('PIS F'!$H$11:$H$141,'PIS F'!$B$11:$B$141,'SCH B-2.3 F'!$B75)</f>
        <v>0</v>
      </c>
      <c r="G75" s="36">
        <f>SUMIFS('PIS F'!$J$11:$J$141,'PIS F'!$B$11:$B$141,'SCH B-2.3 F'!$B75)</f>
        <v>0</v>
      </c>
      <c r="H75" s="36">
        <f t="shared" ref="H75:H87" si="10">SUM(D75:G75)</f>
        <v>4103252.72</v>
      </c>
      <c r="I75" s="36">
        <f>SUMIFS('PIS F AVG'!$P$11:$P$141,'PIS F AVG'!$B$11:$B$141,'SCH B-2.3 F'!$B75)</f>
        <v>4103252.7200000021</v>
      </c>
    </row>
    <row r="76" spans="1:9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F'!$D$11:$D$141,'PIS F'!$B$11:$B$141,'SCH B-2.3 F'!$B76)</f>
        <v>19719161.619999997</v>
      </c>
      <c r="E76" s="36">
        <f>SUMIFS('PIS F'!$F$11:$F$141,'PIS F'!$B$11:$B$141,'SCH B-2.3 F'!$B76)</f>
        <v>19667048.540000003</v>
      </c>
      <c r="F76" s="36">
        <f>SUMIFS('PIS F'!$H$11:$H$141,'PIS F'!$B$11:$B$141,'SCH B-2.3 F'!$B76)</f>
        <v>0</v>
      </c>
      <c r="G76" s="36">
        <f>SUMIFS('PIS F'!$J$11:$J$141,'PIS F'!$B$11:$B$141,'SCH B-2.3 F'!$B76)</f>
        <v>0</v>
      </c>
      <c r="H76" s="36">
        <f t="shared" si="10"/>
        <v>39386210.159999996</v>
      </c>
      <c r="I76" s="36">
        <f>SUMIFS('PIS F AVG'!$P$11:$P$141,'PIS F AVG'!$B$11:$B$141,'SCH B-2.3 F'!$B76)</f>
        <v>31522130.619999945</v>
      </c>
    </row>
    <row r="77" spans="1:9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F'!$D$11:$D$141,'PIS F'!$B$11:$B$141,'SCH B-2.3 F'!$B77)</f>
        <v>145671787.94</v>
      </c>
      <c r="E77" s="36">
        <f>SUMIFS('PIS F'!$F$11:$F$141,'PIS F'!$B$11:$B$141,'SCH B-2.3 F'!$B77)</f>
        <v>15436125.790000001</v>
      </c>
      <c r="F77" s="36">
        <f>SUMIFS('PIS F'!$H$11:$H$141,'PIS F'!$B$11:$B$141,'SCH B-2.3 F'!$B77)</f>
        <v>0</v>
      </c>
      <c r="G77" s="36">
        <f>SUMIFS('PIS F'!$J$11:$J$141,'PIS F'!$B$11:$B$141,'SCH B-2.3 F'!$B77)</f>
        <v>0</v>
      </c>
      <c r="H77" s="36">
        <f t="shared" si="10"/>
        <v>161107913.72999999</v>
      </c>
      <c r="I77" s="36">
        <f>SUMIFS('PIS F AVG'!$P$11:$P$141,'PIS F AVG'!$B$11:$B$141,'SCH B-2.3 F'!$B77)</f>
        <v>155480834.24615383</v>
      </c>
    </row>
    <row r="78" spans="1:9" ht="18.95" customHeight="1">
      <c r="A78" s="18">
        <f t="shared" ref="A78:A88" si="11">A77+1</f>
        <v>51</v>
      </c>
      <c r="B78" s="19" t="s">
        <v>753</v>
      </c>
      <c r="C78" s="26" t="s">
        <v>754</v>
      </c>
      <c r="D78" s="36">
        <f>SUMIFS('PIS F'!$D$11:$D$141,'PIS F'!$B$11:$B$141,'SCH B-2.3 F'!$B78)</f>
        <v>211648101.28</v>
      </c>
      <c r="E78" s="36">
        <f>SUMIFS('PIS F'!$F$11:$F$141,'PIS F'!$B$11:$B$141,'SCH B-2.3 F'!$B78)</f>
        <v>9095072.4799999986</v>
      </c>
      <c r="F78" s="36">
        <f>SUMIFS('PIS F'!$H$11:$H$141,'PIS F'!$B$11:$B$141,'SCH B-2.3 F'!$B78)</f>
        <v>-1896721.9999999991</v>
      </c>
      <c r="G78" s="36">
        <f>SUMIFS('PIS F'!$J$11:$J$141,'PIS F'!$B$11:$B$141,'SCH B-2.3 F'!$B78)</f>
        <v>0</v>
      </c>
      <c r="H78" s="36">
        <f t="shared" si="10"/>
        <v>218846451.75999999</v>
      </c>
      <c r="I78" s="36">
        <f>SUMIFS('PIS F AVG'!$P$11:$P$141,'PIS F AVG'!$B$11:$B$141,'SCH B-2.3 F'!$B78)</f>
        <v>215120718.84230724</v>
      </c>
    </row>
    <row r="79" spans="1:9" ht="18.95" customHeight="1">
      <c r="A79" s="18">
        <f t="shared" si="11"/>
        <v>52</v>
      </c>
      <c r="B79" s="19" t="s">
        <v>755</v>
      </c>
      <c r="C79" s="26" t="s">
        <v>743</v>
      </c>
      <c r="D79" s="36">
        <f>SUMIFS('PIS F'!$D$11:$D$141,'PIS F'!$B$11:$B$141,'SCH B-2.3 F'!$B79)</f>
        <v>362102214.359999</v>
      </c>
      <c r="E79" s="36">
        <f>SUMIFS('PIS F'!$F$11:$F$141,'PIS F'!$B$11:$B$141,'SCH B-2.3 F'!$B79)</f>
        <v>35165780.699999988</v>
      </c>
      <c r="F79" s="36">
        <f>SUMIFS('PIS F'!$H$11:$H$141,'PIS F'!$B$11:$B$141,'SCH B-2.3 F'!$B79)</f>
        <v>-2416237.16</v>
      </c>
      <c r="G79" s="36">
        <f>SUMIFS('PIS F'!$J$11:$J$141,'PIS F'!$B$11:$B$141,'SCH B-2.3 F'!$B79)</f>
        <v>0</v>
      </c>
      <c r="H79" s="36">
        <f t="shared" si="10"/>
        <v>394851757.89999896</v>
      </c>
      <c r="I79" s="36">
        <f>SUMIFS('PIS F AVG'!$P$11:$P$141,'PIS F AVG'!$B$11:$B$141,'SCH B-2.3 F'!$B79)</f>
        <v>377289104.34307593</v>
      </c>
    </row>
    <row r="80" spans="1:9" ht="18.95" customHeight="1">
      <c r="A80" s="18">
        <f t="shared" si="11"/>
        <v>53</v>
      </c>
      <c r="B80" s="19" t="s">
        <v>756</v>
      </c>
      <c r="C80" s="26" t="s">
        <v>745</v>
      </c>
      <c r="D80" s="36">
        <f>SUMIFS('PIS F'!$D$11:$D$141,'PIS F'!$B$11:$B$141,'SCH B-2.3 F'!$B80)</f>
        <v>96674999.529999897</v>
      </c>
      <c r="E80" s="36">
        <f>SUMIFS('PIS F'!$F$11:$F$141,'PIS F'!$B$11:$B$141,'SCH B-2.3 F'!$B80)</f>
        <v>11245191.390000001</v>
      </c>
      <c r="F80" s="36">
        <f>SUMIFS('PIS F'!$H$11:$H$141,'PIS F'!$B$11:$B$141,'SCH B-2.3 F'!$B80)</f>
        <v>0</v>
      </c>
      <c r="G80" s="36">
        <f>SUMIFS('PIS F'!$J$11:$J$141,'PIS F'!$B$11:$B$141,'SCH B-2.3 F'!$B80)</f>
        <v>0</v>
      </c>
      <c r="H80" s="36">
        <f t="shared" si="10"/>
        <v>107920190.9199999</v>
      </c>
      <c r="I80" s="36">
        <f>SUMIFS('PIS F AVG'!$P$11:$P$141,'PIS F AVG'!$B$11:$B$141,'SCH B-2.3 F'!$B80)</f>
        <v>101000073.1415384</v>
      </c>
    </row>
    <row r="81" spans="1:9" ht="18.95" customHeight="1">
      <c r="A81" s="18">
        <f t="shared" si="11"/>
        <v>54</v>
      </c>
      <c r="B81" s="19" t="s">
        <v>757</v>
      </c>
      <c r="C81" s="26" t="s">
        <v>747</v>
      </c>
      <c r="D81" s="36">
        <f>SUMIFS('PIS F'!$D$11:$D$141,'PIS F'!$B$11:$B$141,'SCH B-2.3 F'!$B81)</f>
        <v>282784496.56</v>
      </c>
      <c r="E81" s="36">
        <f>SUMIFS('PIS F'!$F$11:$F$141,'PIS F'!$B$11:$B$141,'SCH B-2.3 F'!$B81)</f>
        <v>24380463.849999979</v>
      </c>
      <c r="F81" s="36">
        <f>SUMIFS('PIS F'!$H$11:$H$141,'PIS F'!$B$11:$B$141,'SCH B-2.3 F'!$B81)</f>
        <v>-1024229.4500000001</v>
      </c>
      <c r="G81" s="36">
        <f>SUMIFS('PIS F'!$J$11:$J$141,'PIS F'!$B$11:$B$141,'SCH B-2.3 F'!$B81)</f>
        <v>0</v>
      </c>
      <c r="H81" s="36">
        <f t="shared" si="10"/>
        <v>306140730.95999998</v>
      </c>
      <c r="I81" s="36">
        <f>SUMIFS('PIS F AVG'!$P$11:$P$141,'PIS F AVG'!$B$11:$B$141,'SCH B-2.3 F'!$B81)</f>
        <v>294177307.13999945</v>
      </c>
    </row>
    <row r="82" spans="1:9" ht="18.95" customHeight="1">
      <c r="A82" s="18">
        <f t="shared" si="11"/>
        <v>55</v>
      </c>
      <c r="B82" s="19" t="s">
        <v>758</v>
      </c>
      <c r="C82" s="26" t="s">
        <v>759</v>
      </c>
      <c r="D82" s="36">
        <f>SUMIFS('PIS F'!$D$11:$D$141,'PIS F'!$B$11:$B$141,'SCH B-2.3 F'!$B82)</f>
        <v>173525385.43000001</v>
      </c>
      <c r="E82" s="36">
        <f>SUMIFS('PIS F'!$F$11:$F$141,'PIS F'!$B$11:$B$141,'SCH B-2.3 F'!$B82)</f>
        <v>7000576.1099999985</v>
      </c>
      <c r="F82" s="36">
        <f>SUMIFS('PIS F'!$H$11:$H$141,'PIS F'!$B$11:$B$141,'SCH B-2.3 F'!$B82)</f>
        <v>-1178841.04</v>
      </c>
      <c r="G82" s="36">
        <f>SUMIFS('PIS F'!$J$11:$J$141,'PIS F'!$B$11:$B$141,'SCH B-2.3 F'!$B82)</f>
        <v>0</v>
      </c>
      <c r="H82" s="36">
        <f t="shared" si="10"/>
        <v>179347120.5</v>
      </c>
      <c r="I82" s="36">
        <f>SUMIFS('PIS F AVG'!$P$11:$P$141,'PIS F AVG'!$B$11:$B$141,'SCH B-2.3 F'!$B82)</f>
        <v>176418522.2015385</v>
      </c>
    </row>
    <row r="83" spans="1:9" ht="18.95" customHeight="1">
      <c r="A83" s="18">
        <f t="shared" si="11"/>
        <v>56</v>
      </c>
      <c r="B83" s="19" t="s">
        <v>760</v>
      </c>
      <c r="C83" s="26" t="s">
        <v>761</v>
      </c>
      <c r="D83" s="36">
        <f>SUMIFS('PIS F'!$D$11:$D$141,'PIS F'!$B$11:$B$141,'SCH B-2.3 F'!$B83)</f>
        <v>37462116.850000001</v>
      </c>
      <c r="E83" s="36">
        <f>SUMIFS('PIS F'!$F$11:$F$141,'PIS F'!$B$11:$B$141,'SCH B-2.3 F'!$B83)</f>
        <v>732113.39999999991</v>
      </c>
      <c r="F83" s="36">
        <f>SUMIFS('PIS F'!$H$11:$H$141,'PIS F'!$B$11:$B$141,'SCH B-2.3 F'!$B83)</f>
        <v>0</v>
      </c>
      <c r="G83" s="36">
        <f>SUMIFS('PIS F'!$J$11:$J$141,'PIS F'!$B$11:$B$141,'SCH B-2.3 F'!$B83)</f>
        <v>0</v>
      </c>
      <c r="H83" s="36">
        <f t="shared" si="10"/>
        <v>38194230.25</v>
      </c>
      <c r="I83" s="36">
        <f>SUMIFS('PIS F AVG'!$P$11:$P$141,'PIS F AVG'!$B$11:$B$141,'SCH B-2.3 F'!$B83)</f>
        <v>37740878.411538459</v>
      </c>
    </row>
    <row r="84" spans="1:9" ht="18.95" customHeight="1">
      <c r="A84" s="18">
        <f>A83+1</f>
        <v>57</v>
      </c>
      <c r="B84" s="19" t="s">
        <v>762</v>
      </c>
      <c r="C84" s="26" t="s">
        <v>763</v>
      </c>
      <c r="D84" s="36">
        <f>SUMIFS('PIS F'!$D$11:$D$141,'PIS F'!$B$11:$B$141,'SCH B-2.3 F'!$B84)</f>
        <v>43083034.399999902</v>
      </c>
      <c r="E84" s="36">
        <f>SUMIFS('PIS F'!$F$11:$F$141,'PIS F'!$B$11:$B$141,'SCH B-2.3 F'!$B84)</f>
        <v>1385539.8499999987</v>
      </c>
      <c r="F84" s="36">
        <f>SUMIFS('PIS F'!$H$11:$H$141,'PIS F'!$B$11:$B$141,'SCH B-2.3 F'!$B84)</f>
        <v>0</v>
      </c>
      <c r="G84" s="36">
        <f>SUMIFS('PIS F'!$J$11:$J$141,'PIS F'!$B$11:$B$141,'SCH B-2.3 F'!$B84)</f>
        <v>0</v>
      </c>
      <c r="H84" s="36">
        <f t="shared" si="10"/>
        <v>44468574.249999903</v>
      </c>
      <c r="I84" s="36">
        <f>SUMIFS('PIS F AVG'!$P$11:$P$141,'PIS F AVG'!$B$11:$B$141,'SCH B-2.3 F'!$B84)</f>
        <v>43691863.67999994</v>
      </c>
    </row>
    <row r="85" spans="1:9" ht="18.95" customHeight="1">
      <c r="A85" s="18">
        <f t="shared" si="11"/>
        <v>58</v>
      </c>
      <c r="B85" s="19" t="s">
        <v>764</v>
      </c>
      <c r="C85" s="26" t="s">
        <v>765</v>
      </c>
      <c r="D85" s="36">
        <f>SUMIFS('PIS F'!$D$11:$D$141,'PIS F'!$B$11:$B$141,'SCH B-2.3 F'!$B85)</f>
        <v>156536.15</v>
      </c>
      <c r="E85" s="36">
        <f>SUMIFS('PIS F'!$F$11:$F$141,'PIS F'!$B$11:$B$141,'SCH B-2.3 F'!$B85)</f>
        <v>0</v>
      </c>
      <c r="F85" s="36">
        <f>SUMIFS('PIS F'!$H$11:$H$141,'PIS F'!$B$11:$B$141,'SCH B-2.3 F'!$B85)</f>
        <v>0</v>
      </c>
      <c r="G85" s="36">
        <f>SUMIFS('PIS F'!$J$11:$J$141,'PIS F'!$B$11:$B$141,'SCH B-2.3 F'!$B85)</f>
        <v>0</v>
      </c>
      <c r="H85" s="36">
        <f t="shared" si="10"/>
        <v>156536.15</v>
      </c>
      <c r="I85" s="36">
        <f>SUMIFS('PIS F AVG'!$P$11:$P$141,'PIS F AVG'!$B$11:$B$141,'SCH B-2.3 F'!$B85)</f>
        <v>156536.14999999997</v>
      </c>
    </row>
    <row r="86" spans="1:9" ht="18.95" customHeight="1">
      <c r="A86" s="18">
        <f t="shared" si="11"/>
        <v>59</v>
      </c>
      <c r="B86" s="19" t="s">
        <v>766</v>
      </c>
      <c r="C86" s="26" t="s">
        <v>767</v>
      </c>
      <c r="D86" s="36">
        <f>SUMIFS('PIS F'!$D$11:$D$141,'PIS F'!$B$11:$B$141,'SCH B-2.3 F'!$B86)</f>
        <v>117557140.84999999</v>
      </c>
      <c r="E86" s="36">
        <f>SUMIFS('PIS F'!$F$11:$F$141,'PIS F'!$B$11:$B$141,'SCH B-2.3 F'!$B86)</f>
        <v>4927134.3600000013</v>
      </c>
      <c r="F86" s="36">
        <f>SUMIFS('PIS F'!$H$11:$H$141,'PIS F'!$B$11:$B$141,'SCH B-2.3 F'!$B86)</f>
        <v>0</v>
      </c>
      <c r="G86" s="36">
        <f>SUMIFS('PIS F'!$J$11:$J$141,'PIS F'!$B$11:$B$141,'SCH B-2.3 F'!$B86)</f>
        <v>0</v>
      </c>
      <c r="H86" s="36">
        <f t="shared" si="10"/>
        <v>122484275.20999999</v>
      </c>
      <c r="I86" s="36">
        <f>SUMIFS('PIS F AVG'!$P$11:$P$141,'PIS F AVG'!$B$11:$B$141,'SCH B-2.3 F'!$B86)</f>
        <v>120047049.5030763</v>
      </c>
    </row>
    <row r="87" spans="1:9" ht="18.95" customHeight="1">
      <c r="A87" s="18">
        <f t="shared" si="11"/>
        <v>60</v>
      </c>
      <c r="B87" s="19" t="s">
        <v>768</v>
      </c>
      <c r="C87" s="26" t="s">
        <v>112</v>
      </c>
      <c r="D87" s="37">
        <f>SUMIFS('PIS F'!$D$11:$D$141,'PIS F'!$B$11:$B$141,'SCH B-2.3 F'!$B87)</f>
        <v>367963.87</v>
      </c>
      <c r="E87" s="37">
        <f>SUMIFS('PIS F'!$F$11:$F$141,'PIS F'!$B$11:$B$141,'SCH B-2.3 F'!$B87)</f>
        <v>0</v>
      </c>
      <c r="F87" s="37">
        <f>SUMIFS('PIS F'!$H$11:$H$141,'PIS F'!$B$11:$B$141,'SCH B-2.3 F'!$B87)</f>
        <v>0</v>
      </c>
      <c r="G87" s="37">
        <f>SUMIFS('PIS F'!$J$11:$J$141,'PIS F'!$B$11:$B$141,'SCH B-2.3 F'!$B87)</f>
        <v>0</v>
      </c>
      <c r="H87" s="37">
        <f t="shared" si="10"/>
        <v>367963.87</v>
      </c>
      <c r="I87" s="37">
        <f>SUMIFS('PIS F AVG'!$P$11:$P$141,'PIS F AVG'!$B$11:$B$141,'SCH B-2.3 F'!$B87)</f>
        <v>367963.86999999994</v>
      </c>
    </row>
    <row r="88" spans="1:9" ht="18.95" customHeight="1">
      <c r="A88" s="18">
        <f t="shared" si="11"/>
        <v>61</v>
      </c>
      <c r="B88" s="19"/>
      <c r="C88" s="26" t="s">
        <v>114</v>
      </c>
      <c r="D88" s="34">
        <f t="shared" ref="D88:I88" si="12">SUM(D75:D87)</f>
        <v>1494856191.5599985</v>
      </c>
      <c r="E88" s="34">
        <f t="shared" si="12"/>
        <v>129035046.46999997</v>
      </c>
      <c r="F88" s="34">
        <f t="shared" si="12"/>
        <v>-6516029.6499999994</v>
      </c>
      <c r="G88" s="34">
        <f t="shared" si="12"/>
        <v>0</v>
      </c>
      <c r="H88" s="34">
        <f t="shared" si="12"/>
        <v>1617375208.3799989</v>
      </c>
      <c r="I88" s="34">
        <f t="shared" si="12"/>
        <v>1557116234.8692279</v>
      </c>
    </row>
    <row r="89" spans="1:9" ht="18.95" customHeight="1">
      <c r="A89" s="18"/>
      <c r="B89" s="19"/>
      <c r="C89" s="26"/>
      <c r="D89" s="34"/>
      <c r="E89" s="34"/>
      <c r="F89" s="34"/>
      <c r="G89" s="34"/>
      <c r="H89" s="34"/>
      <c r="I89" s="34"/>
    </row>
    <row r="90" spans="1:9" ht="18.95" customHeight="1">
      <c r="A90" s="18">
        <f>A88+1</f>
        <v>62</v>
      </c>
      <c r="B90" s="147" t="s">
        <v>923</v>
      </c>
      <c r="C90" s="38" t="s">
        <v>28</v>
      </c>
    </row>
    <row r="91" spans="1:9" ht="18.95" customHeight="1">
      <c r="A91" s="18">
        <f t="shared" ref="A91:A99" si="13">A90+1</f>
        <v>63</v>
      </c>
      <c r="B91" s="19" t="s">
        <v>769</v>
      </c>
      <c r="C91" s="26" t="s">
        <v>115</v>
      </c>
      <c r="D91" s="36">
        <f>SUMIFS('PIS F'!$D$11:$D$141,'PIS F'!$A$11:$A$141,$B$90,'PIS F'!$B$11:$B$141,'SCH B-2.3 F'!$B91)</f>
        <v>0</v>
      </c>
      <c r="E91" s="36">
        <f>SUMIFS('PIS F'!$F$11:$F$141,'PIS F'!$A$11:$A$141,$B$90,'PIS F'!$B$11:$B$141,'SCH B-2.3 F'!$B91)</f>
        <v>0</v>
      </c>
      <c r="F91" s="36">
        <f>SUMIFS('PIS F'!$H$11:$H$141,'PIS F'!$A$11:$A$141,$B$90,'PIS F'!$B$11:$B$141,'SCH B-2.3 F'!$B91)</f>
        <v>0</v>
      </c>
      <c r="G91" s="36">
        <f>SUMIFS('PIS F'!$J$11:$J$141,'PIS F'!$A$11:$A$141,$B$90,'PIS F'!$B$11:$B$141,'SCH B-2.3 F'!$B91)</f>
        <v>0</v>
      </c>
      <c r="H91" s="36">
        <f t="shared" ref="H91:H99" si="14">SUM(D91:G91)</f>
        <v>0</v>
      </c>
      <c r="I91" s="34">
        <f>SUMIFS('PIS F AVG'!$P$11:$P$141,'PIS F AVG'!$A$11:$A$141,$B$90,'PIS F AVG'!$B$11:$B$141,'SCH B-2.3 F'!$B91)</f>
        <v>0</v>
      </c>
    </row>
    <row r="92" spans="1:9" ht="18.95" customHeight="1">
      <c r="A92" s="18">
        <f t="shared" si="13"/>
        <v>64</v>
      </c>
      <c r="B92" s="19" t="s">
        <v>770</v>
      </c>
      <c r="C92" s="26" t="s">
        <v>109</v>
      </c>
      <c r="D92" s="36">
        <f>SUMIFS('PIS F'!$D$11:$D$141,'PIS F'!$A$11:$A$141,$B$90,'PIS F'!$B$11:$B$141,'SCH B-2.3 F'!$B92)</f>
        <v>0</v>
      </c>
      <c r="E92" s="36">
        <f>SUMIFS('PIS F'!$F$11:$F$141,'PIS F'!$A$11:$A$141,$B$90,'PIS F'!$B$11:$B$141,'SCH B-2.3 F'!$B92)</f>
        <v>0</v>
      </c>
      <c r="F92" s="36">
        <f>SUMIFS('PIS F'!$H$11:$H$141,'PIS F'!$A$11:$A$141,$B$90,'PIS F'!$B$11:$B$141,'SCH B-2.3 F'!$B92)</f>
        <v>0</v>
      </c>
      <c r="G92" s="36">
        <f>SUMIFS('PIS F'!$J$11:$J$141,'PIS F'!$A$11:$A$141,$B$90,'PIS F'!$B$11:$B$141,'SCH B-2.3 F'!$B92)</f>
        <v>0</v>
      </c>
      <c r="H92" s="36">
        <f t="shared" si="14"/>
        <v>0</v>
      </c>
      <c r="I92" s="36">
        <f>SUMIFS('PIS F AVG'!$P$11:$P$141,'PIS F AVG'!$A$11:$A$141,$B$90,'PIS F AVG'!$B$11:$B$141,'SCH B-2.3 F'!$B92)</f>
        <v>0</v>
      </c>
    </row>
    <row r="93" spans="1:9" ht="18.95" customHeight="1">
      <c r="A93" s="18">
        <f t="shared" si="13"/>
        <v>65</v>
      </c>
      <c r="B93" s="19" t="s">
        <v>771</v>
      </c>
      <c r="C93" s="26" t="s">
        <v>117</v>
      </c>
      <c r="D93" s="36">
        <f>SUMIFS('PIS F'!$D$11:$D$141,'PIS F'!$A$11:$A$141,$B$90,'PIS F'!$B$11:$B$141,'SCH B-2.3 F'!$B93)</f>
        <v>0</v>
      </c>
      <c r="E93" s="36">
        <f>SUMIFS('PIS F'!$F$11:$F$141,'PIS F'!$A$11:$A$141,$B$90,'PIS F'!$B$11:$B$141,'SCH B-2.3 F'!$B93)</f>
        <v>0</v>
      </c>
      <c r="F93" s="36">
        <f>SUMIFS('PIS F'!$H$11:$H$141,'PIS F'!$A$11:$A$141,$B$90,'PIS F'!$B$11:$B$141,'SCH B-2.3 F'!$B93)</f>
        <v>0</v>
      </c>
      <c r="G93" s="36">
        <f>SUMIFS('PIS F'!$J$11:$J$141,'PIS F'!$A$11:$A$141,$B$90,'PIS F'!$B$11:$B$141,'SCH B-2.3 F'!$B93)</f>
        <v>0</v>
      </c>
      <c r="H93" s="36">
        <f t="shared" si="14"/>
        <v>0</v>
      </c>
      <c r="I93" s="36">
        <f>SUMIFS('PIS F AVG'!$P$11:$P$141,'PIS F AVG'!$A$11:$A$141,$B$90,'PIS F AVG'!$B$11:$B$141,'SCH B-2.3 F'!$B93)</f>
        <v>0</v>
      </c>
    </row>
    <row r="94" spans="1:9" ht="18.95" customHeight="1">
      <c r="A94" s="18">
        <f t="shared" si="13"/>
        <v>66</v>
      </c>
      <c r="B94" s="19" t="s">
        <v>772</v>
      </c>
      <c r="C94" s="26" t="s">
        <v>116</v>
      </c>
      <c r="D94" s="36">
        <f>SUMIFS('PIS F'!$D$11:$D$141,'PIS F'!$A$11:$A$141,$B$90,'PIS F'!$B$11:$B$141,'SCH B-2.3 F'!$B94)</f>
        <v>7134532.4400000004</v>
      </c>
      <c r="E94" s="36">
        <f>SUMIFS('PIS F'!$F$11:$F$141,'PIS F'!$A$11:$A$141,$B$90,'PIS F'!$B$11:$B$141,'SCH B-2.3 F'!$B94)</f>
        <v>0</v>
      </c>
      <c r="F94" s="36">
        <f>SUMIFS('PIS F'!$H$11:$H$141,'PIS F'!$A$11:$A$141,$B$90,'PIS F'!$B$11:$B$141,'SCH B-2.3 F'!$B94)</f>
        <v>-87767.08</v>
      </c>
      <c r="G94" s="36">
        <f>SUMIFS('PIS F'!$J$11:$J$141,'PIS F'!$A$11:$A$141,$B$90,'PIS F'!$B$11:$B$141,'SCH B-2.3 F'!$B94)</f>
        <v>0</v>
      </c>
      <c r="H94" s="36">
        <f t="shared" si="14"/>
        <v>7046765.3600000003</v>
      </c>
      <c r="I94" s="36">
        <f>SUMIFS('PIS F AVG'!$P$11:$P$141,'PIS F AVG'!$A$11:$A$141,$B$90,'PIS F AVG'!$B$11:$B$141,'SCH B-2.3 F'!$B94)</f>
        <v>7107527.1846153857</v>
      </c>
    </row>
    <row r="95" spans="1:9" ht="18.95" customHeight="1">
      <c r="A95" s="18">
        <f t="shared" si="13"/>
        <v>67</v>
      </c>
      <c r="B95" s="19" t="s">
        <v>773</v>
      </c>
      <c r="C95" s="26" t="s">
        <v>774</v>
      </c>
      <c r="D95" s="36">
        <f>SUMIFS('PIS F'!$D$11:$D$141,'PIS F'!$A$11:$A$141,$B$90,'PIS F'!$B$11:$B$141,'SCH B-2.3 F'!$B95)</f>
        <v>0</v>
      </c>
      <c r="E95" s="36">
        <f>SUMIFS('PIS F'!$F$11:$F$141,'PIS F'!$A$11:$A$141,$B$90,'PIS F'!$B$11:$B$141,'SCH B-2.3 F'!$B95)</f>
        <v>0</v>
      </c>
      <c r="F95" s="36">
        <f>SUMIFS('PIS F'!$H$11:$H$141,'PIS F'!$A$11:$A$141,$B$90,'PIS F'!$B$11:$B$141,'SCH B-2.3 F'!$B95)</f>
        <v>0</v>
      </c>
      <c r="G95" s="36">
        <f>SUMIFS('PIS F'!$J$11:$J$141,'PIS F'!$A$11:$A$141,$B$90,'PIS F'!$B$11:$B$141,'SCH B-2.3 F'!$B95)</f>
        <v>0</v>
      </c>
      <c r="H95" s="36">
        <f t="shared" si="14"/>
        <v>0</v>
      </c>
      <c r="I95" s="36">
        <f>SUMIFS('PIS F AVG'!$P$11:$P$141,'PIS F AVG'!$A$11:$A$141,$B$90,'PIS F AVG'!$B$11:$B$141,'SCH B-2.3 F'!$B95)</f>
        <v>0</v>
      </c>
    </row>
    <row r="96" spans="1:9" ht="18.95" customHeight="1">
      <c r="A96" s="18">
        <f t="shared" si="13"/>
        <v>68</v>
      </c>
      <c r="B96" s="19" t="s">
        <v>775</v>
      </c>
      <c r="C96" s="26" t="s">
        <v>776</v>
      </c>
      <c r="D96" s="36">
        <f>SUMIFS('PIS F'!$D$11:$D$141,'PIS F'!$A$11:$A$141,$B$90,'PIS F'!$B$11:$B$141,'SCH B-2.3 F'!$B96)</f>
        <v>6786023.1999999993</v>
      </c>
      <c r="E96" s="36">
        <f>SUMIFS('PIS F'!$F$11:$F$141,'PIS F'!$A$11:$A$141,$B$90,'PIS F'!$B$11:$B$141,'SCH B-2.3 F'!$B96)</f>
        <v>599881.42000000004</v>
      </c>
      <c r="F96" s="36">
        <f>SUMIFS('PIS F'!$H$11:$H$141,'PIS F'!$A$11:$A$141,$B$90,'PIS F'!$B$11:$B$141,'SCH B-2.3 F'!$B96)</f>
        <v>-73231.16</v>
      </c>
      <c r="G96" s="36">
        <f>SUMIFS('PIS F'!$J$11:$J$141,'PIS F'!$A$11:$A$141,$B$90,'PIS F'!$B$11:$B$141,'SCH B-2.3 F'!$B96)</f>
        <v>0</v>
      </c>
      <c r="H96" s="36">
        <f t="shared" si="14"/>
        <v>7312673.459999999</v>
      </c>
      <c r="I96" s="36">
        <f>SUMIFS('PIS F AVG'!$P$11:$P$141,'PIS F AVG'!$A$11:$A$141,$B$90,'PIS F AVG'!$B$11:$B$141,'SCH B-2.3 F'!$B96)</f>
        <v>6957514.1876923023</v>
      </c>
    </row>
    <row r="97" spans="1:9" ht="18.95" customHeight="1">
      <c r="A97" s="18">
        <f t="shared" si="13"/>
        <v>69</v>
      </c>
      <c r="B97" s="19" t="s">
        <v>777</v>
      </c>
      <c r="C97" s="26" t="s">
        <v>778</v>
      </c>
      <c r="D97" s="36">
        <f>SUMIFS('PIS F'!$D$11:$D$141,'PIS F'!$A$11:$A$141,$B$90,'PIS F'!$B$11:$B$141,'SCH B-2.3 F'!$B97)</f>
        <v>0</v>
      </c>
      <c r="E97" s="36">
        <f>SUMIFS('PIS F'!$F$11:$F$141,'PIS F'!$A$11:$A$141,$B$90,'PIS F'!$B$11:$B$141,'SCH B-2.3 F'!$B97)</f>
        <v>0</v>
      </c>
      <c r="F97" s="36">
        <f>SUMIFS('PIS F'!$H$11:$H$141,'PIS F'!$A$11:$A$141,$B$90,'PIS F'!$B$11:$B$141,'SCH B-2.3 F'!$B97)</f>
        <v>0</v>
      </c>
      <c r="G97" s="36">
        <f>SUMIFS('PIS F'!$J$11:$J$141,'PIS F'!$A$11:$A$141,$B$90,'PIS F'!$B$11:$B$141,'SCH B-2.3 F'!$B97)</f>
        <v>0</v>
      </c>
      <c r="H97" s="36">
        <f t="shared" si="14"/>
        <v>0</v>
      </c>
      <c r="I97" s="36">
        <f>SUMIFS('PIS F AVG'!$P$11:$P$141,'PIS F AVG'!$A$11:$A$141,$B$90,'PIS F AVG'!$B$11:$B$141,'SCH B-2.3 F'!$B97)</f>
        <v>0</v>
      </c>
    </row>
    <row r="98" spans="1:9" ht="18.95" customHeight="1">
      <c r="A98" s="18">
        <f>A97+1</f>
        <v>70</v>
      </c>
      <c r="B98" s="19" t="s">
        <v>779</v>
      </c>
      <c r="C98" s="26" t="s">
        <v>780</v>
      </c>
      <c r="D98" s="36">
        <f>SUMIFS('PIS F'!$D$11:$D$141,'PIS F'!$A$11:$A$141,$B$90,'PIS F'!$B$11:$B$141,'SCH B-2.3 F'!$B98)</f>
        <v>2084182.35</v>
      </c>
      <c r="E98" s="36">
        <f>SUMIFS('PIS F'!$F$11:$F$141,'PIS F'!$A$11:$A$141,$B$90,'PIS F'!$B$11:$B$141,'SCH B-2.3 F'!$B98)</f>
        <v>0</v>
      </c>
      <c r="F98" s="36">
        <f>SUMIFS('PIS F'!$H$11:$H$141,'PIS F'!$A$11:$A$141,$B$90,'PIS F'!$B$11:$B$141,'SCH B-2.3 F'!$B98)</f>
        <v>0</v>
      </c>
      <c r="G98" s="36">
        <f>SUMIFS('PIS F'!$J$11:$J$141,'PIS F'!$A$11:$A$141,$B$90,'PIS F'!$B$11:$B$141,'SCH B-2.3 F'!$B98)</f>
        <v>0</v>
      </c>
      <c r="H98" s="36">
        <f t="shared" si="14"/>
        <v>2084182.35</v>
      </c>
      <c r="I98" s="36">
        <f>SUMIFS('PIS F AVG'!$P$11:$P$141,'PIS F AVG'!$A$11:$A$141,$B$90,'PIS F AVG'!$B$11:$B$141,'SCH B-2.3 F'!$B98)</f>
        <v>2084182.35</v>
      </c>
    </row>
    <row r="99" spans="1:9" ht="18.95" customHeight="1">
      <c r="A99" s="18">
        <f t="shared" si="13"/>
        <v>71</v>
      </c>
      <c r="B99" s="19" t="s">
        <v>781</v>
      </c>
      <c r="C99" s="26" t="s">
        <v>118</v>
      </c>
      <c r="D99" s="36">
        <f>SUMIFS('PIS F'!$D$11:$D$141,'PIS F'!$A$11:$A$141,$B$90,'PIS F'!$B$11:$B$141,'SCH B-2.3 F'!$B99)</f>
        <v>7061420.1899999995</v>
      </c>
      <c r="E99" s="36">
        <f>SUMIFS('PIS F'!$F$11:$F$141,'PIS F'!$A$11:$A$141,$B$90,'PIS F'!$B$11:$B$141,'SCH B-2.3 F'!$B99)</f>
        <v>176833.34</v>
      </c>
      <c r="F99" s="36">
        <f>SUMIFS('PIS F'!$H$11:$H$141,'PIS F'!$A$11:$A$141,$B$90,'PIS F'!$B$11:$B$141,'SCH B-2.3 F'!$B99)</f>
        <v>0</v>
      </c>
      <c r="G99" s="36">
        <f>SUMIFS('PIS F'!$J$11:$J$141,'PIS F'!$A$11:$A$141,$B$90,'PIS F'!$B$11:$B$141,'SCH B-2.3 F'!$B99)</f>
        <v>0</v>
      </c>
      <c r="H99" s="36">
        <f t="shared" si="14"/>
        <v>7238253.5299999993</v>
      </c>
      <c r="I99" s="36">
        <f>SUMIFS('PIS F AVG'!$P$11:$P$141,'PIS F AVG'!$A$11:$A$141,$B$90,'PIS F AVG'!$B$11:$B$141,'SCH B-2.3 F'!$B99)</f>
        <v>7172349.6961538456</v>
      </c>
    </row>
    <row r="100" spans="1:9" s="16" customFormat="1" ht="20.100000000000001" customHeight="1">
      <c r="A100" s="831" t="str">
        <f>$A$1</f>
        <v>LOUISVILLE GAS AND ELECTRIC COMPANY</v>
      </c>
      <c r="B100" s="831"/>
      <c r="C100" s="831"/>
      <c r="D100" s="831"/>
      <c r="E100" s="831"/>
      <c r="F100" s="831"/>
      <c r="G100" s="831"/>
      <c r="H100" s="831"/>
      <c r="I100" s="831"/>
    </row>
    <row r="101" spans="1:9" s="16" customFormat="1" ht="20.100000000000001" customHeight="1">
      <c r="A101" s="831" t="str">
        <f>$A$2</f>
        <v>CASE NO. 2018-00295 - ELECTRIC OPERATIONS</v>
      </c>
      <c r="B101" s="831"/>
      <c r="C101" s="831"/>
      <c r="D101" s="831"/>
      <c r="E101" s="831"/>
      <c r="F101" s="831"/>
      <c r="G101" s="831"/>
      <c r="H101" s="831"/>
      <c r="I101" s="831"/>
    </row>
    <row r="102" spans="1:9" s="16" customFormat="1" ht="20.100000000000001" customHeight="1">
      <c r="A102" s="831" t="str">
        <f>$A$3</f>
        <v>GROSS ADDITIONS, RETIREMENTS, AND TRANSFERS</v>
      </c>
      <c r="B102" s="831"/>
      <c r="C102" s="831"/>
      <c r="D102" s="831"/>
      <c r="E102" s="831"/>
      <c r="F102" s="831"/>
      <c r="G102" s="831"/>
      <c r="H102" s="831"/>
      <c r="I102" s="831"/>
    </row>
    <row r="103" spans="1:9" s="16" customFormat="1" ht="20.100000000000001" customHeight="1">
      <c r="A103" s="832" t="str">
        <f>$A$4</f>
        <v>FROM MAY 1, 2019 TO APRIL 30, 2020</v>
      </c>
      <c r="B103" s="832"/>
      <c r="C103" s="832"/>
      <c r="D103" s="832"/>
      <c r="E103" s="832"/>
      <c r="F103" s="832"/>
      <c r="G103" s="832"/>
      <c r="H103" s="832"/>
      <c r="I103" s="832"/>
    </row>
    <row r="104" spans="1:9" s="16" customFormat="1" ht="20.100000000000001" customHeight="1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s="16" customFormat="1" ht="20.100000000000001" customHeight="1">
      <c r="A105" s="15" t="str">
        <f>$A$6</f>
        <v>DATA:____BASE  PERIOD__X__FORECASTED  PERIOD</v>
      </c>
      <c r="B105" s="15"/>
      <c r="G105" s="22"/>
      <c r="H105" s="22"/>
      <c r="I105" s="23" t="str">
        <f>$I$6</f>
        <v>SCHEDULE B-2.3</v>
      </c>
    </row>
    <row r="106" spans="1:9" s="16" customFormat="1" ht="20.100000000000001" customHeight="1">
      <c r="A106" s="15" t="str">
        <f>$A$7</f>
        <v>TYPE OF FILING: _____ ORIGINAL  _____ UPDATED  __X__ REVISED</v>
      </c>
      <c r="G106" s="22"/>
      <c r="H106" s="22"/>
      <c r="I106" s="22" t="s">
        <v>130</v>
      </c>
    </row>
    <row r="107" spans="1:9" s="16" customFormat="1" ht="20.100000000000001" customHeight="1">
      <c r="A107" s="15" t="str">
        <f>$A$8</f>
        <v>WORKPAPER REFERENCE NO(S).:</v>
      </c>
      <c r="B107" s="15"/>
      <c r="F107" s="15"/>
      <c r="G107" s="23"/>
      <c r="H107" s="23"/>
      <c r="I107" s="23" t="str">
        <f>$I$8</f>
        <v>WITNESS:   C. M. GARRETT</v>
      </c>
    </row>
    <row r="108" spans="1:9" s="16" customFormat="1" ht="20.100000000000001" customHeight="1"/>
    <row r="109" spans="1:9" ht="65.099999999999994" customHeight="1">
      <c r="A109" s="24" t="s">
        <v>92</v>
      </c>
      <c r="B109" s="24" t="s">
        <v>95</v>
      </c>
      <c r="C109" s="27" t="s">
        <v>96</v>
      </c>
      <c r="D109" s="24" t="s">
        <v>123</v>
      </c>
      <c r="E109" s="24" t="s">
        <v>98</v>
      </c>
      <c r="F109" s="24" t="s">
        <v>99</v>
      </c>
      <c r="G109" s="24" t="s">
        <v>101</v>
      </c>
      <c r="H109" s="24" t="s">
        <v>124</v>
      </c>
      <c r="I109" s="24" t="s">
        <v>3072</v>
      </c>
    </row>
    <row r="110" spans="1:9" ht="23.1" customHeight="1">
      <c r="A110" s="28"/>
      <c r="B110" s="28"/>
      <c r="C110" s="29"/>
      <c r="D110" s="30" t="s">
        <v>103</v>
      </c>
      <c r="E110" s="30" t="s">
        <v>103</v>
      </c>
      <c r="F110" s="30" t="s">
        <v>103</v>
      </c>
      <c r="G110" s="30" t="s">
        <v>103</v>
      </c>
      <c r="H110" s="30" t="s">
        <v>103</v>
      </c>
      <c r="I110" s="30" t="s">
        <v>103</v>
      </c>
    </row>
    <row r="111" spans="1:9" ht="18.95" customHeight="1">
      <c r="A111" s="18">
        <f>A99+1</f>
        <v>72</v>
      </c>
      <c r="B111" s="19" t="s">
        <v>782</v>
      </c>
      <c r="C111" s="26" t="s">
        <v>783</v>
      </c>
      <c r="D111" s="37">
        <f>SUMIFS('PIS F'!$D$11:$D$141,'PIS F'!$A$11:$A$141,$B$90,'PIS F'!$B$11:$B$141,'SCH B-2.3 F'!$B111)</f>
        <v>0</v>
      </c>
      <c r="E111" s="37">
        <f>SUMIFS('PIS F'!$F$11:$F$141,'PIS F'!$A$11:$A$141,$B$90,'PIS F'!$B$11:$B$141,'SCH B-2.3 F'!$B111)</f>
        <v>0</v>
      </c>
      <c r="F111" s="37">
        <f>SUMIFS('PIS F'!$H$11:$H$141,'PIS F'!$A$11:$A$141,$B$90,'PIS F'!$B$11:$B$141,'SCH B-2.3 F'!$B111)</f>
        <v>0</v>
      </c>
      <c r="G111" s="37">
        <f>SUMIFS('PIS F'!$J$11:$J$141,'PIS F'!$A$11:$A$141,$B$90,'PIS F'!$B$11:$B$141,'SCH B-2.3 F'!$B111)</f>
        <v>0</v>
      </c>
      <c r="H111" s="37">
        <f>SUM(D111:G111)</f>
        <v>0</v>
      </c>
      <c r="I111" s="37">
        <f>SUMIFS('PIS F AVG'!$P$11:$P$141,'PIS F AVG'!$A$11:$A$141,$B$90,'PIS F AVG'!$B$11:$B$141,'SCH B-2.3 F'!$B111)</f>
        <v>0</v>
      </c>
    </row>
    <row r="112" spans="1:9" ht="18.95" customHeight="1">
      <c r="A112" s="18">
        <f>A111+1</f>
        <v>73</v>
      </c>
      <c r="B112" s="19"/>
      <c r="C112" s="26" t="s">
        <v>119</v>
      </c>
      <c r="D112" s="34">
        <f t="shared" ref="D112:I112" si="15">SUM(D91:D99,D111)</f>
        <v>23066158.18</v>
      </c>
      <c r="E112" s="34">
        <f t="shared" si="15"/>
        <v>776714.76</v>
      </c>
      <c r="F112" s="34">
        <f t="shared" si="15"/>
        <v>-160998.24</v>
      </c>
      <c r="G112" s="34">
        <f t="shared" si="15"/>
        <v>0</v>
      </c>
      <c r="H112" s="34">
        <f t="shared" si="15"/>
        <v>23681874.699999999</v>
      </c>
      <c r="I112" s="34">
        <f t="shared" si="15"/>
        <v>23321573.418461531</v>
      </c>
    </row>
    <row r="113" spans="1:9" ht="18.95" customHeight="1">
      <c r="A113" s="18"/>
      <c r="B113" s="19"/>
    </row>
    <row r="114" spans="1:9" ht="18.95" customHeight="1">
      <c r="A114" s="18">
        <f>A112+1</f>
        <v>74</v>
      </c>
      <c r="B114" s="147" t="s">
        <v>867</v>
      </c>
      <c r="C114" s="38" t="s">
        <v>944</v>
      </c>
    </row>
    <row r="115" spans="1:9" ht="18.95" customHeight="1">
      <c r="A115" s="18">
        <f>A114+1</f>
        <v>75</v>
      </c>
      <c r="B115" s="19" t="s">
        <v>692</v>
      </c>
      <c r="C115" s="26" t="s">
        <v>693</v>
      </c>
      <c r="D115" s="36">
        <f>SUMIFS('PIS F'!$D$11:$D$141,'PIS F'!$A$11:$A$141,$B$114,'PIS F'!$B$11:$B$141,'SCH B-2.3 F'!$B115)</f>
        <v>57809.780099999931</v>
      </c>
      <c r="E115" s="36">
        <f>SUMIFS('PIS F'!$F$11:$F$141,'PIS F'!$A$11:$A$141,$B$114,'PIS F'!$B$11:$B$141,'SCH B-2.3 F'!$B115)</f>
        <v>0</v>
      </c>
      <c r="F115" s="36">
        <f>SUMIFS('PIS F'!$H$11:$H$141,'PIS F'!$A$11:$A$141,$B$114,'PIS F'!$B$11:$B$141,'SCH B-2.3 F'!$B115)</f>
        <v>0</v>
      </c>
      <c r="G115" s="36">
        <f>SUMIFS('PIS F'!$J$11:$J$141,'PIS F'!$A$11:$A$141,$B$114,'PIS F'!$B$11:$B$141,'SCH B-2.3 F'!$B115)</f>
        <v>0</v>
      </c>
      <c r="H115" s="34">
        <f>SUM(D115:G115)</f>
        <v>57809.780099999931</v>
      </c>
      <c r="I115" s="34">
        <f>SUMIFS('PIS F AVG'!$P$11:$P$141,'PIS F AVG'!$A$11:$A$141,$B$114,'PIS F AVG'!$B$11:$B$141,'SCH B-2.3 F'!$B115)</f>
        <v>57809.780099999924</v>
      </c>
    </row>
    <row r="116" spans="1:9" ht="18.95" customHeight="1">
      <c r="A116" s="18">
        <f>A115+1</f>
        <v>76</v>
      </c>
      <c r="B116" s="19" t="s">
        <v>694</v>
      </c>
      <c r="C116" s="26" t="s">
        <v>695</v>
      </c>
      <c r="D116" s="34">
        <f>SUMIFS('PIS F'!$D$11:$D$141,'PIS F'!$A$11:$A$141,$B$114,'PIS F'!$B$11:$B$141,'SCH B-2.3 F'!$B116)</f>
        <v>0</v>
      </c>
      <c r="E116" s="34">
        <f>SUMIFS('PIS F'!$F$11:$F$141,'PIS F'!$A$11:$A$141,$B$114,'PIS F'!$B$11:$B$141,'SCH B-2.3 F'!$B116)</f>
        <v>0</v>
      </c>
      <c r="F116" s="35">
        <f>SUMIFS('PIS F'!$H$11:$H$141,'PIS F'!$A$11:$A$141,$B$114,'PIS F'!$B$11:$B$141,'SCH B-2.3 F'!$B116)</f>
        <v>0</v>
      </c>
      <c r="G116" s="35">
        <f>SUMIFS('PIS F'!$J$11:$J$141,'PIS F'!$A$11:$A$141,$B$114,'PIS F'!$B$11:$B$141,'SCH B-2.3 F'!$B116)</f>
        <v>0</v>
      </c>
      <c r="H116" s="35">
        <f t="shared" ref="H116:H128" si="16">SUM(D116:G116)</f>
        <v>0</v>
      </c>
      <c r="I116" s="35">
        <f>SUMIFS('PIS F AVG'!$P$11:$P$141,'PIS F AVG'!$A$11:$A$141,$B$114,'PIS F AVG'!$B$11:$B$141,'SCH B-2.3 F'!$B116)</f>
        <v>0</v>
      </c>
    </row>
    <row r="117" spans="1:9" ht="18.95" customHeight="1">
      <c r="A117" s="18">
        <f>A116+1</f>
        <v>77</v>
      </c>
      <c r="B117" s="19" t="s">
        <v>696</v>
      </c>
      <c r="C117" s="26" t="s">
        <v>697</v>
      </c>
      <c r="D117" s="36">
        <f>SUMIFS('PIS F'!$D$11:$D$141,'PIS F'!$A$11:$A$141,$B$114,'PIS F'!$B$11:$B$141,'SCH B-2.3 F'!$B117)</f>
        <v>57199629.825599857</v>
      </c>
      <c r="E117" s="36">
        <f>SUMIFS('PIS F'!$F$11:$F$141,'PIS F'!$A$11:$A$141,$B$114,'PIS F'!$B$11:$B$141,'SCH B-2.3 F'!$B117)</f>
        <v>14438513.442</v>
      </c>
      <c r="F117" s="36">
        <f>SUMIFS('PIS F'!$H$11:$H$141,'PIS F'!$A$11:$A$141,$B$114,'PIS F'!$B$11:$B$141,'SCH B-2.3 F'!$B117)</f>
        <v>-7456030.4969999995</v>
      </c>
      <c r="G117" s="36">
        <f>SUMIFS('PIS F'!$J$11:$J$141,'PIS F'!$A$11:$A$141,$B$114,'PIS F'!$B$11:$B$141,'SCH B-2.3 F'!$B117)</f>
        <v>0</v>
      </c>
      <c r="H117" s="36">
        <f t="shared" si="16"/>
        <v>64182112.77059985</v>
      </c>
      <c r="I117" s="36">
        <f>SUMIFS('PIS F AVG'!$P$11:$P$141,'PIS F AVG'!$A$11:$A$141,$B$114,'PIS F AVG'!$B$11:$B$141,'SCH B-2.3 F'!$B117)</f>
        <v>59950103.073092207</v>
      </c>
    </row>
    <row r="118" spans="1:9" ht="18.95" customHeight="1">
      <c r="A118" s="18">
        <f>A117+1</f>
        <v>78</v>
      </c>
      <c r="B118" s="19" t="s">
        <v>769</v>
      </c>
      <c r="C118" s="26" t="s">
        <v>115</v>
      </c>
      <c r="D118" s="36">
        <f>SUMIFS('PIS F'!$D$11:$D$141,'PIS F'!$A$11:$A$141,$B$114,'PIS F'!$B$11:$B$141,'SCH B-2.3 F'!$B118)</f>
        <v>1079432.1152999999</v>
      </c>
      <c r="E118" s="36">
        <f>SUMIFS('PIS F'!$F$11:$F$141,'PIS F'!$A$11:$A$141,$B$114,'PIS F'!$B$11:$B$141,'SCH B-2.3 F'!$B118)</f>
        <v>0</v>
      </c>
      <c r="F118" s="36">
        <f>SUMIFS('PIS F'!$H$11:$H$141,'PIS F'!$A$11:$A$141,$B$114,'PIS F'!$B$11:$B$141,'SCH B-2.3 F'!$B118)</f>
        <v>0</v>
      </c>
      <c r="G118" s="36">
        <f>SUMIFS('PIS F'!$J$11:$J$141,'PIS F'!$A$11:$A$141,$B$114,'PIS F'!$B$11:$B$141,'SCH B-2.3 F'!$B118)</f>
        <v>0</v>
      </c>
      <c r="H118" s="36">
        <f t="shared" si="16"/>
        <v>1079432.1152999999</v>
      </c>
      <c r="I118" s="36">
        <f>SUMIFS('PIS F AVG'!$P$11:$P$141,'PIS F AVG'!$A$11:$A$141,$B$114,'PIS F AVG'!$B$11:$B$141,'SCH B-2.3 F'!$B118)</f>
        <v>1079432.1152999999</v>
      </c>
    </row>
    <row r="119" spans="1:9" ht="18.95" customHeight="1">
      <c r="A119" s="18">
        <f t="shared" ref="A119:A129" si="17">A118+1</f>
        <v>79</v>
      </c>
      <c r="B119" s="19" t="s">
        <v>770</v>
      </c>
      <c r="C119" s="26" t="s">
        <v>109</v>
      </c>
      <c r="D119" s="36">
        <f>SUMIFS('PIS F'!$D$11:$D$141,'PIS F'!$A$11:$A$141,$B$114,'PIS F'!$B$11:$B$141,'SCH B-2.3 F'!$B119)</f>
        <v>59185822.660199925</v>
      </c>
      <c r="E119" s="36">
        <f>SUMIFS('PIS F'!$F$11:$F$141,'PIS F'!$A$11:$A$141,$B$114,'PIS F'!$B$11:$B$141,'SCH B-2.3 F'!$B119)</f>
        <v>4268621.692499998</v>
      </c>
      <c r="F119" s="36">
        <f>SUMIFS('PIS F'!$H$11:$H$141,'PIS F'!$A$11:$A$141,$B$114,'PIS F'!$B$11:$B$141,'SCH B-2.3 F'!$B119)</f>
        <v>0</v>
      </c>
      <c r="G119" s="36">
        <f>SUMIFS('PIS F'!$J$11:$J$141,'PIS F'!$A$11:$A$141,$B$114,'PIS F'!$B$11:$B$141,'SCH B-2.3 F'!$B119)</f>
        <v>0</v>
      </c>
      <c r="H119" s="36">
        <f t="shared" si="16"/>
        <v>63454444.352699921</v>
      </c>
      <c r="I119" s="36">
        <f>SUMIFS('PIS F AVG'!$P$11:$P$141,'PIS F AVG'!$A$11:$A$141,$B$114,'PIS F AVG'!$B$11:$B$141,'SCH B-2.3 F'!$B119)</f>
        <v>62105491.306084521</v>
      </c>
    </row>
    <row r="120" spans="1:9" ht="18.95" customHeight="1">
      <c r="A120" s="18">
        <f t="shared" si="17"/>
        <v>80</v>
      </c>
      <c r="B120" s="19" t="s">
        <v>771</v>
      </c>
      <c r="C120" s="26" t="s">
        <v>117</v>
      </c>
      <c r="D120" s="36">
        <f>SUMIFS('PIS F'!$D$11:$D$141,'PIS F'!$A$11:$A$141,$B$114,'PIS F'!$B$11:$B$141,'SCH B-2.3 F'!$B120)</f>
        <v>29951905.068299998</v>
      </c>
      <c r="E120" s="36">
        <f>SUMIFS('PIS F'!$F$11:$F$141,'PIS F'!$A$11:$A$141,$B$114,'PIS F'!$B$11:$B$141,'SCH B-2.3 F'!$B120)</f>
        <v>4484194.7561999997</v>
      </c>
      <c r="F120" s="36">
        <f>SUMIFS('PIS F'!$H$11:$H$141,'PIS F'!$A$11:$A$141,$B$114,'PIS F'!$B$11:$B$141,'SCH B-2.3 F'!$B120)</f>
        <v>-5823174.6356999995</v>
      </c>
      <c r="G120" s="36">
        <f>SUMIFS('PIS F'!$J$11:$J$141,'PIS F'!$A$11:$A$141,$B$114,'PIS F'!$B$11:$B$141,'SCH B-2.3 F'!$B120)</f>
        <v>0</v>
      </c>
      <c r="H120" s="36">
        <f t="shared" si="16"/>
        <v>28612925.188799996</v>
      </c>
      <c r="I120" s="36">
        <f>SUMIFS('PIS F AVG'!$P$11:$P$141,'PIS F AVG'!$A$11:$A$141,$B$114,'PIS F AVG'!$B$11:$B$141,'SCH B-2.3 F'!$B120)</f>
        <v>28747766.036538459</v>
      </c>
    </row>
    <row r="121" spans="1:9" ht="18.95" customHeight="1">
      <c r="A121" s="18">
        <f t="shared" si="17"/>
        <v>81</v>
      </c>
      <c r="B121" s="19" t="s">
        <v>772</v>
      </c>
      <c r="C121" s="26" t="s">
        <v>116</v>
      </c>
      <c r="D121" s="36">
        <f>SUMIFS('PIS F'!$D$11:$D$141,'PIS F'!$A$11:$A$141,$B$114,'PIS F'!$B$11:$B$141,'SCH B-2.3 F'!$B121)</f>
        <v>224487.9327</v>
      </c>
      <c r="E121" s="36">
        <f>SUMIFS('PIS F'!$F$11:$F$141,'PIS F'!$A$11:$A$141,$B$114,'PIS F'!$B$11:$B$141,'SCH B-2.3 F'!$B121)</f>
        <v>0</v>
      </c>
      <c r="F121" s="36">
        <f>SUMIFS('PIS F'!$H$11:$H$141,'PIS F'!$A$11:$A$141,$B$114,'PIS F'!$B$11:$B$141,'SCH B-2.3 F'!$B121)</f>
        <v>0</v>
      </c>
      <c r="G121" s="36">
        <f>SUMIFS('PIS F'!$J$11:$J$141,'PIS F'!$A$11:$A$141,$B$114,'PIS F'!$B$11:$B$141,'SCH B-2.3 F'!$B121)</f>
        <v>0</v>
      </c>
      <c r="H121" s="36">
        <f t="shared" si="16"/>
        <v>224487.9327</v>
      </c>
      <c r="I121" s="36">
        <f>SUMIFS('PIS F AVG'!$P$11:$P$141,'PIS F AVG'!$A$11:$A$141,$B$114,'PIS F AVG'!$B$11:$B$141,'SCH B-2.3 F'!$B121)</f>
        <v>224487.9327</v>
      </c>
    </row>
    <row r="122" spans="1:9" ht="18.95" customHeight="1">
      <c r="A122" s="18">
        <f t="shared" si="17"/>
        <v>82</v>
      </c>
      <c r="B122" s="19" t="s">
        <v>773</v>
      </c>
      <c r="C122" s="26" t="s">
        <v>774</v>
      </c>
      <c r="D122" s="36">
        <f>SUMIFS('PIS F'!$D$11:$D$141,'PIS F'!$A$11:$A$141,$B$114,'PIS F'!$B$11:$B$141,'SCH B-2.3 F'!$B122)</f>
        <v>1181432.6831999999</v>
      </c>
      <c r="E122" s="36">
        <f>SUMIFS('PIS F'!$F$11:$F$141,'PIS F'!$A$11:$A$141,$B$114,'PIS F'!$B$11:$B$141,'SCH B-2.3 F'!$B122)</f>
        <v>0</v>
      </c>
      <c r="F122" s="36">
        <f>SUMIFS('PIS F'!$H$11:$H$141,'PIS F'!$A$11:$A$141,$B$114,'PIS F'!$B$11:$B$141,'SCH B-2.3 F'!$B122)</f>
        <v>0</v>
      </c>
      <c r="G122" s="36">
        <f>SUMIFS('PIS F'!$J$11:$J$141,'PIS F'!$A$11:$A$141,$B$114,'PIS F'!$B$11:$B$141,'SCH B-2.3 F'!$B122)</f>
        <v>0</v>
      </c>
      <c r="H122" s="36">
        <f t="shared" si="16"/>
        <v>1181432.6831999999</v>
      </c>
      <c r="I122" s="36">
        <f>SUMIFS('PIS F AVG'!$P$11:$P$141,'PIS F AVG'!$A$11:$A$141,$B$114,'PIS F AVG'!$B$11:$B$141,'SCH B-2.3 F'!$B122)</f>
        <v>1181432.6832000003</v>
      </c>
    </row>
    <row r="123" spans="1:9" ht="18.95" customHeight="1">
      <c r="A123" s="18">
        <f t="shared" si="17"/>
        <v>83</v>
      </c>
      <c r="B123" s="19" t="s">
        <v>775</v>
      </c>
      <c r="C123" s="26" t="s">
        <v>776</v>
      </c>
      <c r="D123" s="36">
        <f>SUMIFS('PIS F'!$D$11:$D$141,'PIS F'!$A$11:$A$141,$B$114,'PIS F'!$B$11:$B$141,'SCH B-2.3 F'!$B123)</f>
        <v>2904111.4334999993</v>
      </c>
      <c r="E123" s="36">
        <f>SUMIFS('PIS F'!$F$11:$F$141,'PIS F'!$A$11:$A$141,$B$114,'PIS F'!$B$11:$B$141,'SCH B-2.3 F'!$B123)</f>
        <v>27599.999999999996</v>
      </c>
      <c r="F123" s="36">
        <f>SUMIFS('PIS F'!$H$11:$H$141,'PIS F'!$A$11:$A$141,$B$114,'PIS F'!$B$11:$B$141,'SCH B-2.3 F'!$B123)</f>
        <v>-30473.498099999997</v>
      </c>
      <c r="G123" s="36">
        <f>SUMIFS('PIS F'!$J$11:$J$141,'PIS F'!$A$11:$A$141,$B$114,'PIS F'!$B$11:$B$141,'SCH B-2.3 F'!$B123)</f>
        <v>0</v>
      </c>
      <c r="H123" s="36">
        <f t="shared" si="16"/>
        <v>2901237.9353999994</v>
      </c>
      <c r="I123" s="36">
        <f>SUMIFS('PIS F AVG'!$P$11:$P$141,'PIS F AVG'!$A$11:$A$141,$B$114,'PIS F AVG'!$B$11:$B$141,'SCH B-2.3 F'!$B123)</f>
        <v>2893187.7043384616</v>
      </c>
    </row>
    <row r="124" spans="1:9" ht="18.95" customHeight="1">
      <c r="A124" s="18">
        <f t="shared" si="17"/>
        <v>84</v>
      </c>
      <c r="B124" s="19" t="s">
        <v>777</v>
      </c>
      <c r="C124" s="26" t="s">
        <v>778</v>
      </c>
      <c r="D124" s="36">
        <f>SUMIFS('PIS F'!$D$11:$D$141,'PIS F'!$A$11:$A$141,$B$114,'PIS F'!$B$11:$B$141,'SCH B-2.3 F'!$B124)</f>
        <v>0</v>
      </c>
      <c r="E124" s="36">
        <f>SUMIFS('PIS F'!$F$11:$F$141,'PIS F'!$A$11:$A$141,$B$114,'PIS F'!$B$11:$B$141,'SCH B-2.3 F'!$B124)</f>
        <v>0</v>
      </c>
      <c r="F124" s="36">
        <f>SUMIFS('PIS F'!$H$11:$H$141,'PIS F'!$A$11:$A$141,$B$114,'PIS F'!$B$11:$B$141,'SCH B-2.3 F'!$B124)</f>
        <v>0</v>
      </c>
      <c r="G124" s="36">
        <f>SUMIFS('PIS F'!$J$11:$J$141,'PIS F'!$A$11:$A$141,$B$114,'PIS F'!$B$11:$B$141,'SCH B-2.3 F'!$B124)</f>
        <v>0</v>
      </c>
      <c r="H124" s="36">
        <f t="shared" si="16"/>
        <v>0</v>
      </c>
      <c r="I124" s="36">
        <f>SUMIFS('PIS F AVG'!$P$11:$P$141,'PIS F AVG'!$A$11:$A$141,$B$114,'PIS F AVG'!$B$11:$B$141,'SCH B-2.3 F'!$B124)</f>
        <v>0</v>
      </c>
    </row>
    <row r="125" spans="1:9" ht="18.95" customHeight="1">
      <c r="A125" s="18">
        <f t="shared" si="17"/>
        <v>85</v>
      </c>
      <c r="B125" s="19" t="s">
        <v>779</v>
      </c>
      <c r="C125" s="26" t="s">
        <v>780</v>
      </c>
      <c r="D125" s="36">
        <f>SUMIFS('PIS F'!$D$11:$D$141,'PIS F'!$A$11:$A$141,$B$114,'PIS F'!$B$11:$B$141,'SCH B-2.3 F'!$B125)</f>
        <v>365595.60299999994</v>
      </c>
      <c r="E125" s="36">
        <f>SUMIFS('PIS F'!$F$11:$F$141,'PIS F'!$A$11:$A$141,$B$114,'PIS F'!$B$11:$B$141,'SCH B-2.3 F'!$B125)</f>
        <v>0</v>
      </c>
      <c r="F125" s="36">
        <f>SUMIFS('PIS F'!$H$11:$H$141,'PIS F'!$A$11:$A$141,$B$114,'PIS F'!$B$11:$B$141,'SCH B-2.3 F'!$B125)</f>
        <v>0</v>
      </c>
      <c r="G125" s="36">
        <f>SUMIFS('PIS F'!$J$11:$J$141,'PIS F'!$A$11:$A$141,$B$114,'PIS F'!$B$11:$B$141,'SCH B-2.3 F'!$B125)</f>
        <v>0</v>
      </c>
      <c r="H125" s="36">
        <f t="shared" si="16"/>
        <v>365595.60299999994</v>
      </c>
      <c r="I125" s="36">
        <f>SUMIFS('PIS F AVG'!$P$11:$P$141,'PIS F AVG'!$A$11:$A$141,$B$114,'PIS F AVG'!$B$11:$B$141,'SCH B-2.3 F'!$B125)</f>
        <v>365595.60299999994</v>
      </c>
    </row>
    <row r="126" spans="1:9" ht="18.95" customHeight="1">
      <c r="A126" s="18">
        <f t="shared" si="17"/>
        <v>86</v>
      </c>
      <c r="B126" s="19" t="s">
        <v>781</v>
      </c>
      <c r="C126" s="26" t="s">
        <v>118</v>
      </c>
      <c r="D126" s="36">
        <f>SUMIFS('PIS F'!$D$11:$D$141,'PIS F'!$A$11:$A$141,$B$114,'PIS F'!$B$11:$B$141,'SCH B-2.3 F'!$B126)</f>
        <v>25535566.367999934</v>
      </c>
      <c r="E126" s="36">
        <f>SUMIFS('PIS F'!$F$11:$F$141,'PIS F'!$A$11:$A$141,$B$114,'PIS F'!$B$11:$B$141,'SCH B-2.3 F'!$B126)</f>
        <v>2470076.0621999996</v>
      </c>
      <c r="F126" s="36">
        <f>SUMIFS('PIS F'!$H$11:$H$141,'PIS F'!$A$11:$A$141,$B$114,'PIS F'!$B$11:$B$141,'SCH B-2.3 F'!$B126)</f>
        <v>0</v>
      </c>
      <c r="G126" s="36">
        <f>SUMIFS('PIS F'!$J$11:$J$141,'PIS F'!$A$11:$A$141,$B$114,'PIS F'!$B$11:$B$141,'SCH B-2.3 F'!$B126)</f>
        <v>0</v>
      </c>
      <c r="H126" s="36">
        <f t="shared" si="16"/>
        <v>28005642.430199932</v>
      </c>
      <c r="I126" s="36">
        <f>SUMIFS('PIS F AVG'!$P$11:$P$141,'PIS F AVG'!$A$11:$A$141,$B$114,'PIS F AVG'!$B$11:$B$141,'SCH B-2.3 F'!$B126)</f>
        <v>26575797.529753774</v>
      </c>
    </row>
    <row r="127" spans="1:9" ht="18.95" customHeight="1">
      <c r="A127" s="18">
        <f t="shared" si="17"/>
        <v>87</v>
      </c>
      <c r="B127" s="19" t="s">
        <v>782</v>
      </c>
      <c r="C127" s="26" t="s">
        <v>783</v>
      </c>
      <c r="D127" s="36">
        <f>SUMIFS('PIS F'!$D$11:$D$141,'PIS F'!$A$11:$A$141,$B$114,'PIS F'!$B$11:$B$141,'SCH B-2.3 F'!$B127)</f>
        <v>0</v>
      </c>
      <c r="E127" s="36">
        <f>SUMIFS('PIS F'!$F$11:$F$141,'PIS F'!$A$11:$A$141,$B$114,'PIS F'!$B$11:$B$141,'SCH B-2.3 F'!$B127)</f>
        <v>0</v>
      </c>
      <c r="F127" s="36">
        <f>SUMIFS('PIS F'!$H$11:$H$141,'PIS F'!$A$11:$A$141,$B$114,'PIS F'!$B$11:$B$141,'SCH B-2.3 F'!$B127)</f>
        <v>0</v>
      </c>
      <c r="G127" s="36">
        <f>SUMIFS('PIS F'!$J$11:$J$141,'PIS F'!$A$11:$A$141,$B$114,'PIS F'!$B$11:$B$141,'SCH B-2.3 F'!$B127)</f>
        <v>0</v>
      </c>
      <c r="H127" s="36">
        <f t="shared" si="16"/>
        <v>0</v>
      </c>
      <c r="I127" s="36">
        <f>SUMIFS('PIS F AVG'!$P$11:$P$141,'PIS F AVG'!$A$11:$A$141,$B$114,'PIS F AVG'!$B$11:$B$141,'SCH B-2.3 F'!$B127)</f>
        <v>0</v>
      </c>
    </row>
    <row r="128" spans="1:9" ht="18.95" customHeight="1">
      <c r="A128" s="18">
        <f t="shared" si="17"/>
        <v>88</v>
      </c>
      <c r="B128" s="19">
        <v>399</v>
      </c>
      <c r="C128" s="26" t="s">
        <v>926</v>
      </c>
      <c r="D128" s="37">
        <f>SUMIFS('PIS F'!$D$11:$D$141,'PIS F'!$A$11:$A$141,$B$114,'PIS F'!$B$11:$B$141,'SCH B-2.3 F'!$B128)</f>
        <v>0</v>
      </c>
      <c r="E128" s="37">
        <f>SUMIFS('PIS F'!$F$11:$F$141,'PIS F'!$A$11:$A$141,$B$114,'PIS F'!$B$11:$B$141,'SCH B-2.3 F'!$B128)</f>
        <v>0</v>
      </c>
      <c r="F128" s="37">
        <f>SUMIFS('PIS F'!$H$11:$H$141,'PIS F'!$A$11:$A$141,$B$114,'PIS F'!$B$11:$B$141,'SCH B-2.3 F'!$B128)</f>
        <v>0</v>
      </c>
      <c r="G128" s="37">
        <f>SUMIFS('PIS F'!$J$11:$J$141,'PIS F'!$A$11:$A$141,$B$114,'PIS F'!$B$11:$B$141,'SCH B-2.3 F'!$B128)</f>
        <v>0</v>
      </c>
      <c r="H128" s="37">
        <f t="shared" si="16"/>
        <v>0</v>
      </c>
      <c r="I128" s="37">
        <f>SUMIFS('PIS F AVG'!$P$11:$P$141,'PIS F AVG'!$A$11:$A$141,$B$114,'PIS F AVG'!$B$11:$B$141,'SCH B-2.3 F'!$B128)</f>
        <v>0</v>
      </c>
    </row>
    <row r="129" spans="1:9" ht="18.95" customHeight="1">
      <c r="A129" s="18">
        <f t="shared" si="17"/>
        <v>89</v>
      </c>
      <c r="B129" s="19"/>
      <c r="C129" s="26" t="s">
        <v>945</v>
      </c>
      <c r="D129" s="34">
        <f t="shared" ref="D129:I129" si="18">SUM(D115:D128)</f>
        <v>177685793.46989971</v>
      </c>
      <c r="E129" s="34">
        <f t="shared" si="18"/>
        <v>25689005.952899996</v>
      </c>
      <c r="F129" s="34">
        <f t="shared" si="18"/>
        <v>-13309678.630799999</v>
      </c>
      <c r="G129" s="34">
        <f t="shared" si="18"/>
        <v>0</v>
      </c>
      <c r="H129" s="34">
        <f t="shared" si="18"/>
        <v>190065120.7919997</v>
      </c>
      <c r="I129" s="34">
        <f t="shared" si="18"/>
        <v>183181103.76410741</v>
      </c>
    </row>
    <row r="130" spans="1:9" ht="18.95" customHeight="1">
      <c r="A130" s="18"/>
      <c r="B130" s="19"/>
    </row>
    <row r="131" spans="1:9" ht="18.95" customHeight="1" thickBot="1">
      <c r="A131" s="18">
        <f>A129+1</f>
        <v>90</v>
      </c>
      <c r="B131" s="19"/>
      <c r="C131" s="16" t="s">
        <v>120</v>
      </c>
      <c r="D131" s="42">
        <f t="shared" ref="D131:I131" si="19">SUM(D16,D27,D38,D49,D72,D88,D112,D129)</f>
        <v>6156132128.8598967</v>
      </c>
      <c r="E131" s="42">
        <f t="shared" si="19"/>
        <v>361329353.71289968</v>
      </c>
      <c r="F131" s="42">
        <f t="shared" si="19"/>
        <v>-76803269.370799989</v>
      </c>
      <c r="G131" s="42">
        <f t="shared" si="19"/>
        <v>0</v>
      </c>
      <c r="H131" s="42">
        <f t="shared" si="19"/>
        <v>6440658213.2019958</v>
      </c>
      <c r="I131" s="42">
        <f t="shared" si="19"/>
        <v>6310037965.8533268</v>
      </c>
    </row>
    <row r="132" spans="1:9" ht="18.95" customHeight="1" thickTop="1">
      <c r="B132" s="19"/>
    </row>
    <row r="133" spans="1:9" ht="18.95" customHeight="1">
      <c r="B133" s="19"/>
      <c r="C133" s="148" t="s">
        <v>1863</v>
      </c>
      <c r="D133" s="34"/>
    </row>
    <row r="134" spans="1:9" ht="18.95" customHeight="1">
      <c r="B134" s="19"/>
      <c r="C134" s="26"/>
    </row>
    <row r="135" spans="1:9" ht="18.95" customHeight="1">
      <c r="B135" s="19"/>
      <c r="D135" s="36">
        <f>'PIS F'!D145</f>
        <v>6156132128.8598967</v>
      </c>
      <c r="E135" s="36"/>
      <c r="F135" s="36"/>
      <c r="G135" s="36"/>
      <c r="H135" s="36">
        <f>'PIS F'!N145</f>
        <v>6440658213.2019968</v>
      </c>
      <c r="I135" s="36">
        <f>'PIS F AVG'!P145</f>
        <v>6310037965.8533258</v>
      </c>
    </row>
    <row r="136" spans="1:9" ht="18.95" customHeight="1">
      <c r="B136" s="19"/>
      <c r="D136" s="36">
        <f>D131-D135</f>
        <v>0</v>
      </c>
      <c r="E136" s="36"/>
      <c r="F136" s="36"/>
      <c r="G136" s="36"/>
      <c r="H136" s="36">
        <f>H131-H135</f>
        <v>0</v>
      </c>
      <c r="I136" s="36">
        <f>I131-I135</f>
        <v>0</v>
      </c>
    </row>
    <row r="137" spans="1:9" ht="18.95" customHeight="1">
      <c r="D137" s="17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4" fitToHeight="0" orientation="portrait" r:id="rId1"/>
  <rowBreaks count="2" manualBreakCount="2">
    <brk id="50" max="16383" man="1"/>
    <brk id="99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1.33203125" style="17" customWidth="1"/>
    <col min="4" max="4" width="12.6640625" style="17" customWidth="1"/>
    <col min="5" max="5" width="9.44140625" style="17" customWidth="1"/>
    <col min="6" max="6" width="13.6640625" style="17" customWidth="1"/>
    <col min="7" max="7" width="16.77734375" style="17" customWidth="1"/>
    <col min="8" max="8" width="13.6640625" style="17" customWidth="1"/>
    <col min="9" max="9" width="13.77734375" style="17" customWidth="1"/>
    <col min="10" max="10" width="1.6640625" style="17" customWidth="1"/>
    <col min="11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139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G6" s="22"/>
      <c r="H6" s="22"/>
      <c r="I6" s="22" t="s">
        <v>135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 t="s">
        <v>137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95</v>
      </c>
      <c r="C10" s="27" t="s">
        <v>138</v>
      </c>
      <c r="D10" s="24" t="s">
        <v>686</v>
      </c>
      <c r="E10" s="24" t="s">
        <v>140</v>
      </c>
      <c r="F10" s="24" t="s">
        <v>141</v>
      </c>
      <c r="G10" s="24" t="s">
        <v>142</v>
      </c>
      <c r="H10" s="24" t="s">
        <v>143</v>
      </c>
      <c r="I10" s="24" t="s">
        <v>144</v>
      </c>
    </row>
    <row r="11" spans="1:9" ht="23.1" customHeight="1">
      <c r="A11" s="28"/>
      <c r="B11" s="28"/>
      <c r="C11" s="29"/>
      <c r="D11" s="30"/>
      <c r="E11" s="30"/>
      <c r="F11" s="30"/>
      <c r="G11" s="30"/>
      <c r="H11" s="30"/>
      <c r="I11" s="30"/>
    </row>
    <row r="12" spans="1:9" ht="18.95" customHeight="1">
      <c r="A12" s="838" t="s">
        <v>947</v>
      </c>
      <c r="B12" s="838"/>
      <c r="C12" s="838"/>
      <c r="D12" s="838"/>
      <c r="E12" s="838"/>
      <c r="F12" s="838"/>
      <c r="G12" s="838"/>
      <c r="H12" s="838"/>
      <c r="I12" s="838"/>
    </row>
    <row r="13" spans="1:9" ht="18.95" customHeight="1">
      <c r="B13" s="19"/>
      <c r="D13" s="34"/>
    </row>
    <row r="14" spans="1:9" s="16" customFormat="1" ht="20.100000000000001" customHeight="1">
      <c r="A14" s="831" t="str">
        <f>$A$1</f>
        <v>LOUISVILLE GAS AND ELECTRIC COMPANY</v>
      </c>
      <c r="B14" s="831"/>
      <c r="C14" s="831"/>
      <c r="D14" s="831"/>
      <c r="E14" s="831"/>
      <c r="F14" s="831"/>
      <c r="G14" s="831"/>
      <c r="H14" s="831"/>
      <c r="I14" s="831"/>
    </row>
    <row r="15" spans="1:9" s="16" customFormat="1" ht="20.100000000000001" customHeight="1">
      <c r="A15" s="831" t="str">
        <f>$A$2</f>
        <v>CASE NO. 2018-00295 - ELECTRIC OPERATIONS</v>
      </c>
      <c r="B15" s="831"/>
      <c r="C15" s="831"/>
      <c r="D15" s="831"/>
      <c r="E15" s="831"/>
      <c r="F15" s="831"/>
      <c r="G15" s="831"/>
      <c r="H15" s="831"/>
      <c r="I15" s="831"/>
    </row>
    <row r="16" spans="1:9" s="16" customFormat="1" ht="20.100000000000001" customHeight="1">
      <c r="A16" s="831" t="str">
        <f>$A$3</f>
        <v>PROPERTY MERGED OR ACQUIRED</v>
      </c>
      <c r="B16" s="831"/>
      <c r="C16" s="831"/>
      <c r="D16" s="831"/>
      <c r="E16" s="831"/>
      <c r="F16" s="831"/>
      <c r="G16" s="831"/>
      <c r="H16" s="831"/>
      <c r="I16" s="831"/>
    </row>
    <row r="17" spans="1:9" s="16" customFormat="1" ht="20.100000000000001" customHeight="1">
      <c r="A17" s="831" t="str">
        <f>'Rate Case Constants'!C18</f>
        <v>AS OF APRIL 30, 2020</v>
      </c>
      <c r="B17" s="831"/>
      <c r="C17" s="831"/>
      <c r="D17" s="831"/>
      <c r="E17" s="831"/>
      <c r="F17" s="831"/>
      <c r="G17" s="831"/>
      <c r="H17" s="831"/>
      <c r="I17" s="831"/>
    </row>
    <row r="18" spans="1:9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</row>
    <row r="19" spans="1:9" s="16" customFormat="1" ht="20.100000000000001" customHeight="1">
      <c r="A19" s="15" t="s">
        <v>122</v>
      </c>
      <c r="B19" s="15"/>
      <c r="G19" s="22"/>
      <c r="H19" s="22"/>
      <c r="I19" s="22" t="s">
        <v>135</v>
      </c>
    </row>
    <row r="20" spans="1:9" s="16" customFormat="1" ht="20.100000000000001" customHeight="1">
      <c r="A20" s="15" t="str">
        <f>$A$7</f>
        <v>TYPE OF FILING: _____ ORIGINAL  _____ UPDATED  __X__ REVISED</v>
      </c>
      <c r="G20" s="22"/>
      <c r="H20" s="22"/>
      <c r="I20" s="22" t="s">
        <v>145</v>
      </c>
    </row>
    <row r="21" spans="1:9" s="16" customFormat="1" ht="20.100000000000001" customHeight="1">
      <c r="A21" s="15" t="str">
        <f>$A$8</f>
        <v>WORKPAPER REFERENCE NO(S).:</v>
      </c>
      <c r="B21" s="15"/>
      <c r="F21" s="15"/>
      <c r="G21" s="23"/>
      <c r="H21" s="23"/>
      <c r="I21" s="23" t="str">
        <f>$I$8</f>
        <v>WITNESS:   C. M. GARRETT</v>
      </c>
    </row>
    <row r="22" spans="1:9" s="16" customFormat="1" ht="20.100000000000001" customHeight="1"/>
    <row r="23" spans="1:9" ht="58.5" customHeight="1">
      <c r="A23" s="24" t="s">
        <v>92</v>
      </c>
      <c r="B23" s="24" t="s">
        <v>95</v>
      </c>
      <c r="C23" s="27" t="s">
        <v>138</v>
      </c>
      <c r="D23" s="24" t="s">
        <v>686</v>
      </c>
      <c r="E23" s="24" t="s">
        <v>140</v>
      </c>
      <c r="F23" s="24" t="s">
        <v>141</v>
      </c>
      <c r="G23" s="24" t="s">
        <v>142</v>
      </c>
      <c r="H23" s="24" t="s">
        <v>143</v>
      </c>
      <c r="I23" s="24" t="s">
        <v>144</v>
      </c>
    </row>
    <row r="24" spans="1:9" ht="23.1" customHeight="1">
      <c r="A24" s="28"/>
      <c r="B24" s="28"/>
      <c r="C24" s="29"/>
      <c r="D24" s="30"/>
      <c r="E24" s="30"/>
      <c r="F24" s="30"/>
      <c r="G24" s="30"/>
      <c r="H24" s="30"/>
      <c r="I24" s="30"/>
    </row>
    <row r="25" spans="1:9" ht="18.95" customHeight="1">
      <c r="A25" s="838" t="s">
        <v>947</v>
      </c>
      <c r="B25" s="838"/>
      <c r="C25" s="838"/>
      <c r="D25" s="838"/>
      <c r="E25" s="838"/>
      <c r="F25" s="838"/>
      <c r="G25" s="838"/>
      <c r="H25" s="838"/>
      <c r="I25" s="838"/>
    </row>
    <row r="26" spans="1:9" ht="18.95" customHeight="1">
      <c r="B26" s="19"/>
    </row>
    <row r="27" spans="1:9" ht="18.95" customHeight="1">
      <c r="B27" s="19"/>
    </row>
    <row r="28" spans="1:9" ht="18.95" customHeight="1">
      <c r="D28" s="17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72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77734375" style="17" customWidth="1"/>
    <col min="3" max="3" width="27.77734375" style="17" customWidth="1"/>
    <col min="4" max="4" width="14.21875" style="17" customWidth="1"/>
    <col min="5" max="5" width="13.109375" style="17" customWidth="1"/>
    <col min="6" max="6" width="13.6640625" style="17" customWidth="1"/>
    <col min="7" max="7" width="15.33203125" style="17" customWidth="1"/>
    <col min="8" max="8" width="22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146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147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148</v>
      </c>
      <c r="C10" s="27" t="s">
        <v>149</v>
      </c>
      <c r="D10" s="24" t="s">
        <v>150</v>
      </c>
      <c r="E10" s="24" t="s">
        <v>151</v>
      </c>
      <c r="F10" s="24" t="s">
        <v>152</v>
      </c>
      <c r="G10" s="24" t="s">
        <v>153</v>
      </c>
      <c r="H10" s="24" t="s">
        <v>154</v>
      </c>
    </row>
    <row r="11" spans="1:8" ht="23.1" customHeight="1">
      <c r="A11" s="28"/>
      <c r="B11" s="28"/>
      <c r="C11" s="29"/>
      <c r="D11" s="30"/>
      <c r="E11" s="30"/>
      <c r="F11" s="30"/>
      <c r="G11" s="30"/>
      <c r="H11" s="30"/>
    </row>
    <row r="12" spans="1:8" ht="18.95" customHeight="1">
      <c r="A12" s="831" t="s">
        <v>948</v>
      </c>
      <c r="B12" s="831"/>
      <c r="C12" s="831"/>
      <c r="D12" s="831"/>
      <c r="E12" s="831"/>
      <c r="F12" s="831"/>
      <c r="G12" s="831"/>
      <c r="H12" s="831"/>
    </row>
    <row r="13" spans="1:8" ht="18.95" customHeight="1">
      <c r="B13" s="19"/>
      <c r="D13" s="34"/>
    </row>
    <row r="14" spans="1:8" s="16" customFormat="1" ht="20.100000000000001" customHeight="1">
      <c r="A14" s="831" t="str">
        <f>$A$1</f>
        <v>LOUISVILLE GAS AND ELECTRIC COMPANY</v>
      </c>
      <c r="B14" s="831"/>
      <c r="C14" s="831"/>
      <c r="D14" s="831"/>
      <c r="E14" s="831"/>
      <c r="F14" s="831"/>
      <c r="G14" s="831"/>
      <c r="H14" s="831"/>
    </row>
    <row r="15" spans="1:8" s="16" customFormat="1" ht="20.100000000000001" customHeight="1">
      <c r="A15" s="831" t="str">
        <f>$A$2</f>
        <v>CASE NO. 2018-00295 - ELECTRIC OPERATIONS</v>
      </c>
      <c r="B15" s="831"/>
      <c r="C15" s="831"/>
      <c r="D15" s="831"/>
      <c r="E15" s="831"/>
      <c r="F15" s="831"/>
      <c r="G15" s="831"/>
      <c r="H15" s="831"/>
    </row>
    <row r="16" spans="1:8" s="16" customFormat="1" ht="20.100000000000001" customHeight="1">
      <c r="A16" s="831" t="str">
        <f>$A$3</f>
        <v>LEASED PROPERTY</v>
      </c>
      <c r="B16" s="831"/>
      <c r="C16" s="831"/>
      <c r="D16" s="831"/>
      <c r="E16" s="831"/>
      <c r="F16" s="831"/>
      <c r="G16" s="831"/>
      <c r="H16" s="831"/>
    </row>
    <row r="17" spans="1:8" s="16" customFormat="1" ht="20.100000000000001" customHeight="1">
      <c r="A17" s="831" t="str">
        <f>'Rate Case Constants'!C18</f>
        <v>AS OF APRIL 30, 2020</v>
      </c>
      <c r="B17" s="831"/>
      <c r="C17" s="831"/>
      <c r="D17" s="831"/>
      <c r="E17" s="831"/>
      <c r="F17" s="831"/>
      <c r="G17" s="831"/>
      <c r="H17" s="831"/>
    </row>
    <row r="18" spans="1:8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</row>
    <row r="19" spans="1:8" s="16" customFormat="1" ht="20.100000000000001" customHeight="1">
      <c r="A19" s="15" t="s">
        <v>122</v>
      </c>
      <c r="B19" s="15"/>
      <c r="G19" s="22"/>
      <c r="H19" s="22" t="s">
        <v>147</v>
      </c>
    </row>
    <row r="20" spans="1:8" s="16" customFormat="1" ht="20.100000000000001" customHeight="1">
      <c r="A20" s="15" t="str">
        <f>$A$7</f>
        <v>TYPE OF FILING: _____ ORIGINAL  _____ UPDATED  __X__ REVISED</v>
      </c>
      <c r="G20" s="22"/>
      <c r="H20" s="22" t="s">
        <v>145</v>
      </c>
    </row>
    <row r="21" spans="1:8" s="16" customFormat="1" ht="20.100000000000001" customHeight="1">
      <c r="A21" s="15" t="str">
        <f>$A$8</f>
        <v>WORKPAPER REFERENCE NO(S).:</v>
      </c>
      <c r="B21" s="15"/>
      <c r="F21" s="15"/>
      <c r="G21" s="23"/>
      <c r="H21" s="23" t="str">
        <f>$H$8</f>
        <v>WITNESS:   C. M. GARRETT</v>
      </c>
    </row>
    <row r="22" spans="1:8" s="16" customFormat="1" ht="20.100000000000001" customHeight="1"/>
    <row r="23" spans="1:8" ht="58.5" customHeight="1">
      <c r="A23" s="24" t="s">
        <v>92</v>
      </c>
      <c r="B23" s="24" t="s">
        <v>148</v>
      </c>
      <c r="C23" s="27" t="s">
        <v>149</v>
      </c>
      <c r="D23" s="24" t="s">
        <v>150</v>
      </c>
      <c r="E23" s="24" t="s">
        <v>151</v>
      </c>
      <c r="F23" s="24" t="s">
        <v>152</v>
      </c>
      <c r="G23" s="24" t="s">
        <v>153</v>
      </c>
      <c r="H23" s="24" t="s">
        <v>154</v>
      </c>
    </row>
    <row r="24" spans="1:8" ht="23.1" customHeight="1">
      <c r="A24" s="28"/>
      <c r="B24" s="28"/>
      <c r="C24" s="29"/>
      <c r="D24" s="30"/>
      <c r="E24" s="30"/>
      <c r="F24" s="30"/>
      <c r="G24" s="30"/>
      <c r="H24" s="30"/>
    </row>
    <row r="25" spans="1:8" ht="18.95" customHeight="1">
      <c r="A25" s="831" t="s">
        <v>948</v>
      </c>
      <c r="B25" s="831"/>
      <c r="C25" s="831"/>
      <c r="D25" s="831"/>
      <c r="E25" s="831"/>
      <c r="F25" s="831"/>
      <c r="G25" s="831"/>
      <c r="H25" s="831"/>
    </row>
    <row r="26" spans="1:8" ht="18.95" customHeight="1">
      <c r="B26" s="19"/>
    </row>
    <row r="27" spans="1:8" ht="18.95" customHeight="1">
      <c r="B27" s="19"/>
    </row>
    <row r="28" spans="1:8" ht="18.95" customHeight="1">
      <c r="D28" s="17" t="s">
        <v>121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70" fitToHeight="0" orientation="portrait" r:id="rId1"/>
  <rowBreaks count="1" manualBreakCount="1">
    <brk id="1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0"/>
  <sheetViews>
    <sheetView zoomScaleNormal="100" workbookViewId="0">
      <selection sqref="A1:M1"/>
    </sheetView>
  </sheetViews>
  <sheetFormatPr defaultColWidth="9" defaultRowHeight="12.75"/>
  <cols>
    <col min="1" max="1" width="6" style="17" customWidth="1"/>
    <col min="2" max="2" width="43.33203125" style="17" customWidth="1"/>
    <col min="3" max="3" width="12.88671875" style="17" customWidth="1"/>
    <col min="4" max="4" width="13.77734375" style="17" customWidth="1"/>
    <col min="5" max="5" width="15.109375" style="17" customWidth="1"/>
    <col min="6" max="6" width="12.77734375" style="17" customWidth="1"/>
    <col min="7" max="7" width="11.6640625" style="17" customWidth="1"/>
    <col min="8" max="8" width="7.77734375" style="17" customWidth="1"/>
    <col min="9" max="9" width="13.6640625" style="17" customWidth="1"/>
    <col min="10" max="10" width="2.21875" style="17" customWidth="1"/>
    <col min="11" max="11" width="11.6640625" style="17" customWidth="1"/>
    <col min="12" max="12" width="7.77734375" style="17" customWidth="1"/>
    <col min="13" max="13" width="13.6640625" style="17" customWidth="1"/>
    <col min="14" max="14" width="1.6640625" style="17" customWidth="1"/>
    <col min="15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  <c r="M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  <c r="L2" s="831"/>
      <c r="M2" s="831"/>
    </row>
    <row r="3" spans="1:13" s="16" customFormat="1" ht="20.100000000000001" customHeight="1">
      <c r="A3" s="831" t="s">
        <v>155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  <c r="L3" s="831"/>
      <c r="M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  <c r="K4" s="831"/>
      <c r="L4" s="831"/>
      <c r="M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s="16" customFormat="1" ht="20.100000000000001" customHeight="1">
      <c r="A6" s="15" t="s">
        <v>94</v>
      </c>
      <c r="B6" s="15"/>
      <c r="G6" s="22"/>
      <c r="H6" s="22"/>
      <c r="I6" s="22"/>
      <c r="J6" s="22"/>
      <c r="K6" s="22"/>
      <c r="L6" s="22"/>
      <c r="M6" s="22" t="s">
        <v>156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/>
      <c r="J7" s="22"/>
      <c r="K7" s="22"/>
      <c r="L7" s="22"/>
      <c r="M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/>
      <c r="I8" s="23"/>
      <c r="J8" s="23"/>
      <c r="K8" s="23"/>
      <c r="L8" s="23"/>
      <c r="M8" s="23" t="str">
        <f>'Rate Case Constants'!C36</f>
        <v>WITNESS:   C. M. GARRETT</v>
      </c>
    </row>
    <row r="9" spans="1:13" s="16" customFormat="1" ht="20.100000000000001" customHeight="1"/>
    <row r="10" spans="1:13" s="16" customFormat="1" ht="20.100000000000001" customHeight="1">
      <c r="A10" s="48"/>
      <c r="B10" s="48"/>
      <c r="C10" s="48"/>
      <c r="D10" s="48"/>
      <c r="E10" s="48"/>
      <c r="F10" s="48"/>
      <c r="G10" s="839" t="s">
        <v>164</v>
      </c>
      <c r="H10" s="839"/>
      <c r="I10" s="839"/>
      <c r="J10" s="49"/>
      <c r="K10" s="839" t="s">
        <v>166</v>
      </c>
      <c r="L10" s="839"/>
      <c r="M10" s="839"/>
    </row>
    <row r="11" spans="1:13" ht="43.5" customHeight="1">
      <c r="A11" s="19" t="s">
        <v>92</v>
      </c>
      <c r="B11" s="19" t="s">
        <v>157</v>
      </c>
      <c r="C11" s="19" t="s">
        <v>158</v>
      </c>
      <c r="D11" s="19" t="s">
        <v>159</v>
      </c>
      <c r="E11" s="19" t="s">
        <v>160</v>
      </c>
      <c r="F11" s="19" t="s">
        <v>161</v>
      </c>
      <c r="G11" s="19" t="s">
        <v>162</v>
      </c>
      <c r="H11" s="19" t="s">
        <v>163</v>
      </c>
      <c r="I11" s="19" t="s">
        <v>165</v>
      </c>
      <c r="J11" s="19"/>
      <c r="K11" s="19" t="s">
        <v>162</v>
      </c>
      <c r="L11" s="19" t="s">
        <v>163</v>
      </c>
      <c r="M11" s="19" t="s">
        <v>165</v>
      </c>
    </row>
    <row r="12" spans="1:13" ht="23.1" customHeight="1">
      <c r="A12" s="28"/>
      <c r="B12" s="28"/>
      <c r="C12" s="29"/>
      <c r="D12" s="30" t="s">
        <v>103</v>
      </c>
      <c r="E12" s="30" t="s">
        <v>103</v>
      </c>
      <c r="F12" s="30" t="s">
        <v>103</v>
      </c>
      <c r="G12" s="30" t="s">
        <v>103</v>
      </c>
      <c r="H12" s="30"/>
      <c r="I12" s="30"/>
      <c r="J12" s="30"/>
      <c r="K12" s="30" t="s">
        <v>103</v>
      </c>
      <c r="L12" s="30"/>
      <c r="M12" s="30"/>
    </row>
    <row r="13" spans="1:13" s="16" customFormat="1" ht="44.25" customHeight="1">
      <c r="A13" s="156">
        <v>1</v>
      </c>
      <c r="B13" s="26" t="s">
        <v>972</v>
      </c>
      <c r="C13" s="155">
        <v>41699</v>
      </c>
      <c r="D13" s="327">
        <v>161321.99</v>
      </c>
      <c r="E13" s="327">
        <v>0</v>
      </c>
      <c r="F13" s="327">
        <f t="shared" ref="F13:F25" si="0">SUM(D13:E13)</f>
        <v>161321.99</v>
      </c>
      <c r="G13" s="327"/>
      <c r="K13" s="327"/>
    </row>
    <row r="14" spans="1:13" s="16" customFormat="1" ht="44.25" customHeight="1">
      <c r="A14" s="156">
        <f>A13+1</f>
        <v>2</v>
      </c>
      <c r="B14" s="26" t="s">
        <v>973</v>
      </c>
      <c r="C14" s="155">
        <v>29117</v>
      </c>
      <c r="D14" s="327">
        <v>60594.65</v>
      </c>
      <c r="E14" s="327">
        <v>0</v>
      </c>
      <c r="F14" s="327">
        <f t="shared" si="0"/>
        <v>60594.65</v>
      </c>
      <c r="G14" s="327"/>
      <c r="K14" s="327"/>
    </row>
    <row r="15" spans="1:13" s="16" customFormat="1" ht="29.25" customHeight="1">
      <c r="A15" s="156">
        <f t="shared" ref="A15:A25" si="1">A14+1</f>
        <v>3</v>
      </c>
      <c r="B15" s="26" t="s">
        <v>974</v>
      </c>
      <c r="C15" s="155">
        <v>29151</v>
      </c>
      <c r="D15" s="327">
        <v>49540.34</v>
      </c>
      <c r="E15" s="327">
        <v>0</v>
      </c>
      <c r="F15" s="327">
        <f t="shared" si="0"/>
        <v>49540.34</v>
      </c>
      <c r="G15" s="327"/>
      <c r="K15" s="327"/>
    </row>
    <row r="16" spans="1:13" s="16" customFormat="1" ht="44.25" customHeight="1">
      <c r="A16" s="156">
        <f t="shared" si="1"/>
        <v>4</v>
      </c>
      <c r="B16" s="26" t="s">
        <v>975</v>
      </c>
      <c r="C16" s="155">
        <v>30438</v>
      </c>
      <c r="D16" s="327">
        <v>217016.66</v>
      </c>
      <c r="E16" s="327">
        <v>0</v>
      </c>
      <c r="F16" s="327">
        <f t="shared" si="0"/>
        <v>217016.66</v>
      </c>
      <c r="G16" s="327"/>
      <c r="K16" s="327"/>
    </row>
    <row r="17" spans="1:13" s="16" customFormat="1" ht="44.25" customHeight="1">
      <c r="A17" s="156">
        <f t="shared" si="1"/>
        <v>5</v>
      </c>
      <c r="B17" s="26" t="s">
        <v>975</v>
      </c>
      <c r="C17" s="155">
        <v>33756</v>
      </c>
      <c r="D17" s="327">
        <v>8845.7099999999991</v>
      </c>
      <c r="E17" s="327">
        <v>0</v>
      </c>
      <c r="F17" s="327">
        <f t="shared" si="0"/>
        <v>8845.7099999999991</v>
      </c>
      <c r="G17" s="327"/>
      <c r="K17" s="327"/>
    </row>
    <row r="18" spans="1:13" s="16" customFormat="1" ht="44.25" customHeight="1">
      <c r="A18" s="156">
        <f t="shared" si="1"/>
        <v>6</v>
      </c>
      <c r="B18" s="26" t="s">
        <v>1482</v>
      </c>
      <c r="C18" s="155">
        <v>33756</v>
      </c>
      <c r="D18" s="327">
        <v>2536.3999999999996</v>
      </c>
      <c r="E18" s="327">
        <v>0</v>
      </c>
      <c r="F18" s="327">
        <f t="shared" si="0"/>
        <v>2536.3999999999996</v>
      </c>
      <c r="G18" s="327"/>
      <c r="K18" s="327"/>
    </row>
    <row r="19" spans="1:13" s="16" customFormat="1" ht="33.75" customHeight="1">
      <c r="A19" s="156">
        <f t="shared" si="1"/>
        <v>7</v>
      </c>
      <c r="B19" s="26" t="s">
        <v>976</v>
      </c>
      <c r="C19" s="155">
        <v>36556</v>
      </c>
      <c r="D19" s="327">
        <v>253321.15</v>
      </c>
      <c r="E19" s="327">
        <v>0</v>
      </c>
      <c r="F19" s="327">
        <f t="shared" si="0"/>
        <v>253321.15</v>
      </c>
      <c r="G19" s="327"/>
      <c r="K19" s="327"/>
    </row>
    <row r="20" spans="1:13" s="16" customFormat="1" ht="44.25" customHeight="1">
      <c r="A20" s="156">
        <f t="shared" si="1"/>
        <v>8</v>
      </c>
      <c r="B20" s="26" t="s">
        <v>977</v>
      </c>
      <c r="C20" s="155">
        <v>40529</v>
      </c>
      <c r="D20" s="327">
        <v>745730.74</v>
      </c>
      <c r="E20" s="327">
        <v>0</v>
      </c>
      <c r="F20" s="327">
        <f t="shared" si="0"/>
        <v>745730.74</v>
      </c>
      <c r="G20" s="327"/>
      <c r="K20" s="327"/>
    </row>
    <row r="21" spans="1:13" s="16" customFormat="1" ht="31.5" customHeight="1">
      <c r="A21" s="156">
        <f t="shared" si="1"/>
        <v>9</v>
      </c>
      <c r="B21" s="26" t="s">
        <v>1592</v>
      </c>
      <c r="C21" s="155">
        <v>41883</v>
      </c>
      <c r="D21" s="327">
        <v>211409.5</v>
      </c>
      <c r="E21" s="327">
        <v>0</v>
      </c>
      <c r="F21" s="327">
        <f t="shared" si="0"/>
        <v>211409.5</v>
      </c>
      <c r="G21" s="327"/>
      <c r="K21" s="327"/>
    </row>
    <row r="22" spans="1:13" s="16" customFormat="1" ht="31.5" customHeight="1">
      <c r="A22" s="156">
        <f t="shared" si="1"/>
        <v>10</v>
      </c>
      <c r="B22" s="26" t="s">
        <v>1594</v>
      </c>
      <c r="C22" s="155">
        <v>42356</v>
      </c>
      <c r="D22" s="327">
        <v>871644.37</v>
      </c>
      <c r="E22" s="327">
        <v>0</v>
      </c>
      <c r="F22" s="327">
        <f t="shared" si="0"/>
        <v>871644.37</v>
      </c>
      <c r="G22" s="327"/>
      <c r="K22" s="327"/>
      <c r="L22" s="323"/>
      <c r="M22" s="68"/>
    </row>
    <row r="23" spans="1:13" s="16" customFormat="1" ht="42.75" customHeight="1">
      <c r="A23" s="156">
        <f t="shared" si="1"/>
        <v>11</v>
      </c>
      <c r="B23" s="26" t="s">
        <v>978</v>
      </c>
      <c r="C23" s="155">
        <v>41030</v>
      </c>
      <c r="D23" s="327">
        <v>519009.11</v>
      </c>
      <c r="E23" s="327">
        <v>0</v>
      </c>
      <c r="F23" s="327">
        <f t="shared" si="0"/>
        <v>519009.11</v>
      </c>
      <c r="G23" s="327"/>
      <c r="K23" s="327"/>
    </row>
    <row r="24" spans="1:13" s="16" customFormat="1" ht="33.75" customHeight="1">
      <c r="A24" s="156">
        <f t="shared" si="1"/>
        <v>12</v>
      </c>
      <c r="B24" s="26" t="s">
        <v>1593</v>
      </c>
      <c r="C24" s="155">
        <v>33756</v>
      </c>
      <c r="D24" s="327">
        <v>9967.3799999999992</v>
      </c>
      <c r="E24" s="327">
        <v>0</v>
      </c>
      <c r="F24" s="327">
        <f t="shared" si="0"/>
        <v>9967.3799999999992</v>
      </c>
      <c r="G24" s="327"/>
      <c r="K24" s="327"/>
    </row>
    <row r="25" spans="1:13" s="16" customFormat="1" ht="49.5" customHeight="1">
      <c r="A25" s="156">
        <f t="shared" si="1"/>
        <v>13</v>
      </c>
      <c r="B25" s="26" t="s">
        <v>1483</v>
      </c>
      <c r="C25" s="155">
        <v>33756</v>
      </c>
      <c r="D25" s="328">
        <v>9212.31</v>
      </c>
      <c r="E25" s="328">
        <v>0</v>
      </c>
      <c r="F25" s="328">
        <f t="shared" si="0"/>
        <v>9212.31</v>
      </c>
      <c r="G25" s="328"/>
      <c r="K25" s="328"/>
    </row>
    <row r="26" spans="1:13" s="16" customFormat="1" ht="18.95" customHeight="1">
      <c r="A26" s="21"/>
      <c r="B26" s="26"/>
      <c r="D26" s="327"/>
      <c r="E26" s="327"/>
      <c r="F26" s="327"/>
      <c r="G26" s="327"/>
      <c r="K26" s="327"/>
    </row>
    <row r="27" spans="1:13" s="16" customFormat="1" ht="18.95" customHeight="1" thickBot="1">
      <c r="A27" s="21">
        <f>A25+1</f>
        <v>14</v>
      </c>
      <c r="B27" s="26" t="s">
        <v>1026</v>
      </c>
      <c r="D27" s="329">
        <f>SUM(D13:D26)</f>
        <v>3120150.31</v>
      </c>
      <c r="E27" s="329">
        <f>SUM(E13:E26)</f>
        <v>0</v>
      </c>
      <c r="F27" s="329">
        <f>SUM(F13:F26)</f>
        <v>3120150.31</v>
      </c>
      <c r="G27" s="329">
        <f>SUM(G13:G26)</f>
        <v>0</v>
      </c>
      <c r="K27" s="329">
        <f>SUM(K13:K26)</f>
        <v>0</v>
      </c>
    </row>
    <row r="28" spans="1:13" ht="18.95" customHeight="1" thickTop="1">
      <c r="B28" s="19"/>
      <c r="D28" s="34"/>
    </row>
    <row r="29" spans="1:13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  <c r="H29" s="831"/>
      <c r="I29" s="831"/>
      <c r="J29" s="831"/>
      <c r="K29" s="831"/>
      <c r="L29" s="831"/>
      <c r="M29" s="831"/>
    </row>
    <row r="30" spans="1:13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  <c r="H30" s="831"/>
      <c r="I30" s="831"/>
      <c r="J30" s="831"/>
      <c r="K30" s="831"/>
      <c r="L30" s="831"/>
      <c r="M30" s="831"/>
    </row>
    <row r="31" spans="1:13" s="16" customFormat="1" ht="20.100000000000001" customHeight="1">
      <c r="A31" s="831" t="str">
        <f>$A$3</f>
        <v>PROPERTY HELD FOR FUTURE USE INCLUDED IN RATE BASE</v>
      </c>
      <c r="B31" s="831"/>
      <c r="C31" s="831"/>
      <c r="D31" s="831"/>
      <c r="E31" s="831"/>
      <c r="F31" s="831"/>
      <c r="G31" s="831"/>
      <c r="H31" s="831"/>
      <c r="I31" s="831"/>
      <c r="J31" s="831"/>
      <c r="K31" s="831"/>
      <c r="L31" s="831"/>
      <c r="M31" s="831"/>
    </row>
    <row r="32" spans="1:13" s="16" customFormat="1" ht="20.100000000000001" customHeight="1">
      <c r="A32" s="831" t="str">
        <f>'Rate Case Constants'!C18</f>
        <v>AS OF APRIL 30, 2020</v>
      </c>
      <c r="B32" s="831"/>
      <c r="C32" s="831"/>
      <c r="D32" s="831"/>
      <c r="E32" s="831"/>
      <c r="F32" s="831"/>
      <c r="G32" s="831"/>
      <c r="H32" s="831"/>
      <c r="I32" s="831"/>
      <c r="J32" s="831"/>
      <c r="K32" s="831"/>
      <c r="L32" s="831"/>
      <c r="M32" s="831"/>
    </row>
    <row r="33" spans="1:13" s="16" customFormat="1" ht="20.100000000000001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s="16" customFormat="1" ht="20.100000000000001" customHeight="1">
      <c r="A34" s="15" t="s">
        <v>122</v>
      </c>
      <c r="B34" s="15"/>
      <c r="G34" s="22"/>
      <c r="H34" s="22"/>
      <c r="I34" s="22"/>
      <c r="J34" s="22"/>
      <c r="K34" s="22"/>
      <c r="L34" s="22"/>
      <c r="M34" s="22" t="s">
        <v>156</v>
      </c>
    </row>
    <row r="35" spans="1:13" s="16" customFormat="1" ht="20.100000000000001" customHeight="1">
      <c r="A35" s="15" t="str">
        <f>$A$7</f>
        <v>TYPE OF FILING: _____ ORIGINAL  _____ UPDATED  __X__ REVISED</v>
      </c>
      <c r="G35" s="22"/>
      <c r="H35" s="22"/>
      <c r="I35" s="22"/>
      <c r="J35" s="22"/>
      <c r="K35" s="22"/>
      <c r="L35" s="22"/>
      <c r="M35" s="22" t="s">
        <v>145</v>
      </c>
    </row>
    <row r="36" spans="1:13" s="16" customFormat="1" ht="20.100000000000001" customHeight="1">
      <c r="A36" s="15" t="str">
        <f>$A$8</f>
        <v>WORKPAPER REFERENCE NO(S).:</v>
      </c>
      <c r="B36" s="15"/>
      <c r="F36" s="15"/>
      <c r="G36" s="23"/>
      <c r="H36" s="23"/>
      <c r="I36" s="23"/>
      <c r="J36" s="23"/>
      <c r="K36" s="23"/>
      <c r="L36" s="23"/>
      <c r="M36" s="23" t="str">
        <f>$M$8</f>
        <v>WITNESS:   C. M. GARRETT</v>
      </c>
    </row>
    <row r="37" spans="1:13" s="16" customFormat="1" ht="20.100000000000001" customHeight="1"/>
    <row r="38" spans="1:13" s="16" customFormat="1" ht="20.100000000000001" customHeight="1">
      <c r="A38" s="48"/>
      <c r="B38" s="48"/>
      <c r="C38" s="48"/>
      <c r="D38" s="48"/>
      <c r="E38" s="48"/>
      <c r="F38" s="48"/>
      <c r="G38" s="839" t="s">
        <v>164</v>
      </c>
      <c r="H38" s="839"/>
      <c r="I38" s="839"/>
      <c r="J38" s="49"/>
      <c r="K38" s="839" t="s">
        <v>166</v>
      </c>
      <c r="L38" s="839"/>
      <c r="M38" s="839"/>
    </row>
    <row r="39" spans="1:13" ht="43.5" customHeight="1">
      <c r="A39" s="19" t="s">
        <v>92</v>
      </c>
      <c r="B39" s="19" t="s">
        <v>157</v>
      </c>
      <c r="C39" s="19" t="s">
        <v>158</v>
      </c>
      <c r="D39" s="19" t="s">
        <v>159</v>
      </c>
      <c r="E39" s="19" t="s">
        <v>160</v>
      </c>
      <c r="F39" s="19" t="s">
        <v>161</v>
      </c>
      <c r="G39" s="19" t="s">
        <v>162</v>
      </c>
      <c r="H39" s="19" t="s">
        <v>163</v>
      </c>
      <c r="I39" s="19" t="s">
        <v>165</v>
      </c>
      <c r="J39" s="19"/>
      <c r="K39" s="19" t="s">
        <v>162</v>
      </c>
      <c r="L39" s="19" t="s">
        <v>163</v>
      </c>
      <c r="M39" s="19" t="s">
        <v>165</v>
      </c>
    </row>
    <row r="40" spans="1:13" ht="23.1" customHeight="1">
      <c r="A40" s="28"/>
      <c r="B40" s="28"/>
      <c r="C40" s="29"/>
      <c r="D40" s="30" t="s">
        <v>103</v>
      </c>
      <c r="E40" s="30" t="s">
        <v>103</v>
      </c>
      <c r="F40" s="30" t="s">
        <v>103</v>
      </c>
      <c r="G40" s="30" t="s">
        <v>103</v>
      </c>
      <c r="H40" s="30"/>
      <c r="I40" s="30"/>
      <c r="J40" s="30"/>
      <c r="K40" s="30" t="s">
        <v>103</v>
      </c>
      <c r="L40" s="30"/>
      <c r="M40" s="30"/>
    </row>
    <row r="41" spans="1:13" s="16" customFormat="1" ht="44.25" customHeight="1">
      <c r="A41" s="156">
        <v>1</v>
      </c>
      <c r="B41" s="26" t="s">
        <v>972</v>
      </c>
      <c r="C41" s="155">
        <v>41699</v>
      </c>
      <c r="D41" s="327">
        <v>161321.99</v>
      </c>
      <c r="E41" s="327">
        <v>0</v>
      </c>
      <c r="F41" s="327">
        <f t="shared" ref="F41:F53" si="2">SUM(D41:E41)</f>
        <v>161321.99</v>
      </c>
      <c r="G41" s="327"/>
      <c r="K41" s="327"/>
    </row>
    <row r="42" spans="1:13" s="16" customFormat="1" ht="44.25" customHeight="1">
      <c r="A42" s="156">
        <f>A41+1</f>
        <v>2</v>
      </c>
      <c r="B42" s="26" t="s">
        <v>973</v>
      </c>
      <c r="C42" s="155">
        <v>29117</v>
      </c>
      <c r="D42" s="327">
        <v>60594.65</v>
      </c>
      <c r="E42" s="327">
        <v>0</v>
      </c>
      <c r="F42" s="327">
        <f t="shared" si="2"/>
        <v>60594.65</v>
      </c>
      <c r="G42" s="327"/>
      <c r="K42" s="327"/>
    </row>
    <row r="43" spans="1:13" s="16" customFormat="1" ht="29.25" customHeight="1">
      <c r="A43" s="156">
        <f t="shared" ref="A43:A53" si="3">A42+1</f>
        <v>3</v>
      </c>
      <c r="B43" s="26" t="s">
        <v>974</v>
      </c>
      <c r="C43" s="155">
        <v>29151</v>
      </c>
      <c r="D43" s="327">
        <v>49540.34</v>
      </c>
      <c r="E43" s="327">
        <v>0</v>
      </c>
      <c r="F43" s="327">
        <f t="shared" si="2"/>
        <v>49540.34</v>
      </c>
      <c r="G43" s="327"/>
      <c r="K43" s="327"/>
    </row>
    <row r="44" spans="1:13" s="16" customFormat="1" ht="44.25" customHeight="1">
      <c r="A44" s="156">
        <f t="shared" si="3"/>
        <v>4</v>
      </c>
      <c r="B44" s="26" t="s">
        <v>975</v>
      </c>
      <c r="C44" s="155">
        <v>30438</v>
      </c>
      <c r="D44" s="327">
        <v>217016.66</v>
      </c>
      <c r="E44" s="327">
        <v>0</v>
      </c>
      <c r="F44" s="327">
        <f t="shared" si="2"/>
        <v>217016.66</v>
      </c>
      <c r="G44" s="327"/>
      <c r="K44" s="327"/>
    </row>
    <row r="45" spans="1:13" s="16" customFormat="1" ht="44.25" customHeight="1">
      <c r="A45" s="156">
        <f t="shared" si="3"/>
        <v>5</v>
      </c>
      <c r="B45" s="26" t="s">
        <v>975</v>
      </c>
      <c r="C45" s="155">
        <v>33756</v>
      </c>
      <c r="D45" s="327">
        <v>8845.7099999999991</v>
      </c>
      <c r="E45" s="327">
        <v>0</v>
      </c>
      <c r="F45" s="327">
        <f t="shared" si="2"/>
        <v>8845.7099999999991</v>
      </c>
      <c r="G45" s="327"/>
      <c r="K45" s="327"/>
    </row>
    <row r="46" spans="1:13" s="16" customFormat="1" ht="44.25" customHeight="1">
      <c r="A46" s="156">
        <f t="shared" si="3"/>
        <v>6</v>
      </c>
      <c r="B46" s="26" t="s">
        <v>1482</v>
      </c>
      <c r="C46" s="155">
        <v>33756</v>
      </c>
      <c r="D46" s="327">
        <v>2536.3999999999996</v>
      </c>
      <c r="E46" s="327">
        <v>0</v>
      </c>
      <c r="F46" s="327">
        <f t="shared" si="2"/>
        <v>2536.3999999999996</v>
      </c>
      <c r="G46" s="327"/>
      <c r="K46" s="327"/>
    </row>
    <row r="47" spans="1:13" s="16" customFormat="1" ht="33.75" customHeight="1">
      <c r="A47" s="156">
        <f t="shared" si="3"/>
        <v>7</v>
      </c>
      <c r="B47" s="26" t="s">
        <v>976</v>
      </c>
      <c r="C47" s="155">
        <v>36556</v>
      </c>
      <c r="D47" s="327">
        <v>253321.15</v>
      </c>
      <c r="E47" s="327">
        <v>0</v>
      </c>
      <c r="F47" s="327">
        <f t="shared" si="2"/>
        <v>253321.15</v>
      </c>
      <c r="G47" s="327"/>
      <c r="K47" s="327"/>
    </row>
    <row r="48" spans="1:13" s="16" customFormat="1" ht="44.25" customHeight="1">
      <c r="A48" s="156">
        <f t="shared" si="3"/>
        <v>8</v>
      </c>
      <c r="B48" s="26" t="s">
        <v>977</v>
      </c>
      <c r="C48" s="155">
        <v>40529</v>
      </c>
      <c r="D48" s="327">
        <v>745730.74</v>
      </c>
      <c r="E48" s="327">
        <v>0</v>
      </c>
      <c r="F48" s="327">
        <f t="shared" si="2"/>
        <v>745730.74</v>
      </c>
      <c r="G48" s="327"/>
      <c r="K48" s="327"/>
    </row>
    <row r="49" spans="1:13" s="16" customFormat="1" ht="31.5" customHeight="1">
      <c r="A49" s="156">
        <f t="shared" si="3"/>
        <v>9</v>
      </c>
      <c r="B49" s="26" t="s">
        <v>1592</v>
      </c>
      <c r="C49" s="155">
        <v>41883</v>
      </c>
      <c r="D49" s="327">
        <v>211409.5</v>
      </c>
      <c r="E49" s="327">
        <v>0</v>
      </c>
      <c r="F49" s="327">
        <f t="shared" si="2"/>
        <v>211409.5</v>
      </c>
      <c r="G49" s="327"/>
      <c r="K49" s="327"/>
    </row>
    <row r="50" spans="1:13" s="16" customFormat="1" ht="31.5" customHeight="1">
      <c r="A50" s="156">
        <f t="shared" si="3"/>
        <v>10</v>
      </c>
      <c r="B50" s="26" t="s">
        <v>1594</v>
      </c>
      <c r="C50" s="155">
        <v>42356</v>
      </c>
      <c r="D50" s="327">
        <v>871644.37</v>
      </c>
      <c r="E50" s="327">
        <v>0</v>
      </c>
      <c r="F50" s="327">
        <f t="shared" si="2"/>
        <v>871644.37</v>
      </c>
      <c r="G50" s="327"/>
      <c r="K50" s="327"/>
      <c r="L50" s="323"/>
      <c r="M50" s="68"/>
    </row>
    <row r="51" spans="1:13" s="16" customFormat="1" ht="42.75" customHeight="1">
      <c r="A51" s="156">
        <f t="shared" si="3"/>
        <v>11</v>
      </c>
      <c r="B51" s="26" t="s">
        <v>978</v>
      </c>
      <c r="C51" s="155">
        <v>41030</v>
      </c>
      <c r="D51" s="327">
        <v>519009.11</v>
      </c>
      <c r="E51" s="327">
        <v>0</v>
      </c>
      <c r="F51" s="327">
        <f t="shared" si="2"/>
        <v>519009.11</v>
      </c>
      <c r="G51" s="327"/>
      <c r="K51" s="327"/>
    </row>
    <row r="52" spans="1:13" s="16" customFormat="1" ht="32.25" customHeight="1">
      <c r="A52" s="156">
        <f t="shared" si="3"/>
        <v>12</v>
      </c>
      <c r="B52" s="26" t="s">
        <v>1593</v>
      </c>
      <c r="C52" s="155">
        <v>33756</v>
      </c>
      <c r="D52" s="327">
        <v>9967.3799999999992</v>
      </c>
      <c r="E52" s="327">
        <v>0</v>
      </c>
      <c r="F52" s="327">
        <f t="shared" si="2"/>
        <v>9967.3799999999992</v>
      </c>
      <c r="G52" s="327"/>
      <c r="K52" s="327"/>
    </row>
    <row r="53" spans="1:13" s="16" customFormat="1" ht="45.75" customHeight="1">
      <c r="A53" s="156">
        <f t="shared" si="3"/>
        <v>13</v>
      </c>
      <c r="B53" s="26" t="s">
        <v>1483</v>
      </c>
      <c r="C53" s="155">
        <v>33756</v>
      </c>
      <c r="D53" s="328">
        <v>9212.31</v>
      </c>
      <c r="E53" s="328">
        <v>0</v>
      </c>
      <c r="F53" s="328">
        <f t="shared" si="2"/>
        <v>9212.31</v>
      </c>
      <c r="G53" s="328"/>
      <c r="K53" s="328"/>
    </row>
    <row r="54" spans="1:13" s="16" customFormat="1" ht="18.95" customHeight="1">
      <c r="A54" s="21"/>
      <c r="B54" s="26"/>
      <c r="D54" s="327"/>
      <c r="E54" s="327"/>
      <c r="F54" s="327"/>
      <c r="G54" s="327"/>
      <c r="K54" s="327"/>
    </row>
    <row r="55" spans="1:13" s="16" customFormat="1" ht="18.95" customHeight="1" thickBot="1">
      <c r="A55" s="21">
        <f>A53+1</f>
        <v>14</v>
      </c>
      <c r="B55" s="26" t="s">
        <v>1026</v>
      </c>
      <c r="D55" s="329">
        <f>SUM(D41:D54)</f>
        <v>3120150.31</v>
      </c>
      <c r="E55" s="329">
        <f>SUM(E41:E54)</f>
        <v>0</v>
      </c>
      <c r="F55" s="329">
        <f>SUM(F41:F54)</f>
        <v>3120150.31</v>
      </c>
      <c r="G55" s="329">
        <f>SUM(G41:G54)</f>
        <v>0</v>
      </c>
      <c r="K55" s="329">
        <f>SUM(K41:K54)</f>
        <v>0</v>
      </c>
    </row>
    <row r="56" spans="1:13" s="16" customFormat="1" ht="18.95" customHeight="1" thickTop="1">
      <c r="A56" s="21"/>
      <c r="B56" s="26"/>
      <c r="D56" s="34"/>
      <c r="E56" s="34"/>
      <c r="F56" s="34"/>
      <c r="G56" s="34"/>
      <c r="K56" s="34"/>
    </row>
    <row r="57" spans="1:13" ht="18.95" customHeight="1">
      <c r="B57" s="19"/>
    </row>
    <row r="58" spans="1:13" ht="18.95" customHeight="1" thickBot="1">
      <c r="D58" s="42">
        <f>'PIS F'!N175</f>
        <v>3120150.81</v>
      </c>
      <c r="E58" s="42"/>
      <c r="F58" s="42">
        <f>SUM(D58:E58)</f>
        <v>3120150.81</v>
      </c>
    </row>
    <row r="59" spans="1:13" ht="18.95" customHeight="1" thickTop="1">
      <c r="E59" s="41">
        <f>E55-E58</f>
        <v>0</v>
      </c>
    </row>
    <row r="60" spans="1:13" ht="18.95" customHeight="1">
      <c r="C60" s="155"/>
    </row>
    <row r="61" spans="1:13" ht="18.95" customHeight="1">
      <c r="C61" s="155"/>
    </row>
    <row r="62" spans="1:13" ht="18.95" customHeight="1"/>
    <row r="63" spans="1:13" ht="18.95" customHeight="1"/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52" fitToHeight="0" orientation="portrait" r:id="rId1"/>
  <rowBreaks count="1" manualBreakCount="1">
    <brk id="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sqref="A1:K1"/>
    </sheetView>
  </sheetViews>
  <sheetFormatPr defaultColWidth="9" defaultRowHeight="12.75"/>
  <cols>
    <col min="1" max="1" width="6" style="17" customWidth="1"/>
    <col min="2" max="2" width="7.109375" style="17" customWidth="1"/>
    <col min="3" max="3" width="43" style="17" customWidth="1"/>
    <col min="4" max="4" width="11.44140625" style="17" customWidth="1"/>
    <col min="5" max="5" width="12.33203125" style="17" customWidth="1"/>
    <col min="6" max="6" width="15.109375" style="17" customWidth="1"/>
    <col min="7" max="7" width="10.77734375" style="17" customWidth="1"/>
    <col min="8" max="8" width="11.6640625" style="17" customWidth="1"/>
    <col min="9" max="9" width="7.77734375" style="17" customWidth="1"/>
    <col min="10" max="10" width="13.6640625" style="17" customWidth="1"/>
    <col min="11" max="11" width="36.109375" style="17" customWidth="1"/>
    <col min="12" max="12" width="1.6640625" style="17" customWidth="1"/>
    <col min="13" max="16384" width="9" style="17"/>
  </cols>
  <sheetData>
    <row r="1" spans="1:11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</row>
    <row r="2" spans="1:11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  <c r="K2" s="831"/>
    </row>
    <row r="3" spans="1:11" s="16" customFormat="1" ht="20.100000000000001" customHeight="1">
      <c r="A3" s="831" t="s">
        <v>168</v>
      </c>
      <c r="B3" s="831"/>
      <c r="C3" s="831"/>
      <c r="D3" s="831"/>
      <c r="E3" s="831"/>
      <c r="F3" s="831"/>
      <c r="G3" s="831"/>
      <c r="H3" s="831"/>
      <c r="I3" s="831"/>
      <c r="J3" s="831"/>
      <c r="K3" s="831"/>
    </row>
    <row r="4" spans="1:11" s="16" customFormat="1" ht="20.100000000000001" customHeight="1">
      <c r="A4" s="831" t="s">
        <v>169</v>
      </c>
      <c r="B4" s="831"/>
      <c r="C4" s="831"/>
      <c r="D4" s="831"/>
      <c r="E4" s="831"/>
      <c r="F4" s="831"/>
      <c r="G4" s="831"/>
      <c r="H4" s="831"/>
      <c r="I4" s="831"/>
      <c r="J4" s="831"/>
      <c r="K4" s="831"/>
    </row>
    <row r="5" spans="1:11" s="16" customFormat="1" ht="20.100000000000001" customHeight="1">
      <c r="A5" s="831" t="str">
        <f>'Rate Case Constants'!C12</f>
        <v>AS OF DECEMBER 31, 2018</v>
      </c>
      <c r="B5" s="831"/>
      <c r="C5" s="831"/>
      <c r="D5" s="831"/>
      <c r="E5" s="831"/>
      <c r="F5" s="831"/>
      <c r="G5" s="831"/>
      <c r="H5" s="831"/>
      <c r="I5" s="831"/>
      <c r="J5" s="831"/>
      <c r="K5" s="831"/>
    </row>
    <row r="6" spans="1:11" s="16" customFormat="1" ht="20.10000000000000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s="16" customFormat="1" ht="20.100000000000001" customHeight="1">
      <c r="A7" s="15" t="s">
        <v>94</v>
      </c>
      <c r="B7" s="15"/>
      <c r="H7" s="22"/>
      <c r="I7" s="22"/>
      <c r="J7" s="22"/>
      <c r="K7" s="22" t="s">
        <v>167</v>
      </c>
    </row>
    <row r="8" spans="1:11" s="16" customFormat="1" ht="20.100000000000001" customHeight="1">
      <c r="A8" s="16" t="str">
        <f>'Rate Case Constants'!C29</f>
        <v>TYPE OF FILING: _____ ORIGINAL  _____ UPDATED  __X__ REVISED</v>
      </c>
      <c r="H8" s="22"/>
      <c r="I8" s="22"/>
      <c r="J8" s="22"/>
      <c r="K8" s="22" t="s">
        <v>137</v>
      </c>
    </row>
    <row r="9" spans="1:11" s="16" customFormat="1" ht="20.100000000000001" customHeight="1">
      <c r="A9" s="15" t="s">
        <v>231</v>
      </c>
      <c r="B9" s="15"/>
      <c r="G9" s="15"/>
      <c r="H9" s="23"/>
      <c r="I9" s="23"/>
      <c r="J9" s="23"/>
      <c r="K9" s="23" t="str">
        <f>'Rate Case Constants'!C36</f>
        <v>WITNESS:   C. M. GARRETT</v>
      </c>
    </row>
    <row r="10" spans="1:11" s="16" customFormat="1" ht="20.100000000000001" customHeight="1"/>
    <row r="11" spans="1:11" s="16" customFormat="1" ht="20.100000000000001" customHeight="1">
      <c r="A11" s="48"/>
      <c r="B11" s="48"/>
      <c r="C11" s="48"/>
      <c r="D11" s="48"/>
      <c r="E11" s="48"/>
      <c r="F11" s="48"/>
      <c r="G11" s="48"/>
      <c r="H11" s="839" t="s">
        <v>171</v>
      </c>
      <c r="I11" s="839"/>
      <c r="J11" s="839"/>
      <c r="K11" s="49"/>
    </row>
    <row r="12" spans="1:11" ht="43.5" customHeight="1">
      <c r="A12" s="19" t="s">
        <v>92</v>
      </c>
      <c r="B12" s="19" t="s">
        <v>95</v>
      </c>
      <c r="C12" s="19" t="s">
        <v>173</v>
      </c>
      <c r="D12" s="19" t="s">
        <v>170</v>
      </c>
      <c r="E12" s="19" t="s">
        <v>159</v>
      </c>
      <c r="F12" s="19" t="s">
        <v>160</v>
      </c>
      <c r="G12" s="19" t="s">
        <v>161</v>
      </c>
      <c r="H12" s="19" t="s">
        <v>162</v>
      </c>
      <c r="I12" s="19" t="s">
        <v>163</v>
      </c>
      <c r="J12" s="19" t="s">
        <v>165</v>
      </c>
      <c r="K12" s="50" t="s">
        <v>172</v>
      </c>
    </row>
    <row r="13" spans="1:11" ht="23.1" customHeight="1">
      <c r="A13" s="28"/>
      <c r="B13" s="28"/>
      <c r="C13" s="29"/>
      <c r="D13" s="30"/>
      <c r="E13" s="30" t="s">
        <v>103</v>
      </c>
      <c r="F13" s="30" t="s">
        <v>103</v>
      </c>
      <c r="G13" s="30" t="s">
        <v>103</v>
      </c>
      <c r="H13" s="30" t="s">
        <v>103</v>
      </c>
      <c r="I13" s="30"/>
      <c r="J13" s="30"/>
      <c r="K13" s="30"/>
    </row>
    <row r="14" spans="1:11" ht="23.1" customHeight="1">
      <c r="A14" s="153">
        <v>1</v>
      </c>
      <c r="B14" s="21"/>
      <c r="C14" s="154" t="s">
        <v>965</v>
      </c>
      <c r="D14" s="43"/>
      <c r="E14" s="43"/>
      <c r="F14" s="43"/>
      <c r="G14" s="43"/>
      <c r="H14" s="43"/>
      <c r="I14" s="43"/>
      <c r="J14" s="43"/>
      <c r="K14" s="43"/>
    </row>
    <row r="15" spans="1:11" ht="18.95" customHeight="1">
      <c r="A15" s="153">
        <f>A14+1</f>
        <v>2</v>
      </c>
      <c r="B15" s="322">
        <v>121</v>
      </c>
      <c r="C15" s="16" t="s">
        <v>958</v>
      </c>
      <c r="D15" s="155">
        <v>14596</v>
      </c>
      <c r="E15" s="327">
        <v>28.81</v>
      </c>
      <c r="F15" s="327">
        <v>1.49</v>
      </c>
      <c r="G15" s="327">
        <f>E15-F15</f>
        <v>27.32</v>
      </c>
      <c r="K15" s="16" t="s">
        <v>966</v>
      </c>
    </row>
    <row r="16" spans="1:11" ht="18.95" customHeight="1">
      <c r="A16" s="153">
        <f t="shared" ref="A16:A32" si="0">A15+1</f>
        <v>3</v>
      </c>
      <c r="B16" s="322">
        <v>121</v>
      </c>
      <c r="C16" s="16" t="s">
        <v>959</v>
      </c>
      <c r="D16" s="155">
        <v>28734</v>
      </c>
      <c r="E16" s="327">
        <v>21926.880000000001</v>
      </c>
      <c r="F16" s="327">
        <v>0</v>
      </c>
      <c r="G16" s="327">
        <f t="shared" ref="G16:G33" si="1">E16-F16</f>
        <v>21926.880000000001</v>
      </c>
      <c r="K16" s="16" t="s">
        <v>966</v>
      </c>
    </row>
    <row r="17" spans="1:11" ht="18.95" customHeight="1">
      <c r="A17" s="153">
        <f t="shared" si="0"/>
        <v>4</v>
      </c>
      <c r="B17" s="322">
        <v>121</v>
      </c>
      <c r="C17" s="16" t="s">
        <v>959</v>
      </c>
      <c r="D17" s="155">
        <v>40456</v>
      </c>
      <c r="E17" s="327">
        <v>455614.16</v>
      </c>
      <c r="F17" s="327">
        <v>0</v>
      </c>
      <c r="G17" s="327">
        <f t="shared" si="1"/>
        <v>455614.16</v>
      </c>
      <c r="K17" s="16" t="s">
        <v>966</v>
      </c>
    </row>
    <row r="18" spans="1:11" ht="18.95" customHeight="1">
      <c r="A18" s="153">
        <f t="shared" si="0"/>
        <v>5</v>
      </c>
      <c r="B18" s="322">
        <v>121</v>
      </c>
      <c r="C18" s="16" t="s">
        <v>960</v>
      </c>
      <c r="D18" s="155">
        <v>15014</v>
      </c>
      <c r="E18" s="327">
        <v>332.4</v>
      </c>
      <c r="F18" s="327">
        <v>0</v>
      </c>
      <c r="G18" s="327">
        <f t="shared" si="1"/>
        <v>332.4</v>
      </c>
      <c r="K18" s="16" t="s">
        <v>966</v>
      </c>
    </row>
    <row r="19" spans="1:11" ht="18.95" customHeight="1">
      <c r="A19" s="153">
        <f>A18+1</f>
        <v>6</v>
      </c>
      <c r="B19" s="322">
        <v>121</v>
      </c>
      <c r="C19" s="16" t="s">
        <v>961</v>
      </c>
      <c r="D19" s="155">
        <v>20281</v>
      </c>
      <c r="E19" s="327">
        <v>1074.25</v>
      </c>
      <c r="F19" s="327">
        <v>0</v>
      </c>
      <c r="G19" s="327">
        <f t="shared" si="1"/>
        <v>1074.25</v>
      </c>
      <c r="K19" s="16" t="s">
        <v>966</v>
      </c>
    </row>
    <row r="20" spans="1:11" ht="18.95" customHeight="1">
      <c r="A20" s="153">
        <f t="shared" si="0"/>
        <v>7</v>
      </c>
      <c r="B20" s="322">
        <v>121</v>
      </c>
      <c r="C20" s="16" t="s">
        <v>962</v>
      </c>
      <c r="D20" s="155">
        <v>20724</v>
      </c>
      <c r="E20" s="327">
        <v>3291.32</v>
      </c>
      <c r="F20" s="327">
        <v>0</v>
      </c>
      <c r="G20" s="327">
        <f t="shared" si="1"/>
        <v>3291.32</v>
      </c>
      <c r="K20" s="16" t="s">
        <v>966</v>
      </c>
    </row>
    <row r="21" spans="1:11" ht="18.95" customHeight="1">
      <c r="A21" s="153">
        <f t="shared" si="0"/>
        <v>8</v>
      </c>
      <c r="B21" s="322">
        <v>121</v>
      </c>
      <c r="C21" s="16" t="s">
        <v>963</v>
      </c>
      <c r="D21" s="155">
        <v>26744</v>
      </c>
      <c r="E21" s="327">
        <v>5677</v>
      </c>
      <c r="F21" s="327">
        <v>0</v>
      </c>
      <c r="G21" s="327">
        <f t="shared" si="1"/>
        <v>5677</v>
      </c>
      <c r="K21" s="16" t="s">
        <v>966</v>
      </c>
    </row>
    <row r="22" spans="1:11" ht="18.95" customHeight="1">
      <c r="A22" s="153">
        <f t="shared" si="0"/>
        <v>9</v>
      </c>
      <c r="B22" s="322">
        <v>121</v>
      </c>
      <c r="C22" s="16" t="s">
        <v>964</v>
      </c>
      <c r="D22" s="155">
        <v>15522</v>
      </c>
      <c r="E22" s="327">
        <v>268.64999999999998</v>
      </c>
      <c r="F22" s="327">
        <v>0</v>
      </c>
      <c r="G22" s="327">
        <f t="shared" si="1"/>
        <v>268.64999999999998</v>
      </c>
      <c r="K22" s="16" t="s">
        <v>966</v>
      </c>
    </row>
    <row r="23" spans="1:11" ht="18.95" customHeight="1">
      <c r="A23" s="153">
        <f t="shared" si="0"/>
        <v>10</v>
      </c>
      <c r="B23" s="322">
        <v>121</v>
      </c>
      <c r="C23" s="16" t="s">
        <v>971</v>
      </c>
      <c r="D23" s="155">
        <v>36981</v>
      </c>
      <c r="E23" s="327">
        <v>50000</v>
      </c>
      <c r="F23" s="327">
        <v>0</v>
      </c>
      <c r="G23" s="327">
        <f t="shared" si="1"/>
        <v>50000</v>
      </c>
      <c r="K23" s="16" t="s">
        <v>966</v>
      </c>
    </row>
    <row r="24" spans="1:11" ht="18.95" customHeight="1">
      <c r="A24" s="381">
        <f t="shared" si="0"/>
        <v>11</v>
      </c>
      <c r="B24" s="380">
        <v>121</v>
      </c>
      <c r="C24" s="16" t="s">
        <v>1591</v>
      </c>
      <c r="D24" s="155">
        <v>29151</v>
      </c>
      <c r="E24" s="327">
        <v>28633.1</v>
      </c>
      <c r="F24" s="327">
        <v>0</v>
      </c>
      <c r="G24" s="327">
        <f>E24-F24</f>
        <v>28633.1</v>
      </c>
      <c r="K24" s="16" t="s">
        <v>966</v>
      </c>
    </row>
    <row r="25" spans="1:11" ht="18.95" customHeight="1">
      <c r="A25" s="381">
        <f t="shared" si="0"/>
        <v>12</v>
      </c>
      <c r="B25" s="322">
        <v>121</v>
      </c>
      <c r="C25" s="16" t="s">
        <v>953</v>
      </c>
      <c r="D25" s="155">
        <v>14792</v>
      </c>
      <c r="E25" s="327">
        <v>185.17</v>
      </c>
      <c r="F25" s="327">
        <v>0</v>
      </c>
      <c r="G25" s="327">
        <f t="shared" si="1"/>
        <v>185.17</v>
      </c>
      <c r="K25" s="16" t="s">
        <v>966</v>
      </c>
    </row>
    <row r="26" spans="1:11" ht="18.95" customHeight="1">
      <c r="A26" s="381">
        <f t="shared" si="0"/>
        <v>13</v>
      </c>
      <c r="B26" s="322">
        <v>121</v>
      </c>
      <c r="C26" s="16" t="s">
        <v>954</v>
      </c>
      <c r="D26" s="155">
        <v>14792</v>
      </c>
      <c r="E26" s="327">
        <v>14.83</v>
      </c>
      <c r="F26" s="327">
        <v>0</v>
      </c>
      <c r="G26" s="327">
        <f t="shared" si="1"/>
        <v>14.83</v>
      </c>
      <c r="K26" s="16" t="s">
        <v>966</v>
      </c>
    </row>
    <row r="27" spans="1:11" ht="18.95" customHeight="1">
      <c r="A27" s="153">
        <f t="shared" si="0"/>
        <v>14</v>
      </c>
      <c r="B27" s="322">
        <v>121</v>
      </c>
      <c r="C27" s="16" t="s">
        <v>955</v>
      </c>
      <c r="D27" s="155">
        <v>14792</v>
      </c>
      <c r="E27" s="327">
        <v>47.91</v>
      </c>
      <c r="F27" s="327">
        <v>0</v>
      </c>
      <c r="G27" s="327">
        <f t="shared" si="1"/>
        <v>47.91</v>
      </c>
      <c r="K27" s="16" t="s">
        <v>966</v>
      </c>
    </row>
    <row r="28" spans="1:11" ht="18.95" customHeight="1">
      <c r="A28" s="153">
        <f t="shared" si="0"/>
        <v>15</v>
      </c>
      <c r="B28" s="322">
        <v>121</v>
      </c>
      <c r="C28" s="16" t="s">
        <v>956</v>
      </c>
      <c r="D28" s="155">
        <v>14792</v>
      </c>
      <c r="E28" s="327">
        <v>192.14</v>
      </c>
      <c r="F28" s="327">
        <v>0</v>
      </c>
      <c r="G28" s="327">
        <f t="shared" si="1"/>
        <v>192.14</v>
      </c>
      <c r="K28" s="16" t="s">
        <v>966</v>
      </c>
    </row>
    <row r="29" spans="1:11" ht="18.95" customHeight="1">
      <c r="A29" s="153">
        <f t="shared" si="0"/>
        <v>16</v>
      </c>
      <c r="B29" s="322">
        <v>121</v>
      </c>
      <c r="C29" s="16" t="s">
        <v>957</v>
      </c>
      <c r="D29" s="155">
        <v>24288</v>
      </c>
      <c r="E29" s="327">
        <v>250</v>
      </c>
      <c r="F29" s="327">
        <v>0</v>
      </c>
      <c r="G29" s="327">
        <f t="shared" si="1"/>
        <v>250</v>
      </c>
      <c r="K29" s="16" t="s">
        <v>966</v>
      </c>
    </row>
    <row r="30" spans="1:11" ht="18.95" customHeight="1">
      <c r="A30" s="153">
        <f t="shared" si="0"/>
        <v>17</v>
      </c>
      <c r="B30" s="322">
        <v>121</v>
      </c>
      <c r="C30" s="16" t="s">
        <v>951</v>
      </c>
      <c r="D30" s="155">
        <v>19892</v>
      </c>
      <c r="E30" s="327">
        <v>31482.83</v>
      </c>
      <c r="F30" s="327">
        <f>E30</f>
        <v>31482.83</v>
      </c>
      <c r="G30" s="327">
        <f t="shared" si="1"/>
        <v>0</v>
      </c>
      <c r="K30" s="16" t="s">
        <v>966</v>
      </c>
    </row>
    <row r="31" spans="1:11" ht="18.95" customHeight="1">
      <c r="A31" s="153">
        <f t="shared" si="0"/>
        <v>18</v>
      </c>
      <c r="B31" s="322">
        <v>121</v>
      </c>
      <c r="C31" s="16" t="s">
        <v>952</v>
      </c>
      <c r="D31" s="155">
        <v>14821</v>
      </c>
      <c r="E31" s="327">
        <v>31627.599999999999</v>
      </c>
      <c r="F31" s="327">
        <f>E31</f>
        <v>31627.599999999999</v>
      </c>
      <c r="G31" s="327">
        <f t="shared" si="1"/>
        <v>0</v>
      </c>
      <c r="K31" s="16" t="s">
        <v>966</v>
      </c>
    </row>
    <row r="32" spans="1:11" ht="18.95" customHeight="1">
      <c r="A32" s="153">
        <f t="shared" si="0"/>
        <v>19</v>
      </c>
      <c r="B32" s="322">
        <v>121</v>
      </c>
      <c r="C32" s="16" t="s">
        <v>950</v>
      </c>
      <c r="D32" s="155">
        <v>14792</v>
      </c>
      <c r="E32" s="327">
        <v>249.92999999999998</v>
      </c>
      <c r="F32" s="327">
        <f>E32</f>
        <v>249.92999999999998</v>
      </c>
      <c r="G32" s="327">
        <f t="shared" si="1"/>
        <v>0</v>
      </c>
      <c r="K32" s="16" t="s">
        <v>966</v>
      </c>
    </row>
    <row r="33" spans="1:11" ht="18.95" customHeight="1" thickBot="1">
      <c r="A33" s="153">
        <f>A32+1</f>
        <v>20</v>
      </c>
      <c r="B33" s="19"/>
      <c r="C33" s="16" t="s">
        <v>967</v>
      </c>
      <c r="D33" s="155"/>
      <c r="E33" s="330">
        <f>SUM(E15:E32)</f>
        <v>630896.98</v>
      </c>
      <c r="F33" s="330">
        <f>SUM(F15:F32)</f>
        <v>63361.85</v>
      </c>
      <c r="G33" s="330">
        <f t="shared" si="1"/>
        <v>567535.13</v>
      </c>
      <c r="H33" s="330">
        <f>SUM(H15:H32)</f>
        <v>0</v>
      </c>
      <c r="K33" s="16" t="s">
        <v>966</v>
      </c>
    </row>
    <row r="34" spans="1:11" ht="18.95" customHeight="1" thickTop="1">
      <c r="B34" s="19"/>
      <c r="D34" s="34"/>
      <c r="E34" s="34"/>
    </row>
    <row r="35" spans="1:11" s="16" customFormat="1" ht="20.100000000000001" customHeight="1">
      <c r="A35" s="831" t="str">
        <f>$A$1</f>
        <v>LOUISVILLE GAS AND ELECTRIC COMPANY</v>
      </c>
      <c r="B35" s="831"/>
      <c r="C35" s="831"/>
      <c r="D35" s="831"/>
      <c r="E35" s="831"/>
      <c r="F35" s="831"/>
      <c r="G35" s="831"/>
      <c r="H35" s="831"/>
      <c r="I35" s="831"/>
      <c r="J35" s="831"/>
      <c r="K35" s="831"/>
    </row>
    <row r="36" spans="1:11" s="16" customFormat="1" ht="20.100000000000001" customHeight="1">
      <c r="A36" s="831" t="str">
        <f>$A$2</f>
        <v>CASE NO. 2018-00295 - ELECTRIC OPERATIONS</v>
      </c>
      <c r="B36" s="831"/>
      <c r="C36" s="831"/>
      <c r="D36" s="831"/>
      <c r="E36" s="831"/>
      <c r="F36" s="831"/>
      <c r="G36" s="831"/>
      <c r="H36" s="831"/>
      <c r="I36" s="831"/>
      <c r="J36" s="831"/>
      <c r="K36" s="831"/>
    </row>
    <row r="37" spans="1:11" s="16" customFormat="1" ht="20.100000000000001" customHeight="1">
      <c r="A37" s="831" t="str">
        <f>$A$3</f>
        <v>PROPERTY EXCLUDED FROM RATE BASE</v>
      </c>
      <c r="B37" s="831"/>
      <c r="C37" s="831"/>
      <c r="D37" s="831"/>
      <c r="E37" s="831"/>
      <c r="F37" s="831"/>
      <c r="G37" s="831"/>
      <c r="H37" s="831"/>
      <c r="I37" s="831"/>
      <c r="J37" s="831"/>
      <c r="K37" s="831"/>
    </row>
    <row r="38" spans="1:11" s="16" customFormat="1" ht="20.100000000000001" customHeight="1">
      <c r="A38" s="831" t="str">
        <f>$A$4</f>
        <v>(FOR REASONS OTHER THAN JURISDICTIONAL ALLOCATION)</v>
      </c>
      <c r="B38" s="831"/>
      <c r="C38" s="831"/>
      <c r="D38" s="831"/>
      <c r="E38" s="831"/>
      <c r="F38" s="831"/>
      <c r="G38" s="831"/>
      <c r="H38" s="831"/>
      <c r="I38" s="831"/>
      <c r="J38" s="831"/>
      <c r="K38" s="831"/>
    </row>
    <row r="39" spans="1:11" s="16" customFormat="1" ht="20.100000000000001" customHeight="1">
      <c r="A39" s="831" t="str">
        <f>'Rate Case Constants'!C18</f>
        <v>AS OF APRIL 30, 2020</v>
      </c>
      <c r="B39" s="831"/>
      <c r="C39" s="831"/>
      <c r="D39" s="831"/>
      <c r="E39" s="831"/>
      <c r="F39" s="831"/>
      <c r="G39" s="831"/>
      <c r="H39" s="831"/>
      <c r="I39" s="831"/>
      <c r="J39" s="831"/>
      <c r="K39" s="831"/>
    </row>
    <row r="40" spans="1:11" s="16" customFormat="1" ht="20.100000000000001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 spans="1:11" s="16" customFormat="1" ht="20.100000000000001" customHeight="1">
      <c r="A41" s="15" t="s">
        <v>122</v>
      </c>
      <c r="B41" s="15"/>
      <c r="H41" s="22"/>
      <c r="I41" s="22"/>
      <c r="J41" s="22"/>
      <c r="K41" s="22" t="s">
        <v>167</v>
      </c>
    </row>
    <row r="42" spans="1:11" s="16" customFormat="1" ht="20.100000000000001" customHeight="1">
      <c r="A42" s="15" t="str">
        <f>$A$8</f>
        <v>TYPE OF FILING: _____ ORIGINAL  _____ UPDATED  __X__ REVISED</v>
      </c>
      <c r="H42" s="22"/>
      <c r="I42" s="22"/>
      <c r="J42" s="22"/>
      <c r="K42" s="22" t="s">
        <v>145</v>
      </c>
    </row>
    <row r="43" spans="1:11" s="16" customFormat="1" ht="20.100000000000001" customHeight="1">
      <c r="A43" s="15" t="str">
        <f>$A$9</f>
        <v>WORKPAPER REFERENCE NO(S).:</v>
      </c>
      <c r="B43" s="15"/>
      <c r="G43" s="15"/>
      <c r="H43" s="23"/>
      <c r="I43" s="23"/>
      <c r="J43" s="23"/>
      <c r="K43" s="23" t="str">
        <f>$K$9</f>
        <v>WITNESS:   C. M. GARRETT</v>
      </c>
    </row>
    <row r="44" spans="1:11" s="16" customFormat="1" ht="20.100000000000001" customHeight="1"/>
    <row r="45" spans="1:11" s="16" customFormat="1" ht="20.100000000000001" customHeight="1">
      <c r="A45" s="48"/>
      <c r="B45" s="48"/>
      <c r="C45" s="48"/>
      <c r="D45" s="48"/>
      <c r="E45" s="48"/>
      <c r="F45" s="48"/>
      <c r="G45" s="48"/>
      <c r="H45" s="839" t="s">
        <v>171</v>
      </c>
      <c r="I45" s="839"/>
      <c r="J45" s="839"/>
      <c r="K45" s="49"/>
    </row>
    <row r="46" spans="1:11" ht="43.5" customHeight="1">
      <c r="A46" s="19" t="s">
        <v>92</v>
      </c>
      <c r="B46" s="19" t="s">
        <v>95</v>
      </c>
      <c r="C46" s="19" t="s">
        <v>173</v>
      </c>
      <c r="D46" s="19" t="s">
        <v>170</v>
      </c>
      <c r="E46" s="19" t="s">
        <v>159</v>
      </c>
      <c r="F46" s="19" t="s">
        <v>160</v>
      </c>
      <c r="G46" s="19" t="s">
        <v>161</v>
      </c>
      <c r="H46" s="19" t="s">
        <v>162</v>
      </c>
      <c r="I46" s="19" t="s">
        <v>163</v>
      </c>
      <c r="J46" s="19" t="s">
        <v>165</v>
      </c>
      <c r="K46" s="50" t="s">
        <v>172</v>
      </c>
    </row>
    <row r="47" spans="1:11" ht="23.1" customHeight="1">
      <c r="A47" s="28"/>
      <c r="B47" s="28"/>
      <c r="C47" s="29"/>
      <c r="D47" s="30"/>
      <c r="E47" s="30" t="s">
        <v>103</v>
      </c>
      <c r="F47" s="30" t="s">
        <v>103</v>
      </c>
      <c r="G47" s="30" t="s">
        <v>103</v>
      </c>
      <c r="H47" s="30" t="s">
        <v>103</v>
      </c>
      <c r="I47" s="30"/>
      <c r="J47" s="30"/>
      <c r="K47" s="30"/>
    </row>
    <row r="48" spans="1:11" ht="23.1" customHeight="1">
      <c r="A48" s="153">
        <v>1</v>
      </c>
      <c r="B48" s="21"/>
      <c r="C48" s="154" t="s">
        <v>965</v>
      </c>
      <c r="D48" s="43"/>
      <c r="E48" s="43"/>
      <c r="F48" s="43"/>
      <c r="G48" s="43"/>
      <c r="H48" s="43"/>
      <c r="I48" s="43"/>
      <c r="J48" s="43"/>
      <c r="K48" s="43"/>
    </row>
    <row r="49" spans="1:11" ht="18.95" customHeight="1">
      <c r="A49" s="153">
        <f>A48+1</f>
        <v>2</v>
      </c>
      <c r="B49" s="322">
        <v>121</v>
      </c>
      <c r="C49" s="16" t="s">
        <v>958</v>
      </c>
      <c r="D49" s="155">
        <v>14596</v>
      </c>
      <c r="E49" s="327">
        <v>28.81</v>
      </c>
      <c r="F49" s="327">
        <v>1.49</v>
      </c>
      <c r="G49" s="327">
        <f>E49-F49</f>
        <v>27.32</v>
      </c>
      <c r="K49" s="16" t="s">
        <v>966</v>
      </c>
    </row>
    <row r="50" spans="1:11" ht="18.95" customHeight="1">
      <c r="A50" s="153">
        <f t="shared" ref="A50:A66" si="2">A49+1</f>
        <v>3</v>
      </c>
      <c r="B50" s="322">
        <v>121</v>
      </c>
      <c r="C50" s="16" t="s">
        <v>959</v>
      </c>
      <c r="D50" s="155">
        <v>28734</v>
      </c>
      <c r="E50" s="327">
        <v>21926.880000000001</v>
      </c>
      <c r="F50" s="327">
        <v>0</v>
      </c>
      <c r="G50" s="327">
        <f t="shared" ref="G50:G67" si="3">E50-F50</f>
        <v>21926.880000000001</v>
      </c>
      <c r="K50" s="16" t="s">
        <v>966</v>
      </c>
    </row>
    <row r="51" spans="1:11" ht="18.95" customHeight="1">
      <c r="A51" s="153">
        <f t="shared" si="2"/>
        <v>4</v>
      </c>
      <c r="B51" s="322">
        <v>121</v>
      </c>
      <c r="C51" s="16" t="s">
        <v>959</v>
      </c>
      <c r="D51" s="155">
        <v>40456</v>
      </c>
      <c r="E51" s="327">
        <v>455614.16</v>
      </c>
      <c r="F51" s="327">
        <v>0</v>
      </c>
      <c r="G51" s="327">
        <f t="shared" si="3"/>
        <v>455614.16</v>
      </c>
      <c r="K51" s="16" t="s">
        <v>966</v>
      </c>
    </row>
    <row r="52" spans="1:11" ht="18.95" customHeight="1">
      <c r="A52" s="153">
        <f t="shared" si="2"/>
        <v>5</v>
      </c>
      <c r="B52" s="322">
        <v>121</v>
      </c>
      <c r="C52" s="16" t="s">
        <v>960</v>
      </c>
      <c r="D52" s="155">
        <v>15014</v>
      </c>
      <c r="E52" s="327">
        <v>332.4</v>
      </c>
      <c r="F52" s="327">
        <v>0</v>
      </c>
      <c r="G52" s="327">
        <f t="shared" si="3"/>
        <v>332.4</v>
      </c>
      <c r="K52" s="16" t="s">
        <v>966</v>
      </c>
    </row>
    <row r="53" spans="1:11" ht="18.95" customHeight="1">
      <c r="A53" s="153">
        <f t="shared" si="2"/>
        <v>6</v>
      </c>
      <c r="B53" s="322">
        <v>121</v>
      </c>
      <c r="C53" s="16" t="s">
        <v>961</v>
      </c>
      <c r="D53" s="155">
        <v>20281</v>
      </c>
      <c r="E53" s="327">
        <v>1074.25</v>
      </c>
      <c r="F53" s="327">
        <v>0</v>
      </c>
      <c r="G53" s="327">
        <f t="shared" si="3"/>
        <v>1074.25</v>
      </c>
      <c r="K53" s="16" t="s">
        <v>966</v>
      </c>
    </row>
    <row r="54" spans="1:11" ht="18.95" customHeight="1">
      <c r="A54" s="153">
        <f t="shared" si="2"/>
        <v>7</v>
      </c>
      <c r="B54" s="322">
        <v>121</v>
      </c>
      <c r="C54" s="16" t="s">
        <v>962</v>
      </c>
      <c r="D54" s="155">
        <v>20724</v>
      </c>
      <c r="E54" s="327">
        <v>3291.32</v>
      </c>
      <c r="F54" s="327">
        <v>0</v>
      </c>
      <c r="G54" s="327">
        <f t="shared" si="3"/>
        <v>3291.32</v>
      </c>
      <c r="K54" s="16" t="s">
        <v>966</v>
      </c>
    </row>
    <row r="55" spans="1:11" ht="18.95" customHeight="1">
      <c r="A55" s="153">
        <f t="shared" si="2"/>
        <v>8</v>
      </c>
      <c r="B55" s="322">
        <v>121</v>
      </c>
      <c r="C55" s="16" t="s">
        <v>963</v>
      </c>
      <c r="D55" s="155">
        <v>26744</v>
      </c>
      <c r="E55" s="327">
        <v>5677</v>
      </c>
      <c r="F55" s="327">
        <v>0</v>
      </c>
      <c r="G55" s="327">
        <f t="shared" si="3"/>
        <v>5677</v>
      </c>
      <c r="K55" s="16" t="s">
        <v>966</v>
      </c>
    </row>
    <row r="56" spans="1:11" ht="18.95" customHeight="1">
      <c r="A56" s="153">
        <f t="shared" si="2"/>
        <v>9</v>
      </c>
      <c r="B56" s="322">
        <v>121</v>
      </c>
      <c r="C56" s="16" t="s">
        <v>964</v>
      </c>
      <c r="D56" s="155">
        <v>15522</v>
      </c>
      <c r="E56" s="327">
        <v>268.64999999999998</v>
      </c>
      <c r="F56" s="327">
        <v>0</v>
      </c>
      <c r="G56" s="327">
        <f t="shared" si="3"/>
        <v>268.64999999999998</v>
      </c>
      <c r="K56" s="16" t="s">
        <v>966</v>
      </c>
    </row>
    <row r="57" spans="1:11" ht="18.95" customHeight="1">
      <c r="A57" s="153">
        <f t="shared" si="2"/>
        <v>10</v>
      </c>
      <c r="B57" s="322">
        <v>121</v>
      </c>
      <c r="C57" s="16" t="s">
        <v>971</v>
      </c>
      <c r="D57" s="155">
        <v>36981</v>
      </c>
      <c r="E57" s="327">
        <v>50000</v>
      </c>
      <c r="F57" s="327">
        <v>0</v>
      </c>
      <c r="G57" s="327">
        <f t="shared" si="3"/>
        <v>50000</v>
      </c>
      <c r="K57" s="16" t="s">
        <v>966</v>
      </c>
    </row>
    <row r="58" spans="1:11" ht="18.95" customHeight="1">
      <c r="A58" s="153">
        <f t="shared" si="2"/>
        <v>11</v>
      </c>
      <c r="B58" s="322">
        <v>121</v>
      </c>
      <c r="C58" s="16" t="s">
        <v>1591</v>
      </c>
      <c r="D58" s="155">
        <v>29151</v>
      </c>
      <c r="E58" s="327">
        <v>28633.1</v>
      </c>
      <c r="F58" s="327">
        <v>0</v>
      </c>
      <c r="G58" s="327">
        <f t="shared" si="3"/>
        <v>28633.1</v>
      </c>
      <c r="K58" s="16" t="s">
        <v>966</v>
      </c>
    </row>
    <row r="59" spans="1:11" ht="18.95" customHeight="1">
      <c r="A59" s="153">
        <f t="shared" si="2"/>
        <v>12</v>
      </c>
      <c r="B59" s="322">
        <v>121</v>
      </c>
      <c r="C59" s="16" t="s">
        <v>953</v>
      </c>
      <c r="D59" s="155">
        <v>14792</v>
      </c>
      <c r="E59" s="327">
        <v>185.17</v>
      </c>
      <c r="F59" s="327">
        <v>0</v>
      </c>
      <c r="G59" s="327">
        <f t="shared" si="3"/>
        <v>185.17</v>
      </c>
      <c r="K59" s="16" t="s">
        <v>966</v>
      </c>
    </row>
    <row r="60" spans="1:11" ht="18.95" customHeight="1">
      <c r="A60" s="153">
        <f t="shared" si="2"/>
        <v>13</v>
      </c>
      <c r="B60" s="322">
        <v>121</v>
      </c>
      <c r="C60" s="16" t="s">
        <v>954</v>
      </c>
      <c r="D60" s="155">
        <v>14792</v>
      </c>
      <c r="E60" s="327">
        <v>14.83</v>
      </c>
      <c r="F60" s="327">
        <v>0</v>
      </c>
      <c r="G60" s="327">
        <f t="shared" si="3"/>
        <v>14.83</v>
      </c>
      <c r="K60" s="16" t="s">
        <v>966</v>
      </c>
    </row>
    <row r="61" spans="1:11" ht="18.95" customHeight="1">
      <c r="A61" s="153">
        <f t="shared" si="2"/>
        <v>14</v>
      </c>
      <c r="B61" s="322">
        <v>121</v>
      </c>
      <c r="C61" s="16" t="s">
        <v>955</v>
      </c>
      <c r="D61" s="155">
        <v>14792</v>
      </c>
      <c r="E61" s="327">
        <v>47.91</v>
      </c>
      <c r="F61" s="327">
        <v>0</v>
      </c>
      <c r="G61" s="327">
        <f t="shared" si="3"/>
        <v>47.91</v>
      </c>
      <c r="K61" s="16" t="s">
        <v>966</v>
      </c>
    </row>
    <row r="62" spans="1:11" ht="18.95" customHeight="1">
      <c r="A62" s="153">
        <f t="shared" si="2"/>
        <v>15</v>
      </c>
      <c r="B62" s="322">
        <v>121</v>
      </c>
      <c r="C62" s="16" t="s">
        <v>956</v>
      </c>
      <c r="D62" s="155">
        <v>14792</v>
      </c>
      <c r="E62" s="327">
        <v>192.14</v>
      </c>
      <c r="F62" s="327">
        <v>0</v>
      </c>
      <c r="G62" s="327">
        <f t="shared" si="3"/>
        <v>192.14</v>
      </c>
      <c r="K62" s="16" t="s">
        <v>966</v>
      </c>
    </row>
    <row r="63" spans="1:11" ht="18.95" customHeight="1">
      <c r="A63" s="153">
        <f t="shared" si="2"/>
        <v>16</v>
      </c>
      <c r="B63" s="322">
        <v>121</v>
      </c>
      <c r="C63" s="16" t="s">
        <v>957</v>
      </c>
      <c r="D63" s="155">
        <v>24288</v>
      </c>
      <c r="E63" s="327">
        <v>250</v>
      </c>
      <c r="F63" s="327">
        <v>0</v>
      </c>
      <c r="G63" s="327">
        <f t="shared" si="3"/>
        <v>250</v>
      </c>
      <c r="K63" s="16" t="s">
        <v>966</v>
      </c>
    </row>
    <row r="64" spans="1:11" ht="18.95" customHeight="1">
      <c r="A64" s="153">
        <f t="shared" si="2"/>
        <v>17</v>
      </c>
      <c r="B64" s="322">
        <v>121</v>
      </c>
      <c r="C64" s="16" t="s">
        <v>951</v>
      </c>
      <c r="D64" s="155">
        <v>19892</v>
      </c>
      <c r="E64" s="327">
        <v>31482.83</v>
      </c>
      <c r="F64" s="327">
        <f>E64</f>
        <v>31482.83</v>
      </c>
      <c r="G64" s="327">
        <f t="shared" si="3"/>
        <v>0</v>
      </c>
      <c r="K64" s="16" t="s">
        <v>966</v>
      </c>
    </row>
    <row r="65" spans="1:11" ht="18.95" customHeight="1">
      <c r="A65" s="153">
        <f t="shared" si="2"/>
        <v>18</v>
      </c>
      <c r="B65" s="322">
        <v>121</v>
      </c>
      <c r="C65" s="16" t="s">
        <v>952</v>
      </c>
      <c r="D65" s="155">
        <v>14821</v>
      </c>
      <c r="E65" s="327">
        <v>31627.599999999999</v>
      </c>
      <c r="F65" s="327">
        <f>E65</f>
        <v>31627.599999999999</v>
      </c>
      <c r="G65" s="327">
        <f t="shared" si="3"/>
        <v>0</v>
      </c>
      <c r="K65" s="16" t="s">
        <v>966</v>
      </c>
    </row>
    <row r="66" spans="1:11" ht="18.95" customHeight="1">
      <c r="A66" s="153">
        <f t="shared" si="2"/>
        <v>19</v>
      </c>
      <c r="B66" s="322">
        <v>121</v>
      </c>
      <c r="C66" s="16" t="s">
        <v>950</v>
      </c>
      <c r="D66" s="155">
        <v>14792</v>
      </c>
      <c r="E66" s="327">
        <v>249.92999999999998</v>
      </c>
      <c r="F66" s="327">
        <f>E66</f>
        <v>249.92999999999998</v>
      </c>
      <c r="G66" s="327">
        <f t="shared" si="3"/>
        <v>0</v>
      </c>
      <c r="K66" s="16" t="s">
        <v>966</v>
      </c>
    </row>
    <row r="67" spans="1:11" ht="18.95" customHeight="1" thickBot="1">
      <c r="A67" s="153">
        <f>A66+1</f>
        <v>20</v>
      </c>
      <c r="B67" s="19"/>
      <c r="C67" s="16" t="s">
        <v>967</v>
      </c>
      <c r="D67" s="155"/>
      <c r="E67" s="330">
        <f>SUM(E49:E66)</f>
        <v>630896.98</v>
      </c>
      <c r="F67" s="330">
        <f>SUM(F49:F66)</f>
        <v>63361.85</v>
      </c>
      <c r="G67" s="330">
        <f t="shared" si="3"/>
        <v>567535.13</v>
      </c>
      <c r="H67" s="330">
        <f>SUM(H49:H66)</f>
        <v>0</v>
      </c>
      <c r="K67" s="16" t="s">
        <v>966</v>
      </c>
    </row>
    <row r="68" spans="1:11" ht="18.95" customHeight="1" thickTop="1">
      <c r="B68" s="19"/>
      <c r="C68" s="16"/>
      <c r="E68" s="34"/>
      <c r="K68" s="68"/>
    </row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51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topLeftCell="A216" zoomScaleNormal="100" workbookViewId="0">
      <selection activeCell="D234" sqref="D234"/>
    </sheetView>
  </sheetViews>
  <sheetFormatPr defaultColWidth="7.109375" defaultRowHeight="12.75"/>
  <cols>
    <col min="1" max="1" width="5.33203125" style="17" customWidth="1"/>
    <col min="2" max="2" width="10.44140625" style="17" customWidth="1"/>
    <col min="3" max="3" width="45.21875" style="17" customWidth="1"/>
    <col min="4" max="4" width="11.88671875" style="17" customWidth="1"/>
    <col min="5" max="5" width="12.109375" style="17" customWidth="1"/>
    <col min="6" max="6" width="11.88671875" style="17" customWidth="1"/>
    <col min="7" max="7" width="12.77734375" style="17" customWidth="1"/>
    <col min="8" max="8" width="15.6640625" style="17" customWidth="1"/>
    <col min="9" max="9" width="22.109375" style="17" customWidth="1"/>
    <col min="10" max="10" width="1.44140625" style="17" customWidth="1"/>
    <col min="11" max="16384" width="7.109375" style="17"/>
  </cols>
  <sheetData>
    <row r="1" spans="1:9" s="16" customFormat="1" ht="20.100000000000001" customHeight="1">
      <c r="A1" s="832" t="s">
        <v>784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2" t="s">
        <v>2533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1927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1" t="s">
        <v>1813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775"/>
      <c r="B5" s="775"/>
      <c r="C5" s="775"/>
      <c r="D5" s="775"/>
      <c r="E5" s="775"/>
      <c r="F5" s="775"/>
      <c r="G5" s="775"/>
      <c r="H5" s="775"/>
      <c r="I5" s="775"/>
    </row>
    <row r="6" spans="1:9" s="16" customFormat="1" ht="20.100000000000001" customHeight="1">
      <c r="A6" s="15" t="s">
        <v>122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2065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7" customHeight="1">
      <c r="A10" s="80" t="s">
        <v>92</v>
      </c>
      <c r="B10" s="80" t="s">
        <v>95</v>
      </c>
      <c r="C10" s="80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2066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461134296.81963104</v>
      </c>
      <c r="E15" s="621">
        <f>IF(D15=0,0,F15/D15)</f>
        <v>1</v>
      </c>
      <c r="F15" s="34">
        <v>461134296.81963104</v>
      </c>
      <c r="G15" s="34">
        <v>-72291391.525920048</v>
      </c>
      <c r="H15" s="34">
        <f>SUM(F15:G15)</f>
        <v>388842905.29371101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394637255.54299378</v>
      </c>
      <c r="E16" s="621">
        <f t="shared" ref="E16:E19" si="1">IF(D16=0,0,F16/D16)</f>
        <v>1</v>
      </c>
      <c r="F16" s="34">
        <v>394637255.54299378</v>
      </c>
      <c r="G16" s="34">
        <v>-61832496.313965328</v>
      </c>
      <c r="H16" s="34">
        <f t="shared" ref="H16:H19" si="2">SUM(F16:G16)</f>
        <v>332804759.22902846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185571134.3197318</v>
      </c>
      <c r="E17" s="621">
        <f t="shared" si="1"/>
        <v>1</v>
      </c>
      <c r="F17" s="34">
        <v>185571134.3197318</v>
      </c>
      <c r="G17" s="34">
        <v>-26544495.887530766</v>
      </c>
      <c r="H17" s="34">
        <f t="shared" si="2"/>
        <v>159026638.43220103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3528784.7572885407</v>
      </c>
      <c r="E18" s="621">
        <f t="shared" si="1"/>
        <v>1</v>
      </c>
      <c r="F18" s="34">
        <v>3528784.7572885407</v>
      </c>
      <c r="G18" s="34">
        <v>-517750.67986738129</v>
      </c>
      <c r="H18" s="34">
        <f t="shared" si="2"/>
        <v>3011034.0774211595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93613847.61273694</v>
      </c>
      <c r="E19" s="621">
        <f t="shared" si="1"/>
        <v>1</v>
      </c>
      <c r="F19" s="52">
        <v>93613847.61273694</v>
      </c>
      <c r="G19" s="52">
        <v>-14651635.444144348</v>
      </c>
      <c r="H19" s="52">
        <f t="shared" si="2"/>
        <v>78962212.168592587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1138485319.0523822</v>
      </c>
      <c r="F20" s="34">
        <f>SUM(F15:F19)</f>
        <v>1138485319.0523822</v>
      </c>
      <c r="G20" s="34">
        <f>SUM(G15:G19)</f>
        <v>-175837769.85142788</v>
      </c>
      <c r="H20" s="34">
        <f>SUM(H15:H19)</f>
        <v>962647549.2009542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44529219.045518585</v>
      </c>
      <c r="E21" s="621">
        <f t="shared" ref="E21" si="3">IF(D21=0,0,F21/D21)</f>
        <v>1</v>
      </c>
      <c r="F21" s="34">
        <v>44529219.045518585</v>
      </c>
      <c r="G21" s="34">
        <v>-6966827.1455186456</v>
      </c>
      <c r="H21" s="34">
        <f t="shared" ref="H21:H22" si="4">SUM(F21:G21)</f>
        <v>37562391.899999939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4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1183014538.0979009</v>
      </c>
      <c r="F23" s="623">
        <f>SUM(F20:F22)</f>
        <v>1183014538.0979009</v>
      </c>
      <c r="G23" s="623">
        <f>SUM(G20:G22)</f>
        <v>-182804596.99694651</v>
      </c>
      <c r="H23" s="623">
        <f>SUM(H20:H22)</f>
        <v>1000209941.1009542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2710126.0333333327</v>
      </c>
      <c r="E26" s="621">
        <f t="shared" ref="E26:E29" si="5">IF(D26=0,0,F26/D26)</f>
        <v>1</v>
      </c>
      <c r="F26" s="34">
        <v>2710126.0333333327</v>
      </c>
      <c r="G26" s="34">
        <v>0</v>
      </c>
      <c r="H26" s="34">
        <f t="shared" ref="H26:H29" si="6">SUM(F26:G26)</f>
        <v>2710126.0333333327</v>
      </c>
      <c r="I26" s="309"/>
    </row>
    <row r="27" spans="1:9" ht="18.95" customHeight="1">
      <c r="A27" s="18">
        <f t="shared" ref="A27:A30" si="7">A26+1</f>
        <v>14</v>
      </c>
      <c r="B27" s="18">
        <v>451</v>
      </c>
      <c r="C27" s="125" t="s">
        <v>1951</v>
      </c>
      <c r="D27" s="34">
        <v>1473099.3166666664</v>
      </c>
      <c r="E27" s="621">
        <f t="shared" si="5"/>
        <v>1</v>
      </c>
      <c r="F27" s="34">
        <v>1473099.3166666664</v>
      </c>
      <c r="G27" s="34">
        <v>0</v>
      </c>
      <c r="H27" s="34">
        <f t="shared" si="6"/>
        <v>1473099.3166666664</v>
      </c>
      <c r="I27" s="309"/>
    </row>
    <row r="28" spans="1:9" ht="18.95" customHeight="1">
      <c r="A28" s="18">
        <f t="shared" si="7"/>
        <v>15</v>
      </c>
      <c r="B28" s="18">
        <v>454</v>
      </c>
      <c r="C28" t="s">
        <v>1952</v>
      </c>
      <c r="D28" s="34">
        <v>4212272.2700000014</v>
      </c>
      <c r="E28" s="621">
        <f t="shared" si="5"/>
        <v>1</v>
      </c>
      <c r="F28" s="34">
        <v>4212272.2700000014</v>
      </c>
      <c r="G28" s="34">
        <v>0</v>
      </c>
      <c r="H28" s="34">
        <f t="shared" si="6"/>
        <v>4212272.2700000014</v>
      </c>
      <c r="I28" s="309"/>
    </row>
    <row r="29" spans="1:9" ht="18.95" customHeight="1">
      <c r="A29" s="18">
        <f t="shared" si="7"/>
        <v>16</v>
      </c>
      <c r="B29" s="18">
        <v>456</v>
      </c>
      <c r="C29" t="s">
        <v>1953</v>
      </c>
      <c r="D29" s="52">
        <v>13378759.106033998</v>
      </c>
      <c r="E29" s="621">
        <f t="shared" si="5"/>
        <v>1</v>
      </c>
      <c r="F29" s="52">
        <v>13378759.106033998</v>
      </c>
      <c r="G29" s="52">
        <v>0</v>
      </c>
      <c r="H29" s="52">
        <f t="shared" si="6"/>
        <v>13378759.106033998</v>
      </c>
      <c r="I29" s="309"/>
    </row>
    <row r="30" spans="1:9" ht="18.95" customHeight="1">
      <c r="A30" s="18">
        <f t="shared" si="7"/>
        <v>17</v>
      </c>
      <c r="B30" s="18"/>
      <c r="C30" s="26" t="s">
        <v>1954</v>
      </c>
      <c r="D30" s="623">
        <f>SUM(D26:D29)</f>
        <v>21774256.726034001</v>
      </c>
      <c r="F30" s="623">
        <f>SUM(F26:F29)</f>
        <v>21774256.726034001</v>
      </c>
      <c r="G30" s="623">
        <f>SUM(G26:G29)</f>
        <v>0</v>
      </c>
      <c r="H30" s="623">
        <f>SUM(H26:H29)</f>
        <v>21774256.726034001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1204788794.8239348</v>
      </c>
      <c r="F32" s="52">
        <f>F23+F30</f>
        <v>1204788794.8239348</v>
      </c>
      <c r="G32" s="52">
        <f>G23+G30</f>
        <v>-182804596.99694651</v>
      </c>
      <c r="H32" s="52">
        <f>H23+H30</f>
        <v>1021984197.8269882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8">A35+1</f>
        <v>21</v>
      </c>
      <c r="B36" s="18"/>
      <c r="C36" s="622" t="s">
        <v>1957</v>
      </c>
    </row>
    <row r="37" spans="1:9" ht="18.95" customHeight="1">
      <c r="A37" s="18">
        <f t="shared" si="8"/>
        <v>22</v>
      </c>
      <c r="B37" s="859">
        <v>500</v>
      </c>
      <c r="C37" t="s">
        <v>1958</v>
      </c>
      <c r="D37" s="34">
        <v>5245333</v>
      </c>
      <c r="E37" s="621">
        <f t="shared" ref="E37:E39" si="9">IF(D37=0,0,F37/D37)</f>
        <v>1</v>
      </c>
      <c r="F37" s="34">
        <v>5245333</v>
      </c>
      <c r="G37" s="34">
        <v>0</v>
      </c>
      <c r="H37" s="34">
        <f t="shared" ref="H37:H61" si="10">SUM(F37:G37)</f>
        <v>5245333</v>
      </c>
      <c r="I37" s="309"/>
    </row>
    <row r="38" spans="1:9" ht="18.95" customHeight="1">
      <c r="A38" s="18">
        <f t="shared" si="8"/>
        <v>23</v>
      </c>
      <c r="B38" s="859">
        <v>501</v>
      </c>
      <c r="C38" t="s">
        <v>1959</v>
      </c>
      <c r="D38" s="34">
        <v>249923014.71824455</v>
      </c>
      <c r="E38" s="621">
        <f t="shared" si="9"/>
        <v>1</v>
      </c>
      <c r="F38" s="34">
        <v>249923014.71824455</v>
      </c>
      <c r="G38" s="34">
        <v>5226757.588387588</v>
      </c>
      <c r="H38" s="34">
        <f t="shared" si="10"/>
        <v>255149772.30663213</v>
      </c>
      <c r="I38" s="309"/>
    </row>
    <row r="39" spans="1:9" ht="18.95" customHeight="1">
      <c r="A39" s="18">
        <f t="shared" si="8"/>
        <v>24</v>
      </c>
      <c r="B39" s="859">
        <v>502</v>
      </c>
      <c r="C39" t="s">
        <v>1960</v>
      </c>
      <c r="D39" s="34">
        <v>22356626.999999937</v>
      </c>
      <c r="E39" s="621">
        <f t="shared" si="9"/>
        <v>1</v>
      </c>
      <c r="F39" s="34">
        <v>22356626.999999937</v>
      </c>
      <c r="G39" s="34">
        <v>-635647.42105114402</v>
      </c>
      <c r="H39" s="34">
        <f t="shared" si="10"/>
        <v>21720979.578948792</v>
      </c>
      <c r="I39" s="309"/>
    </row>
    <row r="40" spans="1:9" ht="18.95" customHeight="1">
      <c r="A40" s="18">
        <f t="shared" si="8"/>
        <v>25</v>
      </c>
      <c r="B40" s="859">
        <v>504</v>
      </c>
      <c r="C40" t="s">
        <v>1961</v>
      </c>
      <c r="D40" s="34">
        <v>0</v>
      </c>
      <c r="E40" s="621">
        <f>IF(D40=0,1,F40/D40)</f>
        <v>1</v>
      </c>
      <c r="F40" s="34">
        <v>0</v>
      </c>
      <c r="G40" s="34">
        <v>0</v>
      </c>
      <c r="H40" s="34">
        <f t="shared" si="10"/>
        <v>0</v>
      </c>
      <c r="I40" s="309"/>
    </row>
    <row r="41" spans="1:9" s="16" customFormat="1" ht="20.100000000000001" customHeight="1">
      <c r="A41" s="831" t="str">
        <f>$A$1</f>
        <v>LOUISVILLE GAS AND ELECTRIC COMPANY</v>
      </c>
      <c r="B41" s="831"/>
      <c r="C41" s="831"/>
      <c r="D41" s="831"/>
      <c r="E41" s="831"/>
      <c r="F41" s="831"/>
      <c r="G41" s="831"/>
      <c r="H41" s="831"/>
      <c r="I41" s="831"/>
    </row>
    <row r="42" spans="1:9" s="16" customFormat="1" ht="20.100000000000001" customHeight="1">
      <c r="A42" s="831" t="str">
        <f>$A$2</f>
        <v>CASE NO. 2018-00295 - ELECTRIC OPERATIONS</v>
      </c>
      <c r="B42" s="831"/>
      <c r="C42" s="831"/>
      <c r="D42" s="831"/>
      <c r="E42" s="831"/>
      <c r="F42" s="831"/>
      <c r="G42" s="831"/>
      <c r="H42" s="831"/>
      <c r="I42" s="831"/>
    </row>
    <row r="43" spans="1:9" s="16" customFormat="1" ht="20.100000000000001" customHeight="1">
      <c r="A43" s="831" t="s">
        <v>1927</v>
      </c>
      <c r="B43" s="831"/>
      <c r="C43" s="831"/>
      <c r="D43" s="831"/>
      <c r="E43" s="831"/>
      <c r="F43" s="831"/>
      <c r="G43" s="831"/>
      <c r="H43" s="831"/>
      <c r="I43" s="831"/>
    </row>
    <row r="44" spans="1:9" s="16" customFormat="1" ht="20.100000000000001" customHeight="1">
      <c r="A44" s="831" t="str">
        <f>$A$4</f>
        <v>FOR THE 12 MONTHS ENDED APRIL 30, 2020</v>
      </c>
      <c r="B44" s="831"/>
      <c r="C44" s="831"/>
      <c r="D44" s="831"/>
      <c r="E44" s="831"/>
      <c r="F44" s="831"/>
      <c r="G44" s="831"/>
      <c r="H44" s="831"/>
      <c r="I44" s="831"/>
    </row>
    <row r="45" spans="1:9" s="16" customFormat="1" ht="20.100000000000001" customHeight="1">
      <c r="A45" s="775"/>
      <c r="B45" s="775"/>
      <c r="C45" s="775"/>
      <c r="D45" s="775"/>
      <c r="E45" s="775"/>
      <c r="F45" s="775"/>
      <c r="G45" s="775"/>
      <c r="H45" s="775"/>
      <c r="I45" s="775"/>
    </row>
    <row r="46" spans="1:9" s="16" customFormat="1" ht="20.100000000000001" customHeight="1">
      <c r="A46" s="16" t="str">
        <f>$A$6</f>
        <v>DATA:____BASE  PERIOD__X__FORECASTED  PERIOD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2067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2066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59">
        <v>505</v>
      </c>
      <c r="C53" t="s">
        <v>1963</v>
      </c>
      <c r="D53" s="34">
        <v>2266885</v>
      </c>
      <c r="E53" s="621">
        <f t="shared" ref="E53:E61" si="11">IF(D53=0,0,F53/D53)</f>
        <v>1</v>
      </c>
      <c r="F53" s="34">
        <v>2266885</v>
      </c>
      <c r="G53" s="34">
        <v>0</v>
      </c>
      <c r="H53" s="34">
        <f t="shared" si="10"/>
        <v>2266885</v>
      </c>
      <c r="I53" s="309"/>
    </row>
    <row r="54" spans="1:9" ht="18.95" customHeight="1">
      <c r="A54" s="18">
        <f t="shared" si="8"/>
        <v>27</v>
      </c>
      <c r="B54" s="859">
        <v>506</v>
      </c>
      <c r="C54" t="s">
        <v>1964</v>
      </c>
      <c r="D54" s="34">
        <v>14915615.999999989</v>
      </c>
      <c r="E54" s="621">
        <f t="shared" si="11"/>
        <v>1</v>
      </c>
      <c r="F54" s="34">
        <v>14915615.999999989</v>
      </c>
      <c r="G54" s="34">
        <v>-5680293.9999999953</v>
      </c>
      <c r="H54" s="34">
        <f t="shared" si="10"/>
        <v>9235321.9999999925</v>
      </c>
      <c r="I54" s="309"/>
    </row>
    <row r="55" spans="1:9" ht="18.95" customHeight="1">
      <c r="A55" s="18">
        <f t="shared" si="8"/>
        <v>28</v>
      </c>
      <c r="B55" s="859">
        <v>507</v>
      </c>
      <c r="C55" t="s">
        <v>1965</v>
      </c>
      <c r="D55" s="34">
        <v>0</v>
      </c>
      <c r="E55" s="621">
        <f>IF(D55=0,1,F55/D55)</f>
        <v>1</v>
      </c>
      <c r="F55" s="34">
        <v>0</v>
      </c>
      <c r="G55" s="34">
        <v>0</v>
      </c>
      <c r="H55" s="34">
        <f t="shared" si="10"/>
        <v>0</v>
      </c>
      <c r="I55" s="309"/>
    </row>
    <row r="56" spans="1:9" ht="18.95" customHeight="1">
      <c r="A56" s="18">
        <f t="shared" si="8"/>
        <v>29</v>
      </c>
      <c r="B56" s="859">
        <v>509</v>
      </c>
      <c r="C56" t="s">
        <v>1966</v>
      </c>
      <c r="D56" s="34">
        <v>0</v>
      </c>
      <c r="E56" s="621">
        <f>IF(D56=0,1,F56/D56)</f>
        <v>1</v>
      </c>
      <c r="F56" s="34">
        <v>0</v>
      </c>
      <c r="G56" s="34">
        <v>0</v>
      </c>
      <c r="H56" s="34">
        <f t="shared" si="10"/>
        <v>0</v>
      </c>
      <c r="I56" s="309"/>
    </row>
    <row r="57" spans="1:9" ht="18.95" customHeight="1">
      <c r="A57" s="18">
        <f t="shared" si="8"/>
        <v>30</v>
      </c>
      <c r="B57" s="859">
        <v>510</v>
      </c>
      <c r="C57" t="s">
        <v>1967</v>
      </c>
      <c r="D57" s="34">
        <v>5612576.9999999981</v>
      </c>
      <c r="E57" s="621">
        <f t="shared" si="11"/>
        <v>1</v>
      </c>
      <c r="F57" s="34">
        <v>5612576.9999999981</v>
      </c>
      <c r="G57" s="34">
        <v>0</v>
      </c>
      <c r="H57" s="34">
        <f t="shared" si="10"/>
        <v>5612576.9999999981</v>
      </c>
      <c r="I57" s="309"/>
    </row>
    <row r="58" spans="1:9" ht="18.95" customHeight="1">
      <c r="A58" s="18">
        <f t="shared" si="8"/>
        <v>31</v>
      </c>
      <c r="B58" s="859">
        <v>511</v>
      </c>
      <c r="C58" t="s">
        <v>1968</v>
      </c>
      <c r="D58" s="34">
        <v>2881080</v>
      </c>
      <c r="E58" s="621">
        <f t="shared" si="11"/>
        <v>1</v>
      </c>
      <c r="F58" s="34">
        <v>2881080</v>
      </c>
      <c r="G58" s="34">
        <v>0</v>
      </c>
      <c r="H58" s="34">
        <f t="shared" si="10"/>
        <v>2881080</v>
      </c>
      <c r="I58" s="309"/>
    </row>
    <row r="59" spans="1:9" ht="18.95" customHeight="1">
      <c r="A59" s="18">
        <f t="shared" si="8"/>
        <v>32</v>
      </c>
      <c r="B59" s="859">
        <v>512</v>
      </c>
      <c r="C59" t="s">
        <v>1969</v>
      </c>
      <c r="D59" s="34">
        <v>35634387</v>
      </c>
      <c r="E59" s="621">
        <f t="shared" si="11"/>
        <v>1</v>
      </c>
      <c r="F59" s="34">
        <v>35634387</v>
      </c>
      <c r="G59" s="34">
        <v>-4287647.9999999972</v>
      </c>
      <c r="H59" s="34">
        <f t="shared" si="10"/>
        <v>31346739.000000004</v>
      </c>
      <c r="I59" s="309"/>
    </row>
    <row r="60" spans="1:9" ht="18.95" customHeight="1">
      <c r="A60" s="18">
        <f t="shared" si="8"/>
        <v>33</v>
      </c>
      <c r="B60" s="859">
        <v>513</v>
      </c>
      <c r="C60" t="s">
        <v>1970</v>
      </c>
      <c r="D60" s="34">
        <v>12216510.999999989</v>
      </c>
      <c r="E60" s="621">
        <f t="shared" si="11"/>
        <v>1</v>
      </c>
      <c r="F60" s="34">
        <v>12216510.999999989</v>
      </c>
      <c r="G60" s="34">
        <v>0</v>
      </c>
      <c r="H60" s="34">
        <f t="shared" si="10"/>
        <v>12216510.999999989</v>
      </c>
      <c r="I60" s="309"/>
    </row>
    <row r="61" spans="1:9" ht="18.95" customHeight="1">
      <c r="A61" s="18">
        <f t="shared" si="8"/>
        <v>34</v>
      </c>
      <c r="B61" s="859">
        <v>514</v>
      </c>
      <c r="C61" t="s">
        <v>1971</v>
      </c>
      <c r="D61" s="34">
        <v>1628282</v>
      </c>
      <c r="E61" s="621">
        <f t="shared" si="11"/>
        <v>1</v>
      </c>
      <c r="F61" s="34">
        <v>1628282</v>
      </c>
      <c r="G61" s="34">
        <v>0</v>
      </c>
      <c r="H61" s="34">
        <f t="shared" si="10"/>
        <v>1628282</v>
      </c>
      <c r="I61" s="309"/>
    </row>
    <row r="62" spans="1:9" ht="18.95" customHeight="1">
      <c r="A62" s="18">
        <f t="shared" si="8"/>
        <v>35</v>
      </c>
      <c r="B62" s="859"/>
      <c r="C62" s="860" t="s">
        <v>1078</v>
      </c>
      <c r="D62" s="623">
        <f>SUM(D37:D61)</f>
        <v>352680312.71824449</v>
      </c>
      <c r="F62" s="623">
        <f>SUM(F37:F61)</f>
        <v>352680312.71824449</v>
      </c>
      <c r="G62" s="623">
        <f>SUM(G37:G61)</f>
        <v>-5376831.8326635482</v>
      </c>
      <c r="H62" s="623">
        <f>SUM(H37:H61)</f>
        <v>347303480.8855809</v>
      </c>
      <c r="I62" s="309"/>
    </row>
    <row r="63" spans="1:9" ht="18.95" customHeight="1">
      <c r="B63" s="859"/>
      <c r="C63" s="860"/>
      <c r="I63" s="309"/>
    </row>
    <row r="64" spans="1:9" ht="18.95" customHeight="1">
      <c r="A64" s="18">
        <f>A62+1</f>
        <v>36</v>
      </c>
      <c r="B64" s="859"/>
      <c r="C64" s="767" t="s">
        <v>1972</v>
      </c>
    </row>
    <row r="65" spans="1:9" ht="18.95" customHeight="1">
      <c r="A65" s="18">
        <f>A64+1</f>
        <v>37</v>
      </c>
      <c r="B65" s="859">
        <v>535</v>
      </c>
      <c r="C65" t="s">
        <v>1973</v>
      </c>
      <c r="D65" s="34">
        <v>130582</v>
      </c>
      <c r="E65" s="621">
        <f t="shared" ref="E65:E74" si="12">IF(D65=0,0,F65/D65)</f>
        <v>1</v>
      </c>
      <c r="F65" s="34">
        <v>130582</v>
      </c>
      <c r="G65" s="34">
        <v>0</v>
      </c>
      <c r="H65" s="34">
        <f t="shared" ref="H65:H75" si="13">SUM(F65:G65)</f>
        <v>130582</v>
      </c>
      <c r="I65" s="309"/>
    </row>
    <row r="66" spans="1:9" ht="18.95" customHeight="1">
      <c r="A66" s="18">
        <f t="shared" ref="A66:A107" si="14">A65+1</f>
        <v>38</v>
      </c>
      <c r="B66" s="859">
        <v>536</v>
      </c>
      <c r="C66" t="s">
        <v>1974</v>
      </c>
      <c r="D66" s="34">
        <v>41836</v>
      </c>
      <c r="E66" s="621">
        <f t="shared" si="12"/>
        <v>1</v>
      </c>
      <c r="F66" s="34">
        <v>41836</v>
      </c>
      <c r="G66" s="34">
        <v>0</v>
      </c>
      <c r="H66" s="34">
        <f t="shared" si="13"/>
        <v>41836</v>
      </c>
      <c r="I66" s="309"/>
    </row>
    <row r="67" spans="1:9" ht="18.95" customHeight="1">
      <c r="A67" s="18">
        <f t="shared" si="14"/>
        <v>39</v>
      </c>
      <c r="B67" s="859">
        <v>537</v>
      </c>
      <c r="C67" t="s">
        <v>1975</v>
      </c>
      <c r="D67" s="34">
        <v>0</v>
      </c>
      <c r="E67" s="621">
        <f>IF(D67=0,1,F67/D67)</f>
        <v>1</v>
      </c>
      <c r="F67" s="34">
        <v>0</v>
      </c>
      <c r="G67" s="34">
        <v>0</v>
      </c>
      <c r="H67" s="34">
        <f t="shared" si="13"/>
        <v>0</v>
      </c>
      <c r="I67" s="309"/>
    </row>
    <row r="68" spans="1:9" ht="18.95" customHeight="1">
      <c r="A68" s="18">
        <f t="shared" si="14"/>
        <v>40</v>
      </c>
      <c r="B68" s="859">
        <v>538</v>
      </c>
      <c r="C68" t="s">
        <v>1963</v>
      </c>
      <c r="D68" s="34">
        <v>341222</v>
      </c>
      <c r="E68" s="621">
        <f t="shared" si="12"/>
        <v>1</v>
      </c>
      <c r="F68" s="34">
        <v>341222</v>
      </c>
      <c r="G68" s="34">
        <v>0</v>
      </c>
      <c r="H68" s="34">
        <f t="shared" si="13"/>
        <v>341222</v>
      </c>
      <c r="I68" s="309"/>
    </row>
    <row r="69" spans="1:9" ht="18.95" customHeight="1">
      <c r="A69" s="18">
        <f t="shared" si="14"/>
        <v>41</v>
      </c>
      <c r="B69" s="859">
        <v>539</v>
      </c>
      <c r="C69" t="s">
        <v>1976</v>
      </c>
      <c r="D69" s="34">
        <v>182805</v>
      </c>
      <c r="E69" s="621">
        <f t="shared" si="12"/>
        <v>1</v>
      </c>
      <c r="F69" s="34">
        <v>182805</v>
      </c>
      <c r="G69" s="34">
        <v>0</v>
      </c>
      <c r="H69" s="34">
        <f t="shared" si="13"/>
        <v>182805</v>
      </c>
      <c r="I69" s="309"/>
    </row>
    <row r="70" spans="1:9" ht="18.95" customHeight="1">
      <c r="A70" s="18">
        <f t="shared" si="14"/>
        <v>42</v>
      </c>
      <c r="B70" s="859">
        <v>540</v>
      </c>
      <c r="C70" t="s">
        <v>1965</v>
      </c>
      <c r="D70" s="34">
        <v>550840</v>
      </c>
      <c r="E70" s="621">
        <f t="shared" si="12"/>
        <v>1</v>
      </c>
      <c r="F70" s="34">
        <v>550840</v>
      </c>
      <c r="G70" s="34">
        <v>0</v>
      </c>
      <c r="H70" s="34">
        <f t="shared" si="13"/>
        <v>550840</v>
      </c>
      <c r="I70" s="309"/>
    </row>
    <row r="71" spans="1:9" ht="18.95" customHeight="1">
      <c r="A71" s="18">
        <f t="shared" si="14"/>
        <v>43</v>
      </c>
      <c r="B71" s="859">
        <v>541</v>
      </c>
      <c r="C71" t="s">
        <v>1977</v>
      </c>
      <c r="D71" s="34">
        <v>0</v>
      </c>
      <c r="E71" s="621">
        <f>IF(D71=0,1,F71/D71)</f>
        <v>1</v>
      </c>
      <c r="F71" s="34">
        <v>0</v>
      </c>
      <c r="G71" s="34">
        <v>0</v>
      </c>
      <c r="H71" s="34">
        <f t="shared" si="13"/>
        <v>0</v>
      </c>
      <c r="I71" s="309"/>
    </row>
    <row r="72" spans="1:9" ht="18.95" customHeight="1">
      <c r="A72" s="18">
        <f t="shared" si="14"/>
        <v>44</v>
      </c>
      <c r="B72" s="859">
        <v>542</v>
      </c>
      <c r="C72" t="s">
        <v>1968</v>
      </c>
      <c r="D72" s="34">
        <v>346343</v>
      </c>
      <c r="E72" s="621">
        <f t="shared" si="12"/>
        <v>1</v>
      </c>
      <c r="F72" s="34">
        <v>346343</v>
      </c>
      <c r="G72" s="34">
        <v>0</v>
      </c>
      <c r="H72" s="34">
        <f t="shared" si="13"/>
        <v>346343</v>
      </c>
      <c r="I72" s="309"/>
    </row>
    <row r="73" spans="1:9" ht="18.95" customHeight="1">
      <c r="A73" s="18">
        <f t="shared" si="14"/>
        <v>45</v>
      </c>
      <c r="B73" s="859">
        <v>543</v>
      </c>
      <c r="C73" t="s">
        <v>1978</v>
      </c>
      <c r="D73" s="34">
        <v>210945</v>
      </c>
      <c r="E73" s="621">
        <f t="shared" si="12"/>
        <v>1</v>
      </c>
      <c r="F73" s="34">
        <v>210945</v>
      </c>
      <c r="G73" s="34">
        <v>0</v>
      </c>
      <c r="H73" s="34">
        <f t="shared" si="13"/>
        <v>210945</v>
      </c>
      <c r="I73" s="309"/>
    </row>
    <row r="74" spans="1:9" ht="18.95" customHeight="1">
      <c r="A74" s="18">
        <f t="shared" si="14"/>
        <v>46</v>
      </c>
      <c r="B74" s="859">
        <v>544</v>
      </c>
      <c r="C74" t="s">
        <v>1970</v>
      </c>
      <c r="D74" s="34">
        <v>264928</v>
      </c>
      <c r="E74" s="621">
        <f t="shared" si="12"/>
        <v>1</v>
      </c>
      <c r="F74" s="34">
        <v>264928</v>
      </c>
      <c r="G74" s="34">
        <v>0</v>
      </c>
      <c r="H74" s="34">
        <f t="shared" si="13"/>
        <v>264928</v>
      </c>
      <c r="I74" s="309"/>
    </row>
    <row r="75" spans="1:9" ht="18.95" customHeight="1">
      <c r="A75" s="18">
        <f t="shared" si="14"/>
        <v>47</v>
      </c>
      <c r="B75" s="859">
        <v>545</v>
      </c>
      <c r="C75" t="s">
        <v>1979</v>
      </c>
      <c r="D75" s="34">
        <v>75728</v>
      </c>
      <c r="E75" s="621">
        <f>IF(D75=0,1,F75/D75)</f>
        <v>1</v>
      </c>
      <c r="F75" s="34">
        <v>75728</v>
      </c>
      <c r="G75" s="34">
        <v>0</v>
      </c>
      <c r="H75" s="34">
        <f t="shared" si="13"/>
        <v>75728</v>
      </c>
      <c r="I75" s="309"/>
    </row>
    <row r="76" spans="1:9" ht="18.95" customHeight="1">
      <c r="A76" s="18">
        <f t="shared" si="14"/>
        <v>48</v>
      </c>
      <c r="B76" s="859"/>
      <c r="C76" s="125" t="s">
        <v>1980</v>
      </c>
      <c r="D76" s="623">
        <f>SUM(D65:D75)</f>
        <v>2145229</v>
      </c>
      <c r="F76" s="623">
        <f>SUM(F65:F75)</f>
        <v>2145229</v>
      </c>
      <c r="G76" s="623">
        <f>SUM(G65:G75)</f>
        <v>0</v>
      </c>
      <c r="H76" s="623">
        <f>SUM(H65:H75)</f>
        <v>2145229</v>
      </c>
    </row>
    <row r="77" spans="1:9" ht="18.95" customHeight="1">
      <c r="A77" s="18"/>
      <c r="B77" s="859"/>
      <c r="C77" s="860"/>
    </row>
    <row r="78" spans="1:9" ht="18.95" customHeight="1">
      <c r="A78" s="18">
        <f>A76+1</f>
        <v>49</v>
      </c>
      <c r="B78" s="859"/>
      <c r="C78" s="767" t="s">
        <v>1981</v>
      </c>
    </row>
    <row r="79" spans="1:9" ht="18.95" customHeight="1">
      <c r="A79" s="18">
        <f>A78+1</f>
        <v>50</v>
      </c>
      <c r="B79" s="859">
        <v>546</v>
      </c>
      <c r="C79" t="s">
        <v>1982</v>
      </c>
      <c r="D79" s="34">
        <v>362462.99999999977</v>
      </c>
      <c r="E79" s="621">
        <f t="shared" ref="E79:E81" si="15">IF(D79=0,0,F79/D79)</f>
        <v>1</v>
      </c>
      <c r="F79" s="34">
        <v>362462.99999999977</v>
      </c>
      <c r="G79" s="34">
        <v>0</v>
      </c>
      <c r="H79" s="34">
        <f t="shared" ref="H79:H99" si="16">SUM(F79:G79)</f>
        <v>362462.99999999977</v>
      </c>
      <c r="I79" s="309"/>
    </row>
    <row r="80" spans="1:9" ht="18.95" customHeight="1">
      <c r="A80" s="18">
        <f t="shared" si="14"/>
        <v>51</v>
      </c>
      <c r="B80" s="859">
        <v>547</v>
      </c>
      <c r="C80" t="s">
        <v>1983</v>
      </c>
      <c r="D80" s="34">
        <v>49892673.697033383</v>
      </c>
      <c r="E80" s="621">
        <f t="shared" si="15"/>
        <v>1</v>
      </c>
      <c r="F80" s="34">
        <v>49892673.697033383</v>
      </c>
      <c r="G80" s="34">
        <v>0</v>
      </c>
      <c r="H80" s="34">
        <f t="shared" si="16"/>
        <v>49892673.697033383</v>
      </c>
      <c r="I80" s="309"/>
    </row>
    <row r="81" spans="1:9" ht="18.95" customHeight="1">
      <c r="A81" s="18">
        <f t="shared" si="14"/>
        <v>52</v>
      </c>
      <c r="B81" s="859">
        <v>548</v>
      </c>
      <c r="C81" t="s">
        <v>1984</v>
      </c>
      <c r="D81" s="34">
        <v>256302</v>
      </c>
      <c r="E81" s="621">
        <f t="shared" si="15"/>
        <v>1</v>
      </c>
      <c r="F81" s="34">
        <v>256302</v>
      </c>
      <c r="G81" s="34">
        <v>0</v>
      </c>
      <c r="H81" s="34">
        <f t="shared" si="16"/>
        <v>256302</v>
      </c>
      <c r="I81" s="309"/>
    </row>
    <row r="82" spans="1:9" s="16" customFormat="1" ht="20.100000000000001" customHeight="1">
      <c r="A82" s="831" t="str">
        <f>$A$1</f>
        <v>LOUISVILLE GAS AND ELECTRIC COMPANY</v>
      </c>
      <c r="B82" s="831"/>
      <c r="C82" s="831"/>
      <c r="D82" s="831"/>
      <c r="E82" s="831"/>
      <c r="F82" s="831"/>
      <c r="G82" s="831"/>
      <c r="H82" s="831"/>
      <c r="I82" s="831"/>
    </row>
    <row r="83" spans="1:9" s="16" customFormat="1" ht="20.100000000000001" customHeight="1">
      <c r="A83" s="831" t="str">
        <f>$A$2</f>
        <v>CASE NO. 2018-00295 - ELECTRIC OPERATIONS</v>
      </c>
      <c r="B83" s="831"/>
      <c r="C83" s="831"/>
      <c r="D83" s="831"/>
      <c r="E83" s="831"/>
      <c r="F83" s="831"/>
      <c r="G83" s="831"/>
      <c r="H83" s="831"/>
      <c r="I83" s="831"/>
    </row>
    <row r="84" spans="1:9" s="16" customFormat="1" ht="20.100000000000001" customHeight="1">
      <c r="A84" s="831" t="s">
        <v>1927</v>
      </c>
      <c r="B84" s="831"/>
      <c r="C84" s="831"/>
      <c r="D84" s="831"/>
      <c r="E84" s="831"/>
      <c r="F84" s="831"/>
      <c r="G84" s="831"/>
      <c r="H84" s="831"/>
      <c r="I84" s="831"/>
    </row>
    <row r="85" spans="1:9" s="16" customFormat="1" ht="20.100000000000001" customHeight="1">
      <c r="A85" s="831" t="str">
        <f>$A$4</f>
        <v>FOR THE 12 MONTHS ENDED APRIL 30, 2020</v>
      </c>
      <c r="B85" s="831"/>
      <c r="C85" s="831"/>
      <c r="D85" s="831"/>
      <c r="E85" s="831"/>
      <c r="F85" s="831"/>
      <c r="G85" s="831"/>
      <c r="H85" s="831"/>
      <c r="I85" s="831"/>
    </row>
    <row r="86" spans="1:9" s="16" customFormat="1" ht="20.100000000000001" customHeight="1">
      <c r="A86" s="775"/>
      <c r="B86" s="775"/>
      <c r="C86" s="775"/>
      <c r="D86" s="775"/>
      <c r="E86" s="775"/>
      <c r="F86" s="775"/>
      <c r="G86" s="775"/>
      <c r="H86" s="775"/>
      <c r="I86" s="775"/>
    </row>
    <row r="87" spans="1:9" s="16" customFormat="1" ht="20.100000000000001" customHeight="1">
      <c r="A87" s="16" t="str">
        <f>$A$6</f>
        <v>DATA:____BASE  PERIOD__X__FORECASTED  PERIOD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2068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2066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59">
        <v>549</v>
      </c>
      <c r="C94" t="s">
        <v>1986</v>
      </c>
      <c r="D94" s="34">
        <v>1377328</v>
      </c>
      <c r="E94" s="621">
        <f t="shared" ref="E94:E96" si="17">IF(D94=0,1,F94/D94)</f>
        <v>1</v>
      </c>
      <c r="F94" s="34">
        <v>1377328</v>
      </c>
      <c r="G94" s="34">
        <v>0</v>
      </c>
      <c r="H94" s="34">
        <f t="shared" si="16"/>
        <v>1377328</v>
      </c>
      <c r="I94" s="309"/>
    </row>
    <row r="95" spans="1:9" ht="18.95" customHeight="1">
      <c r="A95" s="18">
        <f t="shared" si="14"/>
        <v>54</v>
      </c>
      <c r="B95" s="859">
        <v>550</v>
      </c>
      <c r="C95" t="s">
        <v>1965</v>
      </c>
      <c r="D95" s="34">
        <v>11276</v>
      </c>
      <c r="E95" s="621">
        <f t="shared" si="17"/>
        <v>1</v>
      </c>
      <c r="F95" s="34">
        <v>11276</v>
      </c>
      <c r="G95" s="34">
        <v>0</v>
      </c>
      <c r="H95" s="34">
        <f t="shared" si="16"/>
        <v>11276</v>
      </c>
      <c r="I95" s="309"/>
    </row>
    <row r="96" spans="1:9" ht="18.95" customHeight="1">
      <c r="A96" s="18">
        <f t="shared" si="14"/>
        <v>55</v>
      </c>
      <c r="B96" s="859">
        <v>551</v>
      </c>
      <c r="C96" t="s">
        <v>1967</v>
      </c>
      <c r="D96" s="34">
        <v>119676.99999999999</v>
      </c>
      <c r="E96" s="621">
        <f t="shared" si="17"/>
        <v>1</v>
      </c>
      <c r="F96" s="34">
        <v>119676.99999999999</v>
      </c>
      <c r="G96" s="34">
        <v>0</v>
      </c>
      <c r="H96" s="34">
        <f t="shared" si="16"/>
        <v>119676.99999999999</v>
      </c>
      <c r="I96" s="309"/>
    </row>
    <row r="97" spans="1:9" ht="18.95" customHeight="1">
      <c r="A97" s="18">
        <f t="shared" si="14"/>
        <v>56</v>
      </c>
      <c r="B97" s="859">
        <v>552</v>
      </c>
      <c r="C97" t="s">
        <v>1968</v>
      </c>
      <c r="D97" s="34">
        <v>216286</v>
      </c>
      <c r="E97" s="621">
        <f t="shared" ref="E97:E99" si="18">IF(D97=0,0,F97/D97)</f>
        <v>1</v>
      </c>
      <c r="F97" s="34">
        <v>216286</v>
      </c>
      <c r="G97" s="34">
        <v>0</v>
      </c>
      <c r="H97" s="34">
        <f t="shared" si="16"/>
        <v>216286</v>
      </c>
      <c r="I97" s="309"/>
    </row>
    <row r="98" spans="1:9" ht="18.95" customHeight="1">
      <c r="A98" s="18">
        <f t="shared" si="14"/>
        <v>57</v>
      </c>
      <c r="B98" s="859">
        <v>553</v>
      </c>
      <c r="C98" t="s">
        <v>1987</v>
      </c>
      <c r="D98" s="34">
        <v>2456569</v>
      </c>
      <c r="E98" s="621">
        <f t="shared" si="18"/>
        <v>1</v>
      </c>
      <c r="F98" s="34">
        <v>2456569</v>
      </c>
      <c r="G98" s="34">
        <v>0</v>
      </c>
      <c r="H98" s="34">
        <f t="shared" si="16"/>
        <v>2456569</v>
      </c>
      <c r="I98" s="309"/>
    </row>
    <row r="99" spans="1:9" ht="18.95" customHeight="1">
      <c r="A99" s="18">
        <f t="shared" si="14"/>
        <v>58</v>
      </c>
      <c r="B99" s="859">
        <v>554</v>
      </c>
      <c r="C99" t="s">
        <v>1988</v>
      </c>
      <c r="D99" s="34">
        <v>1720577</v>
      </c>
      <c r="E99" s="621">
        <f t="shared" si="18"/>
        <v>1</v>
      </c>
      <c r="F99" s="34">
        <v>1720577</v>
      </c>
      <c r="G99" s="34">
        <v>0</v>
      </c>
      <c r="H99" s="34">
        <f t="shared" si="16"/>
        <v>1720577</v>
      </c>
      <c r="I99" s="309"/>
    </row>
    <row r="100" spans="1:9" ht="18.95" customHeight="1">
      <c r="A100" s="18">
        <f t="shared" si="14"/>
        <v>59</v>
      </c>
      <c r="B100" s="859"/>
      <c r="C100" s="125" t="s">
        <v>1105</v>
      </c>
      <c r="D100" s="623">
        <f>SUM(D79:D99)</f>
        <v>56413151.697033383</v>
      </c>
      <c r="F100" s="623">
        <f>SUM(F79:F99)</f>
        <v>56413151.697033383</v>
      </c>
      <c r="G100" s="623">
        <f>SUM(G79:G99)</f>
        <v>0</v>
      </c>
      <c r="H100" s="623">
        <f>SUM(H79:H99)</f>
        <v>56413151.697033383</v>
      </c>
    </row>
    <row r="101" spans="1:9" ht="18.95" customHeight="1">
      <c r="A101" s="18"/>
      <c r="B101" s="859"/>
      <c r="C101" s="125"/>
    </row>
    <row r="102" spans="1:9" ht="18.95" customHeight="1">
      <c r="A102" s="18">
        <f>A100+1</f>
        <v>60</v>
      </c>
      <c r="B102" s="859"/>
      <c r="C102" s="767" t="s">
        <v>1989</v>
      </c>
    </row>
    <row r="103" spans="1:9" ht="18.95" customHeight="1">
      <c r="A103" s="18">
        <f>A102+1</f>
        <v>61</v>
      </c>
      <c r="B103" s="859">
        <v>555</v>
      </c>
      <c r="C103" t="s">
        <v>1990</v>
      </c>
      <c r="D103" s="34">
        <v>49827806.296580851</v>
      </c>
      <c r="E103" s="621">
        <f t="shared" ref="E103:E105" si="19">IF(D103=0,0,F103/D103)</f>
        <v>1</v>
      </c>
      <c r="F103" s="34">
        <v>49827806.296580851</v>
      </c>
      <c r="G103" s="34">
        <v>-764831.44375259208</v>
      </c>
      <c r="H103" s="34">
        <f t="shared" ref="H103:H105" si="20">SUM(F103:G103)</f>
        <v>49062974.852828257</v>
      </c>
      <c r="I103" s="309"/>
    </row>
    <row r="104" spans="1:9" ht="18.95" customHeight="1">
      <c r="A104" s="18">
        <f t="shared" si="14"/>
        <v>62</v>
      </c>
      <c r="B104" s="859">
        <v>556</v>
      </c>
      <c r="C104" t="s">
        <v>1991</v>
      </c>
      <c r="D104" s="34">
        <v>1221517</v>
      </c>
      <c r="E104" s="621">
        <f t="shared" si="19"/>
        <v>1</v>
      </c>
      <c r="F104" s="34">
        <v>1221517</v>
      </c>
      <c r="G104" s="34">
        <v>0</v>
      </c>
      <c r="H104" s="34">
        <f t="shared" si="20"/>
        <v>1221517</v>
      </c>
      <c r="I104" s="309"/>
    </row>
    <row r="105" spans="1:9" ht="18.95" customHeight="1">
      <c r="A105" s="18">
        <f t="shared" si="14"/>
        <v>63</v>
      </c>
      <c r="B105" s="859">
        <v>557</v>
      </c>
      <c r="C105" t="s">
        <v>1992</v>
      </c>
      <c r="D105" s="34">
        <v>208576.99999999968</v>
      </c>
      <c r="E105" s="621">
        <f t="shared" si="19"/>
        <v>1</v>
      </c>
      <c r="F105" s="34">
        <v>208576.99999999968</v>
      </c>
      <c r="G105" s="34">
        <v>-111087</v>
      </c>
      <c r="H105" s="34">
        <f t="shared" si="20"/>
        <v>97489.99999999968</v>
      </c>
      <c r="I105" s="309"/>
    </row>
    <row r="106" spans="1:9" ht="18.95" customHeight="1">
      <c r="A106" s="18">
        <f t="shared" si="14"/>
        <v>64</v>
      </c>
      <c r="B106" s="859"/>
      <c r="C106" s="125" t="s">
        <v>1993</v>
      </c>
      <c r="D106" s="623">
        <f>SUM(D103:D105)</f>
        <v>51257900.296580851</v>
      </c>
      <c r="F106" s="623">
        <f>SUM(F103:F105)</f>
        <v>51257900.296580851</v>
      </c>
      <c r="G106" s="623">
        <f>SUM(G103:G105)</f>
        <v>-875918.44375259208</v>
      </c>
      <c r="H106" s="623">
        <f>SUM(H103:H105)</f>
        <v>50381981.852828257</v>
      </c>
      <c r="I106" s="309"/>
    </row>
    <row r="107" spans="1:9" ht="18.95" customHeight="1">
      <c r="A107" s="18">
        <f t="shared" si="14"/>
        <v>65</v>
      </c>
      <c r="B107" s="859"/>
      <c r="C107" s="125" t="s">
        <v>1112</v>
      </c>
      <c r="D107" s="623">
        <f>SUM(D62,D76,D100,D106)</f>
        <v>462496593.71185875</v>
      </c>
      <c r="F107" s="623">
        <f>SUM(F62,F76,F100,F106)</f>
        <v>462496593.71185875</v>
      </c>
      <c r="G107" s="623">
        <f>SUM(G62,G76,G100,G106)</f>
        <v>-6252750.2764161406</v>
      </c>
      <c r="H107" s="623">
        <f>SUM(H62,H76,H100,H106)</f>
        <v>456243843.43544257</v>
      </c>
      <c r="I107" s="309"/>
    </row>
    <row r="108" spans="1:9" ht="18.95" customHeight="1">
      <c r="B108" s="859"/>
      <c r="C108" s="125"/>
      <c r="I108" s="309"/>
    </row>
    <row r="109" spans="1:9" ht="18.95" customHeight="1">
      <c r="A109" s="18">
        <f>A107+1</f>
        <v>66</v>
      </c>
      <c r="B109" s="859"/>
      <c r="C109" s="767" t="s">
        <v>1113</v>
      </c>
      <c r="I109" s="309"/>
    </row>
    <row r="110" spans="1:9" ht="18.95" customHeight="1">
      <c r="A110" s="18">
        <f>A109+1</f>
        <v>67</v>
      </c>
      <c r="B110" s="859">
        <v>560</v>
      </c>
      <c r="C110" t="s">
        <v>1994</v>
      </c>
      <c r="D110" s="34">
        <v>1137829</v>
      </c>
      <c r="E110" s="621">
        <f t="shared" ref="E110:E111" si="21">IF(D110=0,0,F110/D110)</f>
        <v>1</v>
      </c>
      <c r="F110" s="34">
        <v>1137829</v>
      </c>
      <c r="G110" s="34">
        <v>0</v>
      </c>
      <c r="H110" s="34">
        <f t="shared" ref="H110:H136" si="22">SUM(F110:G110)</f>
        <v>1137829</v>
      </c>
      <c r="I110" s="309"/>
    </row>
    <row r="111" spans="1:9" ht="18.95" customHeight="1">
      <c r="A111" s="18">
        <f t="shared" ref="A111:A137" si="23">A110+1</f>
        <v>68</v>
      </c>
      <c r="B111" s="859">
        <v>561</v>
      </c>
      <c r="C111" t="s">
        <v>1995</v>
      </c>
      <c r="D111" s="34">
        <v>2820946.9999999981</v>
      </c>
      <c r="E111" s="621">
        <f t="shared" si="21"/>
        <v>1</v>
      </c>
      <c r="F111" s="34">
        <v>2820946.9999999981</v>
      </c>
      <c r="G111" s="34">
        <v>0</v>
      </c>
      <c r="H111" s="34">
        <f t="shared" si="22"/>
        <v>2820946.9999999981</v>
      </c>
      <c r="I111" s="309"/>
    </row>
    <row r="112" spans="1:9" ht="18.95" customHeight="1">
      <c r="A112" s="18">
        <f t="shared" si="23"/>
        <v>69</v>
      </c>
      <c r="B112" s="859">
        <v>562</v>
      </c>
      <c r="C112" t="s">
        <v>1996</v>
      </c>
      <c r="D112" s="34">
        <v>879604</v>
      </c>
      <c r="E112" s="621">
        <f t="shared" ref="E112:E122" si="24">IF(D112=0,1,F112/D112)</f>
        <v>1</v>
      </c>
      <c r="F112" s="34">
        <v>879604</v>
      </c>
      <c r="G112" s="34">
        <v>0</v>
      </c>
      <c r="H112" s="34">
        <f t="shared" si="22"/>
        <v>879604</v>
      </c>
      <c r="I112" s="309"/>
    </row>
    <row r="113" spans="1:9" ht="18.95" customHeight="1">
      <c r="A113" s="18">
        <f t="shared" si="23"/>
        <v>70</v>
      </c>
      <c r="B113" s="859">
        <v>563</v>
      </c>
      <c r="C113" t="s">
        <v>1997</v>
      </c>
      <c r="D113" s="34">
        <v>282836</v>
      </c>
      <c r="E113" s="621">
        <f t="shared" si="24"/>
        <v>1</v>
      </c>
      <c r="F113" s="34">
        <v>282836</v>
      </c>
      <c r="G113" s="34">
        <v>0</v>
      </c>
      <c r="H113" s="34">
        <f t="shared" si="22"/>
        <v>282836</v>
      </c>
      <c r="I113" s="309"/>
    </row>
    <row r="114" spans="1:9" ht="18.95" customHeight="1">
      <c r="A114" s="18">
        <f t="shared" si="23"/>
        <v>71</v>
      </c>
      <c r="B114" s="859">
        <v>564</v>
      </c>
      <c r="C114" t="s">
        <v>1998</v>
      </c>
      <c r="D114" s="34">
        <v>0</v>
      </c>
      <c r="E114" s="621">
        <f t="shared" si="24"/>
        <v>1</v>
      </c>
      <c r="F114" s="34">
        <v>0</v>
      </c>
      <c r="G114" s="34">
        <v>0</v>
      </c>
      <c r="H114" s="34">
        <f t="shared" si="22"/>
        <v>0</v>
      </c>
      <c r="I114" s="309"/>
    </row>
    <row r="115" spans="1:9" ht="18.95" customHeight="1">
      <c r="A115" s="18">
        <f t="shared" si="23"/>
        <v>72</v>
      </c>
      <c r="B115" s="859">
        <v>565</v>
      </c>
      <c r="C115" t="s">
        <v>1999</v>
      </c>
      <c r="D115" s="34">
        <v>893766.99999999988</v>
      </c>
      <c r="E115" s="621">
        <f t="shared" si="24"/>
        <v>1</v>
      </c>
      <c r="F115" s="34">
        <v>893766.99999999988</v>
      </c>
      <c r="G115" s="34">
        <v>-819285.00000000012</v>
      </c>
      <c r="H115" s="34">
        <f t="shared" si="22"/>
        <v>74481.999999999767</v>
      </c>
      <c r="I115" s="309"/>
    </row>
    <row r="116" spans="1:9" ht="18.95" customHeight="1">
      <c r="A116" s="18">
        <f t="shared" si="23"/>
        <v>73</v>
      </c>
      <c r="B116" s="859">
        <v>566</v>
      </c>
      <c r="C116" t="s">
        <v>2000</v>
      </c>
      <c r="D116" s="34">
        <v>12483912</v>
      </c>
      <c r="E116" s="621">
        <f t="shared" si="24"/>
        <v>1</v>
      </c>
      <c r="F116" s="34">
        <v>12483912</v>
      </c>
      <c r="G116" s="34">
        <v>0</v>
      </c>
      <c r="H116" s="34">
        <f t="shared" si="22"/>
        <v>12483912</v>
      </c>
      <c r="I116" s="309"/>
    </row>
    <row r="117" spans="1:9" ht="18.95" customHeight="1">
      <c r="A117" s="18">
        <f t="shared" si="23"/>
        <v>74</v>
      </c>
      <c r="B117" s="859">
        <v>567</v>
      </c>
      <c r="C117" t="s">
        <v>1965</v>
      </c>
      <c r="D117" s="34">
        <v>106235.99999999996</v>
      </c>
      <c r="E117" s="621">
        <f t="shared" si="24"/>
        <v>1</v>
      </c>
      <c r="F117" s="34">
        <v>106235.99999999996</v>
      </c>
      <c r="G117" s="34">
        <v>0</v>
      </c>
      <c r="H117" s="34">
        <f t="shared" si="22"/>
        <v>106235.99999999996</v>
      </c>
      <c r="I117" s="309"/>
    </row>
    <row r="118" spans="1:9" ht="18.95" customHeight="1">
      <c r="A118" s="18">
        <f t="shared" si="23"/>
        <v>75</v>
      </c>
      <c r="B118" s="859">
        <v>568</v>
      </c>
      <c r="C118" t="s">
        <v>2001</v>
      </c>
      <c r="D118" s="34">
        <v>0</v>
      </c>
      <c r="E118" s="621">
        <f t="shared" si="24"/>
        <v>1</v>
      </c>
      <c r="F118" s="34">
        <v>0</v>
      </c>
      <c r="G118" s="34">
        <v>0</v>
      </c>
      <c r="H118" s="34">
        <f t="shared" si="22"/>
        <v>0</v>
      </c>
      <c r="I118" s="309"/>
    </row>
    <row r="119" spans="1:9" ht="18.95" customHeight="1">
      <c r="A119" s="18">
        <f t="shared" si="23"/>
        <v>76</v>
      </c>
      <c r="B119" s="859">
        <v>569</v>
      </c>
      <c r="C119" t="s">
        <v>1968</v>
      </c>
      <c r="D119" s="34">
        <v>0</v>
      </c>
      <c r="E119" s="621">
        <f t="shared" si="24"/>
        <v>1</v>
      </c>
      <c r="F119" s="34">
        <v>0</v>
      </c>
      <c r="G119" s="34">
        <v>0</v>
      </c>
      <c r="H119" s="34">
        <f t="shared" si="22"/>
        <v>0</v>
      </c>
      <c r="I119" s="309"/>
    </row>
    <row r="120" spans="1:9" ht="18.95" customHeight="1">
      <c r="A120" s="18">
        <f t="shared" si="23"/>
        <v>77</v>
      </c>
      <c r="B120" s="859">
        <v>570</v>
      </c>
      <c r="C120" t="s">
        <v>2002</v>
      </c>
      <c r="D120" s="34">
        <v>1626847</v>
      </c>
      <c r="E120" s="621">
        <f t="shared" si="24"/>
        <v>1</v>
      </c>
      <c r="F120" s="34">
        <v>1626847</v>
      </c>
      <c r="G120" s="34">
        <v>0</v>
      </c>
      <c r="H120" s="34">
        <f t="shared" si="22"/>
        <v>1626847</v>
      </c>
      <c r="I120" s="309"/>
    </row>
    <row r="121" spans="1:9" ht="18.95" customHeight="1">
      <c r="A121" s="18">
        <f t="shared" si="23"/>
        <v>78</v>
      </c>
      <c r="B121" s="859">
        <v>571</v>
      </c>
      <c r="C121" t="s">
        <v>2003</v>
      </c>
      <c r="D121" s="34">
        <v>4036038</v>
      </c>
      <c r="E121" s="621">
        <f t="shared" si="24"/>
        <v>1</v>
      </c>
      <c r="F121" s="34">
        <v>4036038</v>
      </c>
      <c r="G121" s="34">
        <v>0</v>
      </c>
      <c r="H121" s="34">
        <f t="shared" si="22"/>
        <v>4036038</v>
      </c>
      <c r="I121" s="309"/>
    </row>
    <row r="122" spans="1:9" ht="18.95" customHeight="1">
      <c r="A122" s="18">
        <f t="shared" si="23"/>
        <v>79</v>
      </c>
      <c r="B122" s="859">
        <v>572</v>
      </c>
      <c r="C122" t="s">
        <v>2004</v>
      </c>
      <c r="D122" s="34">
        <v>0</v>
      </c>
      <c r="E122" s="621">
        <f t="shared" si="24"/>
        <v>1</v>
      </c>
      <c r="F122" s="34">
        <v>0</v>
      </c>
      <c r="G122" s="34">
        <v>0</v>
      </c>
      <c r="H122" s="34">
        <f t="shared" si="22"/>
        <v>0</v>
      </c>
      <c r="I122" s="309"/>
    </row>
    <row r="123" spans="1:9" s="16" customFormat="1" ht="20.100000000000001" customHeight="1">
      <c r="A123" s="831" t="str">
        <f>$A$1</f>
        <v>LOUISVILLE GAS AND ELECTRIC COMPANY</v>
      </c>
      <c r="B123" s="831"/>
      <c r="C123" s="831"/>
      <c r="D123" s="831"/>
      <c r="E123" s="831"/>
      <c r="F123" s="831"/>
      <c r="G123" s="831"/>
      <c r="H123" s="831"/>
      <c r="I123" s="831"/>
    </row>
    <row r="124" spans="1:9" s="16" customFormat="1" ht="20.100000000000001" customHeight="1">
      <c r="A124" s="831" t="str">
        <f>$A$2</f>
        <v>CASE NO. 2018-00295 - ELECTRIC OPERATIONS</v>
      </c>
      <c r="B124" s="831"/>
      <c r="C124" s="831"/>
      <c r="D124" s="831"/>
      <c r="E124" s="831"/>
      <c r="F124" s="831"/>
      <c r="G124" s="831"/>
      <c r="H124" s="831"/>
      <c r="I124" s="831"/>
    </row>
    <row r="125" spans="1:9" s="16" customFormat="1" ht="20.100000000000001" customHeight="1">
      <c r="A125" s="831" t="s">
        <v>1927</v>
      </c>
      <c r="B125" s="831"/>
      <c r="C125" s="831"/>
      <c r="D125" s="831"/>
      <c r="E125" s="831"/>
      <c r="F125" s="831"/>
      <c r="G125" s="831"/>
      <c r="H125" s="831"/>
      <c r="I125" s="831"/>
    </row>
    <row r="126" spans="1:9" s="16" customFormat="1" ht="20.100000000000001" customHeight="1">
      <c r="A126" s="831" t="str">
        <f>$A$4</f>
        <v>FOR THE 12 MONTHS ENDED APRIL 30, 2020</v>
      </c>
      <c r="B126" s="831"/>
      <c r="C126" s="831"/>
      <c r="D126" s="831"/>
      <c r="E126" s="831"/>
      <c r="F126" s="831"/>
      <c r="G126" s="831"/>
      <c r="H126" s="831"/>
      <c r="I126" s="831"/>
    </row>
    <row r="127" spans="1:9" s="16" customFormat="1" ht="20.100000000000001" customHeight="1">
      <c r="A127" s="775"/>
      <c r="B127" s="775"/>
      <c r="C127" s="775"/>
      <c r="D127" s="775"/>
      <c r="E127" s="775"/>
      <c r="F127" s="775"/>
      <c r="G127" s="775"/>
      <c r="H127" s="775"/>
      <c r="I127" s="775"/>
    </row>
    <row r="128" spans="1:9" s="16" customFormat="1" ht="20.100000000000001" customHeight="1">
      <c r="A128" s="16" t="str">
        <f>$A$6</f>
        <v>DATA:____BASE  PERIOD__X__FORECASTED  PERIOD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2069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2066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59">
        <v>573</v>
      </c>
      <c r="C135" t="s">
        <v>2006</v>
      </c>
      <c r="D135" s="34">
        <v>241427</v>
      </c>
      <c r="E135" s="621">
        <f t="shared" ref="E135" si="25">IF(D135=0,0,F135/D135)</f>
        <v>1</v>
      </c>
      <c r="F135" s="34">
        <v>241427</v>
      </c>
      <c r="G135" s="34">
        <v>0</v>
      </c>
      <c r="H135" s="34">
        <f t="shared" si="22"/>
        <v>241427</v>
      </c>
      <c r="I135" s="309"/>
    </row>
    <row r="136" spans="1:9" ht="18.95" customHeight="1">
      <c r="A136" s="18">
        <f t="shared" si="23"/>
        <v>81</v>
      </c>
      <c r="B136" s="859">
        <v>575</v>
      </c>
      <c r="C136" t="s">
        <v>2007</v>
      </c>
      <c r="D136" s="34">
        <v>0</v>
      </c>
      <c r="E136" s="621">
        <f>IF(D136=0,1,F136/D136)</f>
        <v>1</v>
      </c>
      <c r="F136" s="34">
        <v>0</v>
      </c>
      <c r="G136" s="34">
        <v>0</v>
      </c>
      <c r="H136" s="34">
        <f t="shared" si="22"/>
        <v>0</v>
      </c>
      <c r="I136" s="309"/>
    </row>
    <row r="137" spans="1:9" ht="18.95" customHeight="1">
      <c r="A137" s="18">
        <f t="shared" si="23"/>
        <v>82</v>
      </c>
      <c r="B137" s="859"/>
      <c r="C137" s="125" t="s">
        <v>1131</v>
      </c>
      <c r="D137" s="623">
        <f>SUM(D110:D136)</f>
        <v>24509443</v>
      </c>
      <c r="F137" s="623">
        <f>SUM(F110:F136)</f>
        <v>24509443</v>
      </c>
      <c r="G137" s="623">
        <f>SUM(G110:G136)</f>
        <v>-819285.00000000012</v>
      </c>
      <c r="H137" s="623">
        <f>SUM(H110:H136)</f>
        <v>23690158</v>
      </c>
      <c r="I137" s="309"/>
    </row>
    <row r="138" spans="1:9" ht="18.95" customHeight="1">
      <c r="B138" s="859"/>
      <c r="C138"/>
      <c r="I138" s="309"/>
    </row>
    <row r="139" spans="1:9" ht="18.95" customHeight="1">
      <c r="A139" s="18">
        <f>A137+1</f>
        <v>83</v>
      </c>
      <c r="B139" s="859"/>
      <c r="C139" s="767" t="s">
        <v>1132</v>
      </c>
      <c r="I139" s="309"/>
    </row>
    <row r="140" spans="1:9" ht="18.95" customHeight="1">
      <c r="A140" s="18">
        <f>A139+1</f>
        <v>84</v>
      </c>
      <c r="B140" s="859">
        <v>580</v>
      </c>
      <c r="C140" t="s">
        <v>2008</v>
      </c>
      <c r="D140" s="34">
        <v>2214909.9999999991</v>
      </c>
      <c r="E140" s="621">
        <f t="shared" ref="E140:E158" si="26">IF(D140=0,0,F140/D140)</f>
        <v>1</v>
      </c>
      <c r="F140" s="34">
        <v>2214909.9999999991</v>
      </c>
      <c r="G140" s="34">
        <v>0</v>
      </c>
      <c r="H140" s="34">
        <f t="shared" ref="H140:H158" si="27">SUM(F140:G140)</f>
        <v>2214909.9999999991</v>
      </c>
      <c r="I140" s="309"/>
    </row>
    <row r="141" spans="1:9" ht="18.95" customHeight="1">
      <c r="A141" s="18">
        <f t="shared" ref="A141:A159" si="28">A140+1</f>
        <v>85</v>
      </c>
      <c r="B141" s="859">
        <v>581</v>
      </c>
      <c r="C141" t="s">
        <v>1995</v>
      </c>
      <c r="D141" s="34">
        <v>206349.99999999991</v>
      </c>
      <c r="E141" s="621">
        <f t="shared" si="26"/>
        <v>1</v>
      </c>
      <c r="F141" s="34">
        <v>206349.99999999991</v>
      </c>
      <c r="G141" s="34">
        <v>0</v>
      </c>
      <c r="H141" s="34">
        <f t="shared" si="27"/>
        <v>206349.99999999991</v>
      </c>
      <c r="I141" s="309"/>
    </row>
    <row r="142" spans="1:9" ht="18.95" customHeight="1">
      <c r="A142" s="18">
        <f t="shared" si="28"/>
        <v>86</v>
      </c>
      <c r="B142" s="859">
        <v>582</v>
      </c>
      <c r="C142" t="s">
        <v>1996</v>
      </c>
      <c r="D142" s="34">
        <v>1704223</v>
      </c>
      <c r="E142" s="621">
        <f t="shared" si="26"/>
        <v>1</v>
      </c>
      <c r="F142" s="34">
        <v>1704223</v>
      </c>
      <c r="G142" s="34">
        <v>0</v>
      </c>
      <c r="H142" s="34">
        <f t="shared" si="27"/>
        <v>1704223</v>
      </c>
      <c r="I142" s="309"/>
    </row>
    <row r="143" spans="1:9" ht="18.95" customHeight="1">
      <c r="A143" s="18">
        <f t="shared" si="28"/>
        <v>87</v>
      </c>
      <c r="B143" s="859">
        <v>583</v>
      </c>
      <c r="C143" t="s">
        <v>1997</v>
      </c>
      <c r="D143" s="34">
        <v>8116042.9999999991</v>
      </c>
      <c r="E143" s="621">
        <f t="shared" si="26"/>
        <v>1</v>
      </c>
      <c r="F143" s="34">
        <v>8116042.9999999991</v>
      </c>
      <c r="G143" s="34">
        <v>0</v>
      </c>
      <c r="H143" s="34">
        <f t="shared" si="27"/>
        <v>8116042.9999999991</v>
      </c>
      <c r="I143" s="309"/>
    </row>
    <row r="144" spans="1:9" ht="18.95" customHeight="1">
      <c r="A144" s="18">
        <f t="shared" si="28"/>
        <v>88</v>
      </c>
      <c r="B144" s="859">
        <v>584</v>
      </c>
      <c r="C144" t="s">
        <v>1998</v>
      </c>
      <c r="D144" s="34">
        <v>535265</v>
      </c>
      <c r="E144" s="621">
        <f t="shared" si="26"/>
        <v>1</v>
      </c>
      <c r="F144" s="34">
        <v>535265</v>
      </c>
      <c r="G144" s="34">
        <v>0</v>
      </c>
      <c r="H144" s="34">
        <f t="shared" si="27"/>
        <v>535265</v>
      </c>
      <c r="I144" s="309"/>
    </row>
    <row r="145" spans="1:9" ht="18.95" customHeight="1">
      <c r="A145" s="18">
        <f t="shared" si="28"/>
        <v>89</v>
      </c>
      <c r="B145" s="859">
        <v>585</v>
      </c>
      <c r="C145" t="s">
        <v>2009</v>
      </c>
      <c r="D145" s="34">
        <v>0</v>
      </c>
      <c r="E145" s="621">
        <f t="shared" ref="E145:E157" si="29">IF(D145=0,1,F145/D145)</f>
        <v>1</v>
      </c>
      <c r="F145" s="34">
        <v>0</v>
      </c>
      <c r="G145" s="34">
        <v>0</v>
      </c>
      <c r="H145" s="34">
        <f t="shared" si="27"/>
        <v>0</v>
      </c>
      <c r="I145" s="309"/>
    </row>
    <row r="146" spans="1:9" ht="18.95" customHeight="1">
      <c r="A146" s="18">
        <f t="shared" si="28"/>
        <v>90</v>
      </c>
      <c r="B146" s="859">
        <v>586</v>
      </c>
      <c r="C146" t="s">
        <v>2010</v>
      </c>
      <c r="D146" s="34">
        <v>8418826</v>
      </c>
      <c r="E146" s="621">
        <f t="shared" si="29"/>
        <v>1</v>
      </c>
      <c r="F146" s="34">
        <v>8418826</v>
      </c>
      <c r="G146" s="34">
        <v>0</v>
      </c>
      <c r="H146" s="34">
        <f t="shared" si="27"/>
        <v>8418826</v>
      </c>
      <c r="I146" s="309"/>
    </row>
    <row r="147" spans="1:9" ht="18.95" customHeight="1">
      <c r="A147" s="18">
        <f t="shared" si="28"/>
        <v>91</v>
      </c>
      <c r="B147" s="859">
        <v>587</v>
      </c>
      <c r="C147" t="s">
        <v>2011</v>
      </c>
      <c r="D147" s="34">
        <v>0</v>
      </c>
      <c r="E147" s="621">
        <f t="shared" si="29"/>
        <v>1</v>
      </c>
      <c r="F147" s="34">
        <v>0</v>
      </c>
      <c r="G147" s="34">
        <v>0</v>
      </c>
      <c r="H147" s="34">
        <f t="shared" si="27"/>
        <v>0</v>
      </c>
      <c r="I147" s="309"/>
    </row>
    <row r="148" spans="1:9" ht="18.95" customHeight="1">
      <c r="A148" s="18">
        <f t="shared" si="28"/>
        <v>92</v>
      </c>
      <c r="B148" s="859">
        <v>588</v>
      </c>
      <c r="C148" t="s">
        <v>2012</v>
      </c>
      <c r="D148" s="34">
        <v>6162192.9999999991</v>
      </c>
      <c r="E148" s="621">
        <f t="shared" si="29"/>
        <v>1</v>
      </c>
      <c r="F148" s="34">
        <v>6162192.9999999991</v>
      </c>
      <c r="G148" s="34">
        <v>0</v>
      </c>
      <c r="H148" s="34">
        <f t="shared" si="27"/>
        <v>6162192.9999999991</v>
      </c>
      <c r="I148" s="309"/>
    </row>
    <row r="149" spans="1:9" ht="18.95" customHeight="1">
      <c r="A149" s="18">
        <f t="shared" si="28"/>
        <v>93</v>
      </c>
      <c r="B149" s="859">
        <v>589</v>
      </c>
      <c r="C149" t="s">
        <v>1965</v>
      </c>
      <c r="D149" s="34">
        <v>20000</v>
      </c>
      <c r="E149" s="621">
        <f t="shared" si="29"/>
        <v>1</v>
      </c>
      <c r="F149" s="34">
        <v>20000</v>
      </c>
      <c r="G149" s="34">
        <v>0</v>
      </c>
      <c r="H149" s="34">
        <f t="shared" si="27"/>
        <v>20000</v>
      </c>
      <c r="I149" s="309"/>
    </row>
    <row r="150" spans="1:9" ht="18.95" customHeight="1">
      <c r="A150" s="18">
        <f t="shared" si="28"/>
        <v>94</v>
      </c>
      <c r="B150" s="859">
        <v>590</v>
      </c>
      <c r="C150" t="s">
        <v>2013</v>
      </c>
      <c r="D150" s="34">
        <v>48021</v>
      </c>
      <c r="E150" s="621">
        <f t="shared" si="29"/>
        <v>1</v>
      </c>
      <c r="F150" s="34">
        <v>48021</v>
      </c>
      <c r="G150" s="34">
        <v>0</v>
      </c>
      <c r="H150" s="34">
        <f t="shared" si="27"/>
        <v>48021</v>
      </c>
      <c r="I150" s="309"/>
    </row>
    <row r="151" spans="1:9" ht="18.95" customHeight="1">
      <c r="A151" s="18">
        <f t="shared" si="28"/>
        <v>95</v>
      </c>
      <c r="B151" s="859">
        <v>591</v>
      </c>
      <c r="C151" t="s">
        <v>1968</v>
      </c>
      <c r="D151" s="34">
        <v>0</v>
      </c>
      <c r="E151" s="621">
        <f t="shared" si="29"/>
        <v>1</v>
      </c>
      <c r="F151" s="34">
        <v>0</v>
      </c>
      <c r="G151" s="34">
        <v>0</v>
      </c>
      <c r="H151" s="34">
        <f t="shared" si="27"/>
        <v>0</v>
      </c>
      <c r="I151" s="309"/>
    </row>
    <row r="152" spans="1:9" ht="18.95" customHeight="1">
      <c r="A152" s="18">
        <f t="shared" si="28"/>
        <v>96</v>
      </c>
      <c r="B152" s="859">
        <v>592</v>
      </c>
      <c r="C152" t="s">
        <v>2002</v>
      </c>
      <c r="D152" s="34">
        <v>1805482</v>
      </c>
      <c r="E152" s="621">
        <f t="shared" si="29"/>
        <v>1</v>
      </c>
      <c r="F152" s="34">
        <v>1805482</v>
      </c>
      <c r="G152" s="34">
        <v>0</v>
      </c>
      <c r="H152" s="34">
        <f t="shared" si="27"/>
        <v>1805482</v>
      </c>
      <c r="I152" s="309"/>
    </row>
    <row r="153" spans="1:9" ht="18.95" customHeight="1">
      <c r="A153" s="18">
        <f t="shared" si="28"/>
        <v>97</v>
      </c>
      <c r="B153" s="859">
        <v>593</v>
      </c>
      <c r="C153" t="s">
        <v>2003</v>
      </c>
      <c r="D153" s="34">
        <v>18161826.999999989</v>
      </c>
      <c r="E153" s="621">
        <f t="shared" si="29"/>
        <v>1</v>
      </c>
      <c r="F153" s="34">
        <v>18161826.999999989</v>
      </c>
      <c r="G153" s="34">
        <v>0</v>
      </c>
      <c r="H153" s="34">
        <f t="shared" si="27"/>
        <v>18161826.999999989</v>
      </c>
      <c r="I153" s="309"/>
    </row>
    <row r="154" spans="1:9" ht="18.95" customHeight="1">
      <c r="A154" s="18">
        <f t="shared" si="28"/>
        <v>98</v>
      </c>
      <c r="B154" s="859">
        <v>594</v>
      </c>
      <c r="C154" t="s">
        <v>2004</v>
      </c>
      <c r="D154" s="34">
        <v>1475026</v>
      </c>
      <c r="E154" s="621">
        <f t="shared" si="29"/>
        <v>1</v>
      </c>
      <c r="F154" s="34">
        <v>1475026</v>
      </c>
      <c r="G154" s="34">
        <v>0</v>
      </c>
      <c r="H154" s="34">
        <f t="shared" si="27"/>
        <v>1475026</v>
      </c>
      <c r="I154" s="309"/>
    </row>
    <row r="155" spans="1:9" ht="18.95" customHeight="1">
      <c r="A155" s="18">
        <f>A154+1</f>
        <v>99</v>
      </c>
      <c r="B155" s="859">
        <v>595</v>
      </c>
      <c r="C155" t="s">
        <v>2014</v>
      </c>
      <c r="D155" s="34">
        <v>175876</v>
      </c>
      <c r="E155" s="621">
        <f t="shared" si="29"/>
        <v>1</v>
      </c>
      <c r="F155" s="34">
        <v>175876</v>
      </c>
      <c r="G155" s="34">
        <v>0</v>
      </c>
      <c r="H155" s="34">
        <f t="shared" si="27"/>
        <v>175876</v>
      </c>
      <c r="I155" s="309"/>
    </row>
    <row r="156" spans="1:9" ht="18.95" customHeight="1">
      <c r="A156" s="18">
        <f t="shared" si="28"/>
        <v>100</v>
      </c>
      <c r="B156" s="859">
        <v>596</v>
      </c>
      <c r="C156" t="s">
        <v>2015</v>
      </c>
      <c r="D156" s="34">
        <v>449923</v>
      </c>
      <c r="E156" s="621">
        <f t="shared" si="29"/>
        <v>1</v>
      </c>
      <c r="F156" s="34">
        <v>449923</v>
      </c>
      <c r="G156" s="34">
        <v>0</v>
      </c>
      <c r="H156" s="34">
        <f t="shared" si="27"/>
        <v>449923</v>
      </c>
      <c r="I156" s="309"/>
    </row>
    <row r="157" spans="1:9" ht="18.95" customHeight="1">
      <c r="A157" s="18">
        <f t="shared" si="28"/>
        <v>101</v>
      </c>
      <c r="B157" s="859">
        <v>597</v>
      </c>
      <c r="C157" t="s">
        <v>2016</v>
      </c>
      <c r="D157" s="34">
        <v>0</v>
      </c>
      <c r="E157" s="621">
        <f t="shared" si="29"/>
        <v>1</v>
      </c>
      <c r="F157" s="34">
        <v>0</v>
      </c>
      <c r="G157" s="34">
        <v>0</v>
      </c>
      <c r="H157" s="34">
        <f t="shared" si="27"/>
        <v>0</v>
      </c>
      <c r="I157" s="309"/>
    </row>
    <row r="158" spans="1:9" ht="18.95" customHeight="1">
      <c r="A158" s="18">
        <f t="shared" si="28"/>
        <v>102</v>
      </c>
      <c r="B158" s="859">
        <v>598</v>
      </c>
      <c r="C158" t="s">
        <v>2017</v>
      </c>
      <c r="D158" s="34">
        <v>607016</v>
      </c>
      <c r="E158" s="621">
        <f t="shared" si="26"/>
        <v>1</v>
      </c>
      <c r="F158" s="34">
        <v>607016</v>
      </c>
      <c r="G158" s="34">
        <v>0</v>
      </c>
      <c r="H158" s="34">
        <f t="shared" si="27"/>
        <v>607016</v>
      </c>
      <c r="I158" s="309"/>
    </row>
    <row r="159" spans="1:9" ht="18.95" customHeight="1">
      <c r="A159" s="18">
        <f t="shared" si="28"/>
        <v>103</v>
      </c>
      <c r="B159" s="859"/>
      <c r="C159" s="125" t="s">
        <v>1154</v>
      </c>
      <c r="D159" s="623">
        <f>SUM(D140:D158)</f>
        <v>50100980.999999985</v>
      </c>
      <c r="F159" s="623">
        <f>SUM(F140:F158)</f>
        <v>50100980.999999985</v>
      </c>
      <c r="G159" s="623">
        <f>SUM(G140:G158)</f>
        <v>0</v>
      </c>
      <c r="H159" s="623">
        <f>SUM(H140:H158)</f>
        <v>50100980.999999985</v>
      </c>
      <c r="I159" s="309"/>
    </row>
    <row r="160" spans="1:9" ht="18.95" customHeight="1">
      <c r="B160" s="859"/>
      <c r="C160"/>
      <c r="I160" s="309"/>
    </row>
    <row r="161" spans="1:9" ht="18.95" customHeight="1">
      <c r="A161" s="18">
        <f>A159+1</f>
        <v>104</v>
      </c>
      <c r="B161" s="859"/>
      <c r="C161" s="767" t="s">
        <v>2018</v>
      </c>
      <c r="I161" s="309"/>
    </row>
    <row r="162" spans="1:9" ht="18.95" customHeight="1">
      <c r="A162" s="18">
        <f>A161+1</f>
        <v>105</v>
      </c>
      <c r="B162" s="859">
        <v>901</v>
      </c>
      <c r="C162" t="s">
        <v>2019</v>
      </c>
      <c r="D162" s="34">
        <v>1574018.32</v>
      </c>
      <c r="E162" s="621">
        <f t="shared" ref="E162:E163" si="30">IF(D162=0,0,F162/D162)</f>
        <v>1</v>
      </c>
      <c r="F162" s="34">
        <v>1574018.32</v>
      </c>
      <c r="G162" s="34">
        <v>0</v>
      </c>
      <c r="H162" s="34">
        <f t="shared" ref="H162:H178" si="31">SUM(F162:G162)</f>
        <v>1574018.32</v>
      </c>
      <c r="I162" s="309"/>
    </row>
    <row r="163" spans="1:9" ht="18.95" customHeight="1">
      <c r="A163" s="18">
        <f t="shared" ref="A163:A179" si="32">A162+1</f>
        <v>106</v>
      </c>
      <c r="B163" s="859">
        <v>902</v>
      </c>
      <c r="C163" t="s">
        <v>2020</v>
      </c>
      <c r="D163" s="34">
        <v>3447792.3200000003</v>
      </c>
      <c r="E163" s="621">
        <f t="shared" si="30"/>
        <v>1</v>
      </c>
      <c r="F163" s="34">
        <v>3447792.3200000003</v>
      </c>
      <c r="G163" s="34">
        <v>0</v>
      </c>
      <c r="H163" s="34">
        <f t="shared" si="31"/>
        <v>3447792.3200000003</v>
      </c>
      <c r="I163" s="309"/>
    </row>
    <row r="164" spans="1:9" s="16" customFormat="1" ht="20.100000000000001" customHeight="1">
      <c r="A164" s="831" t="str">
        <f>$A$1</f>
        <v>LOUISVILLE GAS AND ELECTRIC COMPANY</v>
      </c>
      <c r="B164" s="831"/>
      <c r="C164" s="831"/>
      <c r="D164" s="831"/>
      <c r="E164" s="831"/>
      <c r="F164" s="831"/>
      <c r="G164" s="831"/>
      <c r="H164" s="831"/>
      <c r="I164" s="831"/>
    </row>
    <row r="165" spans="1:9" s="16" customFormat="1" ht="20.100000000000001" customHeight="1">
      <c r="A165" s="831" t="str">
        <f>$A$2</f>
        <v>CASE NO. 2018-00295 - ELECTRIC OPERATIONS</v>
      </c>
      <c r="B165" s="831"/>
      <c r="C165" s="831"/>
      <c r="D165" s="831"/>
      <c r="E165" s="831"/>
      <c r="F165" s="831"/>
      <c r="G165" s="831"/>
      <c r="H165" s="831"/>
      <c r="I165" s="831"/>
    </row>
    <row r="166" spans="1:9" s="16" customFormat="1" ht="20.100000000000001" customHeight="1">
      <c r="A166" s="831" t="s">
        <v>1927</v>
      </c>
      <c r="B166" s="831"/>
      <c r="C166" s="831"/>
      <c r="D166" s="831"/>
      <c r="E166" s="831"/>
      <c r="F166" s="831"/>
      <c r="G166" s="831"/>
      <c r="H166" s="831"/>
      <c r="I166" s="831"/>
    </row>
    <row r="167" spans="1:9" s="16" customFormat="1" ht="20.100000000000001" customHeight="1">
      <c r="A167" s="831" t="str">
        <f>$A$4</f>
        <v>FOR THE 12 MONTHS ENDED APRIL 30, 2020</v>
      </c>
      <c r="B167" s="831"/>
      <c r="C167" s="831"/>
      <c r="D167" s="831"/>
      <c r="E167" s="831"/>
      <c r="F167" s="831"/>
      <c r="G167" s="831"/>
      <c r="H167" s="831"/>
      <c r="I167" s="831"/>
    </row>
    <row r="168" spans="1:9" s="16" customFormat="1" ht="20.100000000000001" customHeight="1">
      <c r="A168" s="775"/>
      <c r="B168" s="775"/>
      <c r="C168" s="775"/>
      <c r="D168" s="775"/>
      <c r="E168" s="775"/>
      <c r="F168" s="775"/>
      <c r="G168" s="775"/>
      <c r="H168" s="775"/>
      <c r="I168" s="775"/>
    </row>
    <row r="169" spans="1:9" s="16" customFormat="1" ht="20.100000000000001" customHeight="1">
      <c r="A169" s="16" t="str">
        <f>$A$6</f>
        <v>DATA:____BASE  PERIOD__X__FORECASTED  PERIOD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2070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2066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59">
        <v>903</v>
      </c>
      <c r="C176" t="s">
        <v>2022</v>
      </c>
      <c r="D176" s="34">
        <v>7045716.1599999983</v>
      </c>
      <c r="E176" s="621">
        <f t="shared" ref="E176:E177" si="33">IF(D176=0,0,F176/D176)</f>
        <v>1</v>
      </c>
      <c r="F176" s="34">
        <v>7045716.1599999983</v>
      </c>
      <c r="G176" s="34">
        <v>0</v>
      </c>
      <c r="H176" s="34">
        <f t="shared" si="31"/>
        <v>7045716.1599999983</v>
      </c>
      <c r="I176" s="309"/>
    </row>
    <row r="177" spans="1:9" ht="18.95" customHeight="1">
      <c r="A177" s="18">
        <f t="shared" si="32"/>
        <v>108</v>
      </c>
      <c r="B177" s="859">
        <v>904</v>
      </c>
      <c r="C177" t="s">
        <v>2023</v>
      </c>
      <c r="D177" s="34">
        <v>2034192.1499999959</v>
      </c>
      <c r="E177" s="621">
        <f t="shared" si="33"/>
        <v>1</v>
      </c>
      <c r="F177" s="34">
        <v>2034192.1499999959</v>
      </c>
      <c r="G177" s="34">
        <v>0</v>
      </c>
      <c r="H177" s="34">
        <f t="shared" si="31"/>
        <v>2034192.1499999959</v>
      </c>
      <c r="I177" s="309"/>
    </row>
    <row r="178" spans="1:9" ht="18.95" customHeight="1">
      <c r="A178" s="18">
        <f t="shared" si="32"/>
        <v>109</v>
      </c>
      <c r="B178" s="859">
        <v>905</v>
      </c>
      <c r="C178" t="s">
        <v>2024</v>
      </c>
      <c r="D178" s="34">
        <v>0</v>
      </c>
      <c r="E178" s="621">
        <f>IF(D178=0,1,F178/D178)</f>
        <v>1</v>
      </c>
      <c r="F178" s="34">
        <v>0</v>
      </c>
      <c r="G178" s="34">
        <v>0</v>
      </c>
      <c r="H178" s="34">
        <f t="shared" si="31"/>
        <v>0</v>
      </c>
      <c r="I178" s="309"/>
    </row>
    <row r="179" spans="1:9" ht="18.95" customHeight="1">
      <c r="A179" s="18">
        <f t="shared" si="32"/>
        <v>110</v>
      </c>
      <c r="B179" s="859"/>
      <c r="C179" s="125" t="s">
        <v>2025</v>
      </c>
      <c r="D179" s="623">
        <f>SUM(D162:D178)</f>
        <v>14101718.949999996</v>
      </c>
      <c r="F179" s="623">
        <f>SUM(F162:F178)</f>
        <v>14101718.949999996</v>
      </c>
      <c r="G179" s="623">
        <f>SUM(G162:G178)</f>
        <v>0</v>
      </c>
      <c r="H179" s="623">
        <f>SUM(H162:H178)</f>
        <v>14101718.949999996</v>
      </c>
      <c r="I179" s="309"/>
    </row>
    <row r="180" spans="1:9" ht="18.95" customHeight="1">
      <c r="B180" s="859"/>
      <c r="C180"/>
      <c r="I180" s="309"/>
    </row>
    <row r="181" spans="1:9" ht="18.95" customHeight="1">
      <c r="A181" s="18">
        <f>A179+1</f>
        <v>111</v>
      </c>
      <c r="B181" s="859"/>
      <c r="C181" s="767" t="s">
        <v>2026</v>
      </c>
      <c r="I181" s="309"/>
    </row>
    <row r="182" spans="1:9" ht="18.95" customHeight="1">
      <c r="A182" s="18">
        <f>A181+1</f>
        <v>112</v>
      </c>
      <c r="B182" s="859">
        <v>907</v>
      </c>
      <c r="C182" t="s">
        <v>2027</v>
      </c>
      <c r="D182" s="34">
        <v>372338.85000000003</v>
      </c>
      <c r="E182" s="621">
        <f t="shared" ref="E182:E185" si="34">IF(D182=0,0,F182/D182)</f>
        <v>1</v>
      </c>
      <c r="F182" s="34">
        <v>372338.85000000003</v>
      </c>
      <c r="G182" s="34">
        <v>0</v>
      </c>
      <c r="H182" s="34">
        <f t="shared" ref="H182:H185" si="35">SUM(F182:G182)</f>
        <v>372338.85000000003</v>
      </c>
      <c r="I182" s="309"/>
    </row>
    <row r="183" spans="1:9" ht="18.95" customHeight="1">
      <c r="A183" s="18">
        <f t="shared" ref="A183:A186" si="36">A182+1</f>
        <v>113</v>
      </c>
      <c r="B183" s="859">
        <v>908</v>
      </c>
      <c r="C183" t="s">
        <v>2028</v>
      </c>
      <c r="D183" s="34">
        <v>5986632.7599999988</v>
      </c>
      <c r="E183" s="621">
        <f t="shared" si="34"/>
        <v>1</v>
      </c>
      <c r="F183" s="34">
        <v>5986632.7599999988</v>
      </c>
      <c r="G183" s="34">
        <v>-5533059</v>
      </c>
      <c r="H183" s="34">
        <f t="shared" si="35"/>
        <v>453573.75999999885</v>
      </c>
      <c r="I183" s="309"/>
    </row>
    <row r="184" spans="1:9" ht="18.95" customHeight="1">
      <c r="A184" s="18">
        <f t="shared" si="36"/>
        <v>114</v>
      </c>
      <c r="B184" s="859">
        <v>909</v>
      </c>
      <c r="C184" t="s">
        <v>2029</v>
      </c>
      <c r="D184" s="34">
        <v>1231414.239999996</v>
      </c>
      <c r="E184" s="621">
        <f t="shared" si="34"/>
        <v>1</v>
      </c>
      <c r="F184" s="34">
        <v>1231414.239999996</v>
      </c>
      <c r="G184" s="34">
        <v>0</v>
      </c>
      <c r="H184" s="34">
        <f t="shared" si="35"/>
        <v>1231414.239999996</v>
      </c>
      <c r="I184" s="309"/>
    </row>
    <row r="185" spans="1:9" ht="18.95" customHeight="1">
      <c r="A185" s="18">
        <f t="shared" si="36"/>
        <v>115</v>
      </c>
      <c r="B185" s="859">
        <v>910</v>
      </c>
      <c r="C185" t="s">
        <v>2030</v>
      </c>
      <c r="D185" s="34">
        <v>726137.19000000006</v>
      </c>
      <c r="E185" s="621">
        <f t="shared" si="34"/>
        <v>1</v>
      </c>
      <c r="F185" s="34">
        <v>726137.19000000006</v>
      </c>
      <c r="G185" s="34">
        <v>0</v>
      </c>
      <c r="H185" s="34">
        <f t="shared" si="35"/>
        <v>726137.19000000006</v>
      </c>
      <c r="I185" s="309"/>
    </row>
    <row r="186" spans="1:9" ht="18.95" customHeight="1">
      <c r="A186" s="18">
        <f t="shared" si="36"/>
        <v>116</v>
      </c>
      <c r="B186" s="859"/>
      <c r="C186" s="125" t="s">
        <v>2031</v>
      </c>
      <c r="D186" s="623">
        <f>SUM(D182:D185)</f>
        <v>8316523.0399999944</v>
      </c>
      <c r="F186" s="623">
        <f>SUM(F182:F185)</f>
        <v>8316523.0399999944</v>
      </c>
      <c r="G186" s="623">
        <f>SUM(G182:G185)</f>
        <v>-5533059</v>
      </c>
      <c r="H186" s="623">
        <f>SUM(H182:H185)</f>
        <v>2783464.0399999949</v>
      </c>
      <c r="I186" s="309"/>
    </row>
    <row r="187" spans="1:9" ht="18.95" customHeight="1">
      <c r="A187" s="18"/>
      <c r="B187" s="859"/>
      <c r="C187"/>
      <c r="I187" s="309"/>
    </row>
    <row r="188" spans="1:9" ht="18.95" customHeight="1">
      <c r="A188" s="18">
        <f>A186+1</f>
        <v>117</v>
      </c>
      <c r="B188" s="859"/>
      <c r="C188" s="767" t="s">
        <v>2032</v>
      </c>
      <c r="I188" s="309"/>
    </row>
    <row r="189" spans="1:9" ht="18.95" customHeight="1">
      <c r="A189" s="18">
        <f>A188+1</f>
        <v>118</v>
      </c>
      <c r="B189" s="859">
        <v>911</v>
      </c>
      <c r="C189" t="s">
        <v>2033</v>
      </c>
      <c r="D189" s="34">
        <v>0</v>
      </c>
      <c r="E189" s="621">
        <f t="shared" ref="E189:E192" si="37">IF(D189=0,1,F189/D189)</f>
        <v>1</v>
      </c>
      <c r="F189" s="34">
        <v>0</v>
      </c>
      <c r="G189" s="34">
        <v>0</v>
      </c>
      <c r="H189" s="34">
        <f t="shared" ref="H189:H192" si="38">SUM(F189:G189)</f>
        <v>0</v>
      </c>
      <c r="I189" s="309"/>
    </row>
    <row r="190" spans="1:9" ht="18.95" customHeight="1">
      <c r="A190" s="18">
        <f t="shared" ref="A190:A193" si="39">A189+1</f>
        <v>119</v>
      </c>
      <c r="B190" s="859">
        <v>912</v>
      </c>
      <c r="C190" t="s">
        <v>2034</v>
      </c>
      <c r="D190" s="34">
        <v>0</v>
      </c>
      <c r="E190" s="621">
        <f t="shared" si="37"/>
        <v>1</v>
      </c>
      <c r="F190" s="34">
        <v>0</v>
      </c>
      <c r="G190" s="34">
        <v>0</v>
      </c>
      <c r="H190" s="34">
        <f t="shared" si="38"/>
        <v>0</v>
      </c>
      <c r="I190" s="309"/>
    </row>
    <row r="191" spans="1:9" ht="18.95" customHeight="1">
      <c r="A191" s="18">
        <f t="shared" si="39"/>
        <v>120</v>
      </c>
      <c r="B191" s="859">
        <v>913</v>
      </c>
      <c r="C191" t="s">
        <v>2035</v>
      </c>
      <c r="D191" s="34">
        <v>1048541.7199999997</v>
      </c>
      <c r="E191" s="621">
        <f t="shared" si="37"/>
        <v>1</v>
      </c>
      <c r="F191" s="34">
        <v>1048541.7199999997</v>
      </c>
      <c r="G191" s="34">
        <v>0</v>
      </c>
      <c r="H191" s="34">
        <f t="shared" si="38"/>
        <v>1048541.7199999997</v>
      </c>
      <c r="I191" s="309"/>
    </row>
    <row r="192" spans="1:9" ht="18.95" customHeight="1">
      <c r="A192" s="18">
        <f t="shared" si="39"/>
        <v>121</v>
      </c>
      <c r="B192" s="859">
        <v>916</v>
      </c>
      <c r="C192" t="s">
        <v>2036</v>
      </c>
      <c r="D192" s="34">
        <v>0</v>
      </c>
      <c r="E192" s="621">
        <f t="shared" si="37"/>
        <v>1</v>
      </c>
      <c r="F192" s="34">
        <v>0</v>
      </c>
      <c r="G192" s="34">
        <v>0</v>
      </c>
      <c r="H192" s="34">
        <f t="shared" si="38"/>
        <v>0</v>
      </c>
      <c r="I192" s="309"/>
    </row>
    <row r="193" spans="1:9" ht="18.95" customHeight="1">
      <c r="A193" s="18">
        <f t="shared" si="39"/>
        <v>122</v>
      </c>
      <c r="B193" s="859"/>
      <c r="C193" s="860" t="s">
        <v>2037</v>
      </c>
      <c r="D193" s="623">
        <f>SUM(D189:D192)</f>
        <v>1048541.7199999997</v>
      </c>
      <c r="F193" s="623">
        <f>SUM(F189:F192)</f>
        <v>1048541.7199999997</v>
      </c>
      <c r="G193" s="623">
        <f>SUM(G189:G192)</f>
        <v>0</v>
      </c>
      <c r="H193" s="623">
        <f>SUM(H189:H192)</f>
        <v>1048541.7199999997</v>
      </c>
      <c r="I193" s="309"/>
    </row>
    <row r="194" spans="1:9" ht="18.95" customHeight="1">
      <c r="B194" s="859"/>
      <c r="C194"/>
      <c r="I194" s="309"/>
    </row>
    <row r="195" spans="1:9" ht="18.95" customHeight="1">
      <c r="A195" s="18">
        <f>A193+1</f>
        <v>123</v>
      </c>
      <c r="B195" s="859"/>
      <c r="C195" s="767" t="s">
        <v>2038</v>
      </c>
      <c r="I195" s="309"/>
    </row>
    <row r="196" spans="1:9" ht="18.95" customHeight="1">
      <c r="A196" s="18">
        <f>A195+1</f>
        <v>124</v>
      </c>
      <c r="B196" s="859">
        <v>920</v>
      </c>
      <c r="C196" t="s">
        <v>2039</v>
      </c>
      <c r="D196" s="34">
        <v>26605960.919894449</v>
      </c>
      <c r="E196" s="621">
        <f t="shared" ref="E196:E204" si="40">IF(D196=0,0,F196/D196)</f>
        <v>1</v>
      </c>
      <c r="F196" s="34">
        <v>26605960.919894449</v>
      </c>
      <c r="G196" s="34">
        <v>0</v>
      </c>
      <c r="H196" s="34">
        <f t="shared" ref="H196:H221" si="41">SUM(F196:G196)</f>
        <v>26605960.919894449</v>
      </c>
      <c r="I196" s="309"/>
    </row>
    <row r="197" spans="1:9" ht="18.95" customHeight="1">
      <c r="A197" s="18">
        <f t="shared" ref="A197:A232" si="42">A196+1</f>
        <v>125</v>
      </c>
      <c r="B197" s="859">
        <v>921</v>
      </c>
      <c r="C197" t="s">
        <v>2040</v>
      </c>
      <c r="D197" s="34">
        <v>7294109.8183823768</v>
      </c>
      <c r="E197" s="621">
        <f t="shared" si="40"/>
        <v>1</v>
      </c>
      <c r="F197" s="34">
        <v>7294109.8183823768</v>
      </c>
      <c r="G197" s="34">
        <v>0</v>
      </c>
      <c r="H197" s="34">
        <f t="shared" si="41"/>
        <v>7294109.8183823768</v>
      </c>
      <c r="I197" s="309"/>
    </row>
    <row r="198" spans="1:9" ht="18.95" customHeight="1">
      <c r="A198" s="18">
        <f t="shared" si="42"/>
        <v>126</v>
      </c>
      <c r="B198" s="859">
        <v>922</v>
      </c>
      <c r="C198" t="s">
        <v>2041</v>
      </c>
      <c r="D198" s="34">
        <v>-4417049.43518213</v>
      </c>
      <c r="E198" s="621">
        <f t="shared" si="40"/>
        <v>1</v>
      </c>
      <c r="F198" s="34">
        <v>-4417049.43518213</v>
      </c>
      <c r="G198" s="34">
        <v>0</v>
      </c>
      <c r="H198" s="34">
        <f t="shared" si="41"/>
        <v>-4417049.43518213</v>
      </c>
      <c r="I198" s="309"/>
    </row>
    <row r="199" spans="1:9" ht="18.95" customHeight="1">
      <c r="A199" s="18">
        <f t="shared" si="42"/>
        <v>127</v>
      </c>
      <c r="B199" s="859">
        <v>923</v>
      </c>
      <c r="C199" t="s">
        <v>2042</v>
      </c>
      <c r="D199" s="34">
        <v>15879770.59999999</v>
      </c>
      <c r="E199" s="621">
        <f t="shared" si="40"/>
        <v>1</v>
      </c>
      <c r="F199" s="34">
        <v>15879770.59999999</v>
      </c>
      <c r="G199" s="34">
        <v>0</v>
      </c>
      <c r="H199" s="34">
        <f t="shared" si="41"/>
        <v>15879770.59999999</v>
      </c>
      <c r="I199" s="309"/>
    </row>
    <row r="200" spans="1:9" ht="18.95" customHeight="1">
      <c r="A200" s="18">
        <f t="shared" si="42"/>
        <v>128</v>
      </c>
      <c r="B200" s="859">
        <v>924</v>
      </c>
      <c r="C200" t="s">
        <v>2043</v>
      </c>
      <c r="D200" s="34">
        <v>4891049.3599999938</v>
      </c>
      <c r="E200" s="621">
        <f t="shared" si="40"/>
        <v>1</v>
      </c>
      <c r="F200" s="34">
        <v>4891049.3599999938</v>
      </c>
      <c r="G200" s="34">
        <v>0</v>
      </c>
      <c r="H200" s="34">
        <f t="shared" si="41"/>
        <v>4891049.3599999938</v>
      </c>
      <c r="I200" s="309"/>
    </row>
    <row r="201" spans="1:9" ht="18.95" customHeight="1">
      <c r="A201" s="18">
        <f t="shared" si="42"/>
        <v>129</v>
      </c>
      <c r="B201" s="859">
        <v>925</v>
      </c>
      <c r="C201" t="s">
        <v>2044</v>
      </c>
      <c r="D201" s="34">
        <v>2666967.3999999939</v>
      </c>
      <c r="E201" s="621">
        <f t="shared" si="40"/>
        <v>1</v>
      </c>
      <c r="F201" s="34">
        <v>2666967.3999999939</v>
      </c>
      <c r="G201" s="34">
        <v>0</v>
      </c>
      <c r="H201" s="34">
        <f t="shared" si="41"/>
        <v>2666967.3999999939</v>
      </c>
      <c r="I201" s="309"/>
    </row>
    <row r="202" spans="1:9" ht="18.95" customHeight="1">
      <c r="A202" s="18">
        <f t="shared" si="42"/>
        <v>130</v>
      </c>
      <c r="B202" s="859">
        <v>926</v>
      </c>
      <c r="C202" t="s">
        <v>2045</v>
      </c>
      <c r="D202" s="34">
        <v>20921160.39999995</v>
      </c>
      <c r="E202" s="621">
        <f t="shared" ref="E202:E203" si="43">IF(D202=0,1,F202/D202)</f>
        <v>1</v>
      </c>
      <c r="F202" s="34">
        <v>20921160.39999995</v>
      </c>
      <c r="G202" s="34">
        <v>0</v>
      </c>
      <c r="H202" s="34">
        <f t="shared" si="41"/>
        <v>20921160.39999995</v>
      </c>
      <c r="I202" s="309"/>
    </row>
    <row r="203" spans="1:9" ht="18.95" customHeight="1">
      <c r="A203" s="18">
        <f t="shared" si="42"/>
        <v>131</v>
      </c>
      <c r="B203" s="859">
        <v>927</v>
      </c>
      <c r="C203" t="s">
        <v>2046</v>
      </c>
      <c r="D203" s="34">
        <v>0</v>
      </c>
      <c r="E203" s="621">
        <f t="shared" si="43"/>
        <v>1</v>
      </c>
      <c r="F203" s="34">
        <v>0</v>
      </c>
      <c r="G203" s="34">
        <v>0</v>
      </c>
      <c r="H203" s="34">
        <f t="shared" si="41"/>
        <v>0</v>
      </c>
      <c r="I203" s="309"/>
    </row>
    <row r="204" spans="1:9" ht="18.95" customHeight="1">
      <c r="A204" s="18">
        <f t="shared" si="42"/>
        <v>132</v>
      </c>
      <c r="B204" s="859">
        <v>928</v>
      </c>
      <c r="C204" t="s">
        <v>2047</v>
      </c>
      <c r="D204" s="34">
        <v>1537950.4999999974</v>
      </c>
      <c r="E204" s="621">
        <f t="shared" si="40"/>
        <v>1</v>
      </c>
      <c r="F204" s="34">
        <v>1537950.4999999974</v>
      </c>
      <c r="G204" s="34">
        <v>0</v>
      </c>
      <c r="H204" s="34">
        <f t="shared" si="41"/>
        <v>1537950.4999999974</v>
      </c>
      <c r="I204" s="309"/>
    </row>
    <row r="205" spans="1:9" s="16" customFormat="1" ht="20.100000000000001" customHeight="1">
      <c r="A205" s="831" t="str">
        <f>$A$1</f>
        <v>LOUISVILLE GAS AND ELECTRIC COMPANY</v>
      </c>
      <c r="B205" s="831"/>
      <c r="C205" s="831"/>
      <c r="D205" s="831"/>
      <c r="E205" s="831"/>
      <c r="F205" s="831"/>
      <c r="G205" s="831"/>
      <c r="H205" s="831"/>
      <c r="I205" s="831"/>
    </row>
    <row r="206" spans="1:9" s="16" customFormat="1" ht="20.100000000000001" customHeight="1">
      <c r="A206" s="831" t="str">
        <f>$A$2</f>
        <v>CASE NO. 2018-00295 - ELECTRIC OPERATIONS</v>
      </c>
      <c r="B206" s="831"/>
      <c r="C206" s="831"/>
      <c r="D206" s="831"/>
      <c r="E206" s="831"/>
      <c r="F206" s="831"/>
      <c r="G206" s="831"/>
      <c r="H206" s="831"/>
      <c r="I206" s="831"/>
    </row>
    <row r="207" spans="1:9" s="16" customFormat="1" ht="20.100000000000001" customHeight="1">
      <c r="A207" s="831" t="s">
        <v>1927</v>
      </c>
      <c r="B207" s="831"/>
      <c r="C207" s="831"/>
      <c r="D207" s="831"/>
      <c r="E207" s="831"/>
      <c r="F207" s="831"/>
      <c r="G207" s="831"/>
      <c r="H207" s="831"/>
      <c r="I207" s="831"/>
    </row>
    <row r="208" spans="1:9" s="16" customFormat="1" ht="20.100000000000001" customHeight="1">
      <c r="A208" s="831" t="str">
        <f>$A$4</f>
        <v>FOR THE 12 MONTHS ENDED APRIL 30, 2020</v>
      </c>
      <c r="B208" s="831"/>
      <c r="C208" s="831"/>
      <c r="D208" s="831"/>
      <c r="E208" s="831"/>
      <c r="F208" s="831"/>
      <c r="G208" s="831"/>
      <c r="H208" s="831"/>
      <c r="I208" s="831"/>
    </row>
    <row r="209" spans="1:9" s="16" customFormat="1" ht="20.100000000000001" customHeight="1">
      <c r="A209" s="775"/>
      <c r="B209" s="775"/>
      <c r="C209" s="775"/>
      <c r="D209" s="775"/>
      <c r="E209" s="775"/>
      <c r="F209" s="775"/>
      <c r="G209" s="775"/>
      <c r="H209" s="775"/>
      <c r="I209" s="775"/>
    </row>
    <row r="210" spans="1:9" s="16" customFormat="1" ht="20.100000000000001" customHeight="1">
      <c r="A210" s="16" t="str">
        <f>$A$6</f>
        <v>DATA:____BASE  PERIOD__X__FORECASTED  PERIOD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2071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2066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59">
        <v>929</v>
      </c>
      <c r="C217" t="s">
        <v>2049</v>
      </c>
      <c r="D217" s="34">
        <v>-216193</v>
      </c>
      <c r="E217" s="621">
        <v>1</v>
      </c>
      <c r="F217" s="34">
        <v>-216193</v>
      </c>
      <c r="G217" s="34">
        <v>0</v>
      </c>
      <c r="H217" s="34">
        <f t="shared" si="41"/>
        <v>-216193</v>
      </c>
      <c r="I217" s="309"/>
    </row>
    <row r="218" spans="1:9" ht="18.95" customHeight="1">
      <c r="A218" s="18">
        <f t="shared" si="42"/>
        <v>134</v>
      </c>
      <c r="B218" s="859">
        <v>930.1</v>
      </c>
      <c r="C218" t="s">
        <v>2050</v>
      </c>
      <c r="D218" s="34">
        <v>6221.99999999999</v>
      </c>
      <c r="E218" s="621">
        <f t="shared" ref="E218:E221" si="44">IF(D218=0,0,F218/D218)</f>
        <v>1</v>
      </c>
      <c r="F218" s="34">
        <v>6221.99999999999</v>
      </c>
      <c r="G218" s="34">
        <v>0</v>
      </c>
      <c r="H218" s="34">
        <f t="shared" si="41"/>
        <v>6221.99999999999</v>
      </c>
      <c r="I218" s="309"/>
    </row>
    <row r="219" spans="1:9" ht="18.95" customHeight="1">
      <c r="A219" s="18">
        <f t="shared" si="42"/>
        <v>135</v>
      </c>
      <c r="B219" s="859">
        <v>930.2</v>
      </c>
      <c r="C219" t="s">
        <v>2051</v>
      </c>
      <c r="D219" s="34">
        <v>2562355.0599999945</v>
      </c>
      <c r="E219" s="621">
        <f t="shared" si="44"/>
        <v>1</v>
      </c>
      <c r="F219" s="34">
        <v>2562355.0599999945</v>
      </c>
      <c r="G219" s="34">
        <v>0</v>
      </c>
      <c r="H219" s="34">
        <f t="shared" si="41"/>
        <v>2562355.0599999945</v>
      </c>
      <c r="I219" s="309"/>
    </row>
    <row r="220" spans="1:9" ht="18.95" customHeight="1">
      <c r="A220" s="18">
        <f t="shared" si="42"/>
        <v>136</v>
      </c>
      <c r="B220" s="859">
        <v>931</v>
      </c>
      <c r="C220" t="s">
        <v>1965</v>
      </c>
      <c r="D220" s="34">
        <v>1862066.1199999999</v>
      </c>
      <c r="E220" s="621">
        <f t="shared" si="44"/>
        <v>1</v>
      </c>
      <c r="F220" s="34">
        <v>1862066.1199999999</v>
      </c>
      <c r="G220" s="34">
        <v>0</v>
      </c>
      <c r="H220" s="34">
        <f t="shared" si="41"/>
        <v>1862066.1199999999</v>
      </c>
      <c r="I220" s="309"/>
    </row>
    <row r="221" spans="1:9" ht="18.95" customHeight="1">
      <c r="A221" s="18">
        <f t="shared" si="42"/>
        <v>137</v>
      </c>
      <c r="B221" s="859">
        <v>935</v>
      </c>
      <c r="C221" t="s">
        <v>2052</v>
      </c>
      <c r="D221" s="34">
        <v>784180.85999999987</v>
      </c>
      <c r="E221" s="621">
        <f t="shared" si="44"/>
        <v>1</v>
      </c>
      <c r="F221" s="34">
        <v>784180.85999999987</v>
      </c>
      <c r="G221" s="34">
        <v>0</v>
      </c>
      <c r="H221" s="34">
        <f t="shared" si="41"/>
        <v>784180.85999999987</v>
      </c>
      <c r="I221" s="309"/>
    </row>
    <row r="222" spans="1:9" ht="18.95" customHeight="1">
      <c r="A222" s="18">
        <f t="shared" si="42"/>
        <v>138</v>
      </c>
      <c r="C222" s="125" t="s">
        <v>2053</v>
      </c>
      <c r="D222" s="623">
        <f>SUM(D196:D221)</f>
        <v>80378550.603094608</v>
      </c>
      <c r="F222" s="623">
        <f>SUM(F196:F221)</f>
        <v>80378550.603094608</v>
      </c>
      <c r="G222" s="623">
        <f>SUM(G196:G221)</f>
        <v>0</v>
      </c>
      <c r="H222" s="623">
        <f>SUM(H196:H221)</f>
        <v>80378550.603094608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640952352.02495337</v>
      </c>
      <c r="F224" s="52">
        <f>SUM(F107,F137,F159,F179,F186,F193,F222)</f>
        <v>640952352.02495337</v>
      </c>
      <c r="G224" s="52">
        <f>SUM(G107,G137,G159,G179,G186,G193,G222)</f>
        <v>-12605094.276416142</v>
      </c>
      <c r="H224" s="52">
        <f>SUM(H107,H137,H159,H179,H186,H193,H222)</f>
        <v>628347257.74853718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8" t="s">
        <v>1776</v>
      </c>
      <c r="C226" s="125" t="s">
        <v>2055</v>
      </c>
      <c r="D226" s="34">
        <v>221495054.5439004</v>
      </c>
      <c r="E226" s="621">
        <f t="shared" ref="E226:E228" si="45">IF(D226=0,0,F226/D226)</f>
        <v>1</v>
      </c>
      <c r="F226" s="34">
        <v>221495054.5439004</v>
      </c>
      <c r="G226" s="34">
        <v>-65694674.483308159</v>
      </c>
      <c r="H226" s="34">
        <f t="shared" ref="H226:H232" si="46">SUM(F226:G226)</f>
        <v>155800380.06059223</v>
      </c>
      <c r="I226" s="309"/>
    </row>
    <row r="227" spans="1:11" ht="18.95" customHeight="1">
      <c r="A227" s="18">
        <f t="shared" si="42"/>
        <v>141</v>
      </c>
      <c r="B227" s="859">
        <v>407.3</v>
      </c>
      <c r="C227" s="125" t="s">
        <v>2056</v>
      </c>
      <c r="D227" s="34">
        <v>1546256.5516944402</v>
      </c>
      <c r="E227" s="621">
        <f t="shared" si="45"/>
        <v>1</v>
      </c>
      <c r="F227" s="34">
        <v>1546256.5516944402</v>
      </c>
      <c r="G227" s="34">
        <v>-1546256.5516944404</v>
      </c>
      <c r="H227" s="34">
        <f t="shared" si="46"/>
        <v>0</v>
      </c>
      <c r="I227" s="309"/>
    </row>
    <row r="228" spans="1:11" ht="18.95" customHeight="1">
      <c r="A228" s="18">
        <f t="shared" si="42"/>
        <v>142</v>
      </c>
      <c r="B228" s="859">
        <v>408.1</v>
      </c>
      <c r="C228" s="125" t="s">
        <v>2057</v>
      </c>
      <c r="D228" s="34">
        <v>36773893.049581349</v>
      </c>
      <c r="E228" s="621">
        <f t="shared" si="45"/>
        <v>1</v>
      </c>
      <c r="F228" s="34">
        <v>36773893.049581349</v>
      </c>
      <c r="G228" s="34">
        <v>-1840968.4926703649</v>
      </c>
      <c r="H228" s="34">
        <f t="shared" si="46"/>
        <v>34932924.556910984</v>
      </c>
      <c r="I228" s="309"/>
    </row>
    <row r="229" spans="1:11" ht="18.95" customHeight="1">
      <c r="A229" s="18">
        <f t="shared" si="42"/>
        <v>143</v>
      </c>
      <c r="B229" s="768" t="s">
        <v>2058</v>
      </c>
      <c r="C229" s="125" t="s">
        <v>2059</v>
      </c>
      <c r="D229" s="34">
        <v>36002681.130782671</v>
      </c>
      <c r="E229" s="621">
        <v>1</v>
      </c>
      <c r="F229" s="34">
        <f>D229*E229</f>
        <v>36002681.130782671</v>
      </c>
      <c r="G229" s="34">
        <v>-14980749.318867341</v>
      </c>
      <c r="H229" s="34">
        <f t="shared" si="46"/>
        <v>21021931.811915331</v>
      </c>
      <c r="I229" s="309"/>
      <c r="K229" s="34"/>
    </row>
    <row r="230" spans="1:11" ht="18.95" customHeight="1">
      <c r="A230" s="18">
        <f t="shared" si="42"/>
        <v>144</v>
      </c>
      <c r="B230" s="768" t="s">
        <v>2058</v>
      </c>
      <c r="C230" s="125" t="s">
        <v>2060</v>
      </c>
      <c r="D230" s="34">
        <v>9964837.9203757513</v>
      </c>
      <c r="E230" s="621">
        <v>1</v>
      </c>
      <c r="F230" s="34">
        <f t="shared" ref="F230:F231" si="47">D230*E230</f>
        <v>9964837.9203757513</v>
      </c>
      <c r="G230" s="34">
        <v>-3778572.9792224457</v>
      </c>
      <c r="H230" s="34">
        <f t="shared" si="46"/>
        <v>6186264.9411533056</v>
      </c>
      <c r="I230" s="309"/>
      <c r="K230" s="34"/>
    </row>
    <row r="231" spans="1:11" ht="18.95" customHeight="1">
      <c r="A231" s="18">
        <f t="shared" si="42"/>
        <v>145</v>
      </c>
      <c r="B231" s="768">
        <v>411.4</v>
      </c>
      <c r="C231" s="125" t="s">
        <v>2061</v>
      </c>
      <c r="D231" s="34">
        <v>-1004120.6926301915</v>
      </c>
      <c r="E231" s="621">
        <v>1</v>
      </c>
      <c r="F231" s="34">
        <f t="shared" si="47"/>
        <v>-1004120.6926301915</v>
      </c>
      <c r="G231" s="34">
        <v>0</v>
      </c>
      <c r="H231" s="34">
        <f t="shared" si="46"/>
        <v>-1004120.6926301915</v>
      </c>
      <c r="I231" s="309"/>
    </row>
    <row r="232" spans="1:11" ht="18.95" customHeight="1">
      <c r="A232" s="18">
        <f t="shared" si="42"/>
        <v>146</v>
      </c>
      <c r="B232" s="768">
        <v>411.8</v>
      </c>
      <c r="C232" s="125" t="s">
        <v>2062</v>
      </c>
      <c r="D232" s="52">
        <v>0</v>
      </c>
      <c r="E232" s="621">
        <v>1</v>
      </c>
      <c r="F232" s="52">
        <v>0</v>
      </c>
      <c r="G232" s="52">
        <v>0</v>
      </c>
      <c r="H232" s="52">
        <f t="shared" si="46"/>
        <v>0</v>
      </c>
      <c r="I232" s="309"/>
    </row>
    <row r="233" spans="1:11" ht="18.95" customHeight="1">
      <c r="B233" s="859"/>
      <c r="C233" s="125"/>
      <c r="I233" s="309"/>
    </row>
    <row r="234" spans="1:11" ht="18.95" customHeight="1" thickBot="1">
      <c r="A234" s="18">
        <f>A232+1</f>
        <v>147</v>
      </c>
      <c r="B234" s="859"/>
      <c r="C234" s="133" t="s">
        <v>2063</v>
      </c>
      <c r="D234" s="42">
        <f>SUM(D224:D232)</f>
        <v>945730954.52865779</v>
      </c>
      <c r="F234" s="42">
        <f>SUM(F224:F232)</f>
        <v>945730954.52865779</v>
      </c>
      <c r="G234" s="42">
        <f>SUM(G224:G232)</f>
        <v>-100446316.1021789</v>
      </c>
      <c r="H234" s="42">
        <f>SUM(H224:H232)</f>
        <v>845284638.42647886</v>
      </c>
      <c r="I234" s="309"/>
    </row>
    <row r="235" spans="1:11" ht="18.95" customHeight="1" thickTop="1">
      <c r="B235" s="859"/>
      <c r="C235" s="133"/>
      <c r="I235" s="309"/>
    </row>
    <row r="236" spans="1:11" ht="18.95" customHeight="1" thickBot="1">
      <c r="A236" s="18">
        <f>A234+1</f>
        <v>148</v>
      </c>
      <c r="B236" s="859"/>
      <c r="C236" s="133" t="s">
        <v>2064</v>
      </c>
      <c r="D236" s="42">
        <f>D32-D234</f>
        <v>259057840.295277</v>
      </c>
      <c r="F236" s="42">
        <f>F32-F234</f>
        <v>259057840.295277</v>
      </c>
      <c r="G236" s="42">
        <f>G32-G234</f>
        <v>-82358280.894767612</v>
      </c>
      <c r="H236" s="42">
        <f>H32-H234</f>
        <v>176699559.40050936</v>
      </c>
      <c r="I236" s="309"/>
    </row>
    <row r="237" spans="1:11" ht="18.95" customHeight="1" thickTop="1">
      <c r="B237" s="859"/>
    </row>
    <row r="238" spans="1:11" ht="18.95" customHeight="1">
      <c r="B238" s="859"/>
      <c r="F238" s="34">
        <v>304021238.65380526</v>
      </c>
      <c r="G238" s="34">
        <v>-82358280.894767612</v>
      </c>
      <c r="H238" s="34"/>
    </row>
    <row r="239" spans="1:11" ht="18.95" customHeight="1">
      <c r="B239" s="859"/>
      <c r="F239" s="34">
        <f>F236+F229+F230+F231</f>
        <v>304021238.65380526</v>
      </c>
      <c r="G239" s="624"/>
    </row>
    <row r="240" spans="1:11" ht="18.95" customHeight="1">
      <c r="B240" s="859"/>
      <c r="G240" s="34"/>
    </row>
    <row r="241" spans="2:7" ht="18.95" customHeight="1">
      <c r="B241" s="859"/>
      <c r="G241" s="624"/>
    </row>
    <row r="242" spans="2:7" ht="18.95" customHeight="1">
      <c r="B242" s="859"/>
      <c r="G242" s="34"/>
    </row>
    <row r="243" spans="2:7" ht="18.95" customHeight="1">
      <c r="B243" s="859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6.77734375" style="17" customWidth="1"/>
    <col min="5" max="5" width="15.77734375" style="17" customWidth="1"/>
    <col min="6" max="6" width="9.88671875" style="17" customWidth="1"/>
    <col min="7" max="9" width="15.77734375" style="17" customWidth="1"/>
    <col min="10" max="10" width="1.6640625" style="17" customWidth="1"/>
    <col min="11" max="11" width="9" style="17"/>
    <col min="12" max="12" width="13.109375" style="17" customWidth="1"/>
    <col min="13" max="13" width="9" style="17"/>
    <col min="14" max="14" width="12.6640625" style="17" customWidth="1"/>
    <col min="15" max="15" width="12.88671875" style="17" customWidth="1"/>
    <col min="16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9" s="16" customFormat="1" ht="20.100000000000001" customHeight="1">
      <c r="A3" s="831" t="s">
        <v>233</v>
      </c>
      <c r="B3" s="831"/>
      <c r="C3" s="831"/>
      <c r="D3" s="831"/>
      <c r="E3" s="831"/>
      <c r="F3" s="831"/>
      <c r="G3" s="831"/>
      <c r="H3" s="831"/>
      <c r="I3" s="831"/>
    </row>
    <row r="4" spans="1:9" s="16" customFormat="1" ht="20.100000000000001" customHeight="1">
      <c r="A4" s="832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H6" s="22"/>
      <c r="I6" s="22" t="s">
        <v>232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H7" s="22"/>
      <c r="I7" s="22" t="s">
        <v>133</v>
      </c>
    </row>
    <row r="8" spans="1:9" s="16" customFormat="1" ht="20.100000000000001" customHeight="1">
      <c r="A8" s="15" t="s">
        <v>231</v>
      </c>
      <c r="B8" s="15"/>
      <c r="F8" s="15"/>
      <c r="G8" s="15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s="16" customFormat="1" ht="20.100000000000001" customHeight="1">
      <c r="A10" s="48"/>
      <c r="B10" s="48"/>
      <c r="C10" s="48"/>
      <c r="D10" s="48"/>
      <c r="E10" s="839" t="s">
        <v>236</v>
      </c>
      <c r="F10" s="839"/>
      <c r="G10" s="839"/>
      <c r="H10" s="839"/>
      <c r="I10" s="839"/>
    </row>
    <row r="11" spans="1:9" ht="58.5" customHeight="1">
      <c r="A11" s="19" t="s">
        <v>92</v>
      </c>
      <c r="B11" s="19" t="s">
        <v>95</v>
      </c>
      <c r="C11" s="26" t="s">
        <v>96</v>
      </c>
      <c r="D11" s="19" t="s">
        <v>234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9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9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9" ht="18.95" customHeight="1">
      <c r="A14" s="18">
        <f>A13+1</f>
        <v>2</v>
      </c>
      <c r="B14" s="19" t="s">
        <v>692</v>
      </c>
      <c r="C14" s="26" t="s">
        <v>693</v>
      </c>
      <c r="D14" s="34">
        <f>'SCH B-2.1 B'!D13</f>
        <v>2240.29</v>
      </c>
      <c r="E14" s="34">
        <f>SUMIFS('PIS B'!$V$11:$V$141,'PIS B'!$A$11:$A$141,$B$103,'PIS B'!$B$11:$B$141,$B14)</f>
        <v>0</v>
      </c>
      <c r="F14" s="51"/>
      <c r="G14" s="34">
        <f>E14</f>
        <v>0</v>
      </c>
      <c r="H14" s="34">
        <f>SUMIFS('SCH B-3.1'!$F$12:$F$22,'SCH B-3.1'!$B$12:$B$22,B14)</f>
        <v>0</v>
      </c>
      <c r="I14" s="34">
        <f>SUM(G14:H14)</f>
        <v>0</v>
      </c>
    </row>
    <row r="15" spans="1:9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B'!D14</f>
        <v>0</v>
      </c>
      <c r="E15" s="34">
        <f>SUMIFS('PIS B'!$V$11:$V$141,'PIS B'!$A$11:$A$141,$B$103,'PIS B'!$B$11:$B$141,$B15)</f>
        <v>0</v>
      </c>
      <c r="F15" s="55"/>
      <c r="G15" s="36">
        <f>E15</f>
        <v>0</v>
      </c>
      <c r="H15" s="35">
        <f>SUMIFS('SCH B-3.1'!$F$12:$F$22,'SCH B-3.1'!$B$12:$B$22,B15)</f>
        <v>0</v>
      </c>
      <c r="I15" s="36">
        <f>SUM(G15:H15)</f>
        <v>0</v>
      </c>
    </row>
    <row r="16" spans="1:9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B'!D15</f>
        <v>0</v>
      </c>
      <c r="E16" s="37">
        <f>SUMIFS('PIS B'!$V$11:$V$141,'PIS B'!$A$11:$A$141,$B$103,'PIS B'!$B$11:$B$141,$B16)</f>
        <v>0</v>
      </c>
      <c r="F16" s="51"/>
      <c r="G16" s="37">
        <f>E16</f>
        <v>0</v>
      </c>
      <c r="H16" s="37">
        <f>SUMIFS('SCH B-3.1'!$F$12:$F$22,'SCH B-3.1'!$B$12:$B$22,B16)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</v>
      </c>
      <c r="E17" s="34">
        <f>SUM(E14:E16)</f>
        <v>0</v>
      </c>
      <c r="F17" s="51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54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54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B'!D19</f>
        <v>11234131.259999989</v>
      </c>
      <c r="E20" s="36">
        <f>SUMIFS('PIS B'!$V$11:$V$141,'PIS B'!$B$11:$B$141,'SCH B-3 B'!$B20)</f>
        <v>297535.67763859482</v>
      </c>
      <c r="F20" s="55"/>
      <c r="G20" s="36">
        <f t="shared" ref="G20:G27" si="1">E20</f>
        <v>297535.67763859482</v>
      </c>
      <c r="H20" s="36">
        <f>SUMIFS('SCH B-3.1'!$F$12:$F$22,'SCH B-3.1'!$B$12:$B$22,B20)</f>
        <v>0</v>
      </c>
      <c r="I20" s="36">
        <f t="shared" ref="I20:I27" si="2">SUM(G20:H20)</f>
        <v>297535.67763859482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B'!D20</f>
        <v>311454485.72999996</v>
      </c>
      <c r="E21" s="36">
        <f>SUMIFS('PIS B'!$V$11:$V$141,'PIS B'!$B$11:$B$141,'SCH B-3 B'!$B21)</f>
        <v>-175797317.69239837</v>
      </c>
      <c r="F21" s="55"/>
      <c r="G21" s="36">
        <f t="shared" si="1"/>
        <v>-175797317.69239837</v>
      </c>
      <c r="H21" s="36">
        <f>SUMIFS('SCH B-3.1'!$F$12:$F$22,'SCH B-3.1'!$B$12:$B$22,B21)</f>
        <v>1129928.0115239001</v>
      </c>
      <c r="I21" s="36">
        <f t="shared" si="2"/>
        <v>-174667389.68087447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B'!D21</f>
        <v>2359229470.25</v>
      </c>
      <c r="E22" s="36">
        <f>SUMIFS('PIS B'!$V$11:$V$141,'PIS B'!$B$11:$B$141,'SCH B-3 B'!$B22)</f>
        <v>-483628668.11550611</v>
      </c>
      <c r="F22" s="55"/>
      <c r="G22" s="36">
        <f t="shared" si="1"/>
        <v>-483628668.11550611</v>
      </c>
      <c r="H22" s="36">
        <f>SUMIFS('SCH B-3.1'!$F$12:$F$22,'SCH B-3.1'!$B$12:$B$22,B22)</f>
        <v>86907813.234815776</v>
      </c>
      <c r="I22" s="36">
        <f t="shared" si="2"/>
        <v>-396720854.88069034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B'!D22</f>
        <v>0</v>
      </c>
      <c r="E23" s="36">
        <f>SUMIFS('PIS B'!$V$11:$V$141,'PIS B'!$B$11:$B$141,'SCH B-3 B'!$B23)</f>
        <v>0</v>
      </c>
      <c r="F23" s="55"/>
      <c r="G23" s="36">
        <f t="shared" si="1"/>
        <v>0</v>
      </c>
      <c r="H23" s="36">
        <f>SUMIFS('SCH B-3.1'!$F$12:$F$22,'SCH B-3.1'!$B$12:$B$22,B23)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B'!D23</f>
        <v>234779172.69</v>
      </c>
      <c r="E24" s="36">
        <f>SUMIFS('PIS B'!$V$11:$V$141,'PIS B'!$B$11:$B$141,'SCH B-3 B'!$B24)</f>
        <v>-107925258.24182989</v>
      </c>
      <c r="F24" s="55"/>
      <c r="G24" s="36">
        <f t="shared" si="1"/>
        <v>-107925258.24182989</v>
      </c>
      <c r="H24" s="36">
        <f>SUMIFS('SCH B-3.1'!$F$12:$F$22,'SCH B-3.1'!$B$12:$B$22,B24)</f>
        <v>0</v>
      </c>
      <c r="I24" s="36">
        <f t="shared" si="2"/>
        <v>-107925258.24182989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B'!D24</f>
        <v>183299673.08999997</v>
      </c>
      <c r="E25" s="36">
        <f>SUMIFS('PIS B'!$V$11:$V$141,'PIS B'!$B$11:$B$141,'SCH B-3 B'!$B25)</f>
        <v>-90280460.860430434</v>
      </c>
      <c r="F25" s="55"/>
      <c r="G25" s="36">
        <f t="shared" si="1"/>
        <v>-90280460.860430434</v>
      </c>
      <c r="H25" s="36">
        <f>SUMIFS('SCH B-3.1'!$F$12:$F$22,'SCH B-3.1'!$B$12:$B$22,B25)</f>
        <v>2200379.80094537</v>
      </c>
      <c r="I25" s="36">
        <f t="shared" si="2"/>
        <v>-88080081.059485063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B'!D25</f>
        <v>20428079.589999896</v>
      </c>
      <c r="E26" s="36">
        <f>SUMIFS('PIS B'!$V$11:$V$141,'PIS B'!$B$11:$B$141,'SCH B-3 B'!$B26)</f>
        <v>-7187711.4928107336</v>
      </c>
      <c r="F26" s="55"/>
      <c r="G26" s="36">
        <f t="shared" si="1"/>
        <v>-7187711.4928107336</v>
      </c>
      <c r="H26" s="36">
        <f>SUMIFS('SCH B-3.1'!$F$12:$F$22,'SCH B-3.1'!$B$12:$B$22,B26)</f>
        <v>127502.88843149701</v>
      </c>
      <c r="I26" s="36">
        <f t="shared" si="2"/>
        <v>-7060208.6043792367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B'!D26</f>
        <v>89186900.100000009</v>
      </c>
      <c r="E27" s="37">
        <f>SUMIFS('PIS B'!$V$11:$V$141,'PIS B'!$B$11:$B$141,'SCH B-3 B'!$B27)</f>
        <v>-46087418.159356192</v>
      </c>
      <c r="F27" s="55"/>
      <c r="G27" s="37">
        <f t="shared" si="1"/>
        <v>-46087418.159356192</v>
      </c>
      <c r="H27" s="37">
        <f>SUMIFS('SCH B-3.1'!$F$12:$F$22,'SCH B-3.1'!$B$12:$B$22,B27)</f>
        <v>46087418.159356192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3209611912.7099996</v>
      </c>
      <c r="E28" s="34">
        <f>SUM(E20:E27)</f>
        <v>-910609298.88469326</v>
      </c>
      <c r="F28" s="51"/>
      <c r="G28" s="34">
        <f>SUM(G20:G27)</f>
        <v>-910609298.88469326</v>
      </c>
      <c r="H28" s="34">
        <f>SUM(H20:H27)</f>
        <v>136453042.09507275</v>
      </c>
      <c r="I28" s="34">
        <f>SUM(I20:I27)</f>
        <v>-774156256.7896204</v>
      </c>
      <c r="L28" s="57"/>
      <c r="M28" s="57"/>
      <c r="N28" s="57"/>
      <c r="O28" s="57"/>
      <c r="P28" s="58"/>
    </row>
    <row r="29" spans="1:16" ht="18.95" customHeight="1">
      <c r="A29" s="18"/>
      <c r="C29" s="26"/>
      <c r="F29" s="56"/>
    </row>
    <row r="30" spans="1:16" ht="18.95" customHeight="1">
      <c r="A30" s="18">
        <f>A28+1</f>
        <v>16</v>
      </c>
      <c r="C30" s="38" t="s">
        <v>33</v>
      </c>
      <c r="F30" s="56"/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B'!D30</f>
        <v>6.5</v>
      </c>
      <c r="E31" s="36">
        <f>SUMIFS('PIS B'!$V$11:$V$141,'PIS B'!$B$11:$B$141,'SCH B-3 B'!$B31)</f>
        <v>0</v>
      </c>
      <c r="F31" s="55"/>
      <c r="G31" s="36">
        <f t="shared" ref="G31:G38" si="3">E31</f>
        <v>0</v>
      </c>
      <c r="H31" s="36">
        <f>SUMIFS('SCH B-3.1'!$F$12:$F$22,'SCH B-3.1'!$B$12:$B$22,B31)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B'!D31</f>
        <v>12870684.620000001</v>
      </c>
      <c r="E32" s="36">
        <f>SUMIFS('PIS B'!$V$11:$V$141,'PIS B'!$B$11:$B$141,'SCH B-3 B'!$B32)</f>
        <v>-4606774.26088457</v>
      </c>
      <c r="F32" s="55"/>
      <c r="G32" s="36">
        <f t="shared" si="3"/>
        <v>-4606774.26088457</v>
      </c>
      <c r="H32" s="36">
        <f>SUMIFS('SCH B-3.1'!$F$12:$F$22,'SCH B-3.1'!$B$12:$B$22,B32)</f>
        <v>0</v>
      </c>
      <c r="I32" s="36">
        <f t="shared" si="4"/>
        <v>-4606774.26088457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B'!D32</f>
        <v>26209847.310000002</v>
      </c>
      <c r="E33" s="36">
        <f>SUMIFS('PIS B'!$V$11:$V$141,'PIS B'!$B$11:$B$141,'SCH B-3 B'!$B33)</f>
        <v>-3956388.2905812003</v>
      </c>
      <c r="F33" s="55"/>
      <c r="G33" s="36">
        <f t="shared" si="3"/>
        <v>-3956388.2905812003</v>
      </c>
      <c r="H33" s="36">
        <f>SUMIFS('SCH B-3.1'!$F$12:$F$22,'SCH B-3.1'!$B$12:$B$22,B33)</f>
        <v>0</v>
      </c>
      <c r="I33" s="36">
        <f t="shared" si="4"/>
        <v>-3956388.2905812003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B'!D33</f>
        <v>101920448.19999999</v>
      </c>
      <c r="E34" s="36">
        <f>SUMIFS('PIS B'!$V$11:$V$141,'PIS B'!$B$11:$B$141,'SCH B-3 B'!$B34)</f>
        <v>-4334271.6073419889</v>
      </c>
      <c r="F34" s="55"/>
      <c r="G34" s="36">
        <f t="shared" si="3"/>
        <v>-4334271.6073419889</v>
      </c>
      <c r="H34" s="36">
        <f>SUMIFS('SCH B-3.1'!$F$12:$F$22,'SCH B-3.1'!$B$12:$B$22,B34)</f>
        <v>0</v>
      </c>
      <c r="I34" s="36">
        <f t="shared" si="4"/>
        <v>-4334271.6073419889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B'!D34</f>
        <v>13160323.679999998</v>
      </c>
      <c r="E35" s="36">
        <f>SUMIFS('PIS B'!$V$11:$V$141,'PIS B'!$B$11:$B$141,'SCH B-3 B'!$B35)</f>
        <v>-3295849.3079999997</v>
      </c>
      <c r="F35" s="55"/>
      <c r="G35" s="36">
        <f t="shared" si="3"/>
        <v>-3295849.3079999997</v>
      </c>
      <c r="H35" s="36">
        <f>SUMIFS('SCH B-3.1'!$F$12:$F$22,'SCH B-3.1'!$B$12:$B$22,B35)</f>
        <v>0</v>
      </c>
      <c r="I35" s="36">
        <f t="shared" si="4"/>
        <v>-3295849.3079999997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B'!D35</f>
        <v>3563125.77</v>
      </c>
      <c r="E36" s="36">
        <f>SUMIFS('PIS B'!$V$11:$V$141,'PIS B'!$B$11:$B$141,'SCH B-3 B'!$B36)</f>
        <v>-380866.10305647796</v>
      </c>
      <c r="F36" s="55"/>
      <c r="G36" s="36">
        <f t="shared" si="3"/>
        <v>-380866.10305647796</v>
      </c>
      <c r="H36" s="36">
        <f>SUMIFS('SCH B-3.1'!$F$12:$F$22,'SCH B-3.1'!$B$12:$B$22,B36)</f>
        <v>0</v>
      </c>
      <c r="I36" s="36">
        <f t="shared" si="4"/>
        <v>-380866.10305647796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B'!D36</f>
        <v>29930.61</v>
      </c>
      <c r="E37" s="36">
        <f>SUMIFS('PIS B'!$V$11:$V$141,'PIS B'!$B$11:$B$141,'SCH B-3 B'!$B37)</f>
        <v>-21736.710907978002</v>
      </c>
      <c r="F37" s="55"/>
      <c r="G37" s="36">
        <f t="shared" si="3"/>
        <v>-21736.710907978002</v>
      </c>
      <c r="H37" s="36">
        <f>SUMIFS('SCH B-3.1'!$F$12:$F$22,'SCH B-3.1'!$B$12:$B$22,B37)</f>
        <v>0</v>
      </c>
      <c r="I37" s="36">
        <f t="shared" si="4"/>
        <v>-21736.710907978002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B'!D37</f>
        <v>463569.15</v>
      </c>
      <c r="E38" s="37">
        <f>SUMIFS('PIS B'!$V$11:$V$141,'PIS B'!$B$11:$B$141,'SCH B-3 B'!$B38)</f>
        <v>-57379.297698614006</v>
      </c>
      <c r="F38" s="55"/>
      <c r="G38" s="37">
        <f t="shared" si="3"/>
        <v>-57379.297698614006</v>
      </c>
      <c r="H38" s="37">
        <f>SUMIFS('SCH B-3.1'!$F$12:$F$22,'SCH B-3.1'!$B$12:$B$22,B38)</f>
        <v>57379.297698614006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158217935.84000003</v>
      </c>
      <c r="E39" s="34">
        <f>SUM(E31:E38)</f>
        <v>-16653265.578470826</v>
      </c>
      <c r="F39" s="51"/>
      <c r="G39" s="34">
        <f>SUM(G31:G38)</f>
        <v>-16653265.578470826</v>
      </c>
      <c r="H39" s="34">
        <f>SUM(H31:H38)</f>
        <v>57379.297698614006</v>
      </c>
      <c r="I39" s="34">
        <f>SUM(I31:I38)</f>
        <v>-16595886.280772213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51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  <c r="F41" s="56"/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B'!D41</f>
        <v>414278.16</v>
      </c>
      <c r="E42" s="36">
        <f>SUMIFS('PIS B'!$V$11:$V$141,'PIS B'!$B$11:$B$141,'SCH B-3 B'!$B42)</f>
        <v>0</v>
      </c>
      <c r="F42" s="55"/>
      <c r="G42" s="36">
        <f>E42</f>
        <v>0</v>
      </c>
      <c r="H42" s="36">
        <f>SUMIFS('SCH B-3.1'!$F$12:$F$22,'SCH B-3.1'!$B$12:$B$22,B42)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B'!D42</f>
        <v>33942182.450000003</v>
      </c>
      <c r="E43" s="36">
        <f>SUMIFS('PIS B'!$V$11:$V$141,'PIS B'!$B$11:$B$141,'SCH B-3 B'!$B43)</f>
        <v>-13427156.83770854</v>
      </c>
      <c r="F43" s="55"/>
      <c r="G43" s="36">
        <f>E43</f>
        <v>-13427156.83770854</v>
      </c>
      <c r="H43" s="36">
        <f>SUMIFS('SCH B-3.1'!$F$12:$F$22,'SCH B-3.1'!$B$12:$B$22,B43)</f>
        <v>0</v>
      </c>
      <c r="I43" s="36">
        <f>SUM(G43:H43)</f>
        <v>-13427156.83770854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B'!D43</f>
        <v>24767192.59</v>
      </c>
      <c r="E44" s="36">
        <f>SUMIFS('PIS B'!$V$11:$V$141,'PIS B'!$B$11:$B$141,'SCH B-3 B'!$B44)</f>
        <v>-6704737.9243326001</v>
      </c>
      <c r="F44" s="55"/>
      <c r="G44" s="36">
        <f>E44</f>
        <v>-6704737.9243326001</v>
      </c>
      <c r="H44" s="36">
        <f>SUMIFS('SCH B-3.1'!$F$12:$F$22,'SCH B-3.1'!$B$12:$B$22,B44)</f>
        <v>0</v>
      </c>
      <c r="I44" s="36">
        <f>SUM(G44:H44)</f>
        <v>-6704737.9243326001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B'!D44</f>
        <v>243935567.73999998</v>
      </c>
      <c r="E45" s="36">
        <f>SUMIFS('PIS B'!$V$11:$V$141,'PIS B'!$B$11:$B$141,'SCH B-3 B'!$B45)</f>
        <v>-71867333.773507997</v>
      </c>
      <c r="F45" s="55"/>
      <c r="G45" s="36">
        <f>E45</f>
        <v>-71867333.773507997</v>
      </c>
      <c r="H45" s="36">
        <f>SUMIFS('SCH B-3.1'!$F$12:$F$22,'SCH B-3.1'!$B$12:$B$22,B45)</f>
        <v>0</v>
      </c>
      <c r="I45" s="36">
        <f>SUM(G45:H45)</f>
        <v>-71867333.773507997</v>
      </c>
    </row>
    <row r="46" spans="1:16" s="16" customFormat="1" ht="20.100000000000001" customHeight="1">
      <c r="A46" s="831" t="str">
        <f>$A$1</f>
        <v>LOUISVILLE GAS AND ELECTRIC COMPANY</v>
      </c>
      <c r="B46" s="831"/>
      <c r="C46" s="831"/>
      <c r="D46" s="831"/>
      <c r="E46" s="831"/>
      <c r="F46" s="831"/>
      <c r="G46" s="831"/>
      <c r="H46" s="831"/>
      <c r="I46" s="831"/>
    </row>
    <row r="47" spans="1:16" s="16" customFormat="1" ht="20.100000000000001" customHeight="1">
      <c r="A47" s="831" t="str">
        <f>$A$2</f>
        <v>CASE NO. 2018-00295 - ELECTRIC OPERATIONS</v>
      </c>
      <c r="B47" s="831"/>
      <c r="C47" s="831"/>
      <c r="D47" s="831"/>
      <c r="E47" s="831"/>
      <c r="F47" s="831"/>
      <c r="G47" s="831"/>
      <c r="H47" s="831"/>
      <c r="I47" s="831"/>
    </row>
    <row r="48" spans="1:16" s="16" customFormat="1" ht="20.100000000000001" customHeight="1">
      <c r="A48" s="831" t="str">
        <f>$A$3</f>
        <v>ACCUMULATED DEPRECIATION AND AMORTIZATION</v>
      </c>
      <c r="B48" s="831"/>
      <c r="C48" s="831"/>
      <c r="D48" s="831"/>
      <c r="E48" s="831"/>
      <c r="F48" s="831"/>
      <c r="G48" s="831"/>
      <c r="H48" s="831"/>
      <c r="I48" s="831"/>
    </row>
    <row r="49" spans="1:16" s="16" customFormat="1" ht="20.100000000000001" customHeight="1">
      <c r="A49" s="832" t="str">
        <f>$A$4</f>
        <v>AS OF DECEMBER 31, 2018</v>
      </c>
      <c r="B49" s="831"/>
      <c r="C49" s="831"/>
      <c r="D49" s="831"/>
      <c r="E49" s="831"/>
      <c r="F49" s="831"/>
      <c r="G49" s="831"/>
      <c r="H49" s="831"/>
      <c r="I49" s="831"/>
    </row>
    <row r="50" spans="1:16" s="16" customFormat="1" ht="20.100000000000001" customHeight="1">
      <c r="A50" s="32"/>
      <c r="B50" s="32"/>
      <c r="C50" s="32"/>
      <c r="D50" s="32"/>
      <c r="E50" s="32"/>
      <c r="F50" s="32"/>
      <c r="G50" s="32"/>
      <c r="H50" s="32"/>
      <c r="I50" s="32"/>
    </row>
    <row r="51" spans="1:16" s="16" customFormat="1" ht="20.100000000000001" customHeight="1">
      <c r="A51" s="15" t="str">
        <f>$A$6</f>
        <v>DATA:__X__BASE  PERIOD____FORECASTED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_____ ORIGINAL  _____ UPDATED  __X__ REVISED</v>
      </c>
      <c r="H52" s="22"/>
      <c r="I52" s="22" t="s">
        <v>132</v>
      </c>
    </row>
    <row r="53" spans="1:16" s="16" customFormat="1" ht="20.100000000000001" customHeight="1">
      <c r="A53" s="15" t="str">
        <f>$A$8</f>
        <v>WORKPAPER REFERENCE NO(S).:</v>
      </c>
      <c r="B53" s="15"/>
      <c r="F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39" t="s">
        <v>236</v>
      </c>
      <c r="F55" s="839"/>
      <c r="G55" s="839"/>
      <c r="H55" s="839"/>
      <c r="I55" s="839"/>
    </row>
    <row r="56" spans="1:16" ht="58.5" customHeight="1">
      <c r="A56" s="19" t="s">
        <v>92</v>
      </c>
      <c r="B56" s="19" t="s">
        <v>95</v>
      </c>
      <c r="C56" s="26" t="s">
        <v>96</v>
      </c>
      <c r="D56" s="19" t="s">
        <v>234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B'!D56</f>
        <v>59666441.119999997</v>
      </c>
      <c r="E58" s="36">
        <f>SUMIFS('PIS B'!$V$11:$V$141,'PIS B'!$B$11:$B$141,'SCH B-3 B'!$B58)</f>
        <v>-26377948.771972388</v>
      </c>
      <c r="F58" s="55"/>
      <c r="G58" s="36">
        <f>E58</f>
        <v>-26377948.771972388</v>
      </c>
      <c r="H58" s="36">
        <f>SUMIFS('SCH B-3.1'!$F$12:$F$22,'SCH B-3.1'!$B$12:$B$22,B58)</f>
        <v>0</v>
      </c>
      <c r="I58" s="36">
        <f>SUM(G58:H58)</f>
        <v>-26377948.771972388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B'!D57</f>
        <v>32099835.649999999</v>
      </c>
      <c r="E59" s="36">
        <f>SUMIFS('PIS B'!$V$11:$V$141,'PIS B'!$B$11:$B$141,'SCH B-3 B'!$B59)</f>
        <v>-13085579.6646292</v>
      </c>
      <c r="F59" s="55"/>
      <c r="G59" s="36">
        <f>E59</f>
        <v>-13085579.6646292</v>
      </c>
      <c r="H59" s="36">
        <f>SUMIFS('SCH B-3.1'!$F$12:$F$22,'SCH B-3.1'!$B$12:$B$22,B59)</f>
        <v>0</v>
      </c>
      <c r="I59" s="36">
        <f>SUM(G59:H59)</f>
        <v>-13085579.6646292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B'!D58</f>
        <v>5233586.2799999984</v>
      </c>
      <c r="E60" s="36">
        <f>SUMIFS('PIS B'!$V$11:$V$141,'PIS B'!$B$11:$B$141,'SCH B-3 B'!$B60)</f>
        <v>-2314149.6762535698</v>
      </c>
      <c r="F60" s="55"/>
      <c r="G60" s="36">
        <f>E60</f>
        <v>-2314149.6762535698</v>
      </c>
      <c r="H60" s="36">
        <f>SUMIFS('SCH B-3.1'!$F$12:$F$22,'SCH B-3.1'!$B$12:$B$22,B60)</f>
        <v>0</v>
      </c>
      <c r="I60" s="36">
        <f>SUM(G60:H60)</f>
        <v>-2314149.6762535698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B'!D59</f>
        <v>111984.04</v>
      </c>
      <c r="E61" s="37">
        <f>SUMIFS('PIS B'!$V$11:$V$141,'PIS B'!$B$11:$B$141,'SCH B-3 B'!$B61)</f>
        <v>-19993.744847864</v>
      </c>
      <c r="F61" s="55"/>
      <c r="G61" s="37">
        <f>E61</f>
        <v>-19993.744847864</v>
      </c>
      <c r="H61" s="37">
        <f>SUMIFS('SCH B-3.1'!$F$12:$F$22,'SCH B-3.1'!$B$12:$B$22,B61)</f>
        <v>19993.744847864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400171068.02999997</v>
      </c>
      <c r="E62" s="34">
        <f>SUM(E42:E45,E58:E61)</f>
        <v>-133796900.39325216</v>
      </c>
      <c r="F62" s="34"/>
      <c r="G62" s="34">
        <f>SUM(G42:G45,G58:G61)</f>
        <v>-133796900.39325216</v>
      </c>
      <c r="H62" s="34">
        <f>SUM(H42:H45,H58:H61)</f>
        <v>19993.744847864</v>
      </c>
      <c r="I62" s="34">
        <f>SUM(I42:I45,I58:I61)</f>
        <v>-133776906.6484043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B'!D63</f>
        <v>11144162.02</v>
      </c>
      <c r="E65" s="36">
        <f>SUMIFS('PIS B'!$V$11:$V$141,'PIS B'!$B$11:$B$141,'SCH B-3 B'!$B65)</f>
        <v>-3302315.7097659996</v>
      </c>
      <c r="F65" s="55"/>
      <c r="G65" s="36">
        <f t="shared" ref="G65:G73" si="5">E65</f>
        <v>-3302315.7097659996</v>
      </c>
      <c r="H65" s="36">
        <f>SUMIFS('SCH B-3.1'!$F$12:$F$22,'SCH B-3.1'!$B$12:$B$22,B65)</f>
        <v>0</v>
      </c>
      <c r="I65" s="36">
        <f t="shared" ref="I65:I73" si="6">SUM(G65:H65)</f>
        <v>-3302315.7097659996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B'!D64</f>
        <v>17704470.390000004</v>
      </c>
      <c r="E66" s="36">
        <f>SUMIFS('PIS B'!$V$11:$V$141,'PIS B'!$B$11:$B$141,'SCH B-3 B'!$B66)</f>
        <v>-2673655.9356366252</v>
      </c>
      <c r="F66" s="55"/>
      <c r="G66" s="36">
        <f t="shared" si="5"/>
        <v>-2673655.9356366252</v>
      </c>
      <c r="H66" s="36">
        <f>SUMIFS('SCH B-3.1'!$F$12:$F$22,'SCH B-3.1'!$B$12:$B$22,B66)</f>
        <v>0</v>
      </c>
      <c r="I66" s="36">
        <f t="shared" si="6"/>
        <v>-2673655.9356366252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B'!D65</f>
        <v>232170481.12</v>
      </c>
      <c r="E67" s="36">
        <f>SUMIFS('PIS B'!$V$11:$V$141,'PIS B'!$B$11:$B$141,'SCH B-3 B'!$B67)</f>
        <v>-69780391.426450029</v>
      </c>
      <c r="F67" s="55"/>
      <c r="G67" s="36">
        <f t="shared" si="5"/>
        <v>-69780391.426450029</v>
      </c>
      <c r="H67" s="36">
        <f>SUMIFS('SCH B-3.1'!$F$12:$F$22,'SCH B-3.1'!$B$12:$B$22,B67)</f>
        <v>0</v>
      </c>
      <c r="I67" s="36">
        <f t="shared" si="6"/>
        <v>-69780391.426450029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B'!D66</f>
        <v>43849203.199999996</v>
      </c>
      <c r="E68" s="36">
        <f>SUMIFS('PIS B'!$V$11:$V$141,'PIS B'!$B$11:$B$141,'SCH B-3 B'!$B68)</f>
        <v>-26695113.099735901</v>
      </c>
      <c r="F68" s="55"/>
      <c r="G68" s="36">
        <f t="shared" si="5"/>
        <v>-26695113.099735901</v>
      </c>
      <c r="H68" s="36">
        <f>SUMIFS('SCH B-3.1'!$F$12:$F$22,'SCH B-3.1'!$B$12:$B$22,B68)</f>
        <v>0</v>
      </c>
      <c r="I68" s="36">
        <f t="shared" si="6"/>
        <v>-26695113.099735901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B'!D67</f>
        <v>100474530.12000002</v>
      </c>
      <c r="E69" s="36">
        <f>SUMIFS('PIS B'!$V$11:$V$141,'PIS B'!$B$11:$B$141,'SCH B-3 B'!$B69)</f>
        <v>-28302369.9432505</v>
      </c>
      <c r="F69" s="55"/>
      <c r="G69" s="36">
        <f t="shared" si="5"/>
        <v>-28302369.9432505</v>
      </c>
      <c r="H69" s="36">
        <f>SUMIFS('SCH B-3.1'!$F$12:$F$22,'SCH B-3.1'!$B$12:$B$22,B69)</f>
        <v>0</v>
      </c>
      <c r="I69" s="36">
        <f t="shared" si="6"/>
        <v>-28302369.9432505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B'!D68</f>
        <v>61372371.700000003</v>
      </c>
      <c r="E70" s="36">
        <f>SUMIFS('PIS B'!$V$11:$V$141,'PIS B'!$B$11:$B$141,'SCH B-3 B'!$B70)</f>
        <v>-30298532.715609353</v>
      </c>
      <c r="F70" s="55"/>
      <c r="G70" s="36">
        <f t="shared" si="5"/>
        <v>-30298532.715609353</v>
      </c>
      <c r="H70" s="36">
        <f>SUMIFS('SCH B-3.1'!$F$12:$F$22,'SCH B-3.1'!$B$12:$B$22,B70)</f>
        <v>0</v>
      </c>
      <c r="I70" s="36">
        <f t="shared" si="6"/>
        <v>-30298532.715609353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B'!D69</f>
        <v>1804058.69</v>
      </c>
      <c r="E71" s="36">
        <f>SUMIFS('PIS B'!$V$11:$V$141,'PIS B'!$B$11:$B$141,'SCH B-3 B'!$B71)</f>
        <v>-766316.01304071723</v>
      </c>
      <c r="F71" s="55"/>
      <c r="G71" s="36">
        <f t="shared" si="5"/>
        <v>-766316.01304071723</v>
      </c>
      <c r="H71" s="36">
        <f>SUMIFS('SCH B-3.1'!$F$12:$F$22,'SCH B-3.1'!$B$12:$B$22,B71)</f>
        <v>0</v>
      </c>
      <c r="I71" s="36">
        <f t="shared" si="6"/>
        <v>-766316.01304071723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B'!D70</f>
        <v>7529169.8199999994</v>
      </c>
      <c r="E72" s="36">
        <f>SUMIFS('PIS B'!$V$11:$V$141,'PIS B'!$B$11:$B$141,'SCH B-3 B'!$B72)</f>
        <v>-3616355.7313892394</v>
      </c>
      <c r="F72" s="55"/>
      <c r="G72" s="36">
        <f t="shared" si="5"/>
        <v>-3616355.7313892394</v>
      </c>
      <c r="H72" s="36">
        <f>SUMIFS('SCH B-3.1'!$F$12:$F$22,'SCH B-3.1'!$B$12:$B$22,B72)</f>
        <v>0</v>
      </c>
      <c r="I72" s="36">
        <f t="shared" si="6"/>
        <v>-3616355.7313892394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B'!D71</f>
        <v>195962.45</v>
      </c>
      <c r="E73" s="37">
        <f>SUMIFS('PIS B'!$V$11:$V$141,'PIS B'!$B$11:$B$141,'SCH B-3 B'!$B73)</f>
        <v>-42833.828570921003</v>
      </c>
      <c r="F73" s="55"/>
      <c r="G73" s="37">
        <f t="shared" si="5"/>
        <v>-42833.828570921003</v>
      </c>
      <c r="H73" s="37">
        <f>SUMIFS('SCH B-3.1'!$F$12:$F$22,'SCH B-3.1'!$B$12:$B$22,B73)</f>
        <v>42833.828570921003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476244409.50999999</v>
      </c>
      <c r="E74" s="34">
        <f>SUM(E65:E73)</f>
        <v>-165477884.40344927</v>
      </c>
      <c r="F74" s="34"/>
      <c r="G74" s="34">
        <f>SUM(G65:G73)</f>
        <v>-165477884.40344927</v>
      </c>
      <c r="H74" s="34">
        <f>SUM(H65:H73)</f>
        <v>42833.828570921003</v>
      </c>
      <c r="I74" s="34">
        <f>SUM(I65:I73)</f>
        <v>-165435050.57487833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B'!D75</f>
        <v>4103252.72</v>
      </c>
      <c r="E77" s="36">
        <f>SUMIFS('PIS B'!$V$11:$V$141,'PIS B'!$B$11:$B$141,'SCH B-3 B'!$B77)</f>
        <v>46078.46</v>
      </c>
      <c r="F77" s="55"/>
      <c r="G77" s="36">
        <f t="shared" ref="G77:G89" si="7">E77</f>
        <v>46078.46</v>
      </c>
      <c r="H77" s="36">
        <f>SUMIFS('SCH B-3.1'!$F$12:$F$22,'SCH B-3.1'!$B$12:$B$22,B77)</f>
        <v>0</v>
      </c>
      <c r="I77" s="36">
        <f t="shared" ref="I77:I89" si="8">SUM(G77:H77)</f>
        <v>46078.46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B'!D76</f>
        <v>14978150.11999999</v>
      </c>
      <c r="E78" s="36">
        <f>SUMIFS('PIS B'!$V$11:$V$141,'PIS B'!$B$11:$B$141,'SCH B-3 B'!$B78)</f>
        <v>-2440570.3177898005</v>
      </c>
      <c r="F78" s="55"/>
      <c r="G78" s="36">
        <f t="shared" si="7"/>
        <v>-2440570.3177898005</v>
      </c>
      <c r="H78" s="36">
        <f>SUMIFS('SCH B-3.1'!$F$12:$F$22,'SCH B-3.1'!$B$12:$B$22,B78)</f>
        <v>0</v>
      </c>
      <c r="I78" s="36">
        <f t="shared" si="8"/>
        <v>-2440570.3177898005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B'!D77</f>
        <v>144316578.26000002</v>
      </c>
      <c r="E79" s="36">
        <f>SUMIFS('PIS B'!$V$11:$V$141,'PIS B'!$B$11:$B$141,'SCH B-3 B'!$B79)</f>
        <v>-46916323.333903201</v>
      </c>
      <c r="F79" s="55"/>
      <c r="G79" s="36">
        <f t="shared" si="7"/>
        <v>-46916323.333903201</v>
      </c>
      <c r="H79" s="36">
        <f>SUMIFS('SCH B-3.1'!$F$12:$F$22,'SCH B-3.1'!$B$12:$B$22,B79)</f>
        <v>0</v>
      </c>
      <c r="I79" s="36">
        <f t="shared" si="8"/>
        <v>-46916323.333903201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B'!D78</f>
        <v>208981296.42999998</v>
      </c>
      <c r="E80" s="36">
        <f>SUMIFS('PIS B'!$V$11:$V$141,'PIS B'!$B$11:$B$141,'SCH B-3 B'!$B80)</f>
        <v>-83565660.861552715</v>
      </c>
      <c r="F80" s="55"/>
      <c r="G80" s="36">
        <f t="shared" si="7"/>
        <v>-83565660.861552715</v>
      </c>
      <c r="H80" s="36">
        <f>SUMIFS('SCH B-3.1'!$F$12:$F$22,'SCH B-3.1'!$B$12:$B$22,B80)</f>
        <v>0</v>
      </c>
      <c r="I80" s="36">
        <f t="shared" si="8"/>
        <v>-83565660.861552715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B'!D79</f>
        <v>355099507.56</v>
      </c>
      <c r="E81" s="36">
        <f>SUMIFS('PIS B'!$V$11:$V$141,'PIS B'!$B$11:$B$141,'SCH B-3 B'!$B81)</f>
        <v>-128042681.05795211</v>
      </c>
      <c r="F81" s="55"/>
      <c r="G81" s="36">
        <f t="shared" si="7"/>
        <v>-128042681.05795211</v>
      </c>
      <c r="H81" s="36">
        <f>SUMIFS('SCH B-3.1'!$F$12:$F$22,'SCH B-3.1'!$B$12:$B$22,B81)</f>
        <v>0</v>
      </c>
      <c r="I81" s="36">
        <f t="shared" si="8"/>
        <v>-128042681.05795211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B'!D80</f>
        <v>96674999.530000001</v>
      </c>
      <c r="E82" s="36">
        <f>SUMIFS('PIS B'!$V$11:$V$141,'PIS B'!$B$11:$B$141,'SCH B-3 B'!$B82)</f>
        <v>-33379022.707385283</v>
      </c>
      <c r="F82" s="55"/>
      <c r="G82" s="36">
        <f t="shared" si="7"/>
        <v>-33379022.707385283</v>
      </c>
      <c r="H82" s="36">
        <f>SUMIFS('SCH B-3.1'!$F$12:$F$22,'SCH B-3.1'!$B$12:$B$22,B82)</f>
        <v>0</v>
      </c>
      <c r="I82" s="36">
        <f t="shared" si="8"/>
        <v>-33379022.707385283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B'!D81</f>
        <v>276659561.50999993</v>
      </c>
      <c r="E83" s="36">
        <f>SUMIFS('PIS B'!$V$11:$V$141,'PIS B'!$B$11:$B$141,'SCH B-3 B'!$B83)</f>
        <v>-63184718.519828185</v>
      </c>
      <c r="F83" s="55"/>
      <c r="G83" s="36">
        <f t="shared" si="7"/>
        <v>-63184718.519828185</v>
      </c>
      <c r="H83" s="36">
        <f>SUMIFS('SCH B-3.1'!$F$12:$F$22,'SCH B-3.1'!$B$12:$B$22,B83)</f>
        <v>0</v>
      </c>
      <c r="I83" s="36">
        <f t="shared" si="8"/>
        <v>-63184718.519828185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B'!D82</f>
        <v>171974837.23999998</v>
      </c>
      <c r="E84" s="36">
        <f>SUMIFS('PIS B'!$V$11:$V$141,'PIS B'!$B$11:$B$141,'SCH B-3 B'!$B84)</f>
        <v>-81549597.283138409</v>
      </c>
      <c r="F84" s="55"/>
      <c r="G84" s="36">
        <f t="shared" si="7"/>
        <v>-81549597.283138409</v>
      </c>
      <c r="H84" s="36">
        <f>SUMIFS('SCH B-3.1'!$F$12:$F$22,'SCH B-3.1'!$B$12:$B$22,B84)</f>
        <v>0</v>
      </c>
      <c r="I84" s="36">
        <f t="shared" si="8"/>
        <v>-81549597.283138409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B'!D83</f>
        <v>37462116.850000001</v>
      </c>
      <c r="E85" s="36">
        <f>SUMIFS('PIS B'!$V$11:$V$141,'PIS B'!$B$11:$B$141,'SCH B-3 B'!$B85)</f>
        <v>-26519798.988960747</v>
      </c>
      <c r="F85" s="55"/>
      <c r="G85" s="36">
        <f t="shared" si="7"/>
        <v>-26519798.988960747</v>
      </c>
      <c r="H85" s="36">
        <f>SUMIFS('SCH B-3.1'!$F$12:$F$22,'SCH B-3.1'!$B$12:$B$22,B85)</f>
        <v>0</v>
      </c>
      <c r="I85" s="36">
        <f t="shared" si="8"/>
        <v>-26519798.988960747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B'!D84</f>
        <v>42689361.609999999</v>
      </c>
      <c r="E86" s="36">
        <f>SUMIFS('PIS B'!$V$11:$V$141,'PIS B'!$B$11:$B$141,'SCH B-3 B'!$B86)</f>
        <v>-24597620.890179362</v>
      </c>
      <c r="F86" s="55"/>
      <c r="G86" s="36">
        <f t="shared" si="7"/>
        <v>-24597620.890179362</v>
      </c>
      <c r="H86" s="36">
        <f>SUMIFS('SCH B-3.1'!$F$12:$F$22,'SCH B-3.1'!$B$12:$B$22,B86)</f>
        <v>245136.46405800001</v>
      </c>
      <c r="I86" s="36">
        <f t="shared" si="8"/>
        <v>-24352484.426121362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B'!D85</f>
        <v>156536.15000000002</v>
      </c>
      <c r="E87" s="36">
        <f>SUMIFS('PIS B'!$V$11:$V$141,'PIS B'!$B$11:$B$141,'SCH B-3 B'!$B87)</f>
        <v>-5087.5116504073449</v>
      </c>
      <c r="F87" s="55"/>
      <c r="G87" s="36">
        <f t="shared" si="7"/>
        <v>-5087.5116504073449</v>
      </c>
      <c r="H87" s="36">
        <f>SUMIFS('SCH B-3.1'!$F$12:$F$22,'SCH B-3.1'!$B$12:$B$22,B87)</f>
        <v>0</v>
      </c>
      <c r="I87" s="36">
        <f t="shared" si="8"/>
        <v>-5087.5116504073449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B'!D86</f>
        <v>116040704.05</v>
      </c>
      <c r="E88" s="36">
        <f>SUMIFS('PIS B'!$V$11:$V$141,'PIS B'!$B$11:$B$141,'SCH B-3 B'!$B88)</f>
        <v>-44330397.340482488</v>
      </c>
      <c r="F88" s="55"/>
      <c r="G88" s="36">
        <f t="shared" si="7"/>
        <v>-44330397.340482488</v>
      </c>
      <c r="H88" s="36">
        <f>SUMIFS('SCH B-3.1'!$F$12:$F$22,'SCH B-3.1'!$B$12:$B$22,B88)</f>
        <v>0</v>
      </c>
      <c r="I88" s="36">
        <f t="shared" si="8"/>
        <v>-44330397.340482488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B'!D87</f>
        <v>367963.87</v>
      </c>
      <c r="E89" s="37">
        <f>SUMIFS('PIS B'!$V$11:$V$141,'PIS B'!$B$11:$B$141,'SCH B-3 B'!$B89)</f>
        <v>-56561.545066634499</v>
      </c>
      <c r="F89" s="55"/>
      <c r="G89" s="37">
        <f t="shared" si="7"/>
        <v>-56561.545066634499</v>
      </c>
      <c r="H89" s="37">
        <f>SUMIFS('SCH B-3.1'!$F$12:$F$22,'SCH B-3.1'!$B$12:$B$22,B89)</f>
        <v>56561.545066634499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1469504865.8999996</v>
      </c>
      <c r="E90" s="34">
        <f>SUM(E77:E89)</f>
        <v>-534541961.89788932</v>
      </c>
      <c r="F90" s="34"/>
      <c r="G90" s="34">
        <f>SUM(G77:G89)</f>
        <v>-534541961.89788932</v>
      </c>
      <c r="H90" s="34">
        <f>SUM(H77:H89)</f>
        <v>301698.0091246345</v>
      </c>
      <c r="I90" s="34">
        <f>SUM(I77:I89)</f>
        <v>-534240263.88876468</v>
      </c>
      <c r="L90" s="57"/>
      <c r="M90" s="57"/>
      <c r="N90" s="57"/>
      <c r="O90" s="57"/>
      <c r="P90" s="58"/>
    </row>
    <row r="91" spans="1:16" s="16" customFormat="1" ht="20.100000000000001" customHeight="1">
      <c r="A91" s="831" t="str">
        <f>$A$1</f>
        <v>LOUISVILLE GAS AND ELECTRIC COMPANY</v>
      </c>
      <c r="B91" s="831"/>
      <c r="C91" s="831"/>
      <c r="D91" s="831"/>
      <c r="E91" s="831"/>
      <c r="F91" s="831"/>
      <c r="G91" s="831"/>
      <c r="H91" s="831"/>
      <c r="I91" s="831"/>
    </row>
    <row r="92" spans="1:16" s="16" customFormat="1" ht="20.100000000000001" customHeight="1">
      <c r="A92" s="831" t="str">
        <f>$A$2</f>
        <v>CASE NO. 2018-00295 - ELECTRIC OPERATIONS</v>
      </c>
      <c r="B92" s="831"/>
      <c r="C92" s="831"/>
      <c r="D92" s="831"/>
      <c r="E92" s="831"/>
      <c r="F92" s="831"/>
      <c r="G92" s="831"/>
      <c r="H92" s="831"/>
      <c r="I92" s="831"/>
    </row>
    <row r="93" spans="1:16" s="16" customFormat="1" ht="20.100000000000001" customHeight="1">
      <c r="A93" s="831" t="str">
        <f>$A$3</f>
        <v>ACCUMULATED DEPRECIATION AND AMORTIZATION</v>
      </c>
      <c r="B93" s="831"/>
      <c r="C93" s="831"/>
      <c r="D93" s="831"/>
      <c r="E93" s="831"/>
      <c r="F93" s="831"/>
      <c r="G93" s="831"/>
      <c r="H93" s="831"/>
      <c r="I93" s="831"/>
    </row>
    <row r="94" spans="1:16" s="16" customFormat="1" ht="20.100000000000001" customHeight="1">
      <c r="A94" s="832" t="str">
        <f>$A$4</f>
        <v>AS OF DECEMBER 31, 2018</v>
      </c>
      <c r="B94" s="831"/>
      <c r="C94" s="831"/>
      <c r="D94" s="831"/>
      <c r="E94" s="831"/>
      <c r="F94" s="831"/>
      <c r="G94" s="831"/>
      <c r="H94" s="831"/>
      <c r="I94" s="831"/>
    </row>
    <row r="95" spans="1:16" s="16" customFormat="1" ht="20.100000000000001" customHeight="1">
      <c r="A95" s="32"/>
      <c r="B95" s="32"/>
      <c r="C95" s="32"/>
      <c r="D95" s="32"/>
      <c r="E95" s="32"/>
      <c r="F95" s="32"/>
      <c r="G95" s="32"/>
      <c r="H95" s="32"/>
      <c r="I95" s="32"/>
    </row>
    <row r="96" spans="1:16" s="16" customFormat="1" ht="20.100000000000001" customHeight="1">
      <c r="A96" s="15" t="str">
        <f>$A$6</f>
        <v>DATA:__X__BASE  PERIOD____FORECASTED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_____ ORIGINAL  _____ UPDATED  __X__ REVISED</v>
      </c>
      <c r="H97" s="22"/>
      <c r="I97" s="22" t="s">
        <v>131</v>
      </c>
    </row>
    <row r="98" spans="1:9" s="16" customFormat="1" ht="20.100000000000001" customHeight="1">
      <c r="A98" s="15" t="str">
        <f>$A$8</f>
        <v>WORKPAPER REFERENCE NO(S).:</v>
      </c>
      <c r="B98" s="15"/>
      <c r="F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39" t="s">
        <v>236</v>
      </c>
      <c r="F100" s="839"/>
      <c r="G100" s="839"/>
      <c r="H100" s="839"/>
      <c r="I100" s="839"/>
    </row>
    <row r="101" spans="1:9" ht="58.5" customHeight="1">
      <c r="A101" s="19" t="s">
        <v>92</v>
      </c>
      <c r="B101" s="19" t="s">
        <v>95</v>
      </c>
      <c r="C101" s="26" t="s">
        <v>96</v>
      </c>
      <c r="D101" s="19" t="s">
        <v>234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3" si="10">A103+1</f>
        <v>63</v>
      </c>
      <c r="B104" s="19" t="s">
        <v>769</v>
      </c>
      <c r="C104" s="26" t="s">
        <v>115</v>
      </c>
      <c r="D104" s="36">
        <f>'SCH B-2.1 B'!D101</f>
        <v>0</v>
      </c>
      <c r="E104" s="34">
        <f>SUMIFS('PIS B'!$V$11:$V$141,'PIS B'!$A$11:$A$141,$B$103,'PIS B'!$B$11:$B$141,$B104)</f>
        <v>0</v>
      </c>
      <c r="F104" s="55"/>
      <c r="G104" s="36">
        <f t="shared" ref="G104:G113" si="11">E104</f>
        <v>0</v>
      </c>
      <c r="H104" s="36">
        <f>SUMIFS('SCH B-3.1'!$F$12:$F$22,'SCH B-3.1'!$B$12:$B$22,B104)</f>
        <v>0</v>
      </c>
      <c r="I104" s="36">
        <f t="shared" ref="I104:I112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B'!D102</f>
        <v>0</v>
      </c>
      <c r="E105" s="36">
        <f>SUMIFS('PIS B'!$V$11:$V$141,'PIS B'!$A$11:$A$141,$B$103,'PIS B'!$B$11:$B$141,$B105)</f>
        <v>0</v>
      </c>
      <c r="F105" s="55"/>
      <c r="G105" s="36">
        <f t="shared" si="11"/>
        <v>0</v>
      </c>
      <c r="H105" s="36">
        <f>SUMIFS('SCH B-3.1'!$F$12:$F$22,'SCH B-3.1'!$B$12:$B$22,B105)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B'!D103</f>
        <v>0</v>
      </c>
      <c r="E106" s="36">
        <f>SUMIFS('PIS B'!$V$11:$V$141,'PIS B'!$A$11:$A$141,$B$103,'PIS B'!$B$11:$B$141,$B106)</f>
        <v>0</v>
      </c>
      <c r="F106" s="55"/>
      <c r="G106" s="36">
        <f t="shared" si="11"/>
        <v>0</v>
      </c>
      <c r="H106" s="36">
        <f>SUMIFS('SCH B-3.1'!$F$12:$F$22,'SCH B-3.1'!$B$12:$B$22,B106)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B'!D104</f>
        <v>7134532.4399999892</v>
      </c>
      <c r="E107" s="36">
        <f>SUMIFS('PIS B'!$V$11:$V$141,'PIS B'!$A$11:$A$141,$B$103,'PIS B'!$B$11:$B$141,$B107)</f>
        <v>-3099657.5875319997</v>
      </c>
      <c r="F107" s="55"/>
      <c r="G107" s="36">
        <f t="shared" si="11"/>
        <v>-3099657.5875319997</v>
      </c>
      <c r="H107" s="36">
        <f>SUMIFS('SCH B-3.1'!$F$12:$F$22,'SCH B-3.1'!$B$12:$B$22,B107)</f>
        <v>0</v>
      </c>
      <c r="I107" s="36">
        <f t="shared" si="12"/>
        <v>-3099657.5875319997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B'!D105</f>
        <v>0</v>
      </c>
      <c r="E108" s="36">
        <f>SUMIFS('PIS B'!$V$11:$V$141,'PIS B'!$A$11:$A$141,$B$103,'PIS B'!$B$11:$B$141,$B108)</f>
        <v>0</v>
      </c>
      <c r="F108" s="55"/>
      <c r="G108" s="36">
        <f t="shared" si="11"/>
        <v>0</v>
      </c>
      <c r="H108" s="36">
        <f>SUMIFS('SCH B-3.1'!$F$12:$F$22,'SCH B-3.1'!$B$12:$B$22,B108)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B'!D106</f>
        <v>6786023.2000000002</v>
      </c>
      <c r="E109" s="36">
        <f>SUMIFS('PIS B'!$V$11:$V$141,'PIS B'!$A$11:$A$141,$B$103,'PIS B'!$B$11:$B$141,$B109)</f>
        <v>-2757293.0065499898</v>
      </c>
      <c r="F109" s="55"/>
      <c r="G109" s="36">
        <f t="shared" si="11"/>
        <v>-2757293.0065499898</v>
      </c>
      <c r="H109" s="36">
        <f>SUMIFS('SCH B-3.1'!$F$12:$F$22,'SCH B-3.1'!$B$12:$B$22,B109)</f>
        <v>0</v>
      </c>
      <c r="I109" s="36">
        <f t="shared" si="12"/>
        <v>-2757293.0065499898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B'!D107</f>
        <v>0</v>
      </c>
      <c r="E110" s="36">
        <f>SUMIFS('PIS B'!$V$11:$V$141,'PIS B'!$A$11:$A$141,$B$103,'PIS B'!$B$11:$B$141,$B110)</f>
        <v>0</v>
      </c>
      <c r="F110" s="55"/>
      <c r="G110" s="36">
        <f t="shared" si="11"/>
        <v>0</v>
      </c>
      <c r="H110" s="36">
        <f>SUMIFS('SCH B-3.1'!$F$12:$F$22,'SCH B-3.1'!$B$12:$B$22,B110)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B'!D108</f>
        <v>2084182.3499999989</v>
      </c>
      <c r="E111" s="36">
        <f>SUMIFS('PIS B'!$V$11:$V$141,'PIS B'!$A$11:$A$141,$B$103,'PIS B'!$B$11:$B$141,$B111)</f>
        <v>-1606637.9290903001</v>
      </c>
      <c r="F111" s="55"/>
      <c r="G111" s="36">
        <f t="shared" si="11"/>
        <v>-1606637.9290903001</v>
      </c>
      <c r="H111" s="36">
        <f>SUMIFS('SCH B-3.1'!$F$12:$F$22,'SCH B-3.1'!$B$12:$B$22,B111)</f>
        <v>0</v>
      </c>
      <c r="I111" s="36">
        <f t="shared" si="12"/>
        <v>-1606637.9290903001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B'!D109</f>
        <v>6978086.8700000001</v>
      </c>
      <c r="E112" s="36">
        <f>SUMIFS('PIS B'!$V$11:$V$141,'PIS B'!$A$11:$A$141,$B$103,'PIS B'!$B$11:$B$141,$B112)</f>
        <v>-3355547.98489</v>
      </c>
      <c r="F112" s="55"/>
      <c r="G112" s="36">
        <f t="shared" si="11"/>
        <v>-3355547.98489</v>
      </c>
      <c r="H112" s="36">
        <f>SUMIFS('SCH B-3.1'!$F$12:$F$22,'SCH B-3.1'!$B$12:$B$22,B112)</f>
        <v>3355547.98489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B'!D110</f>
        <v>0</v>
      </c>
      <c r="E113" s="37">
        <f>SUMIFS('PIS B'!$V$11:$V$141,'PIS B'!$A$11:$A$141,$B$103,'PIS B'!$B$11:$B$141,$B113)</f>
        <v>0</v>
      </c>
      <c r="F113" s="55"/>
      <c r="G113" s="37">
        <f t="shared" si="11"/>
        <v>0</v>
      </c>
      <c r="H113" s="37">
        <f>SUMIFS('SCH B-3.1'!$F$12:$F$22,'SCH B-3.1'!$B$12:$B$22,B113)</f>
        <v>0</v>
      </c>
      <c r="I113" s="37">
        <f>SUM(G113:H113)</f>
        <v>0</v>
      </c>
    </row>
    <row r="114" spans="1:16" ht="18.95" customHeight="1">
      <c r="A114" s="18">
        <f>A113+1</f>
        <v>73</v>
      </c>
      <c r="B114" s="19"/>
      <c r="C114" s="26" t="s">
        <v>119</v>
      </c>
      <c r="D114" s="34">
        <f>SUM(D104:D113)</f>
        <v>22982824.859999988</v>
      </c>
      <c r="E114" s="34">
        <f>SUM(E104:E113)</f>
        <v>-10819136.508062288</v>
      </c>
      <c r="F114" s="34"/>
      <c r="G114" s="34">
        <f>SUM(G104:G113)</f>
        <v>-10819136.508062288</v>
      </c>
      <c r="H114" s="34">
        <f>SUM(H104:H113)</f>
        <v>3355547.98489</v>
      </c>
      <c r="I114" s="34">
        <f>SUM(I104:I113)</f>
        <v>-7463588.5231722891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 t="shared" ref="A117:A124" si="13">A116+1</f>
        <v>75</v>
      </c>
      <c r="B117" s="19" t="s">
        <v>692</v>
      </c>
      <c r="C117" s="26" t="s">
        <v>693</v>
      </c>
      <c r="D117" s="34">
        <f>'SCH B-2.1 B'!D114</f>
        <v>57809.780099999931</v>
      </c>
      <c r="E117" s="34">
        <f>SUMIFS('PIS B'!$V$11:$V$141,'PIS B'!$A$11:$A$141,$B$116,'PIS B'!$B$11:$B$141,$B117)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si="13"/>
        <v>76</v>
      </c>
      <c r="B118" s="19" t="s">
        <v>694</v>
      </c>
      <c r="C118" s="26" t="s">
        <v>695</v>
      </c>
      <c r="D118" s="34">
        <f>'SCH B-2.1 B'!D115</f>
        <v>0</v>
      </c>
      <c r="E118" s="34">
        <f>SUMIFS('PIS B'!$V$11:$V$141,'PIS B'!$A$11:$A$141,$B$116,'PIS B'!$B$11:$B$141,$B118)</f>
        <v>0</v>
      </c>
      <c r="F118" s="55"/>
      <c r="G118" s="36">
        <f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B'!D116</f>
        <v>86924813.741699904</v>
      </c>
      <c r="E119" s="36">
        <f>SUMIFS('PIS B'!$V$11:$V$141,'PIS B'!$A$11:$A$141,$B$116,'PIS B'!$B$11:$B$141,$B119)</f>
        <v>-48301086.764558993</v>
      </c>
      <c r="F119" s="55"/>
      <c r="G119" s="36">
        <f>E119</f>
        <v>-48301086.764558993</v>
      </c>
      <c r="H119" s="36">
        <v>0</v>
      </c>
      <c r="I119" s="36">
        <f>SUM(G119:H119)</f>
        <v>-48301086.764558993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B'!D117</f>
        <v>1079432.1152999999</v>
      </c>
      <c r="E120" s="36">
        <f>SUMIFS('PIS B'!$V$11:$V$141,'PIS B'!$A$11:$A$141,$B$116,'PIS B'!$B$11:$B$141,$B120)</f>
        <v>0</v>
      </c>
      <c r="F120" s="55"/>
      <c r="G120" s="36">
        <f t="shared" ref="G120:G130" si="14">E120</f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B'!D118</f>
        <v>58705353.545699999</v>
      </c>
      <c r="E121" s="36">
        <f>SUMIFS('PIS B'!$V$11:$V$141,'PIS B'!$A$11:$A$141,$B$116,'PIS B'!$B$11:$B$141,$B121)</f>
        <v>-25861076.967865087</v>
      </c>
      <c r="F121" s="55"/>
      <c r="G121" s="36">
        <f t="shared" si="14"/>
        <v>-25861076.967865087</v>
      </c>
      <c r="H121" s="36">
        <v>0</v>
      </c>
      <c r="I121" s="36">
        <f t="shared" si="15"/>
        <v>-25861076.967865087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B'!D119</f>
        <v>30171684.613499999</v>
      </c>
      <c r="E122" s="36">
        <f>SUMIFS('PIS B'!$V$11:$V$141,'PIS B'!$A$11:$A$141,$B$116,'PIS B'!$B$11:$B$141,$B122)</f>
        <v>-11668041.754555646</v>
      </c>
      <c r="F122" s="55"/>
      <c r="G122" s="36">
        <f t="shared" si="14"/>
        <v>-11668041.754555646</v>
      </c>
      <c r="H122" s="36">
        <v>0</v>
      </c>
      <c r="I122" s="36">
        <f t="shared" si="15"/>
        <v>-11668041.754555646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B'!D120</f>
        <v>224487.9327</v>
      </c>
      <c r="E123" s="36">
        <f>SUMIFS('PIS B'!$V$11:$V$141,'PIS B'!$A$11:$A$141,$B$116,'PIS B'!$B$11:$B$141,$B123)</f>
        <v>-109242.82489394033</v>
      </c>
      <c r="F123" s="55"/>
      <c r="G123" s="36">
        <f t="shared" si="14"/>
        <v>-109242.82489394033</v>
      </c>
      <c r="H123" s="36">
        <v>0</v>
      </c>
      <c r="I123" s="36">
        <f t="shared" si="15"/>
        <v>-109242.82489394033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B'!D121</f>
        <v>1181432.6831999999</v>
      </c>
      <c r="E124" s="36">
        <f>SUMIFS('PIS B'!$V$11:$V$141,'PIS B'!$A$11:$A$141,$B$116,'PIS B'!$B$11:$B$141,$B124)</f>
        <v>-745483.40083443001</v>
      </c>
      <c r="F124" s="55"/>
      <c r="G124" s="36">
        <f t="shared" si="14"/>
        <v>-745483.40083443001</v>
      </c>
      <c r="H124" s="36">
        <v>0</v>
      </c>
      <c r="I124" s="36">
        <f t="shared" si="15"/>
        <v>-745483.40083443001</v>
      </c>
    </row>
    <row r="125" spans="1:16" ht="18.95" customHeight="1">
      <c r="A125" s="18">
        <f t="shared" ref="A125:A131" si="16">A124+1</f>
        <v>83</v>
      </c>
      <c r="B125" s="19" t="s">
        <v>775</v>
      </c>
      <c r="C125" s="26" t="s">
        <v>776</v>
      </c>
      <c r="D125" s="36">
        <f>'SCH B-2.1 B'!D122</f>
        <v>2904111.4334999993</v>
      </c>
      <c r="E125" s="36">
        <f>SUMIFS('PIS B'!$V$11:$V$141,'PIS B'!$A$11:$A$141,$B$116,'PIS B'!$B$11:$B$141,$B125)</f>
        <v>-1688152.6009974</v>
      </c>
      <c r="F125" s="55"/>
      <c r="G125" s="36">
        <f t="shared" si="14"/>
        <v>-1688152.6009974</v>
      </c>
      <c r="H125" s="36">
        <v>0</v>
      </c>
      <c r="I125" s="36">
        <f t="shared" si="15"/>
        <v>-1688152.6009974</v>
      </c>
    </row>
    <row r="126" spans="1:16" ht="18.95" customHeight="1">
      <c r="A126" s="18">
        <f t="shared" si="16"/>
        <v>84</v>
      </c>
      <c r="B126" s="19" t="s">
        <v>777</v>
      </c>
      <c r="C126" s="26" t="s">
        <v>778</v>
      </c>
      <c r="D126" s="36">
        <f>'SCH B-2.1 B'!D123</f>
        <v>0</v>
      </c>
      <c r="E126" s="36">
        <f>SUMIFS('PIS B'!$V$11:$V$141,'PIS B'!$A$11:$A$141,$B$116,'PIS B'!$B$11:$B$141,$B126)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6"/>
        <v>85</v>
      </c>
      <c r="B127" s="19" t="s">
        <v>779</v>
      </c>
      <c r="C127" s="26" t="s">
        <v>780</v>
      </c>
      <c r="D127" s="36">
        <f>'SCH B-2.1 B'!D124</f>
        <v>365595.6029999993</v>
      </c>
      <c r="E127" s="36">
        <f>SUMIFS('PIS B'!$V$11:$V$141,'PIS B'!$A$11:$A$141,$B$116,'PIS B'!$B$11:$B$141,$B127)</f>
        <v>-173089.6855721825</v>
      </c>
      <c r="F127" s="55"/>
      <c r="G127" s="36">
        <f t="shared" si="14"/>
        <v>-173089.6855721825</v>
      </c>
      <c r="H127" s="36">
        <v>0</v>
      </c>
      <c r="I127" s="36">
        <f t="shared" si="15"/>
        <v>-173089.6855721825</v>
      </c>
    </row>
    <row r="128" spans="1:16" ht="18.95" customHeight="1">
      <c r="A128" s="18">
        <f t="shared" si="16"/>
        <v>86</v>
      </c>
      <c r="B128" s="19" t="s">
        <v>781</v>
      </c>
      <c r="C128" s="26" t="s">
        <v>118</v>
      </c>
      <c r="D128" s="36">
        <f>'SCH B-2.1 B'!D125</f>
        <v>25535566.367999997</v>
      </c>
      <c r="E128" s="36">
        <f>SUMIFS('PIS B'!$V$11:$V$141,'PIS B'!$A$11:$A$141,$B$116,'PIS B'!$B$11:$B$141,$B128)</f>
        <v>-18630745.887479763</v>
      </c>
      <c r="F128" s="55"/>
      <c r="G128" s="36">
        <f t="shared" si="14"/>
        <v>-18630745.887479763</v>
      </c>
      <c r="H128" s="36">
        <v>0</v>
      </c>
      <c r="I128" s="36">
        <f t="shared" si="15"/>
        <v>-18630745.887479763</v>
      </c>
    </row>
    <row r="129" spans="1:16" ht="18.95" customHeight="1">
      <c r="A129" s="18">
        <f t="shared" si="16"/>
        <v>87</v>
      </c>
      <c r="B129" s="19" t="s">
        <v>782</v>
      </c>
      <c r="C129" s="26" t="s">
        <v>783</v>
      </c>
      <c r="D129" s="36">
        <f>'SCH B-2.1 B'!D126</f>
        <v>0</v>
      </c>
      <c r="E129" s="36">
        <f>SUMIFS('PIS B'!$V$11:$V$141,'PIS B'!$A$11:$A$141,$B$116,'PIS B'!$B$11:$B$141,$B129)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6"/>
        <v>88</v>
      </c>
      <c r="B130" s="19">
        <v>399</v>
      </c>
      <c r="C130" s="26" t="s">
        <v>926</v>
      </c>
      <c r="D130" s="37">
        <f>'SCH B-2.1 B'!D127</f>
        <v>0</v>
      </c>
      <c r="E130" s="37">
        <f>SUMIFS('PIS B'!$V$11:$V$141,'PIS B'!$A$11:$A$141,$B$116,'PIS B'!$B$11:$B$141,$B130)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6"/>
        <v>89</v>
      </c>
      <c r="B131" s="19"/>
      <c r="C131" s="26" t="s">
        <v>945</v>
      </c>
      <c r="D131" s="34">
        <f>SUM(D117:D130)</f>
        <v>207150287.81669989</v>
      </c>
      <c r="E131" s="34">
        <f>SUM(E117:E130)</f>
        <v>-107176919.88675743</v>
      </c>
      <c r="F131" s="34"/>
      <c r="G131" s="34">
        <f>SUM(G117:G130)</f>
        <v>-107176919.88675743</v>
      </c>
      <c r="H131" s="34">
        <f>SUM(H117:H130)</f>
        <v>0</v>
      </c>
      <c r="I131" s="34">
        <f>SUM(I117:I130)</f>
        <v>-107176919.88675743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244</v>
      </c>
      <c r="D133" s="42">
        <f>SUM(D17,D28,D39,D62,D74,D90,D114,D131)</f>
        <v>5943885544.9566994</v>
      </c>
      <c r="E133" s="42">
        <f>SUM(E17,E28,E39,E62,E74,E90,E114,E131)</f>
        <v>-1879075367.5525746</v>
      </c>
      <c r="F133" s="34"/>
      <c r="G133" s="42">
        <f>SUM(G17,G28,G39,G62,G74,G90,G114,G131)</f>
        <v>-1879075367.5525746</v>
      </c>
      <c r="H133" s="42">
        <f>SUM(H17,H28,H39,H62,H74,H90,H114,H131)</f>
        <v>140230494.96020481</v>
      </c>
      <c r="I133" s="42">
        <f>SUM(I17,I28,I39,I62,I74,I90,I114,I131)</f>
        <v>-1738844872.5923698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  <c r="E136" s="41"/>
    </row>
    <row r="137" spans="1:16" ht="18.95" customHeight="1">
      <c r="B137" s="19"/>
      <c r="C137" s="16" t="s">
        <v>927</v>
      </c>
      <c r="D137" s="36">
        <f>'SCH B-2.1 B'!D130</f>
        <v>5943885544.9566994</v>
      </c>
      <c r="E137" s="34">
        <f>'PIS B'!V145</f>
        <v>-1879075367.5525744</v>
      </c>
    </row>
    <row r="138" spans="1:16" ht="18.95" customHeight="1">
      <c r="B138" s="19"/>
      <c r="E138" s="34">
        <f>E133-E137</f>
        <v>0</v>
      </c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6.77734375" style="17" customWidth="1"/>
    <col min="5" max="5" width="15.77734375" style="17" customWidth="1"/>
    <col min="6" max="6" width="13.6640625" style="17" customWidth="1"/>
    <col min="7" max="9" width="15.77734375" style="17" customWidth="1"/>
    <col min="10" max="10" width="1.6640625" style="17" customWidth="1"/>
    <col min="11" max="11" width="9" style="17"/>
    <col min="12" max="12" width="13.44140625" style="17" customWidth="1"/>
    <col min="13" max="13" width="10.44140625" style="17" customWidth="1"/>
    <col min="14" max="14" width="12.77734375" style="17" customWidth="1"/>
    <col min="15" max="15" width="13.33203125" style="17" customWidth="1"/>
    <col min="16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</row>
    <row r="3" spans="1:10" s="16" customFormat="1" ht="20.100000000000001" customHeight="1">
      <c r="A3" s="831" t="s">
        <v>233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Constants'!C20</f>
        <v>FROM MAY 1, 2019 TO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40"/>
    </row>
    <row r="6" spans="1:10" s="16" customFormat="1" ht="20.100000000000001" customHeight="1">
      <c r="A6" s="15" t="s">
        <v>122</v>
      </c>
      <c r="B6" s="15"/>
      <c r="H6" s="22"/>
      <c r="I6" s="22" t="s">
        <v>232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H7" s="22"/>
      <c r="I7" s="22" t="s">
        <v>128</v>
      </c>
    </row>
    <row r="8" spans="1:10" s="16" customFormat="1" ht="20.100000000000001" customHeight="1">
      <c r="A8" s="15" t="s">
        <v>231</v>
      </c>
      <c r="B8" s="15"/>
      <c r="E8" s="15"/>
      <c r="G8" s="15"/>
      <c r="H8" s="23"/>
      <c r="I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48"/>
      <c r="E10" s="839" t="s">
        <v>243</v>
      </c>
      <c r="F10" s="839"/>
      <c r="G10" s="839"/>
      <c r="H10" s="839"/>
      <c r="I10" s="839"/>
    </row>
    <row r="11" spans="1:10" ht="90" customHeight="1">
      <c r="A11" s="19" t="s">
        <v>92</v>
      </c>
      <c r="B11" s="19" t="s">
        <v>95</v>
      </c>
      <c r="C11" s="26" t="s">
        <v>96</v>
      </c>
      <c r="D11" s="19" t="s">
        <v>3075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10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10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10" ht="18.95" customHeight="1">
      <c r="A14" s="18">
        <f>A13+1</f>
        <v>2</v>
      </c>
      <c r="B14" s="19" t="s">
        <v>692</v>
      </c>
      <c r="C14" s="26" t="s">
        <v>693</v>
      </c>
      <c r="D14" s="34">
        <f>'SCH B-2.1 F'!D13</f>
        <v>2240.2900000000009</v>
      </c>
      <c r="E14" s="34">
        <f>SUMIFS('PIS F AVG'!$X$11:$X$141,'PIS F AVG'!$A$11:$A$141,$B$103,'PIS F AVG'!$B$11:$B$141,$B14)</f>
        <v>0</v>
      </c>
      <c r="F14" s="51"/>
      <c r="G14" s="34">
        <f>E14</f>
        <v>0</v>
      </c>
      <c r="H14" s="34">
        <f>SUMIFS('SCH B-3.1'!$F$37:$F$47,'SCH B-3.1'!$B$37:$B$47,B14)</f>
        <v>0</v>
      </c>
      <c r="I14" s="34">
        <f>SUM(G14:H14)</f>
        <v>0</v>
      </c>
    </row>
    <row r="15" spans="1:10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F'!D14</f>
        <v>0</v>
      </c>
      <c r="E15" s="34">
        <f>SUMIFS('PIS F AVG'!$X$11:$X$141,'PIS F AVG'!$A$11:$A$141,$B$103,'PIS F AVG'!$B$11:$B$141,$B15)</f>
        <v>0</v>
      </c>
      <c r="F15" s="51"/>
      <c r="G15" s="36">
        <f>E15</f>
        <v>0</v>
      </c>
      <c r="H15" s="35">
        <f>SUMIFS('SCH B-3.1'!$F$37:$F$47,'SCH B-3.1'!$B$37:$B$47,B15)</f>
        <v>0</v>
      </c>
      <c r="I15" s="36">
        <f>SUM(G15:H15)</f>
        <v>0</v>
      </c>
    </row>
    <row r="16" spans="1:10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F'!D15</f>
        <v>0</v>
      </c>
      <c r="E16" s="37">
        <f>SUMIFS('PIS F AVG'!$X$11:$X$141,'PIS F AVG'!$A$11:$A$141,$B$103,'PIS F AVG'!$B$11:$B$141,$B16)</f>
        <v>0</v>
      </c>
      <c r="F16" s="51"/>
      <c r="G16" s="37">
        <f>E16</f>
        <v>0</v>
      </c>
      <c r="H16" s="37">
        <f>SUMIFS('SCH B-3.1'!$F$37:$F$47,'SCH B-3.1'!$B$37:$B$47,B16)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2240.2900000000009</v>
      </c>
      <c r="E17" s="34">
        <f>SUM(E14:E16)</f>
        <v>0</v>
      </c>
      <c r="F17" s="34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20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20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F'!D19</f>
        <v>11234131.25999999</v>
      </c>
      <c r="E20" s="36">
        <f>SUMIFS('PIS F AVG'!$X$11:$X$141,'PIS F AVG'!$B$11:$B$141,'SCH B-3 F'!$B20)</f>
        <v>0</v>
      </c>
      <c r="F20" s="55"/>
      <c r="G20" s="36">
        <f t="shared" ref="G20:G27" si="1">E20</f>
        <v>0</v>
      </c>
      <c r="H20" s="36">
        <f>SUMIFS('SCH B-3.1'!$F$37:$F$47,'SCH B-3.1'!$B$37:$B$47,B20)</f>
        <v>0</v>
      </c>
      <c r="I20" s="36">
        <f t="shared" ref="I20:I27" si="2">SUM(G20:H20)</f>
        <v>0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F'!D20</f>
        <v>305898610.75461531</v>
      </c>
      <c r="E21" s="36">
        <f>SUMIFS('PIS F AVG'!$X$11:$X$141,'PIS F AVG'!$B$11:$B$141,'SCH B-3 F'!$B21)</f>
        <v>-173950381.31116059</v>
      </c>
      <c r="F21" s="55"/>
      <c r="G21" s="36">
        <f t="shared" si="1"/>
        <v>-173950381.31116059</v>
      </c>
      <c r="H21" s="36">
        <f>SUMIFS('SCH B-3.1'!$F$37:$F$47,'SCH B-3.1'!$B$37:$B$47,B21)</f>
        <v>1748474.1757236931</v>
      </c>
      <c r="I21" s="36">
        <f t="shared" si="2"/>
        <v>-172201907.13543689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F'!D21</f>
        <v>2617706023.0323005</v>
      </c>
      <c r="E22" s="36">
        <f>SUMIFS('PIS F AVG'!$X$11:$X$141,'PIS F AVG'!$B$11:$B$141,'SCH B-3 F'!$B22)</f>
        <v>-534160946.43353283</v>
      </c>
      <c r="F22" s="55"/>
      <c r="G22" s="36">
        <f t="shared" si="1"/>
        <v>-534160946.43353283</v>
      </c>
      <c r="H22" s="36">
        <f>SUMIFS('SCH B-3.1'!$F$37:$F$47,'SCH B-3.1'!$B$37:$B$47,B22)</f>
        <v>129127261.63179621</v>
      </c>
      <c r="I22" s="36">
        <f t="shared" si="2"/>
        <v>-405033684.80173659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F'!D22</f>
        <v>0</v>
      </c>
      <c r="E23" s="36">
        <f>SUMIFS('PIS F AVG'!$X$11:$X$141,'PIS F AVG'!$B$11:$B$141,'SCH B-3 F'!$B23)</f>
        <v>0</v>
      </c>
      <c r="F23" s="55"/>
      <c r="G23" s="36">
        <f t="shared" si="1"/>
        <v>0</v>
      </c>
      <c r="H23" s="36">
        <f>SUMIFS('SCH B-3.1'!$F$37:$F$47,'SCH B-3.1'!$B$37:$B$47,B23)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F'!D23</f>
        <v>239942780.71538362</v>
      </c>
      <c r="E24" s="36">
        <f>SUMIFS('PIS F AVG'!$X$11:$X$141,'PIS F AVG'!$B$11:$B$141,'SCH B-3 F'!$B24)</f>
        <v>-110503998.00216307</v>
      </c>
      <c r="F24" s="55"/>
      <c r="G24" s="36">
        <f t="shared" si="1"/>
        <v>-110503998.00216307</v>
      </c>
      <c r="H24" s="36">
        <f>SUMIFS('SCH B-3.1'!$F$37:$F$47,'SCH B-3.1'!$B$37:$B$47,B24)</f>
        <v>0</v>
      </c>
      <c r="I24" s="36">
        <f t="shared" si="2"/>
        <v>-110503998.00216307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F'!D24</f>
        <v>184975687.96384615</v>
      </c>
      <c r="E25" s="36">
        <f>SUMIFS('PIS F AVG'!$X$11:$X$141,'PIS F AVG'!$B$11:$B$141,'SCH B-3 F'!$B25)</f>
        <v>-93780375.568054453</v>
      </c>
      <c r="F25" s="55"/>
      <c r="G25" s="36">
        <f t="shared" si="1"/>
        <v>-93780375.568054453</v>
      </c>
      <c r="H25" s="36">
        <f>SUMIFS('SCH B-3.1'!$F$37:$F$47,'SCH B-3.1'!$B$37:$B$47,B25)</f>
        <v>3157807.9449518118</v>
      </c>
      <c r="I25" s="36">
        <f t="shared" si="2"/>
        <v>-90622567.623102635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F'!D25</f>
        <v>32388501.009230729</v>
      </c>
      <c r="E26" s="36">
        <f>SUMIFS('PIS F AVG'!$X$11:$X$141,'PIS F AVG'!$B$11:$B$141,'SCH B-3 F'!$B26)</f>
        <v>-4905785.103126646</v>
      </c>
      <c r="F26" s="55"/>
      <c r="G26" s="36">
        <f t="shared" si="1"/>
        <v>-4905785.103126646</v>
      </c>
      <c r="H26" s="36">
        <f>SUMIFS('SCH B-3.1'!$F$37:$F$47,'SCH B-3.1'!$B$37:$B$47,B26)</f>
        <v>149924.01567670796</v>
      </c>
      <c r="I26" s="36">
        <f t="shared" si="2"/>
        <v>-4755861.0874499381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F'!D26</f>
        <v>85132615.10307692</v>
      </c>
      <c r="E27" s="37">
        <f>SUMIFS('PIS F AVG'!$X$11:$X$141,'PIS F AVG'!$B$11:$B$141,'SCH B-3 F'!$B27)</f>
        <v>-50619183.042816848</v>
      </c>
      <c r="F27" s="55"/>
      <c r="G27" s="37">
        <f t="shared" si="1"/>
        <v>-50619183.042816848</v>
      </c>
      <c r="H27" s="37">
        <f>SUMIFS('SCH B-3.1'!$F$37:$F$47,'SCH B-3.1'!$B$37:$B$47,B27)</f>
        <v>50619183.042816848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3477278349.8384533</v>
      </c>
      <c r="E28" s="34">
        <f>SUM(E20:E27)</f>
        <v>-967920669.46085441</v>
      </c>
      <c r="F28" s="51"/>
      <c r="G28" s="34">
        <f>SUM(G20:G27)</f>
        <v>-967920669.46085441</v>
      </c>
      <c r="H28" s="34">
        <f>SUM(H20:H27)</f>
        <v>184802650.81096527</v>
      </c>
      <c r="I28" s="34">
        <f>SUM(I20:I27)</f>
        <v>-783118018.64988911</v>
      </c>
      <c r="L28" s="57"/>
      <c r="M28" s="57"/>
      <c r="N28" s="57"/>
      <c r="O28" s="57"/>
      <c r="P28" s="58"/>
    </row>
    <row r="29" spans="1:16" ht="18.95" customHeight="1">
      <c r="A29" s="18"/>
      <c r="C29" s="26"/>
    </row>
    <row r="30" spans="1:16" ht="18.95" customHeight="1">
      <c r="A30" s="18">
        <f>A28+1</f>
        <v>16</v>
      </c>
      <c r="C30" s="38" t="s">
        <v>33</v>
      </c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F'!D30</f>
        <v>6.5000000000000018</v>
      </c>
      <c r="E31" s="36">
        <f>SUMIFS('PIS F AVG'!$X$11:$X$141,'PIS F AVG'!$B$11:$B$141,'SCH B-3 F'!$B31)</f>
        <v>0</v>
      </c>
      <c r="F31" s="55"/>
      <c r="G31" s="36">
        <f t="shared" ref="G31:G38" si="3">E31</f>
        <v>0</v>
      </c>
      <c r="H31" s="36">
        <f>SUMIFS('SCH B-3.1'!$F$37:$F$47,'SCH B-3.1'!$B$37:$B$47,B31)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F'!D31</f>
        <v>12870684.620000001</v>
      </c>
      <c r="E32" s="36">
        <f>SUMIFS('PIS F AVG'!$X$11:$X$141,'PIS F AVG'!$B$11:$B$141,'SCH B-3 F'!$B32)</f>
        <v>-4777223.1038728692</v>
      </c>
      <c r="F32" s="55"/>
      <c r="G32" s="36">
        <f t="shared" si="3"/>
        <v>-4777223.1038728692</v>
      </c>
      <c r="H32" s="36">
        <f>SUMIFS('SCH B-3.1'!$F$37:$F$47,'SCH B-3.1'!$B$37:$B$47,B32)</f>
        <v>0</v>
      </c>
      <c r="I32" s="36">
        <f t="shared" si="4"/>
        <v>-4777223.1038728692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F'!D32</f>
        <v>26209847.310000002</v>
      </c>
      <c r="E33" s="36">
        <f>SUMIFS('PIS F AVG'!$X$11:$X$141,'PIS F AVG'!$B$11:$B$141,'SCH B-3 F'!$B33)</f>
        <v>-4155146.2993661999</v>
      </c>
      <c r="F33" s="55"/>
      <c r="G33" s="36">
        <f t="shared" si="3"/>
        <v>-4155146.2993661999</v>
      </c>
      <c r="H33" s="36">
        <f>SUMIFS('SCH B-3.1'!$F$37:$F$47,'SCH B-3.1'!$B$37:$B$47,B33)</f>
        <v>0</v>
      </c>
      <c r="I33" s="36">
        <f t="shared" si="4"/>
        <v>-4155146.2993661999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F'!D33</f>
        <v>101920448.2</v>
      </c>
      <c r="E34" s="36">
        <f>SUMIFS('PIS F AVG'!$X$11:$X$141,'PIS F AVG'!$B$11:$B$141,'SCH B-3 F'!$B34)</f>
        <v>-7086123.7091219909</v>
      </c>
      <c r="F34" s="55"/>
      <c r="G34" s="36">
        <f t="shared" si="3"/>
        <v>-7086123.7091219909</v>
      </c>
      <c r="H34" s="36">
        <f>SUMIFS('SCH B-3.1'!$F$37:$F$47,'SCH B-3.1'!$B$37:$B$47,B34)</f>
        <v>0</v>
      </c>
      <c r="I34" s="36">
        <f t="shared" si="4"/>
        <v>-7086123.7091219909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F'!D34</f>
        <v>13160323.68</v>
      </c>
      <c r="E35" s="36">
        <f>SUMIFS('PIS F AVG'!$X$11:$X$141,'PIS F AVG'!$B$11:$B$141,'SCH B-3 F'!$B35)</f>
        <v>-3557959.088</v>
      </c>
      <c r="F35" s="55"/>
      <c r="G35" s="36">
        <f t="shared" si="3"/>
        <v>-3557959.088</v>
      </c>
      <c r="H35" s="36">
        <f>SUMIFS('SCH B-3.1'!$F$37:$F$47,'SCH B-3.1'!$B$37:$B$47,B35)</f>
        <v>0</v>
      </c>
      <c r="I35" s="36">
        <f t="shared" si="4"/>
        <v>-3557959.088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F'!D35</f>
        <v>3563125.7699999991</v>
      </c>
      <c r="E36" s="36">
        <f>SUMIFS('PIS F AVG'!$X$11:$X$141,'PIS F AVG'!$B$11:$B$141,'SCH B-3 F'!$B36)</f>
        <v>-472843.508150607</v>
      </c>
      <c r="F36" s="55"/>
      <c r="G36" s="36">
        <f t="shared" si="3"/>
        <v>-472843.508150607</v>
      </c>
      <c r="H36" s="36">
        <f>SUMIFS('SCH B-3.1'!$F$37:$F$47,'SCH B-3.1'!$B$37:$B$47,B36)</f>
        <v>0</v>
      </c>
      <c r="I36" s="36">
        <f t="shared" si="4"/>
        <v>-472843.508150607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F'!D36</f>
        <v>85291.321538461518</v>
      </c>
      <c r="E37" s="36">
        <f>SUMIFS('PIS F AVG'!$X$11:$X$141,'PIS F AVG'!$B$11:$B$141,'SCH B-3 F'!$B37)</f>
        <v>-20768.69960076073</v>
      </c>
      <c r="F37" s="55"/>
      <c r="G37" s="36">
        <f t="shared" si="3"/>
        <v>-20768.69960076073</v>
      </c>
      <c r="H37" s="36">
        <f>SUMIFS('SCH B-3.1'!$F$37:$F$47,'SCH B-3.1'!$B$37:$B$47,B37)</f>
        <v>0</v>
      </c>
      <c r="I37" s="36">
        <f t="shared" si="4"/>
        <v>-20768.69960076073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F'!D37</f>
        <v>463569.15</v>
      </c>
      <c r="E38" s="37">
        <f>SUMIFS('PIS F AVG'!$X$11:$X$141,'PIS F AVG'!$B$11:$B$141,'SCH B-3 F'!$B38)</f>
        <v>-103193.9643054302</v>
      </c>
      <c r="F38" s="55"/>
      <c r="G38" s="37">
        <f t="shared" si="3"/>
        <v>-103193.9643054302</v>
      </c>
      <c r="H38" s="37">
        <f>SUMIFS('SCH B-3.1'!$F$37:$F$47,'SCH B-3.1'!$B$37:$B$47,B38)</f>
        <v>103193.9643054302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158273296.55153847</v>
      </c>
      <c r="E39" s="34">
        <f>SUM(E31:E38)</f>
        <v>-20173258.37241786</v>
      </c>
      <c r="F39" s="34"/>
      <c r="G39" s="34">
        <f>SUM(G31:G38)</f>
        <v>-20173258.37241786</v>
      </c>
      <c r="H39" s="34">
        <f>SUM(H31:H38)</f>
        <v>103193.9643054302</v>
      </c>
      <c r="I39" s="34">
        <f>SUM(I31:I38)</f>
        <v>-20070064.408112429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34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F'!D41</f>
        <v>414278.15999999992</v>
      </c>
      <c r="E42" s="36">
        <f>SUMIFS('PIS F AVG'!$X$11:$X$141,'PIS F AVG'!$B$11:$B$141,'SCH B-3 F'!$B42)</f>
        <v>0</v>
      </c>
      <c r="F42" s="55"/>
      <c r="G42" s="36">
        <f>E42</f>
        <v>0</v>
      </c>
      <c r="H42" s="36">
        <f>SUMIFS('SCH B-3.1'!$F$37:$F$47,'SCH B-3.1'!$B$37:$B$47,B42)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F'!D42</f>
        <v>33942182.450000003</v>
      </c>
      <c r="E43" s="36">
        <f>SUMIFS('PIS F AVG'!$X$11:$X$141,'PIS F AVG'!$B$11:$B$141,'SCH B-3 F'!$B43)</f>
        <v>-14312859.462667925</v>
      </c>
      <c r="F43" s="55"/>
      <c r="G43" s="36">
        <f>E43</f>
        <v>-14312859.462667925</v>
      </c>
      <c r="H43" s="36">
        <f>SUMIFS('SCH B-3.1'!$F$37:$F$47,'SCH B-3.1'!$B$37:$B$47,B43)</f>
        <v>0</v>
      </c>
      <c r="I43" s="36">
        <f>SUM(G43:H43)</f>
        <v>-14312859.462667925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F'!D43</f>
        <v>24767192.59</v>
      </c>
      <c r="E44" s="36">
        <f>SUMIFS('PIS F AVG'!$X$11:$X$141,'PIS F AVG'!$B$11:$B$141,'SCH B-3 F'!$B44)</f>
        <v>-7435569.4747885996</v>
      </c>
      <c r="F44" s="55"/>
      <c r="G44" s="36">
        <f>E44</f>
        <v>-7435569.4747885996</v>
      </c>
      <c r="H44" s="36">
        <f>SUMIFS('SCH B-3.1'!$F$37:$F$47,'SCH B-3.1'!$B$37:$B$47,B44)</f>
        <v>0</v>
      </c>
      <c r="I44" s="36">
        <f>SUM(G44:H44)</f>
        <v>-7435569.4747885996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F'!D44</f>
        <v>252457120.51076865</v>
      </c>
      <c r="E45" s="36">
        <f>SUMIFS('PIS F AVG'!$X$11:$X$141,'PIS F AVG'!$B$11:$B$141,'SCH B-3 F'!$B45)</f>
        <v>-80438872.544156268</v>
      </c>
      <c r="F45" s="55"/>
      <c r="G45" s="36">
        <f>E45</f>
        <v>-80438872.544156268</v>
      </c>
      <c r="H45" s="36">
        <f>SUMIFS('SCH B-3.1'!$F$37:$F$47,'SCH B-3.1'!$B$37:$B$47,B45)</f>
        <v>0</v>
      </c>
      <c r="I45" s="36">
        <f>SUM(G45:H45)</f>
        <v>-80438872.544156268</v>
      </c>
    </row>
    <row r="46" spans="1:16" s="16" customFormat="1" ht="20.100000000000001" customHeight="1">
      <c r="A46" s="831" t="str">
        <f>$A$1</f>
        <v>LOUISVILLE GAS AND ELECTRIC COMPANY</v>
      </c>
      <c r="B46" s="831"/>
      <c r="C46" s="831"/>
      <c r="D46" s="831"/>
      <c r="E46" s="831"/>
      <c r="F46" s="831"/>
      <c r="G46" s="831"/>
      <c r="H46" s="831"/>
      <c r="I46" s="831"/>
    </row>
    <row r="47" spans="1:16" s="16" customFormat="1" ht="20.100000000000001" customHeight="1">
      <c r="A47" s="831" t="str">
        <f>$A$2</f>
        <v>CASE NO. 2018-00295 - ELECTRIC OPERATIONS</v>
      </c>
      <c r="B47" s="831"/>
      <c r="C47" s="831"/>
      <c r="D47" s="831"/>
      <c r="E47" s="831"/>
      <c r="F47" s="831"/>
      <c r="G47" s="831"/>
      <c r="H47" s="831"/>
      <c r="I47" s="831"/>
    </row>
    <row r="48" spans="1:16" s="16" customFormat="1" ht="20.100000000000001" customHeight="1">
      <c r="A48" s="831" t="str">
        <f>$A$3</f>
        <v>ACCUMULATED DEPRECIATION AND AMORTIZATION</v>
      </c>
      <c r="B48" s="831"/>
      <c r="C48" s="831"/>
      <c r="D48" s="831"/>
      <c r="E48" s="831"/>
      <c r="F48" s="831"/>
      <c r="G48" s="831"/>
      <c r="H48" s="831"/>
      <c r="I48" s="831"/>
    </row>
    <row r="49" spans="1:16" s="16" customFormat="1" ht="20.100000000000001" customHeight="1">
      <c r="A49" s="832" t="str">
        <f>$A$4</f>
        <v>FROM MAY 1, 2019 TO APRIL 30, 2020</v>
      </c>
      <c r="B49" s="831"/>
      <c r="C49" s="831"/>
      <c r="D49" s="831"/>
      <c r="E49" s="831"/>
      <c r="F49" s="831"/>
      <c r="G49" s="831"/>
      <c r="H49" s="831"/>
      <c r="I49" s="831"/>
    </row>
    <row r="50" spans="1:16" s="16" customFormat="1" ht="20.100000000000001" customHeight="1">
      <c r="A50" s="40"/>
      <c r="B50" s="40"/>
      <c r="C50" s="40"/>
      <c r="D50" s="40"/>
      <c r="E50" s="40"/>
      <c r="F50" s="40"/>
      <c r="G50" s="40"/>
      <c r="H50" s="40"/>
      <c r="I50" s="40"/>
    </row>
    <row r="51" spans="1:16" s="16" customFormat="1" ht="20.100000000000001" customHeight="1">
      <c r="A51" s="15" t="str">
        <f>$A$6</f>
        <v>DATA:____BASE  PERIOD__X__FORECASTED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_____ ORIGINAL  _____ UPDATED  __X__ REVISED</v>
      </c>
      <c r="H52" s="22"/>
      <c r="I52" s="22" t="s">
        <v>129</v>
      </c>
    </row>
    <row r="53" spans="1:16" s="16" customFormat="1" ht="20.100000000000001" customHeight="1">
      <c r="A53" s="15" t="str">
        <f>$A$8</f>
        <v>WORKPAPER REFERENCE NO(S).:</v>
      </c>
      <c r="B53" s="15"/>
      <c r="E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39" t="s">
        <v>243</v>
      </c>
      <c r="F55" s="839"/>
      <c r="G55" s="839"/>
      <c r="H55" s="839"/>
      <c r="I55" s="839"/>
    </row>
    <row r="56" spans="1:16" ht="86.25" customHeight="1">
      <c r="A56" s="19" t="s">
        <v>92</v>
      </c>
      <c r="B56" s="19" t="s">
        <v>95</v>
      </c>
      <c r="C56" s="26" t="s">
        <v>96</v>
      </c>
      <c r="D56" s="19" t="s">
        <v>3075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F'!D56</f>
        <v>59993738.64538461</v>
      </c>
      <c r="E58" s="36">
        <f>SUMIFS('PIS F AVG'!$X$11:$X$141,'PIS F AVG'!$B$11:$B$141,'SCH B-3 F'!$B58)</f>
        <v>-28039917.144538678</v>
      </c>
      <c r="F58" s="55"/>
      <c r="G58" s="36">
        <f>E58</f>
        <v>-28039917.144538678</v>
      </c>
      <c r="H58" s="36">
        <f>SUMIFS('SCH B-3.1'!$F$37:$F$47,'SCH B-3.1'!$B$37:$B$47,B58)</f>
        <v>0</v>
      </c>
      <c r="I58" s="36">
        <f>SUM(G58:H58)</f>
        <v>-28039917.144538678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F'!D57</f>
        <v>32561502.810000002</v>
      </c>
      <c r="E59" s="36">
        <f>SUMIFS('PIS F AVG'!$X$11:$X$141,'PIS F AVG'!$B$11:$B$141,'SCH B-3 F'!$B59)</f>
        <v>-14373539.540046344</v>
      </c>
      <c r="F59" s="55"/>
      <c r="G59" s="36">
        <f>E59</f>
        <v>-14373539.540046344</v>
      </c>
      <c r="H59" s="36">
        <f>SUMIFS('SCH B-3.1'!$F$37:$F$47,'SCH B-3.1'!$B$37:$B$47,B59)</f>
        <v>0</v>
      </c>
      <c r="I59" s="36">
        <f>SUM(G59:H59)</f>
        <v>-14373539.540046344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F'!D58</f>
        <v>5796098.6353846146</v>
      </c>
      <c r="E60" s="36">
        <f>SUMIFS('PIS F AVG'!$X$11:$X$141,'PIS F AVG'!$B$11:$B$141,'SCH B-3 F'!$B60)</f>
        <v>-2465890.258391412</v>
      </c>
      <c r="F60" s="55"/>
      <c r="G60" s="36">
        <f>E60</f>
        <v>-2465890.258391412</v>
      </c>
      <c r="H60" s="36">
        <f>SUMIFS('SCH B-3.1'!$F$37:$F$47,'SCH B-3.1'!$B$37:$B$47,B60)</f>
        <v>0</v>
      </c>
      <c r="I60" s="36">
        <f>SUM(G60:H60)</f>
        <v>-2465890.258391412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F'!D59</f>
        <v>111984.04000000004</v>
      </c>
      <c r="E61" s="37">
        <f>SUMIFS('PIS F AVG'!$X$11:$X$141,'PIS F AVG'!$B$11:$B$141,'SCH B-3 F'!$B61)</f>
        <v>-25538.735530880822</v>
      </c>
      <c r="F61" s="51"/>
      <c r="G61" s="37">
        <f>E61</f>
        <v>-25538.735530880822</v>
      </c>
      <c r="H61" s="37">
        <f>SUMIFS('SCH B-3.1'!$F$37:$F$47,'SCH B-3.1'!$B$37:$B$47,B61)</f>
        <v>25538.735530880822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410044097.84153789</v>
      </c>
      <c r="E62" s="34">
        <f>SUM(E42:E45,E58:E61)</f>
        <v>-147092187.1601201</v>
      </c>
      <c r="F62" s="34"/>
      <c r="G62" s="34">
        <f>SUM(G42:G45,G58:G61)</f>
        <v>-147092187.1601201</v>
      </c>
      <c r="H62" s="34">
        <f>SUM(H42:H45,H58:H61)</f>
        <v>25538.735530880822</v>
      </c>
      <c r="I62" s="34">
        <f>SUM(I42:I45,I58:I61)</f>
        <v>-147066648.42458922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F'!D63</f>
        <v>11144162.020000001</v>
      </c>
      <c r="E65" s="36">
        <f>SUMIFS('PIS F AVG'!$X$11:$X$141,'PIS F AVG'!$B$11:$B$141,'SCH B-3 F'!$B65)</f>
        <v>-3383898.4093759903</v>
      </c>
      <c r="F65" s="55"/>
      <c r="G65" s="36">
        <f t="shared" ref="G65:G73" si="5">E65</f>
        <v>-3383898.4093759903</v>
      </c>
      <c r="H65" s="36">
        <f>SUMIFS('SCH B-3.1'!$F$37:$F$47,'SCH B-3.1'!$B$37:$B$47,B65)</f>
        <v>0</v>
      </c>
      <c r="I65" s="36">
        <f t="shared" ref="I65:I73" si="6">SUM(G65:H65)</f>
        <v>-3383898.4093759903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F'!D64</f>
        <v>17728931.077692308</v>
      </c>
      <c r="E66" s="36">
        <f>SUMIFS('PIS F AVG'!$X$11:$X$141,'PIS F AVG'!$B$11:$B$141,'SCH B-3 F'!$B66)</f>
        <v>-2930475.5629575048</v>
      </c>
      <c r="F66" s="55"/>
      <c r="G66" s="36">
        <f t="shared" si="5"/>
        <v>-2930475.5629575048</v>
      </c>
      <c r="H66" s="36">
        <f>SUMIFS('SCH B-3.1'!$F$37:$F$47,'SCH B-3.1'!$B$37:$B$47,B66)</f>
        <v>0</v>
      </c>
      <c r="I66" s="36">
        <f t="shared" si="6"/>
        <v>-2930475.5629575048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F'!D65</f>
        <v>247685387.55461532</v>
      </c>
      <c r="E67" s="36">
        <f>SUMIFS('PIS F AVG'!$X$11:$X$141,'PIS F AVG'!$B$11:$B$141,'SCH B-3 F'!$B67)</f>
        <v>-69835064.188986272</v>
      </c>
      <c r="F67" s="55"/>
      <c r="G67" s="36">
        <f t="shared" si="5"/>
        <v>-69835064.188986272</v>
      </c>
      <c r="H67" s="36">
        <f>SUMIFS('SCH B-3.1'!$F$37:$F$47,'SCH B-3.1'!$B$37:$B$47,B67)</f>
        <v>0</v>
      </c>
      <c r="I67" s="36">
        <f t="shared" si="6"/>
        <v>-69835064.188986272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F'!D66</f>
        <v>43849203.199999996</v>
      </c>
      <c r="E68" s="36">
        <f>SUMIFS('PIS F AVG'!$X$11:$X$141,'PIS F AVG'!$B$11:$B$141,'SCH B-3 F'!$B68)</f>
        <v>-27367472.998558301</v>
      </c>
      <c r="F68" s="55"/>
      <c r="G68" s="36">
        <f t="shared" si="5"/>
        <v>-27367472.998558301</v>
      </c>
      <c r="H68" s="36">
        <f>SUMIFS('SCH B-3.1'!$F$37:$F$47,'SCH B-3.1'!$B$37:$B$47,B68)</f>
        <v>0</v>
      </c>
      <c r="I68" s="36">
        <f t="shared" si="6"/>
        <v>-27367472.998558301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F'!D67</f>
        <v>108569894.11769226</v>
      </c>
      <c r="E69" s="36">
        <f>SUMIFS('PIS F AVG'!$X$11:$X$141,'PIS F AVG'!$B$11:$B$141,'SCH B-3 F'!$B69)</f>
        <v>-30066993.192023233</v>
      </c>
      <c r="F69" s="55"/>
      <c r="G69" s="36">
        <f t="shared" si="5"/>
        <v>-30066993.192023233</v>
      </c>
      <c r="H69" s="36">
        <f>SUMIFS('SCH B-3.1'!$F$37:$F$47,'SCH B-3.1'!$B$37:$B$47,B69)</f>
        <v>0</v>
      </c>
      <c r="I69" s="36">
        <f t="shared" si="6"/>
        <v>-30066993.192023233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F'!D68</f>
        <v>62314300.349999994</v>
      </c>
      <c r="E70" s="36">
        <f>SUMIFS('PIS F AVG'!$X$11:$X$141,'PIS F AVG'!$B$11:$B$141,'SCH B-3 F'!$B70)</f>
        <v>-31811050.611528117</v>
      </c>
      <c r="F70" s="55"/>
      <c r="G70" s="36">
        <f t="shared" si="5"/>
        <v>-31811050.611528117</v>
      </c>
      <c r="H70" s="36">
        <f>SUMIFS('SCH B-3.1'!$F$37:$F$47,'SCH B-3.1'!$B$37:$B$47,B70)</f>
        <v>0</v>
      </c>
      <c r="I70" s="36">
        <f t="shared" si="6"/>
        <v>-31811050.611528117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F'!D69</f>
        <v>1804058.6900000004</v>
      </c>
      <c r="E71" s="36">
        <f>SUMIFS('PIS F AVG'!$X$11:$X$141,'PIS F AVG'!$B$11:$B$141,'SCH B-3 F'!$B71)</f>
        <v>-793676.15204479999</v>
      </c>
      <c r="F71" s="55"/>
      <c r="G71" s="36">
        <f t="shared" si="5"/>
        <v>-793676.15204479999</v>
      </c>
      <c r="H71" s="36">
        <f>SUMIFS('SCH B-3.1'!$F$37:$F$47,'SCH B-3.1'!$B$37:$B$47,B71)</f>
        <v>0</v>
      </c>
      <c r="I71" s="36">
        <f t="shared" si="6"/>
        <v>-793676.15204479999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F'!D70</f>
        <v>7529169.8199999994</v>
      </c>
      <c r="E72" s="36">
        <f>SUMIFS('PIS F AVG'!$X$11:$X$141,'PIS F AVG'!$B$11:$B$141,'SCH B-3 F'!$B72)</f>
        <v>-3769453.3438790003</v>
      </c>
      <c r="F72" s="55"/>
      <c r="G72" s="36">
        <f t="shared" si="5"/>
        <v>-3769453.3438790003</v>
      </c>
      <c r="H72" s="36">
        <f>SUMIFS('SCH B-3.1'!$F$37:$F$47,'SCH B-3.1'!$B$37:$B$47,B72)</f>
        <v>0</v>
      </c>
      <c r="I72" s="36">
        <f t="shared" si="6"/>
        <v>-3769453.3438790003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F'!D71</f>
        <v>195962.44999999998</v>
      </c>
      <c r="E73" s="37">
        <f>SUMIFS('PIS F AVG'!$X$11:$X$141,'PIS F AVG'!$B$11:$B$141,'SCH B-3 F'!$B73)</f>
        <v>-49301.666239777558</v>
      </c>
      <c r="F73" s="55"/>
      <c r="G73" s="37">
        <f t="shared" si="5"/>
        <v>-49301.666239777558</v>
      </c>
      <c r="H73" s="37">
        <f>SUMIFS('SCH B-3.1'!$F$37:$F$47,'SCH B-3.1'!$B$37:$B$47,B73)</f>
        <v>49301.666239777558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500821069.27999991</v>
      </c>
      <c r="E74" s="34">
        <f>SUM(E65:E73)</f>
        <v>-170007386.12559301</v>
      </c>
      <c r="F74" s="34"/>
      <c r="G74" s="34">
        <f>SUM(G65:G73)</f>
        <v>-170007386.12559301</v>
      </c>
      <c r="H74" s="34">
        <f>SUM(H65:H73)</f>
        <v>49301.666239777558</v>
      </c>
      <c r="I74" s="34">
        <f>SUM(I65:I73)</f>
        <v>-169958084.45935324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F'!D75</f>
        <v>4103252.7200000021</v>
      </c>
      <c r="E77" s="36">
        <f>SUMIFS('PIS F AVG'!$X$11:$X$141,'PIS F AVG'!$B$11:$B$141,'SCH B-3 F'!$B77)</f>
        <v>46078.459999999992</v>
      </c>
      <c r="F77" s="55"/>
      <c r="G77" s="36">
        <f t="shared" ref="G77:G89" si="7">E77</f>
        <v>46078.459999999992</v>
      </c>
      <c r="H77" s="36">
        <f>SUMIFS('SCH B-3.1'!$F$37:$F$47,'SCH B-3.1'!$B$37:$B$47,B77)</f>
        <v>0</v>
      </c>
      <c r="I77" s="36">
        <f t="shared" ref="I77:I89" si="8">SUM(G77:H77)</f>
        <v>46078.459999999992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F'!D76</f>
        <v>31522130.619999945</v>
      </c>
      <c r="E78" s="36">
        <f>SUMIFS('PIS F AVG'!$X$11:$X$141,'PIS F AVG'!$B$11:$B$141,'SCH B-3 F'!$B78)</f>
        <v>-1471844.436711302</v>
      </c>
      <c r="F78" s="55"/>
      <c r="G78" s="36">
        <f t="shared" si="7"/>
        <v>-1471844.436711302</v>
      </c>
      <c r="H78" s="36">
        <f>SUMIFS('SCH B-3.1'!$F$37:$F$47,'SCH B-3.1'!$B$37:$B$47,B78)</f>
        <v>0</v>
      </c>
      <c r="I78" s="36">
        <f t="shared" si="8"/>
        <v>-1471844.436711302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F'!D77</f>
        <v>155480834.24615383</v>
      </c>
      <c r="E79" s="36">
        <f>SUMIFS('PIS F AVG'!$X$11:$X$141,'PIS F AVG'!$B$11:$B$141,'SCH B-3 F'!$B79)</f>
        <v>-48973668.628778003</v>
      </c>
      <c r="F79" s="55"/>
      <c r="G79" s="36">
        <f t="shared" si="7"/>
        <v>-48973668.628778003</v>
      </c>
      <c r="H79" s="36">
        <f>SUMIFS('SCH B-3.1'!$F$37:$F$47,'SCH B-3.1'!$B$37:$B$47,B79)</f>
        <v>0</v>
      </c>
      <c r="I79" s="36">
        <f t="shared" si="8"/>
        <v>-48973668.628778003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F'!D78</f>
        <v>215120718.84230724</v>
      </c>
      <c r="E80" s="36">
        <f>SUMIFS('PIS F AVG'!$X$11:$X$141,'PIS F AVG'!$B$11:$B$141,'SCH B-3 F'!$B80)</f>
        <v>-86275768.365819588</v>
      </c>
      <c r="F80" s="55"/>
      <c r="G80" s="36">
        <f t="shared" si="7"/>
        <v>-86275768.365819588</v>
      </c>
      <c r="H80" s="36">
        <f>SUMIFS('SCH B-3.1'!$F$37:$F$47,'SCH B-3.1'!$B$37:$B$47,B80)</f>
        <v>0</v>
      </c>
      <c r="I80" s="36">
        <f t="shared" si="8"/>
        <v>-86275768.365819588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F'!D79</f>
        <v>377289104.34307593</v>
      </c>
      <c r="E81" s="36">
        <f>SUMIFS('PIS F AVG'!$X$11:$X$141,'PIS F AVG'!$B$11:$B$141,'SCH B-3 F'!$B81)</f>
        <v>-133403712.71753585</v>
      </c>
      <c r="F81" s="55"/>
      <c r="G81" s="36">
        <f t="shared" si="7"/>
        <v>-133403712.71753585</v>
      </c>
      <c r="H81" s="36">
        <f>SUMIFS('SCH B-3.1'!$F$37:$F$47,'SCH B-3.1'!$B$37:$B$47,B81)</f>
        <v>0</v>
      </c>
      <c r="I81" s="36">
        <f t="shared" si="8"/>
        <v>-133403712.71753585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F'!D80</f>
        <v>101000073.1415384</v>
      </c>
      <c r="E82" s="36">
        <f>SUMIFS('PIS F AVG'!$X$11:$X$141,'PIS F AVG'!$B$11:$B$141,'SCH B-3 F'!$B82)</f>
        <v>-34299691.669926263</v>
      </c>
      <c r="F82" s="55"/>
      <c r="G82" s="36">
        <f t="shared" si="7"/>
        <v>-34299691.669926263</v>
      </c>
      <c r="H82" s="36">
        <f>SUMIFS('SCH B-3.1'!$F$37:$F$47,'SCH B-3.1'!$B$37:$B$47,B82)</f>
        <v>0</v>
      </c>
      <c r="I82" s="36">
        <f t="shared" si="8"/>
        <v>-34299691.669926263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F'!D81</f>
        <v>294177307.13999945</v>
      </c>
      <c r="E83" s="36">
        <f>SUMIFS('PIS F AVG'!$X$11:$X$141,'PIS F AVG'!$B$11:$B$141,'SCH B-3 F'!$B83)</f>
        <v>-66296121.149860464</v>
      </c>
      <c r="F83" s="55"/>
      <c r="G83" s="36">
        <f t="shared" si="7"/>
        <v>-66296121.149860464</v>
      </c>
      <c r="H83" s="36">
        <f>SUMIFS('SCH B-3.1'!$F$37:$F$47,'SCH B-3.1'!$B$37:$B$47,B83)</f>
        <v>0</v>
      </c>
      <c r="I83" s="36">
        <f t="shared" si="8"/>
        <v>-66296121.149860464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F'!D82</f>
        <v>176418522.2015385</v>
      </c>
      <c r="E84" s="36">
        <f>SUMIFS('PIS F AVG'!$X$11:$X$141,'PIS F AVG'!$B$11:$B$141,'SCH B-3 F'!$B84)</f>
        <v>-83543154.394344017</v>
      </c>
      <c r="F84" s="55"/>
      <c r="G84" s="36">
        <f t="shared" si="7"/>
        <v>-83543154.394344017</v>
      </c>
      <c r="H84" s="36">
        <f>SUMIFS('SCH B-3.1'!$F$37:$F$47,'SCH B-3.1'!$B$37:$B$47,B84)</f>
        <v>0</v>
      </c>
      <c r="I84" s="36">
        <f t="shared" si="8"/>
        <v>-83543154.394344017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F'!D83</f>
        <v>37740878.411538459</v>
      </c>
      <c r="E85" s="36">
        <f>SUMIFS('PIS F AVG'!$X$11:$X$141,'PIS F AVG'!$B$11:$B$141,'SCH B-3 F'!$B85)</f>
        <v>-27449807.862494528</v>
      </c>
      <c r="F85" s="55"/>
      <c r="G85" s="36">
        <f t="shared" si="7"/>
        <v>-27449807.862494528</v>
      </c>
      <c r="H85" s="36">
        <f>SUMIFS('SCH B-3.1'!$F$37:$F$47,'SCH B-3.1'!$B$37:$B$47,B85)</f>
        <v>0</v>
      </c>
      <c r="I85" s="36">
        <f t="shared" si="8"/>
        <v>-27449807.862494528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F'!D84</f>
        <v>43691863.67999994</v>
      </c>
      <c r="E86" s="36">
        <f>SUMIFS('PIS F AVG'!$X$11:$X$141,'PIS F AVG'!$B$11:$B$141,'SCH B-3 F'!$B86)</f>
        <v>-25684076.843352612</v>
      </c>
      <c r="F86" s="55"/>
      <c r="G86" s="36">
        <f t="shared" si="7"/>
        <v>-25684076.843352612</v>
      </c>
      <c r="H86" s="36">
        <f>SUMIFS('SCH B-3.1'!$F$37:$F$47,'SCH B-3.1'!$B$37:$B$47,B86)</f>
        <v>339481.78748799994</v>
      </c>
      <c r="I86" s="36">
        <f t="shared" si="8"/>
        <v>-25344595.055864614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F'!D85</f>
        <v>156536.14999999997</v>
      </c>
      <c r="E87" s="36">
        <f>SUMIFS('PIS F AVG'!$X$11:$X$141,'PIS F AVG'!$B$11:$B$141,'SCH B-3 F'!$B87)</f>
        <v>-18252.092712100002</v>
      </c>
      <c r="F87" s="55"/>
      <c r="G87" s="36">
        <f t="shared" si="7"/>
        <v>-18252.092712100002</v>
      </c>
      <c r="H87" s="36">
        <f>SUMIFS('SCH B-3.1'!$F$37:$F$47,'SCH B-3.1'!$B$37:$B$47,B87)</f>
        <v>0</v>
      </c>
      <c r="I87" s="36">
        <f t="shared" si="8"/>
        <v>-18252.092712100002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F'!D86</f>
        <v>120047049.5030763</v>
      </c>
      <c r="E88" s="36">
        <f>SUMIFS('PIS F AVG'!$X$11:$X$141,'PIS F AVG'!$B$11:$B$141,'SCH B-3 F'!$B88)</f>
        <v>-47723397.779786453</v>
      </c>
      <c r="F88" s="55"/>
      <c r="G88" s="36">
        <f t="shared" si="7"/>
        <v>-47723397.779786453</v>
      </c>
      <c r="H88" s="36">
        <f>SUMIFS('SCH B-3.1'!$F$37:$F$47,'SCH B-3.1'!$B$37:$B$47,B88)</f>
        <v>0</v>
      </c>
      <c r="I88" s="36">
        <f t="shared" si="8"/>
        <v>-47723397.779786453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F'!D87</f>
        <v>367963.86999999994</v>
      </c>
      <c r="E89" s="37">
        <f>SUMIFS('PIS F AVG'!$X$11:$X$141,'PIS F AVG'!$B$11:$B$141,'SCH B-3 F'!$B89)</f>
        <v>-62784.092886862905</v>
      </c>
      <c r="F89" s="55"/>
      <c r="G89" s="37">
        <f t="shared" si="7"/>
        <v>-62784.092886862905</v>
      </c>
      <c r="H89" s="37">
        <f>SUMIFS('SCH B-3.1'!$F$37:$F$47,'SCH B-3.1'!$B$37:$B$47,B89)</f>
        <v>62784.092886862905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1557116234.8692279</v>
      </c>
      <c r="E90" s="34">
        <f>SUM(E77:E89)</f>
        <v>-555156201.57420802</v>
      </c>
      <c r="F90" s="34"/>
      <c r="G90" s="34">
        <f>SUM(G77:G89)</f>
        <v>-555156201.57420802</v>
      </c>
      <c r="H90" s="34">
        <f>SUM(H77:H89)</f>
        <v>402265.88037486287</v>
      </c>
      <c r="I90" s="34">
        <f>SUM(I77:I89)</f>
        <v>-554753935.69383323</v>
      </c>
      <c r="L90" s="57"/>
      <c r="M90" s="57"/>
      <c r="N90" s="57"/>
      <c r="O90" s="57"/>
      <c r="P90" s="58"/>
    </row>
    <row r="91" spans="1:16" s="16" customFormat="1" ht="20.100000000000001" customHeight="1">
      <c r="A91" s="831" t="str">
        <f>$A$1</f>
        <v>LOUISVILLE GAS AND ELECTRIC COMPANY</v>
      </c>
      <c r="B91" s="831"/>
      <c r="C91" s="831"/>
      <c r="D91" s="831"/>
      <c r="E91" s="831"/>
      <c r="F91" s="831"/>
      <c r="G91" s="831"/>
      <c r="H91" s="831"/>
      <c r="I91" s="831"/>
    </row>
    <row r="92" spans="1:16" s="16" customFormat="1" ht="20.100000000000001" customHeight="1">
      <c r="A92" s="831" t="str">
        <f>$A$2</f>
        <v>CASE NO. 2018-00295 - ELECTRIC OPERATIONS</v>
      </c>
      <c r="B92" s="831"/>
      <c r="C92" s="831"/>
      <c r="D92" s="831"/>
      <c r="E92" s="831"/>
      <c r="F92" s="831"/>
      <c r="G92" s="831"/>
      <c r="H92" s="831"/>
      <c r="I92" s="831"/>
    </row>
    <row r="93" spans="1:16" s="16" customFormat="1" ht="20.100000000000001" customHeight="1">
      <c r="A93" s="831" t="str">
        <f>$A$3</f>
        <v>ACCUMULATED DEPRECIATION AND AMORTIZATION</v>
      </c>
      <c r="B93" s="831"/>
      <c r="C93" s="831"/>
      <c r="D93" s="831"/>
      <c r="E93" s="831"/>
      <c r="F93" s="831"/>
      <c r="G93" s="831"/>
      <c r="H93" s="831"/>
      <c r="I93" s="831"/>
    </row>
    <row r="94" spans="1:16" s="16" customFormat="1" ht="20.100000000000001" customHeight="1">
      <c r="A94" s="832" t="str">
        <f>$A$4</f>
        <v>FROM MAY 1, 2019 TO APRIL 30, 2020</v>
      </c>
      <c r="B94" s="831"/>
      <c r="C94" s="831"/>
      <c r="D94" s="831"/>
      <c r="E94" s="831"/>
      <c r="F94" s="831"/>
      <c r="G94" s="831"/>
      <c r="H94" s="831"/>
      <c r="I94" s="831"/>
    </row>
    <row r="95" spans="1:16" s="16" customFormat="1" ht="20.100000000000001" customHeight="1">
      <c r="A95" s="40"/>
      <c r="B95" s="40"/>
      <c r="C95" s="40"/>
      <c r="D95" s="40"/>
      <c r="E95" s="40"/>
      <c r="F95" s="40"/>
      <c r="G95" s="40"/>
      <c r="H95" s="40"/>
      <c r="I95" s="40"/>
    </row>
    <row r="96" spans="1:16" s="16" customFormat="1" ht="20.100000000000001" customHeight="1">
      <c r="A96" s="15" t="str">
        <f>$A$6</f>
        <v>DATA:____BASE  PERIOD__X__FORECASTED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_____ ORIGINAL  _____ UPDATED  __X__ REVISED</v>
      </c>
      <c r="H97" s="22"/>
      <c r="I97" s="22" t="s">
        <v>130</v>
      </c>
    </row>
    <row r="98" spans="1:9" s="16" customFormat="1" ht="20.100000000000001" customHeight="1">
      <c r="A98" s="15" t="str">
        <f>$A$8</f>
        <v>WORKPAPER REFERENCE NO(S).:</v>
      </c>
      <c r="B98" s="15"/>
      <c r="E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39" t="s">
        <v>243</v>
      </c>
      <c r="F100" s="839"/>
      <c r="G100" s="839"/>
      <c r="H100" s="839"/>
      <c r="I100" s="839"/>
    </row>
    <row r="101" spans="1:9" ht="86.25" customHeight="1">
      <c r="A101" s="19" t="s">
        <v>92</v>
      </c>
      <c r="B101" s="19" t="s">
        <v>95</v>
      </c>
      <c r="C101" s="26" t="s">
        <v>96</v>
      </c>
      <c r="D101" s="19" t="s">
        <v>3075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4" si="10">A103+1</f>
        <v>63</v>
      </c>
      <c r="B104" s="19" t="s">
        <v>769</v>
      </c>
      <c r="C104" s="26" t="s">
        <v>115</v>
      </c>
      <c r="D104" s="36">
        <f>'SCH B-2.1 F'!D101</f>
        <v>0</v>
      </c>
      <c r="E104" s="34">
        <f>SUMIFS('PIS F AVG'!$X$11:$X$141,'PIS F AVG'!$A$11:$A$141,$B$103,'PIS F AVG'!$B$11:$B$141,$B104)</f>
        <v>0</v>
      </c>
      <c r="F104" s="55"/>
      <c r="G104" s="36">
        <f t="shared" ref="G104:G113" si="11">E104</f>
        <v>0</v>
      </c>
      <c r="H104" s="36">
        <f>SUMIFS('SCH B-3.1'!$F$37:$F$47,'SCH B-3.1'!$B$37:$B$47,B104)</f>
        <v>0</v>
      </c>
      <c r="I104" s="36">
        <f t="shared" ref="I104:I113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F'!D102</f>
        <v>0</v>
      </c>
      <c r="E105" s="36">
        <f>SUMIFS('PIS F AVG'!$X$11:$X$141,'PIS F AVG'!$A$11:$A$141,$B$103,'PIS F AVG'!$B$11:$B$141,$B105)</f>
        <v>0</v>
      </c>
      <c r="F105" s="55"/>
      <c r="G105" s="36">
        <f t="shared" si="11"/>
        <v>0</v>
      </c>
      <c r="H105" s="36">
        <f>SUMIFS('SCH B-3.1'!$F$37:$F$47,'SCH B-3.1'!$B$37:$B$47,B105)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F'!D103</f>
        <v>0</v>
      </c>
      <c r="E106" s="36">
        <f>SUMIFS('PIS F AVG'!$X$11:$X$141,'PIS F AVG'!$A$11:$A$141,$B$103,'PIS F AVG'!$B$11:$B$141,$B106)</f>
        <v>0</v>
      </c>
      <c r="F106" s="55"/>
      <c r="G106" s="36">
        <f t="shared" si="11"/>
        <v>0</v>
      </c>
      <c r="H106" s="36">
        <f>SUMIFS('SCH B-3.1'!$F$37:$F$47,'SCH B-3.1'!$B$37:$B$47,B106)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F'!D104</f>
        <v>7107527.1846153857</v>
      </c>
      <c r="E107" s="36">
        <f>SUMIFS('PIS F AVG'!$X$11:$X$141,'PIS F AVG'!$A$11:$A$141,$B$103,'PIS F AVG'!$B$11:$B$141,$B107)</f>
        <v>-3326439.486601836</v>
      </c>
      <c r="F107" s="55"/>
      <c r="G107" s="36">
        <f t="shared" si="11"/>
        <v>-3326439.486601836</v>
      </c>
      <c r="H107" s="36">
        <f>SUMIFS('SCH B-3.1'!$F$37:$F$47,'SCH B-3.1'!$B$37:$B$47,B107)</f>
        <v>0</v>
      </c>
      <c r="I107" s="36">
        <f t="shared" si="12"/>
        <v>-3326439.486601836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F'!D105</f>
        <v>0</v>
      </c>
      <c r="E108" s="36">
        <f>SUMIFS('PIS F AVG'!$X$11:$X$141,'PIS F AVG'!$A$11:$A$141,$B$103,'PIS F AVG'!$B$11:$B$141,$B108)</f>
        <v>0</v>
      </c>
      <c r="F108" s="55"/>
      <c r="G108" s="36">
        <f t="shared" si="11"/>
        <v>0</v>
      </c>
      <c r="H108" s="36">
        <f>SUMIFS('SCH B-3.1'!$F$37:$F$47,'SCH B-3.1'!$B$37:$B$47,B108)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F'!D106</f>
        <v>6957514.1876923023</v>
      </c>
      <c r="E109" s="36">
        <f>SUMIFS('PIS F AVG'!$X$11:$X$141,'PIS F AVG'!$A$11:$A$141,$B$103,'PIS F AVG'!$B$11:$B$141,$B109)</f>
        <v>-2938282.7071515382</v>
      </c>
      <c r="F109" s="55"/>
      <c r="G109" s="36">
        <f t="shared" si="11"/>
        <v>-2938282.7071515382</v>
      </c>
      <c r="H109" s="36">
        <f>SUMIFS('SCH B-3.1'!$F$37:$F$47,'SCH B-3.1'!$B$37:$B$47,B109)</f>
        <v>0</v>
      </c>
      <c r="I109" s="36">
        <f t="shared" si="12"/>
        <v>-2938282.7071515382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F'!D107</f>
        <v>0</v>
      </c>
      <c r="E110" s="36">
        <f>SUMIFS('PIS F AVG'!$X$11:$X$141,'PIS F AVG'!$A$11:$A$141,$B$103,'PIS F AVG'!$B$11:$B$141,$B110)</f>
        <v>0</v>
      </c>
      <c r="F110" s="55"/>
      <c r="G110" s="36">
        <f t="shared" si="11"/>
        <v>0</v>
      </c>
      <c r="H110" s="36">
        <f>SUMIFS('SCH B-3.1'!$F$37:$F$47,'SCH B-3.1'!$B$37:$B$47,B110)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F'!D108</f>
        <v>2084182.35</v>
      </c>
      <c r="E111" s="36">
        <f>SUMIFS('PIS F AVG'!$X$11:$X$141,'PIS F AVG'!$A$11:$A$141,$B$103,'PIS F AVG'!$B$11:$B$141,$B111)</f>
        <v>-1620717.2106283</v>
      </c>
      <c r="F111" s="55"/>
      <c r="G111" s="36">
        <f t="shared" si="11"/>
        <v>-1620717.2106283</v>
      </c>
      <c r="H111" s="36">
        <f>SUMIFS('SCH B-3.1'!$F$37:$F$47,'SCH B-3.1'!$B$37:$B$47,B111)</f>
        <v>0</v>
      </c>
      <c r="I111" s="36">
        <f t="shared" si="12"/>
        <v>-1620717.2106283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F'!D109</f>
        <v>7172349.6961538456</v>
      </c>
      <c r="E112" s="36">
        <f>SUMIFS('PIS F AVG'!$X$11:$X$141,'PIS F AVG'!$A$11:$A$141,$B$103,'PIS F AVG'!$B$11:$B$141,$B112)</f>
        <v>-4081574.9751269231</v>
      </c>
      <c r="F112" s="55"/>
      <c r="G112" s="36">
        <f t="shared" si="11"/>
        <v>-4081574.9751269231</v>
      </c>
      <c r="H112" s="36">
        <f>SUMIFS('SCH B-3.1'!$F$37:$F$47,'SCH B-3.1'!$B$37:$B$47,B112)</f>
        <v>4081574.9751269231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F'!D110</f>
        <v>0</v>
      </c>
      <c r="E113" s="37">
        <f>SUMIFS('PIS F AVG'!$X$11:$X$141,'PIS F AVG'!$A$11:$A$141,$B$103,'PIS F AVG'!$B$11:$B$141,$B113)</f>
        <v>0</v>
      </c>
      <c r="F113" s="55"/>
      <c r="G113" s="37">
        <f t="shared" si="11"/>
        <v>0</v>
      </c>
      <c r="H113" s="37">
        <f>SUMIFS('SCH B-3.1'!$F$37:$F$47,'SCH B-3.1'!$B$37:$B$47,B113)</f>
        <v>0</v>
      </c>
      <c r="I113" s="37">
        <f t="shared" si="12"/>
        <v>0</v>
      </c>
    </row>
    <row r="114" spans="1:16" ht="18.95" customHeight="1">
      <c r="A114" s="18">
        <f t="shared" si="10"/>
        <v>73</v>
      </c>
      <c r="B114" s="19"/>
      <c r="C114" s="26" t="s">
        <v>119</v>
      </c>
      <c r="D114" s="34">
        <f>SUM(D104:D113)</f>
        <v>23321573.418461531</v>
      </c>
      <c r="E114" s="34">
        <f>SUM(E104:E113)</f>
        <v>-11967014.379508598</v>
      </c>
      <c r="F114" s="34"/>
      <c r="G114" s="34">
        <f>SUM(G104:G113)</f>
        <v>-11967014.379508598</v>
      </c>
      <c r="H114" s="34">
        <f>SUM(H104:H113)</f>
        <v>4081574.9751269231</v>
      </c>
      <c r="I114" s="34">
        <f>SUM(I104:I113)</f>
        <v>-7885439.4043816747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>A116+1</f>
        <v>75</v>
      </c>
      <c r="B117" s="19" t="s">
        <v>692</v>
      </c>
      <c r="C117" s="26" t="s">
        <v>693</v>
      </c>
      <c r="D117" s="34">
        <f>'SCH B-2.1 F'!D114</f>
        <v>57809.780099999924</v>
      </c>
      <c r="E117" s="34">
        <f>SUMIFS('PIS F AVG'!$X$11:$X$141,'PIS F AVG'!$A$11:$A$141,$B$116,'PIS F AVG'!$B$11:$B$141,$B117)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ref="A118:A131" si="13">A117+1</f>
        <v>76</v>
      </c>
      <c r="B118" s="19" t="s">
        <v>694</v>
      </c>
      <c r="C118" s="26" t="s">
        <v>695</v>
      </c>
      <c r="D118" s="34">
        <f>'SCH B-2.1 F'!D115</f>
        <v>0</v>
      </c>
      <c r="E118" s="34">
        <f>SUMIFS('PIS F AVG'!$X$11:$X$141,'PIS F AVG'!$A$11:$A$141,$B$116,'PIS F AVG'!$B$11:$B$141,$B118)</f>
        <v>0</v>
      </c>
      <c r="F118" s="55"/>
      <c r="G118" s="36">
        <f t="shared" ref="G118:G130" si="14"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F'!D116</f>
        <v>59950103.073092207</v>
      </c>
      <c r="E119" s="36">
        <f>SUMIFS('PIS F AVG'!$X$11:$X$141,'PIS F AVG'!$A$11:$A$141,$B$116,'PIS F AVG'!$B$11:$B$141,$B119)</f>
        <v>-24516340.600240812</v>
      </c>
      <c r="F119" s="55"/>
      <c r="G119" s="36">
        <f t="shared" si="14"/>
        <v>-24516340.600240812</v>
      </c>
      <c r="H119" s="36">
        <v>0</v>
      </c>
      <c r="I119" s="36">
        <f>SUM(G119:H119)</f>
        <v>-24516340.600240812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F'!D117</f>
        <v>1079432.1152999999</v>
      </c>
      <c r="E120" s="36">
        <f>SUMIFS('PIS F AVG'!$X$11:$X$141,'PIS F AVG'!$A$11:$A$141,$B$116,'PIS F AVG'!$B$11:$B$141,$B120)</f>
        <v>0</v>
      </c>
      <c r="F120" s="55"/>
      <c r="G120" s="36">
        <f t="shared" si="14"/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F'!D118</f>
        <v>62105491.306084521</v>
      </c>
      <c r="E121" s="36">
        <f>SUMIFS('PIS F AVG'!$X$11:$X$141,'PIS F AVG'!$A$11:$A$141,$B$116,'PIS F AVG'!$B$11:$B$141,$B121)</f>
        <v>-27165062.378519215</v>
      </c>
      <c r="F121" s="55"/>
      <c r="G121" s="36">
        <f t="shared" si="14"/>
        <v>-27165062.378519215</v>
      </c>
      <c r="H121" s="36">
        <v>0</v>
      </c>
      <c r="I121" s="36">
        <f t="shared" si="15"/>
        <v>-27165062.378519215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F'!D119</f>
        <v>28747766.036538459</v>
      </c>
      <c r="E122" s="36">
        <f>SUMIFS('PIS F AVG'!$X$11:$X$141,'PIS F AVG'!$A$11:$A$141,$B$116,'PIS F AVG'!$B$11:$B$141,$B122)</f>
        <v>-11650104.174065223</v>
      </c>
      <c r="F122" s="55"/>
      <c r="G122" s="36">
        <f t="shared" si="14"/>
        <v>-11650104.174065223</v>
      </c>
      <c r="H122" s="36">
        <v>0</v>
      </c>
      <c r="I122" s="36">
        <f t="shared" si="15"/>
        <v>-11650104.174065223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F'!D120</f>
        <v>224487.9327</v>
      </c>
      <c r="E123" s="36">
        <f>SUMIFS('PIS F AVG'!$X$11:$X$141,'PIS F AVG'!$A$11:$A$141,$B$116,'PIS F AVG'!$B$11:$B$141,$B123)</f>
        <v>-116561.7335960303</v>
      </c>
      <c r="F123" s="55"/>
      <c r="G123" s="36">
        <f t="shared" si="14"/>
        <v>-116561.7335960303</v>
      </c>
      <c r="H123" s="36">
        <v>0</v>
      </c>
      <c r="I123" s="36">
        <f t="shared" si="15"/>
        <v>-116561.7335960303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F'!D121</f>
        <v>1181432.6832000003</v>
      </c>
      <c r="E124" s="36">
        <f>SUMIFS('PIS F AVG'!$X$11:$X$141,'PIS F AVG'!$A$11:$A$141,$B$116,'PIS F AVG'!$B$11:$B$141,$B124)</f>
        <v>-796186.55348612985</v>
      </c>
      <c r="F124" s="55"/>
      <c r="G124" s="36">
        <f t="shared" si="14"/>
        <v>-796186.55348612985</v>
      </c>
      <c r="H124" s="36">
        <v>0</v>
      </c>
      <c r="I124" s="36">
        <f t="shared" si="15"/>
        <v>-796186.55348612985</v>
      </c>
    </row>
    <row r="125" spans="1:16" ht="18.95" customHeight="1">
      <c r="A125" s="18">
        <f t="shared" si="13"/>
        <v>83</v>
      </c>
      <c r="B125" s="19" t="s">
        <v>775</v>
      </c>
      <c r="C125" s="26" t="s">
        <v>776</v>
      </c>
      <c r="D125" s="36">
        <f>'SCH B-2.1 F'!D122</f>
        <v>2893187.7043384616</v>
      </c>
      <c r="E125" s="36">
        <f>SUMIFS('PIS F AVG'!$X$11:$X$141,'PIS F AVG'!$A$11:$A$141,$B$116,'PIS F AVG'!$B$11:$B$141,$B125)</f>
        <v>-1764903.2255947613</v>
      </c>
      <c r="F125" s="55"/>
      <c r="G125" s="36">
        <f t="shared" si="14"/>
        <v>-1764903.2255947613</v>
      </c>
      <c r="H125" s="36">
        <v>0</v>
      </c>
      <c r="I125" s="36">
        <f t="shared" si="15"/>
        <v>-1764903.2255947613</v>
      </c>
    </row>
    <row r="126" spans="1:16" ht="18.95" customHeight="1">
      <c r="A126" s="18">
        <f t="shared" si="13"/>
        <v>84</v>
      </c>
      <c r="B126" s="19" t="s">
        <v>777</v>
      </c>
      <c r="C126" s="26" t="s">
        <v>778</v>
      </c>
      <c r="D126" s="36">
        <f>'SCH B-2.1 F'!D123</f>
        <v>0</v>
      </c>
      <c r="E126" s="36">
        <f>SUMIFS('PIS F AVG'!$X$11:$X$141,'PIS F AVG'!$A$11:$A$141,$B$116,'PIS F AVG'!$B$11:$B$141,$B126)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3"/>
        <v>85</v>
      </c>
      <c r="B127" s="19" t="s">
        <v>779</v>
      </c>
      <c r="C127" s="26" t="s">
        <v>780</v>
      </c>
      <c r="D127" s="36">
        <f>'SCH B-2.1 F'!D124</f>
        <v>365595.60299999994</v>
      </c>
      <c r="E127" s="36">
        <f>SUMIFS('PIS F AVG'!$X$11:$X$141,'PIS F AVG'!$A$11:$A$141,$B$116,'PIS F AVG'!$B$11:$B$141,$B127)</f>
        <v>-174554.82833352944</v>
      </c>
      <c r="F127" s="55"/>
      <c r="G127" s="36">
        <f t="shared" si="14"/>
        <v>-174554.82833352944</v>
      </c>
      <c r="H127" s="36">
        <v>0</v>
      </c>
      <c r="I127" s="36">
        <f t="shared" si="15"/>
        <v>-174554.82833352944</v>
      </c>
    </row>
    <row r="128" spans="1:16" ht="18.95" customHeight="1">
      <c r="A128" s="18">
        <f t="shared" si="13"/>
        <v>86</v>
      </c>
      <c r="B128" s="19" t="s">
        <v>781</v>
      </c>
      <c r="C128" s="26" t="s">
        <v>118</v>
      </c>
      <c r="D128" s="36">
        <f>'SCH B-2.1 F'!D125</f>
        <v>26575797.529753774</v>
      </c>
      <c r="E128" s="36">
        <f>SUMIFS('PIS F AVG'!$X$11:$X$141,'PIS F AVG'!$A$11:$A$141,$B$116,'PIS F AVG'!$B$11:$B$141,$B128)</f>
        <v>-19028999.733658597</v>
      </c>
      <c r="F128" s="55"/>
      <c r="G128" s="36">
        <f t="shared" si="14"/>
        <v>-19028999.733658597</v>
      </c>
      <c r="H128" s="36">
        <v>0</v>
      </c>
      <c r="I128" s="36">
        <f t="shared" si="15"/>
        <v>-19028999.733658597</v>
      </c>
    </row>
    <row r="129" spans="1:16" ht="18.95" customHeight="1">
      <c r="A129" s="18">
        <f t="shared" si="13"/>
        <v>87</v>
      </c>
      <c r="B129" s="19" t="s">
        <v>782</v>
      </c>
      <c r="C129" s="26" t="s">
        <v>783</v>
      </c>
      <c r="D129" s="36">
        <f>'SCH B-2.1 F'!D126</f>
        <v>0</v>
      </c>
      <c r="E129" s="36">
        <f>SUMIFS('PIS F AVG'!$X$11:$X$141,'PIS F AVG'!$A$11:$A$141,$B$116,'PIS F AVG'!$B$11:$B$141,$B129)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3"/>
        <v>88</v>
      </c>
      <c r="B130" s="19">
        <v>399</v>
      </c>
      <c r="C130" s="26" t="s">
        <v>926</v>
      </c>
      <c r="D130" s="37">
        <f>'SCH B-2.1 F'!D127</f>
        <v>0</v>
      </c>
      <c r="E130" s="37">
        <f>SUMIFS('PIS F AVG'!$X$11:$X$141,'PIS F AVG'!$A$11:$A$141,$B$116,'PIS F AVG'!$B$11:$B$141,$B130)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3"/>
        <v>89</v>
      </c>
      <c r="B131" s="19"/>
      <c r="C131" s="26" t="s">
        <v>945</v>
      </c>
      <c r="D131" s="34">
        <f>SUM(D117:D130)</f>
        <v>183181103.76410741</v>
      </c>
      <c r="E131" s="34">
        <f>SUM(E117:E130)</f>
        <v>-85212713.227494299</v>
      </c>
      <c r="F131" s="34"/>
      <c r="G131" s="34">
        <f>SUM(G117:G130)</f>
        <v>-85212713.227494299</v>
      </c>
      <c r="H131" s="34">
        <f>SUM(H117:H130)</f>
        <v>0</v>
      </c>
      <c r="I131" s="34">
        <f>SUM(I117:I130)</f>
        <v>-85212713.227494299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193</v>
      </c>
      <c r="D133" s="42">
        <f>SUM(D17,D28,D39,D62,D74,D90,D114,D131)</f>
        <v>6310037965.8533268</v>
      </c>
      <c r="E133" s="42">
        <f>SUM(E17,E28,E39,E62,E74,E90,E114,E131)</f>
        <v>-1957529430.3001959</v>
      </c>
      <c r="F133" s="34"/>
      <c r="G133" s="42">
        <f>SUM(G17,G28,G39,G62,G74,G90,G114,G131)</f>
        <v>-1957529430.3001959</v>
      </c>
      <c r="H133" s="42">
        <f>SUM(H17,H28,H39,H62,H74,H90,H114,H131)</f>
        <v>189464526.03254312</v>
      </c>
      <c r="I133" s="42">
        <f>SUM(I17,I28,I39,I62,I74,I90,I114,I131)</f>
        <v>-1768064904.267653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</row>
    <row r="137" spans="1:16" ht="18.95" customHeight="1">
      <c r="B137" s="19"/>
      <c r="D137" s="36">
        <f>'SCH B-2.1 F'!D130</f>
        <v>6310037965.8533268</v>
      </c>
      <c r="E137" s="36">
        <f>'PIS F AVG'!X145</f>
        <v>-1957529430.3001962</v>
      </c>
    </row>
    <row r="138" spans="1:16" ht="18.95" customHeight="1">
      <c r="B138" s="19"/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59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3.77734375" style="17" customWidth="1"/>
    <col min="4" max="6" width="15.77734375" style="17" customWidth="1"/>
    <col min="7" max="7" width="15.33203125" style="17" customWidth="1"/>
    <col min="8" max="8" width="32.88671875" style="17" customWidth="1"/>
    <col min="9" max="9" width="1.6640625" style="17" customWidth="1"/>
    <col min="10" max="10" width="9" style="17"/>
    <col min="11" max="11" width="13.6640625" style="17" customWidth="1"/>
    <col min="12" max="12" width="9" style="17"/>
    <col min="13" max="13" width="9.88671875" style="17" bestFit="1" customWidth="1"/>
    <col min="14" max="16384" width="9" style="17"/>
  </cols>
  <sheetData>
    <row r="1" spans="1:13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13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13" s="16" customFormat="1" ht="20.100000000000001" customHeight="1">
      <c r="A3" s="831" t="s">
        <v>240</v>
      </c>
      <c r="B3" s="831"/>
      <c r="C3" s="831"/>
      <c r="D3" s="831"/>
      <c r="E3" s="831"/>
      <c r="F3" s="831"/>
      <c r="G3" s="831"/>
      <c r="H3" s="831"/>
      <c r="I3" s="831"/>
    </row>
    <row r="4" spans="1:13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239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699</v>
      </c>
      <c r="C12" s="15" t="s">
        <v>109</v>
      </c>
      <c r="D12" s="36">
        <f>SUMIFS('FCPIS B'!$R$281:$R$367,'FCPIS B'!$E$281:$E$367,$J12,'FCPIS B'!$C$281:$C$367,$B12)*1000</f>
        <v>1129928.0115239001</v>
      </c>
      <c r="E12" s="58">
        <v>1</v>
      </c>
      <c r="F12" s="324">
        <f t="shared" ref="F12:F22" si="0">D12*E12</f>
        <v>1129928.0115239001</v>
      </c>
      <c r="H12" s="16" t="s">
        <v>1030</v>
      </c>
      <c r="J12" s="16" t="s">
        <v>1443</v>
      </c>
      <c r="K12" s="36">
        <f>SUMIFS('FCPIS B'!$R$281:$R$367,'FCPIS B'!$E$281:$E$367,$K11)*1000</f>
        <v>91048128.93571654</v>
      </c>
      <c r="L12" s="36">
        <f>-'ECR Exclusions'!X17</f>
        <v>-682505</v>
      </c>
      <c r="M12" s="451">
        <f>SUM(K12:L12)</f>
        <v>90365623.93571654</v>
      </c>
    </row>
    <row r="13" spans="1:13" ht="18.95" customHeight="1">
      <c r="A13" s="172">
        <f t="shared" ref="A13:A20" si="1">A12+1</f>
        <v>2</v>
      </c>
      <c r="B13" s="494" t="s">
        <v>700</v>
      </c>
      <c r="C13" s="15" t="s">
        <v>701</v>
      </c>
      <c r="D13" s="36">
        <f>SUMIFS('FCPIS B'!$R$281:$R$367,'FCPIS B'!$E$281:$E$367,$J13,'FCPIS B'!$C$281:$C$367,$B13)*1000-'ECR Exclusions'!$X$17</f>
        <v>86907813.234815776</v>
      </c>
      <c r="E13" s="58">
        <v>1</v>
      </c>
      <c r="F13" s="324">
        <f t="shared" si="0"/>
        <v>86907813.234815776</v>
      </c>
      <c r="H13" s="16" t="s">
        <v>1030</v>
      </c>
      <c r="J13" s="16" t="s">
        <v>1443</v>
      </c>
      <c r="K13" s="36">
        <f>SUM(D12:D15)+'ECR Exclusions'!X17</f>
        <v>91048128.935716555</v>
      </c>
      <c r="M13" s="451">
        <f>SUM(D12:D15)</f>
        <v>90365623.935716555</v>
      </c>
    </row>
    <row r="14" spans="1:13" ht="18.95" customHeight="1">
      <c r="A14" s="381">
        <f>A13+1</f>
        <v>3</v>
      </c>
      <c r="B14" s="494">
        <v>315</v>
      </c>
      <c r="C14" s="26" t="s">
        <v>705</v>
      </c>
      <c r="D14" s="324">
        <f>SUMIFS('FCPIS B'!$R$281:$R$367,'FCPIS B'!$E$281:$E$367,$J14,'FCPIS B'!$C$281:$C$367,$B14)*1000</f>
        <v>2200379.80094537</v>
      </c>
      <c r="E14" s="58">
        <v>1</v>
      </c>
      <c r="F14" s="324">
        <f>D14*E14</f>
        <v>2200379.80094537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 t="s">
        <v>706</v>
      </c>
      <c r="C15" s="15" t="s">
        <v>707</v>
      </c>
      <c r="D15" s="324">
        <f>SUMIFS('FCPIS B'!$R$281:$R$367,'FCPIS B'!$E$281:$E$367,$J15,'FCPIS B'!$C$281:$C$367,$B15)*1000</f>
        <v>127502.88843149701</v>
      </c>
      <c r="E15" s="58">
        <v>1</v>
      </c>
      <c r="F15" s="324">
        <f t="shared" si="0"/>
        <v>127502.88843149701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172">
        <f t="shared" si="1"/>
        <v>5</v>
      </c>
      <c r="B16" s="322" t="str">
        <f>'SCH B-3 B'!B27</f>
        <v>317</v>
      </c>
      <c r="C16" s="16" t="str">
        <f>'SCH B-3 B'!C27</f>
        <v>ARO Cost Steam Production</v>
      </c>
      <c r="D16" s="324">
        <f>SUMIFS('FCPIS B'!$R$281:$R$367,'FCPIS B'!$E$281:$E$367,$J16,'FCPIS B'!$C$281:$C$367,$B16)*1000</f>
        <v>46087418.159356192</v>
      </c>
      <c r="E16" s="331">
        <v>1</v>
      </c>
      <c r="F16" s="324">
        <f t="shared" si="0"/>
        <v>46087418.159356192</v>
      </c>
      <c r="H16" s="16" t="s">
        <v>366</v>
      </c>
      <c r="J16" s="16" t="s">
        <v>1471</v>
      </c>
      <c r="K16" s="36">
        <f>SUMIFS('FCPIS B'!$R$281:$R$367,'FCPIS B'!$E$281:$E$367,$K15)*1000</f>
        <v>46264186.57554023</v>
      </c>
    </row>
    <row r="17" spans="1:11" ht="18.95" customHeight="1">
      <c r="A17" s="172">
        <f t="shared" si="1"/>
        <v>6</v>
      </c>
      <c r="B17" s="322" t="str">
        <f>'SCH B-3 B'!B38</f>
        <v>337</v>
      </c>
      <c r="C17" s="16" t="str">
        <f>'SCH B-3 B'!C38</f>
        <v>ARO Cost Hydro Production</v>
      </c>
      <c r="D17" s="324">
        <f>SUMIFS('FCPIS B'!$R$281:$R$367,'FCPIS B'!$E$281:$E$367,$J17,'FCPIS B'!$C$281:$C$367,$B17)*1000</f>
        <v>57379.297698614006</v>
      </c>
      <c r="E17" s="331">
        <v>1</v>
      </c>
      <c r="F17" s="324">
        <f t="shared" si="0"/>
        <v>57379.297698614006</v>
      </c>
      <c r="H17" s="16" t="s">
        <v>366</v>
      </c>
      <c r="J17" s="16" t="s">
        <v>1471</v>
      </c>
      <c r="K17" s="36">
        <f>SUM(D16:D20)</f>
        <v>46264186.57554023</v>
      </c>
    </row>
    <row r="18" spans="1:11" ht="18.95" customHeight="1">
      <c r="A18" s="172">
        <f t="shared" si="1"/>
        <v>7</v>
      </c>
      <c r="B18" s="322" t="str">
        <f>'SCH B-3 B'!B61</f>
        <v>347</v>
      </c>
      <c r="C18" s="16" t="str">
        <f>'SCH B-3 B'!C61</f>
        <v>ARO Cost Other Production</v>
      </c>
      <c r="D18" s="324">
        <f>SUMIFS('FCPIS B'!$R$281:$R$367,'FCPIS B'!$E$281:$E$367,$J18,'FCPIS B'!$C$281:$C$367,$B18)*1000</f>
        <v>19993.744847864</v>
      </c>
      <c r="E18" s="331">
        <v>1</v>
      </c>
      <c r="F18" s="324">
        <f t="shared" si="0"/>
        <v>19993.744847864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322" t="str">
        <f>'SCH B-3 B'!B73</f>
        <v>359</v>
      </c>
      <c r="C19" s="16" t="str">
        <f>'SCH B-3 B'!C73</f>
        <v>ARO Cost Elec Transmission</v>
      </c>
      <c r="D19" s="324">
        <f>SUMIFS('FCPIS B'!$R$281:$R$367,'FCPIS B'!$E$281:$E$367,$J19,'FCPIS B'!$C$281:$C$367,$B19)*1000</f>
        <v>42833.828570921003</v>
      </c>
      <c r="E19" s="331">
        <v>1</v>
      </c>
      <c r="F19" s="324">
        <f t="shared" si="0"/>
        <v>42833.828570921003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322" t="str">
        <f>'SCH B-3 B'!B89</f>
        <v>374</v>
      </c>
      <c r="C20" s="16" t="str">
        <f>'SCH B-3 B'!C89</f>
        <v>ARO Cost Elec Distribution</v>
      </c>
      <c r="D20" s="324">
        <f>SUMIFS('FCPIS B'!$R$281:$R$367,'FCPIS B'!$E$281:$E$367,$J20,'FCPIS B'!$C$281:$C$367,$B20)*1000</f>
        <v>56561.545066634499</v>
      </c>
      <c r="E20" s="331">
        <v>1</v>
      </c>
      <c r="F20" s="324">
        <f t="shared" si="0"/>
        <v>56561.545066634499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>A20+1</f>
        <v>10</v>
      </c>
      <c r="B21" s="494">
        <v>370</v>
      </c>
      <c r="C21" s="26" t="s">
        <v>763</v>
      </c>
      <c r="D21" s="324">
        <f>SUMIFS('FCPIS B'!$R$281:$R$367,'FCPIS B'!$E$281:$E$367,$J21,'FCPIS B'!$C$281:$C$367,$B21)*1000</f>
        <v>245136.46405800001</v>
      </c>
      <c r="E21" s="331">
        <v>1</v>
      </c>
      <c r="F21" s="324">
        <f>D21*E21</f>
        <v>245136.46405800001</v>
      </c>
      <c r="H21" s="16" t="s">
        <v>1031</v>
      </c>
      <c r="J21" s="16" t="s">
        <v>1470</v>
      </c>
      <c r="K21" s="36">
        <f>SUMIFS('FCPIS B'!$R$281:$R$367,'FCPIS B'!$E$281:$E$367,$K20)*1000</f>
        <v>3600684.4489480001</v>
      </c>
    </row>
    <row r="22" spans="1:11" ht="18.95" customHeight="1">
      <c r="A22" s="172">
        <f>A21+1</f>
        <v>11</v>
      </c>
      <c r="B22" s="322">
        <v>397</v>
      </c>
      <c r="C22" s="15" t="s">
        <v>118</v>
      </c>
      <c r="D22" s="325">
        <f>SUMIFS('FCPIS B'!$R$281:$R$367,'FCPIS B'!$E$281:$E$367,$J22,'FCPIS B'!$C$281:$C$367,$B22)*1000</f>
        <v>3355547.98489</v>
      </c>
      <c r="E22" s="58">
        <v>1</v>
      </c>
      <c r="F22" s="325">
        <f t="shared" si="0"/>
        <v>3355547.98489</v>
      </c>
      <c r="H22" s="16" t="s">
        <v>1031</v>
      </c>
      <c r="J22" s="16" t="s">
        <v>1470</v>
      </c>
      <c r="K22" s="36">
        <f>SUM(D21:D22)</f>
        <v>3600684.4489480001</v>
      </c>
    </row>
    <row r="23" spans="1:11" ht="18.95" customHeight="1">
      <c r="A23" s="172"/>
      <c r="B23" s="322"/>
      <c r="C23" s="15"/>
      <c r="D23" s="324"/>
      <c r="E23" s="58"/>
      <c r="F23" s="324"/>
      <c r="H23" s="16"/>
      <c r="K23" s="36">
        <f>K21-K22</f>
        <v>0</v>
      </c>
    </row>
    <row r="24" spans="1:11" ht="18.95" customHeight="1" thickBot="1">
      <c r="A24" s="172">
        <f>A22+1</f>
        <v>12</v>
      </c>
      <c r="B24" s="322"/>
      <c r="C24" s="15" t="s">
        <v>1395</v>
      </c>
      <c r="D24" s="326">
        <f>SUM(D12:D23)</f>
        <v>140230494.96020481</v>
      </c>
      <c r="E24" s="58"/>
      <c r="F24" s="326">
        <f>SUM(F12:F23)</f>
        <v>140230494.96020481</v>
      </c>
      <c r="H24" s="16"/>
    </row>
    <row r="25" spans="1:11" ht="18.95" customHeight="1" thickTop="1">
      <c r="A25" s="62"/>
      <c r="B25" s="19"/>
      <c r="C25" s="16"/>
      <c r="D25" s="36"/>
      <c r="E25" s="55"/>
      <c r="F25" s="36"/>
      <c r="H25" s="68"/>
    </row>
    <row r="26" spans="1:11" s="16" customFormat="1" ht="20.100000000000001" customHeight="1">
      <c r="A26" s="831" t="str">
        <f>$A$1</f>
        <v>LOUISVILLE GAS AND ELECTRIC COMPANY</v>
      </c>
      <c r="B26" s="831"/>
      <c r="C26" s="831"/>
      <c r="D26" s="831"/>
      <c r="E26" s="831"/>
      <c r="F26" s="831"/>
      <c r="G26" s="831"/>
      <c r="H26" s="831"/>
      <c r="K26" s="17"/>
    </row>
    <row r="27" spans="1:11" s="16" customFormat="1" ht="20.100000000000001" customHeight="1">
      <c r="A27" s="831" t="str">
        <f>$A$2</f>
        <v>CASE NO. 2018-00295 - ELECTRIC OPERATIONS</v>
      </c>
      <c r="B27" s="831"/>
      <c r="C27" s="831"/>
      <c r="D27" s="831"/>
      <c r="E27" s="831"/>
      <c r="F27" s="831"/>
      <c r="G27" s="831"/>
      <c r="H27" s="831"/>
    </row>
    <row r="28" spans="1:11" s="16" customFormat="1" ht="20.100000000000001" customHeight="1">
      <c r="A28" s="831" t="str">
        <f>$A$3</f>
        <v>ADJUSTMENTS TO ACCUMULATED DEPRECIATION AND AMORTIZATION</v>
      </c>
      <c r="B28" s="831"/>
      <c r="C28" s="831"/>
      <c r="D28" s="831"/>
      <c r="E28" s="831"/>
      <c r="F28" s="831"/>
      <c r="G28" s="831"/>
      <c r="H28" s="831"/>
    </row>
    <row r="29" spans="1:11" s="16" customFormat="1" ht="20.100000000000001" customHeight="1">
      <c r="A29" s="831" t="str">
        <f>'Rate Case Constants'!C18</f>
        <v>AS OF APRIL 30, 2020</v>
      </c>
      <c r="B29" s="831"/>
      <c r="C29" s="831"/>
      <c r="D29" s="831"/>
      <c r="E29" s="831"/>
      <c r="F29" s="831"/>
      <c r="G29" s="831"/>
      <c r="H29" s="831"/>
    </row>
    <row r="30" spans="1:11" s="16" customFormat="1" ht="20.100000000000001" customHeight="1">
      <c r="A30" s="32"/>
      <c r="B30" s="32"/>
      <c r="C30" s="32"/>
      <c r="D30" s="32"/>
      <c r="E30" s="32"/>
      <c r="F30" s="32"/>
      <c r="G30" s="32"/>
      <c r="H30" s="32"/>
    </row>
    <row r="31" spans="1:11" s="16" customFormat="1" ht="20.100000000000001" customHeight="1">
      <c r="A31" s="15" t="s">
        <v>122</v>
      </c>
      <c r="B31" s="15"/>
      <c r="G31" s="22"/>
      <c r="H31" s="22" t="s">
        <v>239</v>
      </c>
    </row>
    <row r="32" spans="1:11" s="16" customFormat="1" ht="20.100000000000001" customHeight="1">
      <c r="A32" s="15" t="str">
        <f>$A$7</f>
        <v>TYPE OF FILING: _____ ORIGINAL  _____ UPDATED  __X__ REVISED</v>
      </c>
      <c r="G32" s="22"/>
      <c r="H32" s="22" t="s">
        <v>145</v>
      </c>
    </row>
    <row r="33" spans="1:13" s="16" customFormat="1" ht="20.100000000000001" customHeight="1">
      <c r="A33" s="15" t="str">
        <f>$A$8</f>
        <v>WORKPAPER REFERENCE NO(S).:</v>
      </c>
      <c r="B33" s="15"/>
      <c r="F33" s="15"/>
      <c r="G33" s="23"/>
      <c r="H33" s="23" t="str">
        <f>$H$8</f>
        <v>WITNESS:   C. M. GARRETT</v>
      </c>
    </row>
    <row r="34" spans="1:13" s="16" customFormat="1" ht="20.100000000000001" customHeight="1"/>
    <row r="35" spans="1:13" ht="58.5" customHeight="1">
      <c r="A35" s="24" t="s">
        <v>92</v>
      </c>
      <c r="B35" s="24" t="s">
        <v>95</v>
      </c>
      <c r="C35" s="27" t="s">
        <v>96</v>
      </c>
      <c r="D35" s="24" t="s">
        <v>176</v>
      </c>
      <c r="E35" s="24" t="s">
        <v>177</v>
      </c>
      <c r="F35" s="24" t="s">
        <v>178</v>
      </c>
      <c r="G35" s="24" t="s">
        <v>179</v>
      </c>
      <c r="H35" s="24" t="s">
        <v>180</v>
      </c>
      <c r="K35" s="381" t="s">
        <v>1590</v>
      </c>
    </row>
    <row r="36" spans="1:13" ht="23.1" customHeight="1">
      <c r="A36" s="28"/>
      <c r="B36" s="28"/>
      <c r="C36" s="29"/>
      <c r="D36" s="30" t="s">
        <v>103</v>
      </c>
      <c r="E36" s="30"/>
      <c r="F36" s="30" t="s">
        <v>103</v>
      </c>
      <c r="G36" s="30"/>
      <c r="H36" s="30"/>
      <c r="K36" s="397" t="s">
        <v>1443</v>
      </c>
    </row>
    <row r="37" spans="1:13" ht="18.95" customHeight="1">
      <c r="A37" s="172">
        <v>1</v>
      </c>
      <c r="B37" s="322" t="s">
        <v>699</v>
      </c>
      <c r="C37" s="15" t="s">
        <v>109</v>
      </c>
      <c r="D37" s="36">
        <f>SUMIFS('FCPIS F'!$T$280:$T$366,'FCPIS F'!$E$280:$E$366,$J37,'FCPIS F'!$C$280:$C$366,$B37)*1000</f>
        <v>1748474.1757236931</v>
      </c>
      <c r="E37" s="58">
        <v>1</v>
      </c>
      <c r="F37" s="324">
        <f t="shared" ref="F37:F47" si="2">D37*E37</f>
        <v>1748474.1757236931</v>
      </c>
      <c r="H37" s="16" t="s">
        <v>1030</v>
      </c>
      <c r="J37" s="16" t="s">
        <v>1443</v>
      </c>
      <c r="K37" s="36">
        <f>SUMIFS('FCPIS F'!$T$280:$T$366,'FCPIS F'!$E$280:$E$366,$K36)*1000</f>
        <v>135421901.23489043</v>
      </c>
      <c r="L37" s="36">
        <f>-'ECR Exclusions'!$AO$17</f>
        <v>-1238433.4667419994</v>
      </c>
      <c r="M37" s="451">
        <f>SUM(K37:L37)</f>
        <v>134183467.76814844</v>
      </c>
    </row>
    <row r="38" spans="1:13" ht="18.95" customHeight="1">
      <c r="A38" s="172">
        <f t="shared" ref="A38:A47" si="3">A37+1</f>
        <v>2</v>
      </c>
      <c r="B38" s="322" t="s">
        <v>700</v>
      </c>
      <c r="C38" s="15" t="s">
        <v>701</v>
      </c>
      <c r="D38" s="36">
        <f>SUMIFS('FCPIS F'!$T$280:$T$366,'FCPIS F'!$E$280:$E$366,$J38,'FCPIS F'!$C$280:$C$366,$B38)*1000-'ECR Exclusions'!$AO$17</f>
        <v>129127261.63179621</v>
      </c>
      <c r="E38" s="58">
        <v>1</v>
      </c>
      <c r="F38" s="324">
        <f t="shared" si="2"/>
        <v>129127261.63179621</v>
      </c>
      <c r="H38" s="16" t="s">
        <v>1030</v>
      </c>
      <c r="J38" s="16" t="s">
        <v>1443</v>
      </c>
      <c r="K38" s="36">
        <f>SUM(D37:D40)+'ECR Exclusions'!$AO$17</f>
        <v>135421901.23489043</v>
      </c>
      <c r="M38" s="451">
        <f>SUM(D37:D40)</f>
        <v>134183467.76814842</v>
      </c>
    </row>
    <row r="39" spans="1:13" ht="18.95" customHeight="1">
      <c r="A39" s="381">
        <f t="shared" si="3"/>
        <v>3</v>
      </c>
      <c r="B39" s="380">
        <v>315</v>
      </c>
      <c r="C39" s="26" t="s">
        <v>705</v>
      </c>
      <c r="D39" s="324">
        <f>SUMIFS('FCPIS F'!$T$280:$T$366,'FCPIS F'!$E$280:$E$366,$J39,'FCPIS F'!$C$280:$C$366,$B39)*1000</f>
        <v>3157807.9449518118</v>
      </c>
      <c r="E39" s="58">
        <v>1</v>
      </c>
      <c r="F39" s="324">
        <f t="shared" si="2"/>
        <v>3157807.9449518118</v>
      </c>
      <c r="H39" s="16" t="s">
        <v>1030</v>
      </c>
      <c r="J39" s="16" t="s">
        <v>1443</v>
      </c>
      <c r="K39" s="36">
        <f>K37-K38</f>
        <v>0</v>
      </c>
    </row>
    <row r="40" spans="1:13" ht="18.95" customHeight="1">
      <c r="A40" s="381">
        <f t="shared" si="3"/>
        <v>4</v>
      </c>
      <c r="B40" s="322" t="s">
        <v>706</v>
      </c>
      <c r="C40" s="15" t="s">
        <v>707</v>
      </c>
      <c r="D40" s="324">
        <f>SUMIFS('FCPIS F'!$T$280:$T$366,'FCPIS F'!$E$280:$E$366,$J40,'FCPIS F'!$C$280:$C$366,$B40)*1000</f>
        <v>149924.01567670796</v>
      </c>
      <c r="E40" s="58">
        <v>1</v>
      </c>
      <c r="F40" s="324">
        <f t="shared" si="2"/>
        <v>149924.01567670796</v>
      </c>
      <c r="H40" s="16" t="s">
        <v>1030</v>
      </c>
      <c r="J40" s="16" t="s">
        <v>1443</v>
      </c>
      <c r="K40" s="397" t="s">
        <v>1471</v>
      </c>
    </row>
    <row r="41" spans="1:13" ht="18.95" customHeight="1">
      <c r="A41" s="381">
        <f t="shared" si="3"/>
        <v>5</v>
      </c>
      <c r="B41" s="322" t="s">
        <v>708</v>
      </c>
      <c r="C41" s="15" t="str">
        <f>'SCH B-3 F'!C27</f>
        <v>ARO Cost Steam Production</v>
      </c>
      <c r="D41" s="324">
        <f>SUMIFS('FCPIS F'!$T$280:$T$366,'FCPIS F'!$E$280:$E$366,$J41,'FCPIS F'!$C$280:$C$366,$B41)*1000</f>
        <v>50619183.042816848</v>
      </c>
      <c r="E41" s="331">
        <v>1</v>
      </c>
      <c r="F41" s="324">
        <f t="shared" si="2"/>
        <v>50619183.042816848</v>
      </c>
      <c r="H41" s="16" t="s">
        <v>366</v>
      </c>
      <c r="J41" s="16" t="s">
        <v>1471</v>
      </c>
      <c r="K41" s="36">
        <f>SUMIFS('FCPIS F'!$T$280:$T$366,'FCPIS F'!$E$280:$E$366,$K40)*1000</f>
        <v>50860001.501779795</v>
      </c>
    </row>
    <row r="42" spans="1:13" ht="18.95" customHeight="1">
      <c r="A42" s="381">
        <f t="shared" si="3"/>
        <v>6</v>
      </c>
      <c r="B42" s="322" t="s">
        <v>721</v>
      </c>
      <c r="C42" s="15" t="str">
        <f>'SCH B-3 F'!C38</f>
        <v>ARO Cost Hydro Production</v>
      </c>
      <c r="D42" s="324">
        <f>SUMIFS('FCPIS F'!$T$280:$T$366,'FCPIS F'!$E$280:$E$366,$J42,'FCPIS F'!$C$280:$C$366,$B42)*1000</f>
        <v>103193.9643054302</v>
      </c>
      <c r="E42" s="331">
        <v>1</v>
      </c>
      <c r="F42" s="324">
        <f t="shared" si="2"/>
        <v>103193.9643054302</v>
      </c>
      <c r="H42" s="16" t="s">
        <v>366</v>
      </c>
      <c r="J42" s="16" t="s">
        <v>1471</v>
      </c>
      <c r="K42" s="36">
        <f>SUM(D41:D44,D46)</f>
        <v>50860001.501779802</v>
      </c>
    </row>
    <row r="43" spans="1:13" ht="18.95" customHeight="1">
      <c r="A43" s="381">
        <f t="shared" si="3"/>
        <v>7</v>
      </c>
      <c r="B43" s="322" t="s">
        <v>733</v>
      </c>
      <c r="C43" s="15" t="str">
        <f>'SCH B-3 F'!C61</f>
        <v>ARO Cost Other Production</v>
      </c>
      <c r="D43" s="324">
        <f>SUMIFS('FCPIS F'!$T$280:$T$366,'FCPIS F'!$E$280:$E$366,$J43,'FCPIS F'!$C$280:$C$366,$B43)*1000</f>
        <v>25538.735530880822</v>
      </c>
      <c r="E43" s="331">
        <v>1</v>
      </c>
      <c r="F43" s="324">
        <f t="shared" si="2"/>
        <v>25538.735530880822</v>
      </c>
      <c r="H43" s="16" t="s">
        <v>366</v>
      </c>
      <c r="J43" s="16" t="s">
        <v>1471</v>
      </c>
      <c r="K43" s="36">
        <f>K41-K42</f>
        <v>0</v>
      </c>
    </row>
    <row r="44" spans="1:13" ht="18.95" customHeight="1">
      <c r="A44" s="770">
        <f t="shared" si="3"/>
        <v>8</v>
      </c>
      <c r="B44" s="322" t="s">
        <v>748</v>
      </c>
      <c r="C44" s="15" t="str">
        <f>'SCH B-3 F'!C73</f>
        <v>ARO Cost Elec Transmission</v>
      </c>
      <c r="D44" s="324">
        <f>SUMIFS('FCPIS F'!$T$280:$T$366,'FCPIS F'!$E$280:$E$366,$J44,'FCPIS F'!$C$280:$C$366,$B44)*1000</f>
        <v>49301.666239777558</v>
      </c>
      <c r="E44" s="331">
        <v>1</v>
      </c>
      <c r="F44" s="324">
        <f t="shared" si="2"/>
        <v>49301.666239777558</v>
      </c>
      <c r="H44" s="16" t="s">
        <v>366</v>
      </c>
      <c r="J44" s="16" t="s">
        <v>1471</v>
      </c>
      <c r="K44" s="397"/>
    </row>
    <row r="45" spans="1:13" ht="18.95" customHeight="1">
      <c r="A45" s="770">
        <f t="shared" si="3"/>
        <v>9</v>
      </c>
      <c r="B45" s="769">
        <v>370</v>
      </c>
      <c r="C45" s="26" t="s">
        <v>763</v>
      </c>
      <c r="D45" s="324">
        <f>SUMIFS('FCPIS F'!$T$280:$T$366,'FCPIS F'!$E$280:$E$366,$J45,'FCPIS F'!$C$280:$C$366,$B45)*1000</f>
        <v>339481.78748799994</v>
      </c>
      <c r="E45" s="331">
        <v>1</v>
      </c>
      <c r="F45" s="324">
        <f>D45*E45</f>
        <v>339481.78748799994</v>
      </c>
      <c r="H45" s="16" t="s">
        <v>1031</v>
      </c>
      <c r="J45" s="16" t="s">
        <v>1470</v>
      </c>
      <c r="K45" s="36"/>
    </row>
    <row r="46" spans="1:13" ht="18.95" customHeight="1">
      <c r="A46" s="770">
        <f t="shared" si="3"/>
        <v>10</v>
      </c>
      <c r="B46" s="322" t="s">
        <v>768</v>
      </c>
      <c r="C46" s="15" t="str">
        <f>'SCH B-3 F'!C89</f>
        <v>ARO Cost Elec Distribution</v>
      </c>
      <c r="D46" s="324">
        <f>SUMIFS('FCPIS F'!$T$280:$T$366,'FCPIS F'!$E$280:$E$366,$J46,'FCPIS F'!$C$280:$C$366,$B46)*1000</f>
        <v>62784.092886862905</v>
      </c>
      <c r="E46" s="331">
        <v>1</v>
      </c>
      <c r="F46" s="324">
        <f t="shared" si="2"/>
        <v>62784.092886862905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0">
        <f t="shared" si="3"/>
        <v>11</v>
      </c>
      <c r="B47" s="322">
        <v>397</v>
      </c>
      <c r="C47" s="15" t="s">
        <v>118</v>
      </c>
      <c r="D47" s="325">
        <f>SUMIFS('FCPIS F'!$T$280:$T$366,'FCPIS F'!$E$280:$E$366,$J47,'FCPIS F'!$C$280:$C$366,$B47)*1000</f>
        <v>4081574.9751269231</v>
      </c>
      <c r="E47" s="58">
        <v>1</v>
      </c>
      <c r="F47" s="325">
        <f t="shared" si="2"/>
        <v>4081574.9751269231</v>
      </c>
      <c r="H47" s="16" t="s">
        <v>1031</v>
      </c>
      <c r="J47" s="16" t="s">
        <v>1470</v>
      </c>
      <c r="K47" s="36">
        <f>SUMIFS('FCPIS F'!$T$280:$T$366,'FCPIS F'!$E$280:$E$366,$K46)*1000</f>
        <v>4421056.7626149235</v>
      </c>
    </row>
    <row r="48" spans="1:13" ht="18.95" customHeight="1">
      <c r="A48" s="495"/>
      <c r="B48" s="322"/>
      <c r="C48" s="15"/>
      <c r="D48" s="324"/>
      <c r="E48" s="58"/>
      <c r="F48" s="324"/>
      <c r="H48" s="16"/>
      <c r="K48" s="36">
        <f>SUM(D47,D45)</f>
        <v>4421056.7626149226</v>
      </c>
    </row>
    <row r="49" spans="1:11" ht="18.95" customHeight="1" thickBot="1">
      <c r="A49" s="495">
        <f>A47+1</f>
        <v>12</v>
      </c>
      <c r="B49" s="322"/>
      <c r="C49" s="15" t="s">
        <v>1395</v>
      </c>
      <c r="D49" s="326">
        <f>SUM(D37:D48)</f>
        <v>189464526.03254315</v>
      </c>
      <c r="E49" s="58"/>
      <c r="F49" s="326">
        <f>SUM(F37:F48)</f>
        <v>189464526.03254315</v>
      </c>
      <c r="H49" s="16"/>
      <c r="K49" s="36">
        <f>K47-K48</f>
        <v>0</v>
      </c>
    </row>
    <row r="50" spans="1:11" ht="18.95" customHeight="1" thickTop="1"/>
    <row r="51" spans="1:11" ht="18.95" customHeight="1"/>
    <row r="52" spans="1:11" ht="18.95" customHeight="1"/>
    <row r="53" spans="1:11" ht="18.95" customHeight="1"/>
    <row r="54" spans="1:11" ht="18.95" customHeight="1"/>
    <row r="55" spans="1:11" ht="18.95" customHeight="1"/>
    <row r="56" spans="1:11" ht="18.95" customHeight="1"/>
    <row r="57" spans="1:11" ht="18.95" customHeight="1"/>
    <row r="58" spans="1:11" ht="18.95" customHeight="1"/>
    <row r="59" spans="1:11" ht="18.95" customHeight="1"/>
  </sheetData>
  <mergeCells count="8">
    <mergeCell ref="A28:H28"/>
    <mergeCell ref="A29:H29"/>
    <mergeCell ref="A3:I3"/>
    <mergeCell ref="A1:H1"/>
    <mergeCell ref="A2:H2"/>
    <mergeCell ref="A4:H4"/>
    <mergeCell ref="A26:H26"/>
    <mergeCell ref="A27:H27"/>
  </mergeCells>
  <pageMargins left="0.95" right="0.5" top="0.75" bottom="0.75" header="0.3" footer="0.3"/>
  <pageSetup scale="63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4.77734375" style="17" customWidth="1"/>
    <col min="5" max="5" width="15.77734375" style="17" customWidth="1"/>
    <col min="6" max="6" width="10.109375" style="17" customWidth="1"/>
    <col min="7" max="7" width="14.77734375" style="17" customWidth="1"/>
    <col min="8" max="8" width="16.88671875" style="17" customWidth="1"/>
    <col min="9" max="9" width="11.6640625" style="17" customWidth="1"/>
    <col min="10" max="10" width="31.10937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276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178"/>
      <c r="J5" s="40"/>
    </row>
    <row r="6" spans="1:10" s="16" customFormat="1" ht="20.100000000000001" customHeight="1">
      <c r="A6" s="15" t="s">
        <v>94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I7" s="22"/>
      <c r="J7" s="22" t="s">
        <v>1505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187</v>
      </c>
      <c r="E10" s="839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278</v>
      </c>
      <c r="E11" s="19" t="s">
        <v>279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B'!H13</f>
        <v>2240.29</v>
      </c>
      <c r="E15" s="34">
        <f>-'SCH B-3 B'!I14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80" si="0">A15+1</f>
        <v>3</v>
      </c>
      <c r="B16" s="218" t="s">
        <v>694</v>
      </c>
      <c r="C16" s="26" t="s">
        <v>695</v>
      </c>
      <c r="D16" s="34">
        <f>'SCH B-2.1 B'!H14</f>
        <v>0</v>
      </c>
      <c r="E16" s="34">
        <f>-'SCH B-3 B'!I15</f>
        <v>0</v>
      </c>
      <c r="F16" s="72">
        <v>0</v>
      </c>
      <c r="G16" s="36">
        <f>D16*F16</f>
        <v>0</v>
      </c>
      <c r="H16" s="73">
        <v>0</v>
      </c>
      <c r="I16" s="216"/>
      <c r="J16" s="3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B'!H15</f>
        <v>0</v>
      </c>
      <c r="E17" s="37">
        <f>-'SCH B-3 B'!I16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B'!H19</f>
        <v>7266610.4499999993</v>
      </c>
      <c r="E21" s="36">
        <f>-'SCH B-3 B'!I20</f>
        <v>-297535.67763859482</v>
      </c>
      <c r="F21" s="72">
        <v>0</v>
      </c>
      <c r="G21" s="36">
        <f>D21*F21</f>
        <v>0</v>
      </c>
      <c r="H21" s="73">
        <v>0</v>
      </c>
      <c r="I21" s="216"/>
      <c r="J21" s="3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B'!H20</f>
        <v>279790194.77999997</v>
      </c>
      <c r="E22" s="36">
        <f>-'SCH B-3 B'!I21</f>
        <v>174667389.68087447</v>
      </c>
      <c r="F22" s="72">
        <f>VLOOKUP($B22,'LGE Elect Depr Rates'!$A$16:$R$400,8,)/100</f>
        <v>1.61E-2</v>
      </c>
      <c r="G22" s="36">
        <f>D22*F22</f>
        <v>4504622.1359579992</v>
      </c>
      <c r="H22" s="215" t="s">
        <v>1689</v>
      </c>
      <c r="I22" s="220">
        <f>VLOOKUP($B22,'LGE Elect Depr Rates'!$A$16:$R$400,18,)</f>
        <v>28.7</v>
      </c>
      <c r="J22" s="219" t="str">
        <f>VLOOKUP($B22,'LGE Elect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B'!H21</f>
        <v>1188751089.51</v>
      </c>
      <c r="E23" s="36">
        <f>-'SCH B-3 B'!I22</f>
        <v>396720854.88069034</v>
      </c>
      <c r="F23" s="72">
        <f>VLOOKUP($B23,'LGE Elect Depr Rates'!$A$16:$R$400,8,)/100</f>
        <v>2.6099999999999998E-2</v>
      </c>
      <c r="G23" s="36">
        <f>D23*F23</f>
        <v>31026403.436210997</v>
      </c>
      <c r="H23" s="215" t="s">
        <v>1690</v>
      </c>
      <c r="I23" s="220">
        <f>VLOOKUP($B23,'LGE Elect Depr Rates'!$A$16:$R$400,18,)</f>
        <v>22.8</v>
      </c>
      <c r="J23" s="219" t="str">
        <f>VLOOKUP($B23,'LGE Elect Depr Rates'!$A$16:$R$400,16,)</f>
        <v>54-R1.5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B'!H22</f>
        <v>0</v>
      </c>
      <c r="E24" s="36">
        <f>-'SCH B-3 B'!I23</f>
        <v>0</v>
      </c>
      <c r="F24" s="72"/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B'!H23</f>
        <v>234779172.69</v>
      </c>
      <c r="E25" s="36">
        <f>-'SCH B-3 B'!I24</f>
        <v>107925258.24182989</v>
      </c>
      <c r="F25" s="72">
        <f>VLOOKUP($B25,'LGE Elect Depr Rates'!$A$16:$R$400,8,)/100</f>
        <v>1.9599999999999999E-2</v>
      </c>
      <c r="G25" s="36">
        <f>D25*F25</f>
        <v>4601671.7847239999</v>
      </c>
      <c r="H25" s="215" t="s">
        <v>1690</v>
      </c>
      <c r="I25" s="220">
        <f>VLOOKUP($B25,'LGE Elect Depr Rates'!$A$16:$R$400,18,)</f>
        <v>24</v>
      </c>
      <c r="J25" s="219" t="str">
        <f>VLOOKUP($B25,'LGE Elect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B'!H24</f>
        <v>135920220.41999996</v>
      </c>
      <c r="E26" s="36">
        <f>-'SCH B-3 B'!I25</f>
        <v>88080081.059485063</v>
      </c>
      <c r="F26" s="72">
        <f>VLOOKUP($B26,'LGE Elect Depr Rates'!$A$16:$R$400,8,)/100</f>
        <v>1.9599999999999999E-2</v>
      </c>
      <c r="G26" s="36">
        <f>D26*F26</f>
        <v>2664036.3202319993</v>
      </c>
      <c r="H26" s="215" t="s">
        <v>1690</v>
      </c>
      <c r="I26" s="220">
        <f>VLOOKUP($B26,'LGE Elect Depr Rates'!$A$16:$R$400,18,)</f>
        <v>25.4</v>
      </c>
      <c r="J26" s="219" t="str">
        <f>VLOOKUP($B26,'LGE Elect Depr Rates'!$A$16:$R$400,16,)</f>
        <v>60-R3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B'!H25</f>
        <v>19517815.059999898</v>
      </c>
      <c r="E27" s="36">
        <f>-'SCH B-3 B'!I26</f>
        <v>7060208.6043792367</v>
      </c>
      <c r="F27" s="72">
        <f>VLOOKUP($B27,'LGE Elect Depr Rates'!$A$16:$R$400,8,)/100</f>
        <v>2.8900000000000002E-2</v>
      </c>
      <c r="G27" s="36">
        <f>D27*F27</f>
        <v>564064.85523399711</v>
      </c>
      <c r="H27" s="215" t="s">
        <v>1691</v>
      </c>
      <c r="I27" s="220">
        <f>VLOOKUP($B27,'LGE Elect Depr Rates'!$A$16:$R$400,18,)</f>
        <v>27.5</v>
      </c>
      <c r="J27" s="219" t="str">
        <f>VLOOKUP($B27,'LGE Elect Depr Rates'!$A$16:$R$400,16,)</f>
        <v>50-R2.5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B'!H26</f>
        <v>0</v>
      </c>
      <c r="E28" s="37">
        <f>-'SCH B-3 B'!I27</f>
        <v>0</v>
      </c>
      <c r="F28" s="72"/>
      <c r="G28" s="37"/>
      <c r="H28" s="73"/>
      <c r="I28" s="216"/>
      <c r="J28" s="3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1866025102.9099998</v>
      </c>
      <c r="E29" s="34">
        <f>SUM(E21:E28)</f>
        <v>774156256.7896204</v>
      </c>
      <c r="F29" s="51"/>
      <c r="G29" s="34">
        <f>SUM(G21:G28)</f>
        <v>43360798.532358989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B'!H30</f>
        <v>6.5</v>
      </c>
      <c r="E32" s="36">
        <f>-'SCH B-3 B'!I31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3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B'!H31</f>
        <v>12870684.620000001</v>
      </c>
      <c r="E33" s="36">
        <f>-'SCH B-3 B'!I32</f>
        <v>4606774.26088457</v>
      </c>
      <c r="F33" s="72">
        <f>VLOOKUP($B33,'LGE Elect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Depr Rates'!$A$16:$R$400,18,)</f>
        <v>29.7</v>
      </c>
      <c r="J33" s="219" t="str">
        <f>VLOOKUP($B33,'LGE Elect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B'!H32</f>
        <v>26209847.310000002</v>
      </c>
      <c r="E34" s="36">
        <f>-'SCH B-3 B'!I33</f>
        <v>3956388.2905812003</v>
      </c>
      <c r="F34" s="72">
        <f>VLOOKUP($B34,'LGE Elect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Depr Rates'!$A$16:$R$400,18,)</f>
        <v>93.3</v>
      </c>
      <c r="J34" s="219" t="str">
        <f>VLOOKUP($B34,'LGE Elect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B'!H33</f>
        <v>101920448.19999999</v>
      </c>
      <c r="E35" s="36">
        <f>-'SCH B-3 B'!I34</f>
        <v>4334271.6073419889</v>
      </c>
      <c r="F35" s="72">
        <f>VLOOKUP($B35,'LGE Elect Depr Rates'!$A$16:$R$400,8,)/100</f>
        <v>3.2400000000000005E-2</v>
      </c>
      <c r="G35" s="36">
        <f t="shared" si="1"/>
        <v>3302222.5216800002</v>
      </c>
      <c r="H35" s="215">
        <v>-0.02</v>
      </c>
      <c r="I35" s="220">
        <f>VLOOKUP($B35,'LGE Elect Depr Rates'!$A$16:$R$400,18,)</f>
        <v>29.6</v>
      </c>
      <c r="J35" s="219" t="str">
        <f>VLOOKUP($B35,'LGE Elect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B'!H34</f>
        <v>13160323.679999998</v>
      </c>
      <c r="E36" s="36">
        <f>-'SCH B-3 B'!I35</f>
        <v>3295849.3079999997</v>
      </c>
      <c r="F36" s="72">
        <f>VLOOKUP($B36,'LGE Elect Depr Rates'!$A$16:$R$400,8,)/100</f>
        <v>2.3899999999999998E-2</v>
      </c>
      <c r="G36" s="36">
        <f t="shared" si="1"/>
        <v>314531.7359519999</v>
      </c>
      <c r="H36" s="215">
        <v>-0.02</v>
      </c>
      <c r="I36" s="220">
        <f>VLOOKUP($B36,'LGE Elect Depr Rates'!$A$16:$R$400,18,)</f>
        <v>29.6</v>
      </c>
      <c r="J36" s="219" t="str">
        <f>VLOOKUP($B36,'LGE Elect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B'!H35</f>
        <v>3563125.77</v>
      </c>
      <c r="E37" s="36">
        <f>-'SCH B-3 B'!I36</f>
        <v>380866.10305647796</v>
      </c>
      <c r="F37" s="72">
        <f>VLOOKUP($B37,'LGE Elect Depr Rates'!$A$16:$R$400,8,)/100</f>
        <v>3.0899999999999997E-2</v>
      </c>
      <c r="G37" s="36">
        <f t="shared" si="1"/>
        <v>110100.58629299999</v>
      </c>
      <c r="H37" s="215">
        <v>-0.02</v>
      </c>
      <c r="I37" s="220">
        <f>VLOOKUP($B37,'LGE Elect Depr Rates'!$A$16:$R$400,18,)</f>
        <v>29.1</v>
      </c>
      <c r="J37" s="219" t="str">
        <f>VLOOKUP($B37,'LGE Elect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B'!H36</f>
        <v>29930.61</v>
      </c>
      <c r="E38" s="36">
        <f>-'SCH B-3 B'!I37</f>
        <v>21736.710907978002</v>
      </c>
      <c r="F38" s="72">
        <f>VLOOKUP($B38,'LGE Elect Depr Rates'!$A$16:$R$400,8,)/100</f>
        <v>2.3153554170797053E-2</v>
      </c>
      <c r="G38" s="36">
        <f t="shared" si="1"/>
        <v>693</v>
      </c>
      <c r="H38" s="215">
        <v>-0.02</v>
      </c>
      <c r="I38" s="220">
        <f>VLOOKUP($B38,'LGE Elect Depr Rates'!$A$16:$R$400,18,)</f>
        <v>16.8</v>
      </c>
      <c r="J38" s="219" t="str">
        <f>VLOOKUP($B38,'LGE Elect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B'!H37</f>
        <v>0</v>
      </c>
      <c r="E39" s="37">
        <f>-'SCH B-3 B'!I38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157754366.69000003</v>
      </c>
      <c r="E40" s="34">
        <f>SUM(E32:E39)</f>
        <v>16595886.280772213</v>
      </c>
      <c r="F40" s="72"/>
      <c r="G40" s="34">
        <f>SUM(G32:G39)</f>
        <v>4170529.217852667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B'!H41</f>
        <v>414278.16</v>
      </c>
      <c r="E43" s="36">
        <f>-'SCH B-3 B'!I42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B'!H42</f>
        <v>33942182.450000003</v>
      </c>
      <c r="E44" s="36">
        <f>-'SCH B-3 B'!I43</f>
        <v>13427156.83770854</v>
      </c>
      <c r="F44" s="72">
        <f>VLOOKUP($B44,'LGE Elect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Depr Rates'!$A$16:$R$400,18,)</f>
        <v>24.3</v>
      </c>
      <c r="J44" s="219" t="str">
        <f>VLOOKUP($B44,'LGE Elect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B'!H43</f>
        <v>24767192.59</v>
      </c>
      <c r="E45" s="36">
        <f>-'SCH B-3 B'!I44</f>
        <v>6704737.9243326001</v>
      </c>
      <c r="F45" s="72">
        <f>VLOOKUP($B45,'LGE Elect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Depr Rates'!$A$16:$R$400,18,)</f>
        <v>30.5</v>
      </c>
      <c r="J45" s="219" t="str">
        <f>VLOOKUP($B45,'LGE Elect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B'!H44</f>
        <v>243935567.73999998</v>
      </c>
      <c r="E46" s="36">
        <f>-'SCH B-3 B'!I45</f>
        <v>71867333.773507997</v>
      </c>
      <c r="F46" s="72">
        <f>VLOOKUP($B46,'LGE Elect Depr Rates'!$A$16:$R$400,8,)/100</f>
        <v>4.7073962091322349E-2</v>
      </c>
      <c r="G46" s="36">
        <f t="shared" si="2"/>
        <v>11483013.668517955</v>
      </c>
      <c r="H46" s="215" t="s">
        <v>1693</v>
      </c>
      <c r="I46" s="220">
        <f>VLOOKUP($B46,'LGE Elect Depr Rates'!$A$16:$R$400,18,)</f>
        <v>15.9</v>
      </c>
      <c r="J46" s="219" t="str">
        <f>VLOOKUP($B46,'LGE Elect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B'!H56</f>
        <v>59666441.119999997</v>
      </c>
      <c r="E47" s="36">
        <f>-'SCH B-3 B'!I58</f>
        <v>26377948.771972388</v>
      </c>
      <c r="F47" s="72">
        <f>VLOOKUP($B47,'LGE Elect Depr Rates'!$A$16:$R$400,8,)/100</f>
        <v>3.0642465844264475E-2</v>
      </c>
      <c r="G47" s="36">
        <f t="shared" si="2"/>
        <v>1828326.8840684174</v>
      </c>
      <c r="H47" s="215" t="s">
        <v>1692</v>
      </c>
      <c r="I47" s="220">
        <f>VLOOKUP($B47,'LGE Elect Depr Rates'!$A$16:$R$400,18,)</f>
        <v>24.6</v>
      </c>
      <c r="J47" s="219" t="str">
        <f>VLOOKUP($B47,'LGE Elect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B'!H57</f>
        <v>32099835.649999999</v>
      </c>
      <c r="E48" s="36">
        <f>-'SCH B-3 B'!I59</f>
        <v>13085579.6646292</v>
      </c>
      <c r="F48" s="72">
        <f>VLOOKUP($B48,'LGE Elect Depr Rates'!$A$16:$R$400,8,)/100</f>
        <v>4.8924262122443822E-2</v>
      </c>
      <c r="G48" s="36">
        <f t="shared" si="2"/>
        <v>1570460.7734279667</v>
      </c>
      <c r="H48" s="215" t="s">
        <v>1692</v>
      </c>
      <c r="I48" s="220">
        <f>VLOOKUP($B48,'LGE Elect Depr Rates'!$A$16:$R$400,18,)</f>
        <v>15.4</v>
      </c>
      <c r="J48" s="219" t="str">
        <f>VLOOKUP($B48,'LGE Elect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B'!H58</f>
        <v>5233586.2799999984</v>
      </c>
      <c r="E49" s="36">
        <f>-'SCH B-3 B'!I60</f>
        <v>2314149.6762535698</v>
      </c>
      <c r="F49" s="72">
        <f>VLOOKUP($B49,'LGE Elect Depr Rates'!$A$16:$R$400,8,)/100</f>
        <v>4.0899999999999999E-2</v>
      </c>
      <c r="G49" s="36">
        <f t="shared" si="2"/>
        <v>214053.67885199992</v>
      </c>
      <c r="H49" s="215" t="s">
        <v>1694</v>
      </c>
      <c r="I49" s="220">
        <f>VLOOKUP($B49,'LGE Elect Depr Rates'!$A$16:$R$400,18,)</f>
        <v>15</v>
      </c>
      <c r="J49" s="219" t="str">
        <f>VLOOKUP($B49,'LGE Elect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B'!H59</f>
        <v>0</v>
      </c>
      <c r="E50" s="37">
        <f>-'SCH B-3 B'!I61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400059083.98999995</v>
      </c>
      <c r="E51" s="34">
        <f>SUM(E43:E46,E47:E50)</f>
        <v>133776906.6484043</v>
      </c>
      <c r="F51" s="34"/>
      <c r="G51" s="34">
        <f>SUM(G43:G46,G47:G50)</f>
        <v>16928308.073088411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B'!H63</f>
        <v>11144162.02</v>
      </c>
      <c r="E54" s="36">
        <f>-'SCH B-3 B'!I65</f>
        <v>3302315.7097659996</v>
      </c>
      <c r="F54" s="72">
        <f>VLOOKUP($B54,'LGE Elect Depr Rates'!$A$16:$R$400,8,)/100</f>
        <v>1.14E-2</v>
      </c>
      <c r="G54" s="36">
        <f t="shared" ref="G54:G62" si="3">D54*F54</f>
        <v>127043.447028</v>
      </c>
      <c r="H54" s="73">
        <v>0</v>
      </c>
      <c r="I54" s="220">
        <f>VLOOKUP($B54,'LGE Elect Depr Rates'!$A$16:$R$400,18,)</f>
        <v>57.4</v>
      </c>
      <c r="J54" s="219" t="str">
        <f>VLOOKUP($B54,'LGE Elect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B'!H64</f>
        <v>17704470.390000004</v>
      </c>
      <c r="E55" s="36">
        <f>-'SCH B-3 B'!I66</f>
        <v>2673655.9356366252</v>
      </c>
      <c r="F55" s="72">
        <f>VLOOKUP($B55,'LGE Elect Depr Rates'!$A$16:$R$400,8,)/100</f>
        <v>1.7500000000000002E-2</v>
      </c>
      <c r="G55" s="36">
        <f t="shared" si="3"/>
        <v>309828.23182500008</v>
      </c>
      <c r="H55" s="73">
        <v>-0.1</v>
      </c>
      <c r="I55" s="220">
        <f>VLOOKUP($B55,'LGE Elect Depr Rates'!$A$16:$R$400,18,)</f>
        <v>54</v>
      </c>
      <c r="J55" s="219" t="str">
        <f>VLOOKUP($B55,'LGE Elect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B'!H65</f>
        <v>232170481.12</v>
      </c>
      <c r="E56" s="36">
        <f>-'SCH B-3 B'!I67</f>
        <v>69780391.426450029</v>
      </c>
      <c r="F56" s="72">
        <f>VLOOKUP($B56,'LGE Elect Depr Rates'!$A$16:$R$400,8,)/100</f>
        <v>1.61E-2</v>
      </c>
      <c r="G56" s="36">
        <f t="shared" si="3"/>
        <v>3737944.7460320001</v>
      </c>
      <c r="H56" s="73">
        <v>-0.15</v>
      </c>
      <c r="I56" s="220">
        <f>VLOOKUP($B56,'LGE Elect Depr Rates'!$A$16:$R$400,18,)</f>
        <v>47.8</v>
      </c>
      <c r="J56" s="219" t="str">
        <f>VLOOKUP($B56,'LGE Elect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B'!H66</f>
        <v>43849203.199999996</v>
      </c>
      <c r="E57" s="36">
        <f>-'SCH B-3 B'!I68</f>
        <v>26695113.099735901</v>
      </c>
      <c r="F57" s="72">
        <f>VLOOKUP($B57,'LGE Elect Depr Rates'!$A$16:$R$400,8,)/100</f>
        <v>1.84E-2</v>
      </c>
      <c r="G57" s="36">
        <f t="shared" si="3"/>
        <v>806825.33887999994</v>
      </c>
      <c r="H57" s="73">
        <v>-0.5</v>
      </c>
      <c r="I57" s="220">
        <f>VLOOKUP($B57,'LGE Elect Depr Rates'!$A$16:$R$400,18,)</f>
        <v>51.2</v>
      </c>
      <c r="J57" s="219" t="str">
        <f>VLOOKUP($B57,'LGE Elect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B'!H67</f>
        <v>100474530.12000002</v>
      </c>
      <c r="E58" s="36">
        <f>-'SCH B-3 B'!I69</f>
        <v>28302369.9432505</v>
      </c>
      <c r="F58" s="72">
        <f>VLOOKUP($B58,'LGE Elect Depr Rates'!$A$16:$R$400,8,)/100</f>
        <v>2.98E-2</v>
      </c>
      <c r="G58" s="36">
        <f t="shared" si="3"/>
        <v>2994140.9975760006</v>
      </c>
      <c r="H58" s="73">
        <v>-0.75</v>
      </c>
      <c r="I58" s="220">
        <f>VLOOKUP($B58,'LGE Elect Depr Rates'!$A$16:$R$400,18,)</f>
        <v>48.3</v>
      </c>
      <c r="J58" s="219" t="str">
        <f>VLOOKUP($B58,'LGE Elect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B'!H68</f>
        <v>61372371.700000003</v>
      </c>
      <c r="E59" s="36">
        <f>-'SCH B-3 B'!I70</f>
        <v>30298532.715609353</v>
      </c>
      <c r="F59" s="72">
        <f>VLOOKUP($B59,'LGE Elect Depr Rates'!$A$16:$R$400,8,)/100</f>
        <v>3.32E-2</v>
      </c>
      <c r="G59" s="36">
        <f t="shared" si="3"/>
        <v>2037562.7404400001</v>
      </c>
      <c r="H59" s="73">
        <v>-0.75</v>
      </c>
      <c r="I59" s="220">
        <f>VLOOKUP($B59,'LGE Elect Depr Rates'!$A$16:$R$400,18,)</f>
        <v>37.799999999999997</v>
      </c>
      <c r="J59" s="219" t="str">
        <f>VLOOKUP($B59,'LGE Elect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B'!H69</f>
        <v>1804058.69</v>
      </c>
      <c r="E60" s="36">
        <f>-'SCH B-3 B'!I71</f>
        <v>766316.01304071723</v>
      </c>
      <c r="F60" s="72">
        <f>VLOOKUP($B60,'LGE Elect Depr Rates'!$A$16:$R$400,8,)/100</f>
        <v>1.83E-2</v>
      </c>
      <c r="G60" s="36">
        <f t="shared" si="3"/>
        <v>33014.274026999999</v>
      </c>
      <c r="H60" s="73">
        <v>-0.05</v>
      </c>
      <c r="I60" s="220">
        <f>VLOOKUP($B60,'LGE Elect Depr Rates'!$A$16:$R$400,18,)</f>
        <v>41.9</v>
      </c>
      <c r="J60" s="219" t="str">
        <f>VLOOKUP($B60,'LGE Elect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B'!H70</f>
        <v>7529169.8199999994</v>
      </c>
      <c r="E61" s="36">
        <f>-'SCH B-3 B'!I72</f>
        <v>3616355.7313892394</v>
      </c>
      <c r="F61" s="72">
        <f>VLOOKUP($B61,'LGE Elect Depr Rates'!$A$16:$R$400,8,)/100</f>
        <v>2.4399999999999998E-2</v>
      </c>
      <c r="G61" s="36">
        <f t="shared" si="3"/>
        <v>183711.74360799996</v>
      </c>
      <c r="H61" s="73">
        <v>-0.1</v>
      </c>
      <c r="I61" s="220">
        <f>VLOOKUP($B61,'LGE Elect Depr Rates'!$A$16:$R$400,18,)</f>
        <v>29</v>
      </c>
      <c r="J61" s="219" t="str">
        <f>VLOOKUP($B61,'LGE Elect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B'!H71</f>
        <v>0</v>
      </c>
      <c r="E62" s="37">
        <f>-'SCH B-3 B'!I73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476048447.06</v>
      </c>
      <c r="E63" s="34">
        <f>SUM(E54:E62)</f>
        <v>165435050.57487833</v>
      </c>
      <c r="F63" s="34"/>
      <c r="G63" s="34">
        <f>SUM(G54:G62)</f>
        <v>10230071.519415999</v>
      </c>
      <c r="H63" s="74"/>
      <c r="I63" s="34"/>
      <c r="J63" s="34"/>
    </row>
    <row r="64" spans="1:10" s="16" customFormat="1" ht="20.100000000000001" customHeight="1">
      <c r="A64" s="831" t="str">
        <f>$A$1</f>
        <v>LOUISVILLE GAS AND ELECTRIC COMPANY</v>
      </c>
      <c r="B64" s="831"/>
      <c r="C64" s="831"/>
      <c r="D64" s="831"/>
      <c r="E64" s="831"/>
      <c r="F64" s="831"/>
      <c r="G64" s="831"/>
      <c r="H64" s="831"/>
      <c r="I64" s="831"/>
      <c r="J64" s="831"/>
    </row>
    <row r="65" spans="1:10" s="16" customFormat="1" ht="20.100000000000001" customHeight="1">
      <c r="A65" s="831" t="str">
        <f>$A$2</f>
        <v>CASE NO. 2018-00295 - ELECTRIC OPERATIONS</v>
      </c>
      <c r="B65" s="831"/>
      <c r="C65" s="831"/>
      <c r="D65" s="831"/>
      <c r="E65" s="831"/>
      <c r="F65" s="831"/>
      <c r="G65" s="831"/>
      <c r="H65" s="831"/>
      <c r="I65" s="831"/>
      <c r="J65" s="831"/>
    </row>
    <row r="66" spans="1:10" s="16" customFormat="1" ht="20.100000000000001" customHeight="1">
      <c r="A66" s="831" t="str">
        <f>$A$3</f>
        <v>DEPRECIATION ACCRUAL RATES AND ACCUMULATED BALANCES BY ACCOUNT</v>
      </c>
      <c r="B66" s="831"/>
      <c r="C66" s="831"/>
      <c r="D66" s="831"/>
      <c r="E66" s="831"/>
      <c r="F66" s="831"/>
      <c r="G66" s="831"/>
      <c r="H66" s="831"/>
      <c r="I66" s="831"/>
      <c r="J66" s="831"/>
    </row>
    <row r="67" spans="1:10" s="16" customFormat="1" ht="20.100000000000001" customHeight="1">
      <c r="A67" s="832" t="str">
        <f>$A$4</f>
        <v>AS OF DECEMBER 31, 2018</v>
      </c>
      <c r="B67" s="831"/>
      <c r="C67" s="831"/>
      <c r="D67" s="831"/>
      <c r="E67" s="831"/>
      <c r="F67" s="831"/>
      <c r="G67" s="831"/>
      <c r="H67" s="831"/>
      <c r="I67" s="831"/>
      <c r="J67" s="831"/>
    </row>
    <row r="68" spans="1:10" s="16" customFormat="1" ht="20.100000000000001" customHeight="1">
      <c r="A68" s="40"/>
      <c r="B68" s="40"/>
      <c r="C68" s="40"/>
      <c r="D68" s="40"/>
      <c r="E68" s="40"/>
      <c r="F68" s="40"/>
      <c r="G68" s="40"/>
      <c r="H68" s="40"/>
      <c r="I68" s="178"/>
      <c r="J68" s="40"/>
    </row>
    <row r="69" spans="1:10" s="16" customFormat="1" ht="20.100000000000001" customHeight="1">
      <c r="A69" s="15" t="str">
        <f>$A$6</f>
        <v>DATA:__X__BASE  PERIOD____FORECASTED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_____ ORIGINAL  _____ UPDATED  __X__ REVISED</v>
      </c>
      <c r="I70" s="22"/>
      <c r="J70" s="22" t="s">
        <v>1506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39" t="s">
        <v>187</v>
      </c>
      <c r="E73" s="839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278</v>
      </c>
      <c r="E74" s="19" t="s">
        <v>279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B'!H75</f>
        <v>4103252.72</v>
      </c>
      <c r="E78" s="36">
        <f>-'SCH B-3 B'!I77</f>
        <v>-46078.46</v>
      </c>
      <c r="F78" s="72">
        <v>0</v>
      </c>
      <c r="G78" s="36">
        <f>D78*F78</f>
        <v>0</v>
      </c>
      <c r="H78" s="73">
        <v>0</v>
      </c>
      <c r="I78" s="220"/>
      <c r="J78" s="219"/>
    </row>
    <row r="79" spans="1:10" ht="18.95" customHeight="1">
      <c r="A79" s="18">
        <f t="shared" si="0"/>
        <v>49</v>
      </c>
      <c r="B79" s="218">
        <v>361</v>
      </c>
      <c r="C79" s="26" t="s">
        <v>109</v>
      </c>
      <c r="D79" s="36">
        <f>'SCH B-2.1 B'!H76</f>
        <v>14978150.11999999</v>
      </c>
      <c r="E79" s="36">
        <f>-'SCH B-3 B'!I78</f>
        <v>2440570.3177898005</v>
      </c>
      <c r="F79" s="72">
        <f>VLOOKUP($B79,'LGE Elect Depr Rates'!$A$16:$R$400,8,)/100</f>
        <v>2.0499999999999997E-2</v>
      </c>
      <c r="G79" s="36">
        <f t="shared" ref="G79:G89" si="4">D79*F79</f>
        <v>307052.07745999977</v>
      </c>
      <c r="H79" s="73">
        <v>-0.1</v>
      </c>
      <c r="I79" s="220">
        <f>VLOOKUP($B79,'LGE Elect Depr Rates'!$A$16:$R$400,18,)</f>
        <v>39.700000000000003</v>
      </c>
      <c r="J79" s="219" t="str">
        <f>VLOOKUP($B79,'LGE Elect Depr Rates'!$A$16:$R$400,16,)</f>
        <v>48-S0.5</v>
      </c>
    </row>
    <row r="80" spans="1:10" ht="18.95" customHeight="1">
      <c r="A80" s="18">
        <f t="shared" si="0"/>
        <v>50</v>
      </c>
      <c r="B80" s="218">
        <v>362</v>
      </c>
      <c r="C80" s="26" t="s">
        <v>752</v>
      </c>
      <c r="D80" s="36">
        <f>'SCH B-2.1 B'!H77</f>
        <v>144316578.26000002</v>
      </c>
      <c r="E80" s="36">
        <f>-'SCH B-3 B'!I79</f>
        <v>46916323.333903201</v>
      </c>
      <c r="F80" s="72">
        <f>VLOOKUP($B80,'LGE Elect Depr Rates'!$A$16:$R$400,8,)/100</f>
        <v>2.1000000000000001E-2</v>
      </c>
      <c r="G80" s="36">
        <f t="shared" si="4"/>
        <v>3030648.1434600004</v>
      </c>
      <c r="H80" s="73">
        <v>-0.15</v>
      </c>
      <c r="I80" s="220">
        <f>VLOOKUP($B80,'LGE Elect Depr Rates'!$A$16:$R$400,18,)</f>
        <v>39.5</v>
      </c>
      <c r="J80" s="219" t="str">
        <f>VLOOKUP($B80,'LGE Elect Depr Rates'!$A$16:$R$400,16,)</f>
        <v>50-R1</v>
      </c>
    </row>
    <row r="81" spans="1:10" ht="18.95" customHeight="1">
      <c r="A81" s="18">
        <f t="shared" ref="A81:A91" si="5">A80+1</f>
        <v>51</v>
      </c>
      <c r="B81" s="218">
        <v>364</v>
      </c>
      <c r="C81" s="26" t="s">
        <v>754</v>
      </c>
      <c r="D81" s="36">
        <f>'SCH B-2.1 B'!H78</f>
        <v>208981296.42999998</v>
      </c>
      <c r="E81" s="36">
        <f>-'SCH B-3 B'!I80</f>
        <v>83565660.861552715</v>
      </c>
      <c r="F81" s="72">
        <f>VLOOKUP($B81,'LGE Elect Depr Rates'!$A$16:$R$400,8,)/100</f>
        <v>3.1800000000000002E-2</v>
      </c>
      <c r="G81" s="36">
        <f t="shared" si="4"/>
        <v>6645605.2264739992</v>
      </c>
      <c r="H81" s="73">
        <v>-0.8</v>
      </c>
      <c r="I81" s="220">
        <f>VLOOKUP($B81,'LGE Elect Depr Rates'!$A$16:$R$400,18,)</f>
        <v>43.2</v>
      </c>
      <c r="J81" s="219" t="str">
        <f>VLOOKUP($B81,'LGE Elect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B'!H79</f>
        <v>355099507.56</v>
      </c>
      <c r="E82" s="36">
        <f>-'SCH B-3 B'!I81</f>
        <v>128042681.05795211</v>
      </c>
      <c r="F82" s="72">
        <f>VLOOKUP($B82,'LGE Elect Depr Rates'!$A$16:$R$400,8,)/100</f>
        <v>3.2500000000000001E-2</v>
      </c>
      <c r="G82" s="36">
        <f t="shared" si="4"/>
        <v>11540733.9957</v>
      </c>
      <c r="H82" s="73">
        <v>-0.75</v>
      </c>
      <c r="I82" s="220">
        <f>VLOOKUP($B82,'LGE Elect Depr Rates'!$A$16:$R$400,18,)</f>
        <v>42.1</v>
      </c>
      <c r="J82" s="219" t="str">
        <f>VLOOKUP($B82,'LGE Elect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B'!H80</f>
        <v>96674999.530000001</v>
      </c>
      <c r="E83" s="36">
        <f>-'SCH B-3 B'!I82</f>
        <v>33379022.707385283</v>
      </c>
      <c r="F83" s="72">
        <f>VLOOKUP($B83,'LGE Elect Depr Rates'!$A$16:$R$400,8,)/100</f>
        <v>1.6E-2</v>
      </c>
      <c r="G83" s="36">
        <f t="shared" si="4"/>
        <v>1546799.99248</v>
      </c>
      <c r="H83" s="73">
        <v>-0.3</v>
      </c>
      <c r="I83" s="220">
        <f>VLOOKUP($B83,'LGE Elect Depr Rates'!$A$16:$R$400,18,)</f>
        <v>58.6</v>
      </c>
      <c r="J83" s="219" t="str">
        <f>VLOOKUP($B83,'LGE Elect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B'!H81</f>
        <v>276659561.50999993</v>
      </c>
      <c r="E84" s="36">
        <f>-'SCH B-3 B'!I83</f>
        <v>63184718.519828185</v>
      </c>
      <c r="F84" s="72">
        <f>VLOOKUP($B84,'LGE Elect Depr Rates'!$A$16:$R$400,8,)/100</f>
        <v>2.0599999999999997E-2</v>
      </c>
      <c r="G84" s="36">
        <f t="shared" si="4"/>
        <v>5699186.9671059977</v>
      </c>
      <c r="H84" s="73">
        <v>-0.4</v>
      </c>
      <c r="I84" s="220">
        <f>VLOOKUP($B84,'LGE Elect Depr Rates'!$A$16:$R$400,18,)</f>
        <v>54.2</v>
      </c>
      <c r="J84" s="219" t="str">
        <f>VLOOKUP($B84,'LGE Elect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B'!H82</f>
        <v>171974837.23999998</v>
      </c>
      <c r="E85" s="36">
        <f>-'SCH B-3 B'!I84</f>
        <v>81549597.283138409</v>
      </c>
      <c r="F85" s="72">
        <f>VLOOKUP($B85,'LGE Elect Depr Rates'!$A$16:$R$400,8,)/100</f>
        <v>2.3299999999999998E-2</v>
      </c>
      <c r="G85" s="36">
        <f t="shared" si="4"/>
        <v>4007013.7076919992</v>
      </c>
      <c r="H85" s="73">
        <v>-0.2</v>
      </c>
      <c r="I85" s="220">
        <f>VLOOKUP($B85,'LGE Elect Depr Rates'!$A$16:$R$400,18,)</f>
        <v>31.5</v>
      </c>
      <c r="J85" s="219" t="str">
        <f>VLOOKUP($B85,'LGE Elect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B'!H83</f>
        <v>37462116.850000001</v>
      </c>
      <c r="E86" s="36">
        <f>-'SCH B-3 B'!I85</f>
        <v>26519798.988960747</v>
      </c>
      <c r="F86" s="72">
        <f>VLOOKUP($B86,'LGE Elect Depr Rates'!$A$16:$R$400,8,)/100</f>
        <v>2.9121002460560909E-2</v>
      </c>
      <c r="G86" s="36">
        <f t="shared" si="4"/>
        <v>1090934.3969666704</v>
      </c>
      <c r="H86" s="215" t="s">
        <v>1697</v>
      </c>
      <c r="I86" s="220" t="str">
        <f>VLOOKUP($B86,'LGE Elect Depr Rates'!$A$16:$R$400,18,)</f>
        <v>34.6-37.4</v>
      </c>
      <c r="J86" s="219" t="str">
        <f>VLOOKUP($B86,'LGE Elect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B'!H84</f>
        <v>41036596.82</v>
      </c>
      <c r="E87" s="36">
        <f>-'SCH B-3 B'!I86</f>
        <v>24352484.426121362</v>
      </c>
      <c r="F87" s="72">
        <f>VLOOKUP($B87,'LGE Elect Depr Rates'!$A$16:$R$400,8,)/100</f>
        <v>2.980862131519648E-2</v>
      </c>
      <c r="G87" s="36">
        <f t="shared" si="4"/>
        <v>1223244.3746717761</v>
      </c>
      <c r="H87" s="73">
        <v>0</v>
      </c>
      <c r="I87" s="220" t="str">
        <f>VLOOKUP($B87,'LGE Elect Depr Rates'!$A$16:$R$400,18,)</f>
        <v>4.3-15.7</v>
      </c>
      <c r="J87" s="219" t="str">
        <f>VLOOKUP($B87,'LGE Elect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B'!H85</f>
        <v>156536.15000000002</v>
      </c>
      <c r="E88" s="36">
        <f>-'SCH B-3 B'!I87</f>
        <v>5087.5116504073449</v>
      </c>
      <c r="F88" s="72">
        <v>0</v>
      </c>
      <c r="G88" s="36"/>
      <c r="H88" s="73"/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B'!H86</f>
        <v>116040704.05</v>
      </c>
      <c r="E89" s="36">
        <f>-'SCH B-3 B'!I88</f>
        <v>44330397.340482488</v>
      </c>
      <c r="F89" s="72">
        <f>VLOOKUP($B89,'LGE Elect Depr Rates'!$A$16:$R$400,8,)/100</f>
        <v>4.3743726987595072E-2</v>
      </c>
      <c r="G89" s="36">
        <f t="shared" si="4"/>
        <v>5076052.8774115173</v>
      </c>
      <c r="H89" s="215" t="s">
        <v>1698</v>
      </c>
      <c r="I89" s="220" t="str">
        <f>VLOOKUP($B89,'LGE Elect Depr Rates'!$A$16:$R$400,18,)</f>
        <v>18.7-25.8</v>
      </c>
      <c r="J89" s="219" t="str">
        <f>VLOOKUP($B89,'LGE Elect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B'!H87</f>
        <v>0</v>
      </c>
      <c r="E90" s="37">
        <f>-'SCH B-3 B'!I89</f>
        <v>0</v>
      </c>
      <c r="F90" s="51"/>
      <c r="G90" s="37">
        <f>D90*F90</f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1467484137.2399998</v>
      </c>
      <c r="E91" s="34">
        <f>SUM(E78:E90)</f>
        <v>534240263.88876468</v>
      </c>
      <c r="F91" s="34"/>
      <c r="G91" s="34">
        <f>SUM(G78:G90)</f>
        <v>40167271.75942196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B'!H101</f>
        <v>0</v>
      </c>
      <c r="E94" s="36">
        <f>-'SCH B-3 B'!I104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3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B'!H102</f>
        <v>0</v>
      </c>
      <c r="E95" s="36">
        <f>-'SCH B-3 B'!I105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19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B'!H103</f>
        <v>0</v>
      </c>
      <c r="E96" s="36">
        <f>-'SCH B-3 B'!I106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 t="shared" ref="I96:J98" si="8">I112</f>
        <v>2.80-18.00</v>
      </c>
      <c r="J96" s="219" t="str">
        <f t="shared" si="8"/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B'!H104</f>
        <v>7134532.4399999892</v>
      </c>
      <c r="E97" s="36">
        <f>-'SCH B-3 B'!I107</f>
        <v>3099657.5875319997</v>
      </c>
      <c r="F97" s="72">
        <f>VLOOKUP($B97,'LGE Elect Depr Rates'!$A$16:$R$400,8,)/100</f>
        <v>4.3050747104819514E-2</v>
      </c>
      <c r="G97" s="36">
        <f t="shared" si="7"/>
        <v>307146.95178557042</v>
      </c>
      <c r="H97" s="73">
        <v>0</v>
      </c>
      <c r="I97" s="220" t="str">
        <f>VLOOKUP($B97,'LGE Elect Depr Rates'!$A$16:$R$400,18,)</f>
        <v>10.7-14.4</v>
      </c>
      <c r="J97" s="219" t="str">
        <f>VLOOKUP($B97,'LGE Elect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B'!H105</f>
        <v>0</v>
      </c>
      <c r="E98" s="36">
        <f>-'SCH B-3 B'!I108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 t="shared" si="8"/>
        <v>8.6999999999999993</v>
      </c>
      <c r="J98" s="219" t="str">
        <f t="shared" si="8"/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B'!H106</f>
        <v>6786023.2000000002</v>
      </c>
      <c r="E99" s="36">
        <f>-'SCH B-3 B'!I109</f>
        <v>2757293.0065499898</v>
      </c>
      <c r="F99" s="72">
        <f>VLOOKUP($B99,'LGE Elect Depr Rates'!$A$16:$R$400,8,)/100</f>
        <v>4.2799999999999991E-2</v>
      </c>
      <c r="G99" s="36">
        <f t="shared" si="7"/>
        <v>290441.79295999993</v>
      </c>
      <c r="H99" s="73">
        <v>0</v>
      </c>
      <c r="I99" s="220">
        <f>VLOOKUP($B99,'LGE Elect Depr Rates'!$A$16:$R$400,18,)</f>
        <v>14.8</v>
      </c>
      <c r="J99" s="219" t="str">
        <f>VLOOKUP($B99,'LGE Elect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B'!H107</f>
        <v>0</v>
      </c>
      <c r="E100" s="36">
        <f>-'SCH B-3 B'!I110</f>
        <v>0</v>
      </c>
      <c r="F100" s="72">
        <v>0</v>
      </c>
      <c r="H100" s="73"/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B'!H108</f>
        <v>2084182.3499999989</v>
      </c>
      <c r="E101" s="36">
        <f>-'SCH B-3 B'!I111</f>
        <v>1606637.9290903001</v>
      </c>
      <c r="F101" s="72">
        <f>VLOOKUP($B101,'LGE Elect Depr Rates'!$A$16:$R$400,8,)/100</f>
        <v>6.9449505102644159E-3</v>
      </c>
      <c r="G101" s="36">
        <f t="shared" si="7"/>
        <v>14474.543275116583</v>
      </c>
      <c r="H101" s="73">
        <v>0</v>
      </c>
      <c r="I101" s="220" t="str">
        <f>VLOOKUP($B101,'LGE Elect Depr Rates'!$A$16:$R$400,18,)</f>
        <v>16.4-17.1</v>
      </c>
      <c r="J101" s="219" t="str">
        <f>VLOOKUP($B101,'LGE Elect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B'!H109</f>
        <v>0</v>
      </c>
      <c r="E102" s="36">
        <f>-'SCH B-3 B'!I112</f>
        <v>0</v>
      </c>
      <c r="F102" s="72">
        <f>VLOOKUP($B102,'LGE Elect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Depr Rates'!$A$16:$R$400,18,)</f>
        <v>6.5</v>
      </c>
      <c r="J102" s="219" t="str">
        <f>VLOOKUP($B102,'LGE Elect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B'!H110</f>
        <v>0</v>
      </c>
      <c r="E103" s="37">
        <f>-'SCH B-3 B'!I113</f>
        <v>0</v>
      </c>
      <c r="F103" s="72">
        <f>F119</f>
        <v>0</v>
      </c>
      <c r="G103" s="37">
        <f t="shared" si="7"/>
        <v>0</v>
      </c>
      <c r="H103" s="73">
        <v>0</v>
      </c>
      <c r="I103" s="216"/>
      <c r="J103" s="39"/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16004737.989999989</v>
      </c>
      <c r="E104" s="34">
        <f>SUM(E94:E103)</f>
        <v>7463588.5231722891</v>
      </c>
      <c r="F104" s="34"/>
      <c r="G104" s="34">
        <f>SUM(G95:G103)</f>
        <v>612063.28802068694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B'!H114</f>
        <v>57809.780099999931</v>
      </c>
      <c r="E107" s="34">
        <f>-'SCH B-3 B'!I117</f>
        <v>0</v>
      </c>
      <c r="F107" s="72">
        <v>0</v>
      </c>
      <c r="G107" s="36">
        <f t="shared" ref="G107:G115" si="9">D107*F107</f>
        <v>0</v>
      </c>
      <c r="H107" s="34"/>
      <c r="I107" s="34"/>
    </row>
    <row r="108" spans="1:10" ht="18.95" customHeight="1">
      <c r="A108" s="18">
        <f t="shared" ref="A108:A120" si="10">A107+1</f>
        <v>76</v>
      </c>
      <c r="B108" s="218">
        <v>302</v>
      </c>
      <c r="C108" s="26" t="s">
        <v>695</v>
      </c>
      <c r="D108" s="34">
        <f>'SCH B-2.1 B'!H115</f>
        <v>0</v>
      </c>
      <c r="E108" s="34">
        <f>-'SCH B-3 B'!I118</f>
        <v>0</v>
      </c>
      <c r="F108" s="72">
        <v>0</v>
      </c>
      <c r="G108" s="36">
        <f t="shared" si="9"/>
        <v>0</v>
      </c>
      <c r="H108" s="35"/>
      <c r="I108" s="36"/>
    </row>
    <row r="109" spans="1:10" ht="18.95" customHeight="1">
      <c r="A109" s="18">
        <f t="shared" si="10"/>
        <v>77</v>
      </c>
      <c r="B109" s="218">
        <v>303</v>
      </c>
      <c r="C109" s="26" t="s">
        <v>697</v>
      </c>
      <c r="D109" s="36">
        <f>'SCH B-2.1 B'!H116</f>
        <v>86924813.741699904</v>
      </c>
      <c r="E109" s="36">
        <f>-'SCH B-3 B'!I119</f>
        <v>48301086.764558993</v>
      </c>
      <c r="F109" s="72">
        <f>VLOOKUP($B109,'LGE Common Depr Rates'!$A$12:$Q$62,7,)/100</f>
        <v>0.16178079557887692</v>
      </c>
      <c r="G109" s="36">
        <f t="shared" si="9"/>
        <v>14062765.522677904</v>
      </c>
      <c r="H109" s="73">
        <v>0</v>
      </c>
      <c r="I109" s="220" t="str">
        <f>VLOOKUP($B109,'LGE Common Depr Rates'!$A$12:$Q$62,17,)</f>
        <v>3.00-3.50</v>
      </c>
      <c r="J109" s="222" t="str">
        <f>VLOOKUP($B109,'LGE Common Depr Rates'!$A$12:$Q$62,15,)</f>
        <v>5-SQ,SQUARE</v>
      </c>
    </row>
    <row r="110" spans="1:10" ht="18.95" customHeight="1">
      <c r="A110" s="18">
        <f t="shared" si="10"/>
        <v>78</v>
      </c>
      <c r="B110" s="218">
        <v>389</v>
      </c>
      <c r="C110" s="26" t="s">
        <v>115</v>
      </c>
      <c r="D110" s="36">
        <f>'SCH B-2.1 B'!H117</f>
        <v>1079432.1152999999</v>
      </c>
      <c r="E110" s="36">
        <f>-'SCH B-3 B'!I120</f>
        <v>0</v>
      </c>
      <c r="F110" s="72">
        <v>0</v>
      </c>
      <c r="G110" s="36">
        <f t="shared" si="9"/>
        <v>0</v>
      </c>
      <c r="H110" s="73">
        <v>0</v>
      </c>
      <c r="I110" s="220"/>
      <c r="J110" s="222"/>
    </row>
    <row r="111" spans="1:10" ht="18.95" customHeight="1">
      <c r="A111" s="18">
        <f t="shared" si="10"/>
        <v>79</v>
      </c>
      <c r="B111" s="218">
        <v>390</v>
      </c>
      <c r="C111" s="26" t="s">
        <v>109</v>
      </c>
      <c r="D111" s="36">
        <f>'SCH B-2.1 B'!H118</f>
        <v>58705353.545699999</v>
      </c>
      <c r="E111" s="36">
        <f>-'SCH B-3 B'!I121</f>
        <v>25861076.967865087</v>
      </c>
      <c r="F111" s="72">
        <f>VLOOKUP($B111,'LGE Common Depr Rates'!$A$12:$Q$62,7,)/100</f>
        <v>2.64E-2</v>
      </c>
      <c r="G111" s="36">
        <f t="shared" si="9"/>
        <v>1549821.3336064799</v>
      </c>
      <c r="H111" s="215" t="s">
        <v>1905</v>
      </c>
      <c r="I111" s="220" t="str">
        <f>VLOOKUP($B111,'LGE Common Depr Rates'!$A$12:$Q$62,17,)</f>
        <v>18.10-37.10</v>
      </c>
      <c r="J111" s="222" t="str">
        <f>VLOOKUP($B111,'LGE Common Depr Rates'!$A$12:$Q$62,15,)</f>
        <v>30-L0.5,40-S0.5</v>
      </c>
    </row>
    <row r="112" spans="1:10" ht="18.95" customHeight="1">
      <c r="A112" s="18">
        <f t="shared" si="10"/>
        <v>80</v>
      </c>
      <c r="B112" s="218">
        <v>391</v>
      </c>
      <c r="C112" s="26" t="s">
        <v>117</v>
      </c>
      <c r="D112" s="36">
        <f>'SCH B-2.1 B'!H119</f>
        <v>30171684.613499999</v>
      </c>
      <c r="E112" s="36">
        <f>-'SCH B-3 B'!I122</f>
        <v>11668041.754555646</v>
      </c>
      <c r="F112" s="72">
        <f>VLOOKUP($B112,'LGE Common Depr Rates'!$A$12:$Q$62,7,)/100</f>
        <v>0.15789999999999998</v>
      </c>
      <c r="G112" s="36">
        <f t="shared" si="9"/>
        <v>4764109.0004716497</v>
      </c>
      <c r="H112" s="73">
        <v>0</v>
      </c>
      <c r="I112" s="220" t="str">
        <f>VLOOKUP($B112,'LGE Common Depr Rates'!$A$12:$Q$62,17,)</f>
        <v>2.80-18.00</v>
      </c>
      <c r="J112" s="222" t="str">
        <f>VLOOKUP($B112,'LGE Common Depr Rates'!$A$12:$Q$62,15,)</f>
        <v>4-5-15-20-SQ</v>
      </c>
    </row>
    <row r="113" spans="1:16" ht="18.95" customHeight="1">
      <c r="A113" s="18">
        <f t="shared" si="10"/>
        <v>81</v>
      </c>
      <c r="B113" s="218">
        <v>392</v>
      </c>
      <c r="C113" s="26" t="s">
        <v>116</v>
      </c>
      <c r="D113" s="36">
        <f>'SCH B-2.1 B'!H120</f>
        <v>224487.9327</v>
      </c>
      <c r="E113" s="36">
        <f>-'SCH B-3 B'!I123</f>
        <v>109242.82489394033</v>
      </c>
      <c r="F113" s="72">
        <f>VLOOKUP($B113,'LGE Common Depr Rates'!$A$12:$Q$62,7,)/100</f>
        <v>3.6799999999999999E-2</v>
      </c>
      <c r="G113" s="36">
        <f t="shared" si="9"/>
        <v>8261.1559233600001</v>
      </c>
      <c r="H113" s="73" t="s">
        <v>1907</v>
      </c>
      <c r="I113" s="220" t="str">
        <f>VLOOKUP($B113,'LGE Common Depr Rates'!$A$12:$Q$62,17,)</f>
        <v>6.0-9.6</v>
      </c>
      <c r="J113" s="222" t="str">
        <f>VLOOKUP($B113,'LGE Common Depr Rates'!$A$12:$Q$62,15,)</f>
        <v>9-S2.5, 12-S0.5, 23-L1.5</v>
      </c>
    </row>
    <row r="114" spans="1:16" ht="18.95" customHeight="1">
      <c r="A114" s="18">
        <f t="shared" si="10"/>
        <v>82</v>
      </c>
      <c r="B114" s="218">
        <v>393</v>
      </c>
      <c r="C114" s="26" t="s">
        <v>774</v>
      </c>
      <c r="D114" s="36">
        <f>'SCH B-2.1 B'!H121</f>
        <v>1181432.6831999999</v>
      </c>
      <c r="E114" s="36">
        <f>-'SCH B-3 B'!I124</f>
        <v>745483.40083443001</v>
      </c>
      <c r="F114" s="72">
        <f>VLOOKUP($B114,'LGE Common Depr Rates'!$A$12:$Q$62,7,)/100</f>
        <v>5.1500000000000004E-2</v>
      </c>
      <c r="G114" s="36">
        <f t="shared" si="9"/>
        <v>60843.783184799999</v>
      </c>
      <c r="H114" s="73">
        <v>0</v>
      </c>
      <c r="I114" s="220">
        <f>VLOOKUP($B114,'LGE Common Depr Rates'!$A$12:$Q$62,17,)</f>
        <v>8.6999999999999993</v>
      </c>
      <c r="J114" s="222" t="str">
        <f>VLOOKUP($B114,'LGE Common Depr Rates'!$A$12:$Q$62,15,)</f>
        <v>25-SQ</v>
      </c>
    </row>
    <row r="115" spans="1:16" ht="18.95" customHeight="1">
      <c r="A115" s="18">
        <f t="shared" si="10"/>
        <v>83</v>
      </c>
      <c r="B115" s="218">
        <v>394</v>
      </c>
      <c r="C115" s="26" t="s">
        <v>776</v>
      </c>
      <c r="D115" s="36">
        <f>'SCH B-2.1 B'!H122</f>
        <v>2904111.4334999993</v>
      </c>
      <c r="E115" s="36">
        <f>-'SCH B-3 B'!I125</f>
        <v>1688152.6009974</v>
      </c>
      <c r="F115" s="72">
        <f>VLOOKUP($B115,'LGE Common Depr Rates'!$A$12:$Q$62,7,)/100</f>
        <v>4.2500000000000003E-2</v>
      </c>
      <c r="G115" s="36">
        <f t="shared" si="9"/>
        <v>123424.73592374998</v>
      </c>
      <c r="H115" s="73">
        <v>0</v>
      </c>
      <c r="I115" s="220">
        <f>VLOOKUP($B115,'LGE Common Depr Rates'!$A$12:$Q$62,17,)</f>
        <v>11.7</v>
      </c>
      <c r="J115" s="222" t="str">
        <f>VLOOKUP($B115,'LGE Common Depr Rates'!$A$12:$Q$62,15,)</f>
        <v>25-SQ</v>
      </c>
    </row>
    <row r="116" spans="1:16" ht="18.95" customHeight="1">
      <c r="A116" s="18">
        <f t="shared" si="10"/>
        <v>84</v>
      </c>
      <c r="B116" s="218">
        <v>395</v>
      </c>
      <c r="C116" s="26" t="s">
        <v>778</v>
      </c>
      <c r="D116" s="36">
        <f>'SCH B-2.1 B'!H123</f>
        <v>0</v>
      </c>
      <c r="E116" s="36">
        <f>-'SCH B-3 B'!I126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10"/>
        <v>85</v>
      </c>
      <c r="B117" s="218">
        <v>396</v>
      </c>
      <c r="C117" s="26" t="s">
        <v>780</v>
      </c>
      <c r="D117" s="36">
        <f>'SCH B-2.1 B'!H124</f>
        <v>365595.6029999993</v>
      </c>
      <c r="E117" s="36">
        <f>-'SCH B-3 B'!I127</f>
        <v>173089.6855721825</v>
      </c>
      <c r="F117" s="72">
        <f>VLOOKUP($B117,'LGE Common Depr Rates'!$A$12:$Q$62,7,)/100</f>
        <v>3.8E-3</v>
      </c>
      <c r="G117" s="36">
        <f>D117*F117</f>
        <v>1389.2632913999973</v>
      </c>
      <c r="H117" s="73" t="s">
        <v>1908</v>
      </c>
      <c r="I117" s="220" t="str">
        <f>VLOOKUP($B117,'LGE Common Depr Rates'!$A$12:$Q$62,17,)</f>
        <v>3.7-10.6</v>
      </c>
      <c r="J117" s="222" t="str">
        <f>VLOOKUP($B117,'LGE Common Depr Rates'!$A$12:$Q$62,15,)</f>
        <v>22-L4, 24-L2.5</v>
      </c>
    </row>
    <row r="118" spans="1:16" ht="18.95" customHeight="1">
      <c r="A118" s="18">
        <f t="shared" si="10"/>
        <v>86</v>
      </c>
      <c r="B118" s="218">
        <v>397</v>
      </c>
      <c r="C118" s="26" t="s">
        <v>118</v>
      </c>
      <c r="D118" s="36">
        <f>'SCH B-2.1 B'!H125</f>
        <v>25535566.367999997</v>
      </c>
      <c r="E118" s="36">
        <f>-'SCH B-3 B'!I128</f>
        <v>18630745.887479763</v>
      </c>
      <c r="F118" s="72">
        <f>VLOOKUP($B118,'LGE Common Depr Rates'!$A$12:$Q$62,7,)/100</f>
        <v>1.6899999999999998E-2</v>
      </c>
      <c r="G118" s="36">
        <f>D118*F118</f>
        <v>431551.07161919988</v>
      </c>
      <c r="H118" s="73">
        <v>0</v>
      </c>
      <c r="I118" s="220" t="str">
        <f>VLOOKUP($B118,'LGE Common Depr Rates'!$A$12:$Q$62,17,)</f>
        <v>3.5-25.9</v>
      </c>
      <c r="J118" s="222" t="str">
        <f>VLOOKUP($B118,'LGE Common Depr Rates'!$A$12:$Q$62,15,)</f>
        <v>10-SQ, 22-L2</v>
      </c>
    </row>
    <row r="119" spans="1:16" ht="18.95" customHeight="1">
      <c r="A119" s="18">
        <f t="shared" si="10"/>
        <v>87</v>
      </c>
      <c r="B119" s="218">
        <v>398</v>
      </c>
      <c r="C119" s="26" t="s">
        <v>783</v>
      </c>
      <c r="D119" s="36">
        <f>'SCH B-2.1 B'!H126</f>
        <v>0</v>
      </c>
      <c r="E119" s="36">
        <f>-'SCH B-3 B'!I129</f>
        <v>0</v>
      </c>
      <c r="F119" s="72">
        <v>0</v>
      </c>
      <c r="G119" s="36">
        <f>D119*F119</f>
        <v>0</v>
      </c>
      <c r="H119" s="73">
        <v>0</v>
      </c>
      <c r="I119" s="220"/>
      <c r="J119" s="222"/>
    </row>
    <row r="120" spans="1:16" ht="18.95" customHeight="1">
      <c r="A120" s="18">
        <f t="shared" si="10"/>
        <v>88</v>
      </c>
      <c r="B120" s="218">
        <v>399</v>
      </c>
      <c r="C120" s="26" t="s">
        <v>926</v>
      </c>
      <c r="D120" s="37">
        <f>'SCH B-2.1 B'!H127</f>
        <v>0</v>
      </c>
      <c r="E120" s="37">
        <f>-'SCH B-3 B'!I130</f>
        <v>0</v>
      </c>
      <c r="F120" s="55"/>
      <c r="G120" s="37"/>
      <c r="H120" s="36"/>
      <c r="I120" s="36"/>
    </row>
    <row r="121" spans="1:16" ht="18.95" customHeight="1">
      <c r="A121" s="18">
        <f>A120+1</f>
        <v>89</v>
      </c>
      <c r="B121" s="218"/>
      <c r="C121" s="26" t="s">
        <v>945</v>
      </c>
      <c r="D121" s="34">
        <f>SUM(D107:D120)</f>
        <v>207150287.81669989</v>
      </c>
      <c r="E121" s="34">
        <f>SUM(E107:E120)</f>
        <v>107176919.88675743</v>
      </c>
      <c r="F121" s="34"/>
      <c r="G121" s="34">
        <f>SUM(G107:G120)</f>
        <v>21002165.866698541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4590528403.9866991</v>
      </c>
      <c r="E123" s="42">
        <f>SUM(E18,E29,E40,E51,E63,E91,E104,E121)</f>
        <v>1738844872.5923698</v>
      </c>
      <c r="F123" s="34"/>
      <c r="G123" s="42">
        <f>SUM(G18,G29,G40,G51,G63,G91,G104,G121)</f>
        <v>136471208.25685725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>
      <c r="G130" s="41"/>
      <c r="H130" s="16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2" fitToHeight="0" orientation="portrait" r:id="rId1"/>
  <rowBreaks count="1" manualBreakCount="1">
    <brk id="63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5" width="14.77734375" style="17" customWidth="1"/>
    <col min="6" max="6" width="10.109375" style="17" customWidth="1"/>
    <col min="7" max="7" width="14.77734375" style="17" customWidth="1"/>
    <col min="8" max="8" width="18.77734375" style="17" customWidth="1"/>
    <col min="9" max="9" width="11.33203125" style="17" customWidth="1"/>
    <col min="10" max="10" width="31.10937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276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178"/>
      <c r="B5" s="178"/>
      <c r="C5" s="178"/>
      <c r="D5" s="178"/>
      <c r="E5" s="178"/>
      <c r="F5" s="178"/>
      <c r="G5" s="178"/>
      <c r="H5" s="178"/>
      <c r="I5" s="178"/>
      <c r="J5" s="178"/>
    </row>
    <row r="6" spans="1:10" s="16" customFormat="1" ht="20.100000000000001" customHeight="1">
      <c r="A6" s="15" t="s">
        <v>122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I7" s="22"/>
      <c r="J7" s="22" t="s">
        <v>1503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187</v>
      </c>
      <c r="E10" s="839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687</v>
      </c>
      <c r="E11" s="19" t="s">
        <v>688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F'!H13</f>
        <v>2240.2900000000009</v>
      </c>
      <c r="E15" s="34">
        <f>-'SCH B-3 F'!I14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78" si="0">A15+1</f>
        <v>3</v>
      </c>
      <c r="B16" s="218" t="s">
        <v>694</v>
      </c>
      <c r="C16" s="26" t="s">
        <v>695</v>
      </c>
      <c r="D16" s="34">
        <f>'SCH B-2.1 F'!H14</f>
        <v>0</v>
      </c>
      <c r="E16" s="34">
        <f>-'SCH B-3 F'!I15</f>
        <v>0</v>
      </c>
      <c r="F16" s="72">
        <v>0</v>
      </c>
      <c r="G16" s="36">
        <f>D16*F16</f>
        <v>0</v>
      </c>
      <c r="H16" s="73">
        <v>0</v>
      </c>
      <c r="I16" s="216"/>
      <c r="J16" s="17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F'!H15</f>
        <v>0</v>
      </c>
      <c r="E17" s="37">
        <f>-'SCH B-3 F'!I16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2240.2900000000009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F'!H19</f>
        <v>7266610.4499999993</v>
      </c>
      <c r="E21" s="36">
        <f>-'SCH B-3 F'!I20</f>
        <v>0</v>
      </c>
      <c r="F21" s="72">
        <v>0</v>
      </c>
      <c r="G21" s="36">
        <f>D21*F21</f>
        <v>0</v>
      </c>
      <c r="H21" s="73">
        <v>0</v>
      </c>
      <c r="I21" s="216"/>
      <c r="J21" s="17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F'!H20</f>
        <v>274234319.80461532</v>
      </c>
      <c r="E22" s="36">
        <f>-'SCH B-3 F'!I21</f>
        <v>172201907.13543689</v>
      </c>
      <c r="F22" s="72">
        <f>VLOOKUP($B22,'LGE Elect Proposed Depr Rates'!$A$16:$R$400,8,)/100</f>
        <v>2.084383544431229E-2</v>
      </c>
      <c r="G22" s="36">
        <f>D22*F22</f>
        <v>5716095.0351903122</v>
      </c>
      <c r="H22" s="433" t="s">
        <v>1896</v>
      </c>
      <c r="I22" s="220">
        <f>VLOOKUP($B22,'LGE Elect Proposed Depr Rates'!$A$16:$R$400,18,)</f>
        <v>28.7</v>
      </c>
      <c r="J22" s="219" t="str">
        <f>VLOOKUP($B22,'LGE Elect Proposed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F'!H21</f>
        <v>1196305841.8738384</v>
      </c>
      <c r="E23" s="36">
        <f>-'SCH B-3 F'!I22</f>
        <v>405033684.80173659</v>
      </c>
      <c r="F23" s="72">
        <f>VLOOKUP($B23,'LGE Elect Proposed Depr Rates'!$A$16:$R$400,8,)/100</f>
        <v>4.3403911035039391E-2</v>
      </c>
      <c r="G23" s="36">
        <f>D23*F23</f>
        <v>51924352.331389986</v>
      </c>
      <c r="H23" s="433" t="s">
        <v>1897</v>
      </c>
      <c r="I23" s="220">
        <f>VLOOKUP($B23,'LGE Elect Proposed Depr Rates'!$A$16:$R$400,18,)</f>
        <v>22.8</v>
      </c>
      <c r="J23" s="219" t="str">
        <f>VLOOKUP($B23,'LGE Elect Proposed Depr Rates'!$A$16:$R$400,16,)</f>
        <v>60-R1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F'!H22</f>
        <v>0</v>
      </c>
      <c r="E24" s="36">
        <f>-'SCH B-3 F'!I23</f>
        <v>0</v>
      </c>
      <c r="F24" s="72">
        <v>0</v>
      </c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F'!H23</f>
        <v>239942780.71538362</v>
      </c>
      <c r="E25" s="36">
        <f>-'SCH B-3 F'!I24</f>
        <v>110503998.00216307</v>
      </c>
      <c r="F25" s="72">
        <f>VLOOKUP($B25,'LGE Elect Proposed Depr Rates'!$A$16:$R$400,8,)/100</f>
        <v>2.9700000000000001E-2</v>
      </c>
      <c r="G25" s="36">
        <f>D25*F25</f>
        <v>7126300.5872468939</v>
      </c>
      <c r="H25" s="433" t="s">
        <v>1897</v>
      </c>
      <c r="I25" s="220">
        <f>VLOOKUP($B25,'LGE Elect Proposed Depr Rates'!$A$16:$R$400,18,)</f>
        <v>24</v>
      </c>
      <c r="J25" s="219" t="str">
        <f>VLOOKUP($B25,'LGE Elect Proposed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F'!H24</f>
        <v>137596235.29384616</v>
      </c>
      <c r="E26" s="36">
        <f>-'SCH B-3 F'!I25</f>
        <v>90622567.623102635</v>
      </c>
      <c r="F26" s="72">
        <f>VLOOKUP($B26,'LGE Elect Proposed Depr Rates'!$A$16:$R$400,8,)/100</f>
        <v>2.7098902112942219E-2</v>
      </c>
      <c r="G26" s="36">
        <f>D26*F26</f>
        <v>3728706.9113373025</v>
      </c>
      <c r="H26" s="433" t="s">
        <v>1897</v>
      </c>
      <c r="I26" s="220">
        <f>VLOOKUP($B26,'LGE Elect Proposed Depr Rates'!$A$16:$R$400,18,)</f>
        <v>25.4</v>
      </c>
      <c r="J26" s="219" t="str">
        <f>VLOOKUP($B26,'LGE Elect Proposed Depr Rates'!$A$16:$R$400,16,)</f>
        <v>65-R3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F'!H25</f>
        <v>31478236.479230732</v>
      </c>
      <c r="E27" s="36">
        <f>-'SCH B-3 F'!I26</f>
        <v>4755861.0874499381</v>
      </c>
      <c r="F27" s="72">
        <f>VLOOKUP($B27,'LGE Elect Proposed Depr Rates'!$A$16:$R$400,8,)/100</f>
        <v>3.1434706485577009E-2</v>
      </c>
      <c r="G27" s="36">
        <f>D27*F27</f>
        <v>989509.12440820108</v>
      </c>
      <c r="H27" s="433" t="s">
        <v>1898</v>
      </c>
      <c r="I27" s="220">
        <f>VLOOKUP($B27,'LGE Elect Proposed Depr Rates'!$A$16:$R$400,18,)</f>
        <v>27.5</v>
      </c>
      <c r="J27" s="219" t="str">
        <f>VLOOKUP($B27,'LGE Elect Proposed Depr Rates'!$A$16:$R$400,16,)</f>
        <v>45-R2.5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F'!H26</f>
        <v>0</v>
      </c>
      <c r="E28" s="37">
        <f>-'SCH B-3 F'!I27</f>
        <v>0</v>
      </c>
      <c r="F28" s="72"/>
      <c r="G28" s="37"/>
      <c r="H28" s="73"/>
      <c r="I28" s="216"/>
      <c r="J28" s="17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1886824024.616914</v>
      </c>
      <c r="E29" s="34">
        <f>SUM(E21:E28)</f>
        <v>783118018.64988911</v>
      </c>
      <c r="F29" s="51"/>
      <c r="G29" s="34">
        <f>SUM(G21:G28)</f>
        <v>69484963.989572704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F'!H30</f>
        <v>6.5000000000000018</v>
      </c>
      <c r="E32" s="36">
        <f>-'SCH B-3 F'!I31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17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F'!H31</f>
        <v>12870684.620000001</v>
      </c>
      <c r="E33" s="36">
        <f>-'SCH B-3 F'!I32</f>
        <v>4777223.1038728692</v>
      </c>
      <c r="F33" s="72">
        <f>VLOOKUP($B33,'LGE Elect Proposed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Proposed Depr Rates'!$A$16:$R$400,18,)</f>
        <v>29.7</v>
      </c>
      <c r="J33" s="219" t="str">
        <f>VLOOKUP($B33,'LGE Elect Proposed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F'!H32</f>
        <v>26209847.310000002</v>
      </c>
      <c r="E34" s="36">
        <f>-'SCH B-3 F'!I33</f>
        <v>4155146.2993661999</v>
      </c>
      <c r="F34" s="72">
        <f>VLOOKUP($B34,'LGE Elect Proposed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Proposed Depr Rates'!$A$16:$R$400,18,)</f>
        <v>93.3</v>
      </c>
      <c r="J34" s="219" t="str">
        <f>VLOOKUP($B34,'LGE Elect Proposed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F'!H33</f>
        <v>101920448.2</v>
      </c>
      <c r="E35" s="36">
        <f>-'SCH B-3 F'!I34</f>
        <v>7086123.7091219909</v>
      </c>
      <c r="F35" s="72">
        <f>VLOOKUP($B35,'LGE Elect Proposed Depr Rates'!$A$16:$R$400,8,)/100</f>
        <v>3.2400000000000005E-2</v>
      </c>
      <c r="G35" s="36">
        <f t="shared" si="1"/>
        <v>3302222.5216800007</v>
      </c>
      <c r="H35" s="215">
        <v>-0.02</v>
      </c>
      <c r="I35" s="220">
        <f>VLOOKUP($B35,'LGE Elect Proposed Depr Rates'!$A$16:$R$400,18,)</f>
        <v>29.6</v>
      </c>
      <c r="J35" s="219" t="str">
        <f>VLOOKUP($B35,'LGE Elect Proposed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F'!H34</f>
        <v>13160323.68</v>
      </c>
      <c r="E36" s="36">
        <f>-'SCH B-3 F'!I35</f>
        <v>3557959.088</v>
      </c>
      <c r="F36" s="72">
        <f>VLOOKUP($B36,'LGE Elect Proposed Depr Rates'!$A$16:$R$400,8,)/100</f>
        <v>2.3899999999999998E-2</v>
      </c>
      <c r="G36" s="36">
        <f t="shared" si="1"/>
        <v>314531.73595199996</v>
      </c>
      <c r="H36" s="215">
        <v>-0.02</v>
      </c>
      <c r="I36" s="220">
        <f>VLOOKUP($B36,'LGE Elect Proposed Depr Rates'!$A$16:$R$400,18,)</f>
        <v>29.6</v>
      </c>
      <c r="J36" s="219" t="str">
        <f>VLOOKUP($B36,'LGE Elect Proposed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F'!H35</f>
        <v>3563125.7699999991</v>
      </c>
      <c r="E37" s="36">
        <f>-'SCH B-3 F'!I36</f>
        <v>472843.508150607</v>
      </c>
      <c r="F37" s="72">
        <f>VLOOKUP($B37,'LGE Elect Proposed Depr Rates'!$A$16:$R$400,8,)/100</f>
        <v>3.0899999999999997E-2</v>
      </c>
      <c r="G37" s="36">
        <f t="shared" si="1"/>
        <v>110100.58629299996</v>
      </c>
      <c r="H37" s="215">
        <v>-0.02</v>
      </c>
      <c r="I37" s="220">
        <f>VLOOKUP($B37,'LGE Elect Proposed Depr Rates'!$A$16:$R$400,18,)</f>
        <v>29.1</v>
      </c>
      <c r="J37" s="219" t="str">
        <f>VLOOKUP($B37,'LGE Elect Proposed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F'!H36</f>
        <v>85291.321538461518</v>
      </c>
      <c r="E38" s="36">
        <f>-'SCH B-3 F'!I37</f>
        <v>20768.69960076073</v>
      </c>
      <c r="F38" s="72">
        <f>VLOOKUP($B38,'LGE Elect Proposed Depr Rates'!$A$16:$R$400,8,)/100</f>
        <v>2.3153554170797053E-2</v>
      </c>
      <c r="G38" s="36">
        <f t="shared" si="1"/>
        <v>1974.7972335396382</v>
      </c>
      <c r="H38" s="215">
        <v>-0.02</v>
      </c>
      <c r="I38" s="220">
        <f>VLOOKUP($B38,'LGE Elect Proposed Depr Rates'!$A$16:$R$400,18,)</f>
        <v>16.8</v>
      </c>
      <c r="J38" s="219" t="str">
        <f>VLOOKUP($B38,'LGE Elect Proposed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F'!H37</f>
        <v>0</v>
      </c>
      <c r="E39" s="37">
        <f>-'SCH B-3 F'!I38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157809727.40153846</v>
      </c>
      <c r="E40" s="34">
        <f>SUM(E32:E39)</f>
        <v>20070064.408112429</v>
      </c>
      <c r="F40" s="72"/>
      <c r="G40" s="34">
        <f>SUM(G32:G39)</f>
        <v>4171811.0150862075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F'!H41</f>
        <v>414278.15999999992</v>
      </c>
      <c r="E43" s="36">
        <f>-'SCH B-3 F'!I42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F'!H42</f>
        <v>33942182.450000003</v>
      </c>
      <c r="E44" s="36">
        <f>-'SCH B-3 F'!I43</f>
        <v>14312859.462667925</v>
      </c>
      <c r="F44" s="72">
        <f>VLOOKUP($B44,'LGE Elect Proposed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Proposed Depr Rates'!$A$16:$R$400,18,)</f>
        <v>24.3</v>
      </c>
      <c r="J44" s="219" t="str">
        <f>VLOOKUP($B44,'LGE Elect Proposed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F'!H43</f>
        <v>24767192.59</v>
      </c>
      <c r="E45" s="36">
        <f>-'SCH B-3 F'!I44</f>
        <v>7435569.4747885996</v>
      </c>
      <c r="F45" s="72">
        <f>VLOOKUP($B45,'LGE Elect Proposed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Proposed Depr Rates'!$A$16:$R$400,18,)</f>
        <v>30.5</v>
      </c>
      <c r="J45" s="219" t="str">
        <f>VLOOKUP($B45,'LGE Elect Proposed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F'!H44</f>
        <v>252457120.51076865</v>
      </c>
      <c r="E46" s="36">
        <f>-'SCH B-3 F'!I45</f>
        <v>80438872.544156268</v>
      </c>
      <c r="F46" s="72">
        <f>VLOOKUP($B46,'LGE Elect Proposed Depr Rates'!$A$16:$R$400,8,)/100</f>
        <v>4.7073962091322349E-2</v>
      </c>
      <c r="G46" s="36">
        <f t="shared" si="2"/>
        <v>11884156.920608321</v>
      </c>
      <c r="H46" s="215" t="s">
        <v>1693</v>
      </c>
      <c r="I46" s="220">
        <f>VLOOKUP($B46,'LGE Elect Proposed Depr Rates'!$A$16:$R$400,18,)</f>
        <v>15.9</v>
      </c>
      <c r="J46" s="219" t="str">
        <f>VLOOKUP($B46,'LGE Elect Proposed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F'!H56</f>
        <v>59993738.64538461</v>
      </c>
      <c r="E47" s="36">
        <f>-'SCH B-3 F'!I58</f>
        <v>28039917.144538678</v>
      </c>
      <c r="F47" s="72">
        <f>VLOOKUP($B47,'LGE Elect Proposed Depr Rates'!$A$16:$R$400,8,)/100</f>
        <v>3.0642465844264475E-2</v>
      </c>
      <c r="G47" s="36">
        <f t="shared" si="2"/>
        <v>1838356.0873109277</v>
      </c>
      <c r="H47" s="215" t="s">
        <v>1692</v>
      </c>
      <c r="I47" s="220">
        <f>VLOOKUP($B47,'LGE Elect Proposed Depr Rates'!$A$16:$R$400,18,)</f>
        <v>24.6</v>
      </c>
      <c r="J47" s="219" t="str">
        <f>VLOOKUP($B47,'LGE Elect Proposed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F'!H57</f>
        <v>32561502.810000002</v>
      </c>
      <c r="E48" s="36">
        <f>-'SCH B-3 F'!I59</f>
        <v>14373539.540046344</v>
      </c>
      <c r="F48" s="72">
        <f>VLOOKUP($B48,'LGE Elect Proposed Depr Rates'!$A$16:$R$400,8,)/100</f>
        <v>4.8924262122443822E-2</v>
      </c>
      <c r="G48" s="36">
        <f t="shared" si="2"/>
        <v>1593047.4985771312</v>
      </c>
      <c r="H48" s="215" t="s">
        <v>1692</v>
      </c>
      <c r="I48" s="220">
        <f>VLOOKUP($B48,'LGE Elect Proposed Depr Rates'!$A$16:$R$400,18,)</f>
        <v>15.4</v>
      </c>
      <c r="J48" s="219" t="str">
        <f>VLOOKUP($B48,'LGE Elect Proposed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F'!H58</f>
        <v>5796098.6353846146</v>
      </c>
      <c r="E49" s="36">
        <f>-'SCH B-3 F'!I60</f>
        <v>2465890.258391412</v>
      </c>
      <c r="F49" s="72">
        <f>VLOOKUP($B49,'LGE Elect Proposed Depr Rates'!$A$16:$R$400,8,)/100</f>
        <v>4.0899999999999999E-2</v>
      </c>
      <c r="G49" s="36">
        <f t="shared" si="2"/>
        <v>237060.43418723074</v>
      </c>
      <c r="H49" s="215" t="s">
        <v>1694</v>
      </c>
      <c r="I49" s="220">
        <f>VLOOKUP($B49,'LGE Elect Proposed Depr Rates'!$A$16:$R$400,18,)</f>
        <v>15</v>
      </c>
      <c r="J49" s="219" t="str">
        <f>VLOOKUP($B49,'LGE Elect Proposed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F'!H59</f>
        <v>0</v>
      </c>
      <c r="E50" s="37">
        <f>-'SCH B-3 F'!I61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409932113.80153787</v>
      </c>
      <c r="E51" s="34">
        <f>SUM(E43:E46,E47:E50)</f>
        <v>147066648.42458922</v>
      </c>
      <c r="F51" s="34"/>
      <c r="G51" s="34">
        <f>SUM(G43:G46,G47:G50)</f>
        <v>17385074.008905683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F'!H63</f>
        <v>11144162.020000001</v>
      </c>
      <c r="E54" s="36">
        <f>-'SCH B-3 F'!I65</f>
        <v>3383898.4093759903</v>
      </c>
      <c r="F54" s="72">
        <f>VLOOKUP($B54,'LGE Elect Proposed Depr Rates'!$A$16:$R$400,8,)/100</f>
        <v>1.14E-2</v>
      </c>
      <c r="G54" s="36">
        <f t="shared" ref="G54:G62" si="3">D54*F54</f>
        <v>127043.44702800002</v>
      </c>
      <c r="H54" s="434">
        <f>VLOOKUP($B54,'LGE Elect Proposed Depr Rates'!$A$16:$R$400,6,)/100</f>
        <v>0</v>
      </c>
      <c r="I54" s="220">
        <f>VLOOKUP($B54,'LGE Elect Proposed Depr Rates'!$A$16:$R$400,18,)</f>
        <v>57.4</v>
      </c>
      <c r="J54" s="219" t="str">
        <f>VLOOKUP($B54,'LGE Elect Proposed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F'!H64</f>
        <v>17728931.077692308</v>
      </c>
      <c r="E55" s="36">
        <f>-'SCH B-3 F'!I66</f>
        <v>2930475.5629575048</v>
      </c>
      <c r="F55" s="72">
        <f>VLOOKUP($B55,'LGE Elect Proposed Depr Rates'!$A$16:$R$400,8,)/100</f>
        <v>1.7500000000000002E-2</v>
      </c>
      <c r="G55" s="36">
        <f t="shared" si="3"/>
        <v>310256.2938596154</v>
      </c>
      <c r="H55" s="434">
        <f>VLOOKUP($B55,'LGE Elect Proposed Depr Rates'!$A$16:$R$400,6,)/100</f>
        <v>-0.1</v>
      </c>
      <c r="I55" s="220">
        <f>VLOOKUP($B55,'LGE Elect Proposed Depr Rates'!$A$16:$R$400,18,)</f>
        <v>54</v>
      </c>
      <c r="J55" s="219" t="str">
        <f>VLOOKUP($B55,'LGE Elect Proposed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F'!H65</f>
        <v>247685387.55461532</v>
      </c>
      <c r="E56" s="36">
        <f>-'SCH B-3 F'!I67</f>
        <v>69835064.188986272</v>
      </c>
      <c r="F56" s="72">
        <f>VLOOKUP($B56,'LGE Elect Proposed Depr Rates'!$A$16:$R$400,8,)/100</f>
        <v>1.61E-2</v>
      </c>
      <c r="G56" s="36">
        <f t="shared" si="3"/>
        <v>3987734.7396293064</v>
      </c>
      <c r="H56" s="434">
        <f>VLOOKUP($B56,'LGE Elect Proposed Depr Rates'!$A$16:$R$400,6,)/100</f>
        <v>-0.15</v>
      </c>
      <c r="I56" s="220">
        <f>VLOOKUP($B56,'LGE Elect Proposed Depr Rates'!$A$16:$R$400,18,)</f>
        <v>47.8</v>
      </c>
      <c r="J56" s="219" t="str">
        <f>VLOOKUP($B56,'LGE Elect Proposed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F'!H66</f>
        <v>43849203.199999996</v>
      </c>
      <c r="E57" s="36">
        <f>-'SCH B-3 F'!I68</f>
        <v>27367472.998558301</v>
      </c>
      <c r="F57" s="72">
        <f>VLOOKUP($B57,'LGE Elect Proposed Depr Rates'!$A$16:$R$400,8,)/100</f>
        <v>1.84E-2</v>
      </c>
      <c r="G57" s="36">
        <f t="shared" si="3"/>
        <v>806825.33887999994</v>
      </c>
      <c r="H57" s="434">
        <f>VLOOKUP($B57,'LGE Elect Proposed Depr Rates'!$A$16:$R$400,6,)/100</f>
        <v>-0.5</v>
      </c>
      <c r="I57" s="220">
        <f>VLOOKUP($B57,'LGE Elect Proposed Depr Rates'!$A$16:$R$400,18,)</f>
        <v>51.2</v>
      </c>
      <c r="J57" s="219" t="str">
        <f>VLOOKUP($B57,'LGE Elect Proposed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F'!H67</f>
        <v>108569894.11769226</v>
      </c>
      <c r="E58" s="36">
        <f>-'SCH B-3 F'!I69</f>
        <v>30066993.192023233</v>
      </c>
      <c r="F58" s="72">
        <f>VLOOKUP($B58,'LGE Elect Proposed Depr Rates'!$A$16:$R$400,8,)/100</f>
        <v>2.98E-2</v>
      </c>
      <c r="G58" s="36">
        <f t="shared" si="3"/>
        <v>3235382.8447072296</v>
      </c>
      <c r="H58" s="434">
        <f>VLOOKUP($B58,'LGE Elect Proposed Depr Rates'!$A$16:$R$400,6,)/100</f>
        <v>-0.75</v>
      </c>
      <c r="I58" s="220">
        <f>VLOOKUP($B58,'LGE Elect Proposed Depr Rates'!$A$16:$R$400,18,)</f>
        <v>48.3</v>
      </c>
      <c r="J58" s="219" t="str">
        <f>VLOOKUP($B58,'LGE Elect Proposed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F'!H68</f>
        <v>62314300.349999994</v>
      </c>
      <c r="E59" s="36">
        <f>-'SCH B-3 F'!I70</f>
        <v>31811050.611528117</v>
      </c>
      <c r="F59" s="72">
        <f>VLOOKUP($B59,'LGE Elect Proposed Depr Rates'!$A$16:$R$400,8,)/100</f>
        <v>3.32E-2</v>
      </c>
      <c r="G59" s="36">
        <f t="shared" si="3"/>
        <v>2068834.7716199998</v>
      </c>
      <c r="H59" s="434">
        <f>VLOOKUP($B59,'LGE Elect Proposed Depr Rates'!$A$16:$R$400,6,)/100</f>
        <v>-0.75</v>
      </c>
      <c r="I59" s="220">
        <f>VLOOKUP($B59,'LGE Elect Proposed Depr Rates'!$A$16:$R$400,18,)</f>
        <v>37.799999999999997</v>
      </c>
      <c r="J59" s="219" t="str">
        <f>VLOOKUP($B59,'LGE Elect Proposed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F'!H69</f>
        <v>1804058.6900000004</v>
      </c>
      <c r="E60" s="36">
        <f>-'SCH B-3 F'!I71</f>
        <v>793676.15204479999</v>
      </c>
      <c r="F60" s="72">
        <f>VLOOKUP($B60,'LGE Elect Proposed Depr Rates'!$A$16:$R$400,8,)/100</f>
        <v>1.83E-2</v>
      </c>
      <c r="G60" s="36">
        <f t="shared" si="3"/>
        <v>33014.274027000007</v>
      </c>
      <c r="H60" s="434">
        <f>VLOOKUP($B60,'LGE Elect Proposed Depr Rates'!$A$16:$R$400,6,)/100</f>
        <v>-0.05</v>
      </c>
      <c r="I60" s="220">
        <f>VLOOKUP($B60,'LGE Elect Proposed Depr Rates'!$A$16:$R$400,18,)</f>
        <v>41.9</v>
      </c>
      <c r="J60" s="219" t="str">
        <f>VLOOKUP($B60,'LGE Elect Proposed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F'!H70</f>
        <v>7529169.8199999994</v>
      </c>
      <c r="E61" s="36">
        <f>-'SCH B-3 F'!I72</f>
        <v>3769453.3438790003</v>
      </c>
      <c r="F61" s="72">
        <f>VLOOKUP($B61,'LGE Elect Proposed Depr Rates'!$A$16:$R$400,8,)/100</f>
        <v>2.4399999999999998E-2</v>
      </c>
      <c r="G61" s="36">
        <f t="shared" si="3"/>
        <v>183711.74360799996</v>
      </c>
      <c r="H61" s="434">
        <f>VLOOKUP($B61,'LGE Elect Proposed Depr Rates'!$A$16:$R$400,6,)/100</f>
        <v>-0.1</v>
      </c>
      <c r="I61" s="220">
        <f>VLOOKUP($B61,'LGE Elect Proposed Depr Rates'!$A$16:$R$400,18,)</f>
        <v>29</v>
      </c>
      <c r="J61" s="219" t="str">
        <f>VLOOKUP($B61,'LGE Elect Proposed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F'!H71</f>
        <v>0</v>
      </c>
      <c r="E62" s="37">
        <f>-'SCH B-3 F'!I73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500625106.82999992</v>
      </c>
      <c r="E63" s="34">
        <f>SUM(E54:E62)</f>
        <v>169958084.45935324</v>
      </c>
      <c r="F63" s="34"/>
      <c r="G63" s="34">
        <f>SUM(G54:G62)</f>
        <v>10752803.453359149</v>
      </c>
      <c r="H63" s="74"/>
      <c r="I63" s="34"/>
      <c r="J63" s="34"/>
    </row>
    <row r="64" spans="1:10" s="16" customFormat="1" ht="20.100000000000001" customHeight="1">
      <c r="A64" s="831" t="str">
        <f>$A$1</f>
        <v>LOUISVILLE GAS AND ELECTRIC COMPANY</v>
      </c>
      <c r="B64" s="831"/>
      <c r="C64" s="831"/>
      <c r="D64" s="831"/>
      <c r="E64" s="831"/>
      <c r="F64" s="831"/>
      <c r="G64" s="831"/>
      <c r="H64" s="831"/>
      <c r="I64" s="831"/>
      <c r="J64" s="831"/>
    </row>
    <row r="65" spans="1:10" s="16" customFormat="1" ht="20.100000000000001" customHeight="1">
      <c r="A65" s="831" t="str">
        <f>$A$2</f>
        <v>CASE NO. 2018-00295 - ELECTRIC OPERATIONS</v>
      </c>
      <c r="B65" s="831"/>
      <c r="C65" s="831"/>
      <c r="D65" s="831"/>
      <c r="E65" s="831"/>
      <c r="F65" s="831"/>
      <c r="G65" s="831"/>
      <c r="H65" s="831"/>
      <c r="I65" s="831"/>
      <c r="J65" s="831"/>
    </row>
    <row r="66" spans="1:10" s="16" customFormat="1" ht="20.100000000000001" customHeight="1">
      <c r="A66" s="831" t="str">
        <f>$A$3</f>
        <v>DEPRECIATION ACCRUAL RATES AND ACCUMULATED BALANCES BY ACCOUNT</v>
      </c>
      <c r="B66" s="831"/>
      <c r="C66" s="831"/>
      <c r="D66" s="831"/>
      <c r="E66" s="831"/>
      <c r="F66" s="831"/>
      <c r="G66" s="831"/>
      <c r="H66" s="831"/>
      <c r="I66" s="831"/>
      <c r="J66" s="831"/>
    </row>
    <row r="67" spans="1:10" s="16" customFormat="1" ht="20.100000000000001" customHeight="1">
      <c r="A67" s="832" t="str">
        <f>$A$4</f>
        <v>AS OF APRIL 30, 2020</v>
      </c>
      <c r="B67" s="831"/>
      <c r="C67" s="831"/>
      <c r="D67" s="831"/>
      <c r="E67" s="831"/>
      <c r="F67" s="831"/>
      <c r="G67" s="831"/>
      <c r="H67" s="831"/>
      <c r="I67" s="831"/>
      <c r="J67" s="831"/>
    </row>
    <row r="68" spans="1:10" s="16" customFormat="1" ht="20.100000000000001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</row>
    <row r="69" spans="1:10" s="16" customFormat="1" ht="20.100000000000001" customHeight="1">
      <c r="A69" s="15" t="str">
        <f>$A$6</f>
        <v>DATA:____BASE  PERIOD__X__FORECASTED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_____ ORIGINAL  _____ UPDATED  __X__ REVISED</v>
      </c>
      <c r="I70" s="22"/>
      <c r="J70" s="22" t="s">
        <v>1504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39" t="s">
        <v>187</v>
      </c>
      <c r="E73" s="839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687</v>
      </c>
      <c r="E74" s="19" t="s">
        <v>688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F'!H75</f>
        <v>4103252.7200000021</v>
      </c>
      <c r="E78" s="36">
        <f>-'SCH B-3 F'!I77</f>
        <v>-46078.459999999992</v>
      </c>
      <c r="F78" s="72">
        <v>0</v>
      </c>
      <c r="G78" s="36">
        <f t="shared" ref="G78:G90" si="4">D78*F78</f>
        <v>0</v>
      </c>
      <c r="H78" s="434">
        <v>0</v>
      </c>
      <c r="I78" s="220"/>
      <c r="J78" s="219"/>
    </row>
    <row r="79" spans="1:10" ht="18.95" customHeight="1">
      <c r="A79" s="18">
        <f t="shared" ref="A79:A91" si="5">A78+1</f>
        <v>49</v>
      </c>
      <c r="B79" s="218">
        <v>361</v>
      </c>
      <c r="C79" s="26" t="s">
        <v>109</v>
      </c>
      <c r="D79" s="36">
        <f>'SCH B-2.1 F'!H76</f>
        <v>31522130.619999945</v>
      </c>
      <c r="E79" s="36">
        <f>-'SCH B-3 F'!I78</f>
        <v>1471844.436711302</v>
      </c>
      <c r="F79" s="72">
        <f>VLOOKUP($B79,'LGE Elect Proposed Depr Rates'!$A$16:$R$400,8,)/100</f>
        <v>2.0499999999999997E-2</v>
      </c>
      <c r="G79" s="36">
        <f t="shared" si="4"/>
        <v>646203.6777099988</v>
      </c>
      <c r="H79" s="434">
        <f>VLOOKUP($B79,'LGE Elect Proposed Depr Rates'!$A$16:$R$400,6,)/100</f>
        <v>-0.1</v>
      </c>
      <c r="I79" s="220">
        <f>VLOOKUP($B79,'LGE Elect Proposed Depr Rates'!$A$16:$R$400,18,)</f>
        <v>39.700000000000003</v>
      </c>
      <c r="J79" s="219" t="str">
        <f>VLOOKUP($B79,'LGE Elect Proposed Depr Rates'!$A$16:$R$400,16,)</f>
        <v>48-S0.5</v>
      </c>
    </row>
    <row r="80" spans="1:10" ht="18.95" customHeight="1">
      <c r="A80" s="18">
        <f t="shared" si="5"/>
        <v>50</v>
      </c>
      <c r="B80" s="218">
        <v>362</v>
      </c>
      <c r="C80" s="26" t="s">
        <v>752</v>
      </c>
      <c r="D80" s="36">
        <f>'SCH B-2.1 F'!H77</f>
        <v>155480834.24615383</v>
      </c>
      <c r="E80" s="36">
        <f>-'SCH B-3 F'!I79</f>
        <v>48973668.628778003</v>
      </c>
      <c r="F80" s="72">
        <f>VLOOKUP($B80,'LGE Elect Proposed Depr Rates'!$A$16:$R$400,8,)/100</f>
        <v>2.1000000000000001E-2</v>
      </c>
      <c r="G80" s="36">
        <f t="shared" si="4"/>
        <v>3265097.5191692305</v>
      </c>
      <c r="H80" s="434">
        <f>VLOOKUP($B80,'LGE Elect Proposed Depr Rates'!$A$16:$R$400,6,)/100</f>
        <v>-0.15</v>
      </c>
      <c r="I80" s="220">
        <f>VLOOKUP($B80,'LGE Elect Proposed Depr Rates'!$A$16:$R$400,18,)</f>
        <v>39.5</v>
      </c>
      <c r="J80" s="219" t="str">
        <f>VLOOKUP($B80,'LGE Elect Proposed Depr Rates'!$A$16:$R$400,16,)</f>
        <v>50-R1</v>
      </c>
    </row>
    <row r="81" spans="1:10" ht="18.95" customHeight="1">
      <c r="A81" s="18">
        <f t="shared" si="5"/>
        <v>51</v>
      </c>
      <c r="B81" s="218">
        <v>364</v>
      </c>
      <c r="C81" s="26" t="s">
        <v>754</v>
      </c>
      <c r="D81" s="36">
        <f>'SCH B-2.1 F'!H78</f>
        <v>215120718.84230724</v>
      </c>
      <c r="E81" s="36">
        <f>-'SCH B-3 F'!I80</f>
        <v>86275768.365819588</v>
      </c>
      <c r="F81" s="72">
        <f>VLOOKUP($B81,'LGE Elect Proposed Depr Rates'!$A$16:$R$400,8,)/100</f>
        <v>3.1800000000000002E-2</v>
      </c>
      <c r="G81" s="36">
        <f t="shared" si="4"/>
        <v>6840838.8591853706</v>
      </c>
      <c r="H81" s="434">
        <f>VLOOKUP($B81,'LGE Elect Proposed Depr Rates'!$A$16:$R$400,6,)/100</f>
        <v>-0.8</v>
      </c>
      <c r="I81" s="220">
        <f>VLOOKUP($B81,'LGE Elect Proposed Depr Rates'!$A$16:$R$400,18,)</f>
        <v>43.2</v>
      </c>
      <c r="J81" s="219" t="str">
        <f>VLOOKUP($B81,'LGE Elect Proposed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F'!H79</f>
        <v>377289104.34307593</v>
      </c>
      <c r="E82" s="36">
        <f>-'SCH B-3 F'!I81</f>
        <v>133403712.71753585</v>
      </c>
      <c r="F82" s="72">
        <f>VLOOKUP($B82,'LGE Elect Proposed Depr Rates'!$A$16:$R$400,8,)/100</f>
        <v>3.2500000000000001E-2</v>
      </c>
      <c r="G82" s="36">
        <f t="shared" si="4"/>
        <v>12261895.891149968</v>
      </c>
      <c r="H82" s="434">
        <f>VLOOKUP($B82,'LGE Elect Proposed Depr Rates'!$A$16:$R$400,6,)/100</f>
        <v>-0.75</v>
      </c>
      <c r="I82" s="220">
        <f>VLOOKUP($B82,'LGE Elect Proposed Depr Rates'!$A$16:$R$400,18,)</f>
        <v>42.1</v>
      </c>
      <c r="J82" s="219" t="str">
        <f>VLOOKUP($B82,'LGE Elect Proposed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F'!H80</f>
        <v>101000073.1415384</v>
      </c>
      <c r="E83" s="36">
        <f>-'SCH B-3 F'!I82</f>
        <v>34299691.669926263</v>
      </c>
      <c r="F83" s="72">
        <f>VLOOKUP($B83,'LGE Elect Proposed Depr Rates'!$A$16:$R$400,8,)/100</f>
        <v>1.6E-2</v>
      </c>
      <c r="G83" s="36">
        <f t="shared" si="4"/>
        <v>1616001.1702646143</v>
      </c>
      <c r="H83" s="434">
        <f>VLOOKUP($B83,'LGE Elect Proposed Depr Rates'!$A$16:$R$400,6,)/100</f>
        <v>-0.3</v>
      </c>
      <c r="I83" s="220">
        <f>VLOOKUP($B83,'LGE Elect Proposed Depr Rates'!$A$16:$R$400,18,)</f>
        <v>58.6</v>
      </c>
      <c r="J83" s="219" t="str">
        <f>VLOOKUP($B83,'LGE Elect Proposed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F'!H81</f>
        <v>294177307.13999945</v>
      </c>
      <c r="E84" s="36">
        <f>-'SCH B-3 F'!I83</f>
        <v>66296121.149860464</v>
      </c>
      <c r="F84" s="72">
        <f>VLOOKUP($B84,'LGE Elect Proposed Depr Rates'!$A$16:$R$400,8,)/100</f>
        <v>2.0599999999999997E-2</v>
      </c>
      <c r="G84" s="36">
        <f t="shared" si="4"/>
        <v>6060052.5270839874</v>
      </c>
      <c r="H84" s="434">
        <f>VLOOKUP($B84,'LGE Elect Proposed Depr Rates'!$A$16:$R$400,6,)/100</f>
        <v>-0.4</v>
      </c>
      <c r="I84" s="220">
        <f>VLOOKUP($B84,'LGE Elect Proposed Depr Rates'!$A$16:$R$400,18,)</f>
        <v>54.2</v>
      </c>
      <c r="J84" s="219" t="str">
        <f>VLOOKUP($B84,'LGE Elect Proposed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F'!H82</f>
        <v>176418522.2015385</v>
      </c>
      <c r="E85" s="36">
        <f>-'SCH B-3 F'!I84</f>
        <v>83543154.394344017</v>
      </c>
      <c r="F85" s="72">
        <f>VLOOKUP($B85,'LGE Elect Proposed Depr Rates'!$A$16:$R$400,8,)/100</f>
        <v>2.3299999999999998E-2</v>
      </c>
      <c r="G85" s="36">
        <f t="shared" si="4"/>
        <v>4110551.5672958465</v>
      </c>
      <c r="H85" s="434">
        <f>VLOOKUP($B85,'LGE Elect Proposed Depr Rates'!$A$16:$R$400,6,)/100</f>
        <v>-0.2</v>
      </c>
      <c r="I85" s="220">
        <f>VLOOKUP($B85,'LGE Elect Proposed Depr Rates'!$A$16:$R$400,18,)</f>
        <v>31.5</v>
      </c>
      <c r="J85" s="219" t="str">
        <f>VLOOKUP($B85,'LGE Elect Proposed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F'!H83</f>
        <v>37740878.411538459</v>
      </c>
      <c r="E86" s="36">
        <f>-'SCH B-3 F'!I85</f>
        <v>27449807.862494528</v>
      </c>
      <c r="F86" s="72">
        <f>VLOOKUP($B86,'LGE Elect Proposed Depr Rates'!$A$16:$R$400,8,)/100</f>
        <v>2.9121002460560909E-2</v>
      </c>
      <c r="G86" s="36">
        <f t="shared" si="4"/>
        <v>1099052.2130861415</v>
      </c>
      <c r="H86" s="435" t="s">
        <v>1697</v>
      </c>
      <c r="I86" s="220" t="str">
        <f>VLOOKUP($B86,'LGE Elect Proposed Depr Rates'!$A$16:$R$400,18,)</f>
        <v>34.6-37.4</v>
      </c>
      <c r="J86" s="219" t="str">
        <f>VLOOKUP($B86,'LGE Elect Proposed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F'!H84</f>
        <v>42039098.889999941</v>
      </c>
      <c r="E87" s="36">
        <f>-'SCH B-3 F'!I86</f>
        <v>25344595.055864614</v>
      </c>
      <c r="F87" s="72">
        <f>VLOOKUP($B87,'LGE Elect Proposed Depr Rates'!$A$16:$R$400,8,)/100</f>
        <v>2.980862131519648E-2</v>
      </c>
      <c r="G87" s="36">
        <f t="shared" si="4"/>
        <v>1253127.5792441049</v>
      </c>
      <c r="H87" s="434">
        <f>VLOOKUP($B87,'LGE Elect Proposed Depr Rates'!$A$16:$R$400,6,)/100</f>
        <v>0</v>
      </c>
      <c r="I87" s="220" t="str">
        <f>VLOOKUP($B87,'LGE Elect Proposed Depr Rates'!$A$16:$R$400,18,)</f>
        <v>4.3-15.7</v>
      </c>
      <c r="J87" s="219" t="str">
        <f>VLOOKUP($B87,'LGE Elect Proposed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F'!H85</f>
        <v>156536.14999999997</v>
      </c>
      <c r="E88" s="36">
        <f>-'SCH B-3 F'!I87</f>
        <v>18252.092712100002</v>
      </c>
      <c r="F88" s="72">
        <v>0</v>
      </c>
      <c r="G88" s="36"/>
      <c r="H88" s="434">
        <v>0</v>
      </c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F'!H86</f>
        <v>120047049.5030763</v>
      </c>
      <c r="E89" s="36">
        <f>-'SCH B-3 F'!I88</f>
        <v>47723397.779786453</v>
      </c>
      <c r="F89" s="72">
        <f>VLOOKUP($B89,'LGE Elect Proposed Depr Rates'!$A$16:$R$400,8,)/100</f>
        <v>4.3743726987595072E-2</v>
      </c>
      <c r="G89" s="36">
        <f t="shared" si="4"/>
        <v>5251305.3591288803</v>
      </c>
      <c r="H89" s="435" t="s">
        <v>1698</v>
      </c>
      <c r="I89" s="220" t="str">
        <f>VLOOKUP($B89,'LGE Elect Proposed Depr Rates'!$A$16:$R$400,18,)</f>
        <v>18.7-25.8</v>
      </c>
      <c r="J89" s="219" t="str">
        <f>VLOOKUP($B89,'LGE Elect Proposed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F'!H87</f>
        <v>0</v>
      </c>
      <c r="E90" s="37">
        <f>-'SCH B-3 F'!I89</f>
        <v>0</v>
      </c>
      <c r="F90" s="51"/>
      <c r="G90" s="37">
        <f t="shared" si="4"/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1555095506.209228</v>
      </c>
      <c r="E91" s="34">
        <f>SUM(E78:E90)</f>
        <v>554753935.69383323</v>
      </c>
      <c r="F91" s="34"/>
      <c r="G91" s="34">
        <f>SUM(G78:G90)</f>
        <v>42404126.363318145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F'!H101</f>
        <v>0</v>
      </c>
      <c r="E94" s="36">
        <f>-'SCH B-3 F'!I104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17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F'!H102</f>
        <v>0</v>
      </c>
      <c r="E95" s="36">
        <f>-'SCH B-3 F'!I105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22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F'!H103</f>
        <v>0</v>
      </c>
      <c r="E96" s="36">
        <f>-'SCH B-3 F'!I106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>I112</f>
        <v>2.8-18.00</v>
      </c>
      <c r="J96" s="222" t="str">
        <f>J112</f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F'!H104</f>
        <v>7107527.1846153857</v>
      </c>
      <c r="E97" s="36">
        <f>-'SCH B-3 F'!I107</f>
        <v>3326439.486601836</v>
      </c>
      <c r="F97" s="72">
        <f>VLOOKUP($B97,'LGE Elect Proposed Depr Rates'!$A$16:$R$400,8,)/100</f>
        <v>4.3050747104819514E-2</v>
      </c>
      <c r="G97" s="36">
        <f t="shared" si="7"/>
        <v>305984.35536550684</v>
      </c>
      <c r="H97" s="73">
        <v>0</v>
      </c>
      <c r="I97" s="220" t="str">
        <f>VLOOKUP($B97,'LGE Elect Proposed Depr Rates'!$A$16:$R$400,18,)</f>
        <v>10.7-14.4</v>
      </c>
      <c r="J97" s="219" t="str">
        <f>VLOOKUP($B97,'LGE Elect Proposed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F'!H105</f>
        <v>0</v>
      </c>
      <c r="E98" s="36">
        <f>-'SCH B-3 F'!I108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>I114</f>
        <v>8.6999999999999993</v>
      </c>
      <c r="J98" s="222" t="str">
        <f>J114</f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F'!H106</f>
        <v>6957514.1876923023</v>
      </c>
      <c r="E99" s="36">
        <f>-'SCH B-3 F'!I109</f>
        <v>2938282.7071515382</v>
      </c>
      <c r="F99" s="72">
        <f>VLOOKUP($B99,'LGE Elect Proposed Depr Rates'!$A$16:$R$400,8,)/100</f>
        <v>4.2799999999999991E-2</v>
      </c>
      <c r="G99" s="36">
        <f t="shared" si="7"/>
        <v>297781.60723323049</v>
      </c>
      <c r="H99" s="73">
        <v>0</v>
      </c>
      <c r="I99" s="220">
        <f>VLOOKUP($B99,'LGE Elect Proposed Depr Rates'!$A$16:$R$400,18,)</f>
        <v>14.8</v>
      </c>
      <c r="J99" s="219" t="str">
        <f>VLOOKUP($B99,'LGE Elect Proposed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F'!H107</f>
        <v>0</v>
      </c>
      <c r="E100" s="36">
        <f>-'SCH B-3 F'!I110</f>
        <v>0</v>
      </c>
      <c r="F100" s="72">
        <v>0</v>
      </c>
      <c r="H100" s="73">
        <v>0</v>
      </c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F'!H108</f>
        <v>2084182.35</v>
      </c>
      <c r="E101" s="36">
        <f>-'SCH B-3 F'!I111</f>
        <v>1620717.2106283</v>
      </c>
      <c r="F101" s="72">
        <f>VLOOKUP($B101,'LGE Elect Proposed Depr Rates'!$A$16:$R$400,8,)/100</f>
        <v>6.9449505102644159E-3</v>
      </c>
      <c r="G101" s="36">
        <f t="shared" si="7"/>
        <v>14474.54327511659</v>
      </c>
      <c r="H101" s="73">
        <v>0</v>
      </c>
      <c r="I101" s="220" t="str">
        <f>VLOOKUP($B101,'LGE Elect Proposed Depr Rates'!$A$16:$R$400,18,)</f>
        <v>16.4-17.1</v>
      </c>
      <c r="J101" s="219" t="str">
        <f>VLOOKUP($B101,'LGE Elect Proposed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F'!H109</f>
        <v>0</v>
      </c>
      <c r="E102" s="36">
        <f>-'SCH B-3 F'!I112</f>
        <v>0</v>
      </c>
      <c r="F102" s="72">
        <f>VLOOKUP($B102,'LGE Elect Proposed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Proposed Depr Rates'!$A$16:$R$400,18,)</f>
        <v>6.5</v>
      </c>
      <c r="J102" s="219" t="str">
        <f>VLOOKUP($B102,'LGE Elect Proposed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F'!H110</f>
        <v>0</v>
      </c>
      <c r="E103" s="37">
        <f>-'SCH B-3 F'!I113</f>
        <v>0</v>
      </c>
      <c r="F103" s="72">
        <f>F119</f>
        <v>0</v>
      </c>
      <c r="G103" s="37">
        <f t="shared" si="7"/>
        <v>0</v>
      </c>
      <c r="H103" s="73">
        <v>0</v>
      </c>
      <c r="I103" s="220">
        <f>I119</f>
        <v>0</v>
      </c>
      <c r="J103" s="222">
        <f>J119</f>
        <v>0</v>
      </c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16149223.722307688</v>
      </c>
      <c r="E104" s="34">
        <f>SUM(E94:E103)</f>
        <v>7885439.4043816747</v>
      </c>
      <c r="F104" s="34"/>
      <c r="G104" s="34">
        <f>SUM(G95:G103)</f>
        <v>618240.50587385392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F'!H114</f>
        <v>57809.780099999924</v>
      </c>
      <c r="E107" s="34">
        <f>-'SCH B-3 F'!I117</f>
        <v>0</v>
      </c>
      <c r="F107" s="72">
        <v>0</v>
      </c>
      <c r="G107" s="36">
        <f t="shared" ref="G107:G115" si="8">D107*F107</f>
        <v>0</v>
      </c>
      <c r="H107" s="34"/>
      <c r="I107" s="34"/>
    </row>
    <row r="108" spans="1:10" ht="18.95" customHeight="1">
      <c r="A108" s="18">
        <f t="shared" ref="A108:A121" si="9">A107+1</f>
        <v>76</v>
      </c>
      <c r="B108" s="218">
        <v>302</v>
      </c>
      <c r="C108" s="26" t="s">
        <v>695</v>
      </c>
      <c r="D108" s="34">
        <f>'SCH B-2.1 F'!H115</f>
        <v>0</v>
      </c>
      <c r="E108" s="34">
        <f>-'SCH B-3 F'!I118</f>
        <v>0</v>
      </c>
      <c r="F108" s="72">
        <v>0</v>
      </c>
      <c r="G108" s="36">
        <f t="shared" si="8"/>
        <v>0</v>
      </c>
      <c r="H108" s="35"/>
      <c r="I108" s="36"/>
    </row>
    <row r="109" spans="1:10" ht="18.95" customHeight="1">
      <c r="A109" s="18">
        <f t="shared" si="9"/>
        <v>77</v>
      </c>
      <c r="B109" s="218">
        <v>303</v>
      </c>
      <c r="C109" s="26" t="s">
        <v>697</v>
      </c>
      <c r="D109" s="36">
        <f>'SCH B-2.1 F'!H116</f>
        <v>59950103.073092207</v>
      </c>
      <c r="E109" s="36">
        <f>-'SCH B-3 F'!I119</f>
        <v>24516340.600240812</v>
      </c>
      <c r="F109" s="72">
        <f>VLOOKUP($B109,'LGE Common Proposed Depr Rates'!$A$12:$Q$70,7,)/100</f>
        <v>0.16178079557887692</v>
      </c>
      <c r="G109" s="36">
        <f t="shared" si="8"/>
        <v>9698775.3702005316</v>
      </c>
      <c r="H109" s="73">
        <v>0</v>
      </c>
      <c r="I109" s="220" t="str">
        <f>VLOOKUP($B109,'LGE Common Proposed Depr Rates'!$A$12:$Q$70,17,)</f>
        <v>3.00-3.50</v>
      </c>
      <c r="J109" s="222" t="str">
        <f>VLOOKUP($B109,'LGE Common Proposed Depr Rates'!$A$12:$Q$65,15,)</f>
        <v>5-SQ,SQUARE</v>
      </c>
    </row>
    <row r="110" spans="1:10" ht="18.95" customHeight="1">
      <c r="A110" s="18">
        <f t="shared" si="9"/>
        <v>78</v>
      </c>
      <c r="B110" s="218">
        <v>389</v>
      </c>
      <c r="C110" s="26" t="s">
        <v>115</v>
      </c>
      <c r="D110" s="36">
        <f>'SCH B-2.1 F'!H117</f>
        <v>1079432.1152999999</v>
      </c>
      <c r="E110" s="36">
        <f>-'SCH B-3 F'!I120</f>
        <v>0</v>
      </c>
      <c r="F110" s="72">
        <v>0</v>
      </c>
      <c r="G110" s="36">
        <f t="shared" si="8"/>
        <v>0</v>
      </c>
      <c r="H110" s="73">
        <v>0</v>
      </c>
      <c r="I110" s="220"/>
      <c r="J110" s="222"/>
    </row>
    <row r="111" spans="1:10" ht="18.95" customHeight="1">
      <c r="A111" s="18">
        <f t="shared" si="9"/>
        <v>79</v>
      </c>
      <c r="B111" s="218">
        <v>390</v>
      </c>
      <c r="C111" s="26" t="s">
        <v>109</v>
      </c>
      <c r="D111" s="36">
        <f>'SCH B-2.1 F'!H118</f>
        <v>62105491.306084521</v>
      </c>
      <c r="E111" s="36">
        <f>-'SCH B-3 F'!I121</f>
        <v>27165062.378519215</v>
      </c>
      <c r="F111" s="72">
        <f>VLOOKUP($B111,'LGE Common Proposed Depr Rates'!$A$12:$Q$65,7,)/100</f>
        <v>2.64E-2</v>
      </c>
      <c r="G111" s="36">
        <f t="shared" si="8"/>
        <v>1639584.9704806313</v>
      </c>
      <c r="H111" s="215" t="s">
        <v>1905</v>
      </c>
      <c r="I111" s="220" t="str">
        <f>VLOOKUP($B111,'LGE Common Proposed Depr Rates'!$A$12:$Q$70,17,)</f>
        <v>18.10-37.10</v>
      </c>
      <c r="J111" s="222" t="str">
        <f>VLOOKUP($B111,'LGE Common Proposed Depr Rates'!$A$12:$Q$65,15,)</f>
        <v>30-L0.5,40-S0.5</v>
      </c>
    </row>
    <row r="112" spans="1:10" ht="18.95" customHeight="1">
      <c r="A112" s="18">
        <f t="shared" si="9"/>
        <v>80</v>
      </c>
      <c r="B112" s="218">
        <v>391</v>
      </c>
      <c r="C112" s="26" t="s">
        <v>117</v>
      </c>
      <c r="D112" s="36">
        <f>'SCH B-2.1 F'!H119</f>
        <v>28747766.036538459</v>
      </c>
      <c r="E112" s="36">
        <f>-'SCH B-3 F'!I122</f>
        <v>11650104.174065223</v>
      </c>
      <c r="F112" s="72">
        <f>VLOOKUP($B112,'LGE Common Proposed Depr Rates'!$A$12:$Q$65,7,)/100</f>
        <v>0.15789999999999998</v>
      </c>
      <c r="G112" s="36">
        <f t="shared" si="8"/>
        <v>4539272.2571694227</v>
      </c>
      <c r="H112" s="73">
        <v>0</v>
      </c>
      <c r="I112" s="220" t="str">
        <f>VLOOKUP($B112,'LGE Common Proposed Depr Rates'!$A$12:$Q$70,17,)</f>
        <v>2.8-18.00</v>
      </c>
      <c r="J112" s="222" t="str">
        <f>VLOOKUP($B112,'LGE Common Proposed Depr Rates'!$A$12:$Q$65,15,)</f>
        <v>4-5-15-20-SQ</v>
      </c>
    </row>
    <row r="113" spans="1:16" ht="18.95" customHeight="1">
      <c r="A113" s="18">
        <f t="shared" si="9"/>
        <v>81</v>
      </c>
      <c r="B113" s="218">
        <v>392</v>
      </c>
      <c r="C113" s="26" t="s">
        <v>116</v>
      </c>
      <c r="D113" s="36">
        <f>'SCH B-2.1 F'!H120</f>
        <v>224487.9327</v>
      </c>
      <c r="E113" s="36">
        <f>-'SCH B-3 F'!I123</f>
        <v>116561.7335960303</v>
      </c>
      <c r="F113" s="72">
        <f>VLOOKUP($B113,'LGE Common Proposed Depr Rates'!$A$12:$Q$65,7,)/100</f>
        <v>3.6799999999999999E-2</v>
      </c>
      <c r="G113" s="36">
        <f t="shared" si="8"/>
        <v>8261.1559233600001</v>
      </c>
      <c r="H113" s="73" t="s">
        <v>1907</v>
      </c>
      <c r="I113" s="220" t="str">
        <f>VLOOKUP($B113,'LGE Common Proposed Depr Rates'!$A$12:$Q$70,17,)</f>
        <v>6.0-9.6</v>
      </c>
      <c r="J113" s="222" t="str">
        <f>VLOOKUP($B113,'LGE Common Proposed Depr Rates'!$A$12:$Q$65,15,)</f>
        <v>9-S2.5, 12-S0.5, 23-L1.5</v>
      </c>
    </row>
    <row r="114" spans="1:16" ht="18.95" customHeight="1">
      <c r="A114" s="18">
        <f t="shared" si="9"/>
        <v>82</v>
      </c>
      <c r="B114" s="218">
        <v>393</v>
      </c>
      <c r="C114" s="26" t="s">
        <v>774</v>
      </c>
      <c r="D114" s="36">
        <f>'SCH B-2.1 F'!H121</f>
        <v>1181432.6832000003</v>
      </c>
      <c r="E114" s="36">
        <f>-'SCH B-3 F'!I124</f>
        <v>796186.55348612985</v>
      </c>
      <c r="F114" s="72">
        <f>VLOOKUP($B114,'LGE Common Proposed Depr Rates'!$A$12:$Q$65,7,)/100</f>
        <v>5.1500000000000004E-2</v>
      </c>
      <c r="G114" s="36">
        <f t="shared" si="8"/>
        <v>60843.783184800021</v>
      </c>
      <c r="H114" s="73">
        <v>0</v>
      </c>
      <c r="I114" s="220">
        <f>VLOOKUP($B114,'LGE Common Proposed Depr Rates'!$A$12:$Q$70,17,)</f>
        <v>8.6999999999999993</v>
      </c>
      <c r="J114" s="222" t="str">
        <f>VLOOKUP($B114,'LGE Common Proposed Depr Rates'!$A$12:$Q$65,15,)</f>
        <v>25-SQ</v>
      </c>
    </row>
    <row r="115" spans="1:16" ht="18.95" customHeight="1">
      <c r="A115" s="18">
        <f t="shared" si="9"/>
        <v>83</v>
      </c>
      <c r="B115" s="218">
        <v>394</v>
      </c>
      <c r="C115" s="26" t="s">
        <v>776</v>
      </c>
      <c r="D115" s="36">
        <f>'SCH B-2.1 F'!H122</f>
        <v>2893187.7043384616</v>
      </c>
      <c r="E115" s="36">
        <f>-'SCH B-3 F'!I125</f>
        <v>1764903.2255947613</v>
      </c>
      <c r="F115" s="72">
        <f>VLOOKUP($B115,'LGE Common Proposed Depr Rates'!$A$12:$Q$65,7,)/100</f>
        <v>4.2500000000000003E-2</v>
      </c>
      <c r="G115" s="36">
        <f t="shared" si="8"/>
        <v>122960.47743438462</v>
      </c>
      <c r="H115" s="73">
        <v>0</v>
      </c>
      <c r="I115" s="220">
        <f>VLOOKUP($B115,'LGE Common Proposed Depr Rates'!$A$12:$Q$70,17,)</f>
        <v>11.7</v>
      </c>
      <c r="J115" s="222" t="str">
        <f>VLOOKUP($B115,'LGE Common Proposed Depr Rates'!$A$12:$Q$65,15,)</f>
        <v>25-SQ</v>
      </c>
    </row>
    <row r="116" spans="1:16" ht="18.95" customHeight="1">
      <c r="A116" s="18">
        <f t="shared" si="9"/>
        <v>84</v>
      </c>
      <c r="B116" s="218">
        <v>395</v>
      </c>
      <c r="C116" s="26" t="s">
        <v>778</v>
      </c>
      <c r="D116" s="36">
        <f>'SCH B-2.1 F'!H123</f>
        <v>0</v>
      </c>
      <c r="E116" s="36">
        <f>-'SCH B-3 F'!I126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9"/>
        <v>85</v>
      </c>
      <c r="B117" s="218">
        <v>396</v>
      </c>
      <c r="C117" s="26" t="s">
        <v>780</v>
      </c>
      <c r="D117" s="36">
        <f>'SCH B-2.1 F'!H124</f>
        <v>365595.60299999994</v>
      </c>
      <c r="E117" s="36">
        <f>-'SCH B-3 F'!I127</f>
        <v>174554.82833352944</v>
      </c>
      <c r="F117" s="72">
        <f>VLOOKUP($B117,'LGE Common Proposed Depr Rates'!$A$12:$Q$65,7,)/100</f>
        <v>3.8E-3</v>
      </c>
      <c r="G117" s="36">
        <f>D117*F117</f>
        <v>1389.2632913999998</v>
      </c>
      <c r="H117" s="73" t="s">
        <v>1908</v>
      </c>
      <c r="I117" s="220" t="str">
        <f>VLOOKUP($B117,'LGE Common Proposed Depr Rates'!$A$12:$Q$70,17,)</f>
        <v>3.7-10.6</v>
      </c>
      <c r="J117" s="222" t="str">
        <f>VLOOKUP($B117,'LGE Common Proposed Depr Rates'!$A$12:$Q$65,15,)</f>
        <v>22-L4, 24-L2.5</v>
      </c>
    </row>
    <row r="118" spans="1:16" ht="18.95" customHeight="1">
      <c r="A118" s="18">
        <f t="shared" si="9"/>
        <v>86</v>
      </c>
      <c r="B118" s="218">
        <v>397</v>
      </c>
      <c r="C118" s="26" t="s">
        <v>118</v>
      </c>
      <c r="D118" s="36">
        <f>'SCH B-2.1 F'!H125</f>
        <v>26575797.529753774</v>
      </c>
      <c r="E118" s="36">
        <f>-'SCH B-3 F'!I128</f>
        <v>19028999.733658597</v>
      </c>
      <c r="F118" s="72">
        <f>VLOOKUP($B118,'LGE Common Proposed Depr Rates'!$A$12:$Q$65,7,)/100</f>
        <v>1.6899999999999998E-2</v>
      </c>
      <c r="G118" s="36">
        <f>D118*F118</f>
        <v>449130.97825283871</v>
      </c>
      <c r="H118" s="73">
        <v>0</v>
      </c>
      <c r="I118" s="220" t="str">
        <f>VLOOKUP($B118,'LGE Common Proposed Depr Rates'!$A$12:$Q$70,17,)</f>
        <v>3.5-25.9</v>
      </c>
      <c r="J118" s="222" t="str">
        <f>VLOOKUP($B118,'LGE Common Proposed Depr Rates'!$A$12:$Q$65,15,)</f>
        <v>10-SQ, 22-L2</v>
      </c>
    </row>
    <row r="119" spans="1:16" ht="18.95" customHeight="1">
      <c r="A119" s="18">
        <f t="shared" si="9"/>
        <v>87</v>
      </c>
      <c r="B119" s="218">
        <v>398</v>
      </c>
      <c r="C119" s="26" t="s">
        <v>783</v>
      </c>
      <c r="D119" s="36">
        <f>'SCH B-2.1 F'!H126</f>
        <v>0</v>
      </c>
      <c r="E119" s="36">
        <f>-'SCH B-3 F'!I129</f>
        <v>0</v>
      </c>
      <c r="F119" s="72">
        <v>0</v>
      </c>
      <c r="G119" s="36">
        <f>D119*F119</f>
        <v>0</v>
      </c>
      <c r="H119" s="73"/>
      <c r="I119" s="220"/>
      <c r="J119" s="222"/>
    </row>
    <row r="120" spans="1:16" ht="18.95" customHeight="1">
      <c r="A120" s="18">
        <f t="shared" si="9"/>
        <v>88</v>
      </c>
      <c r="B120" s="218">
        <v>399</v>
      </c>
      <c r="C120" s="26" t="s">
        <v>926</v>
      </c>
      <c r="D120" s="37">
        <f>'SCH B-2.1 F'!H127</f>
        <v>0</v>
      </c>
      <c r="E120" s="37">
        <f>-'SCH B-3 F'!I130</f>
        <v>0</v>
      </c>
      <c r="F120" s="55"/>
      <c r="G120" s="37"/>
      <c r="H120" s="36"/>
      <c r="I120" s="36"/>
    </row>
    <row r="121" spans="1:16" ht="18.95" customHeight="1">
      <c r="A121" s="18">
        <f t="shared" si="9"/>
        <v>89</v>
      </c>
      <c r="B121" s="218"/>
      <c r="C121" s="26" t="s">
        <v>945</v>
      </c>
      <c r="D121" s="34">
        <f>SUM(D107:D120)</f>
        <v>183181103.76410741</v>
      </c>
      <c r="E121" s="34">
        <f>SUM(E107:E120)</f>
        <v>85212713.227494299</v>
      </c>
      <c r="F121" s="34"/>
      <c r="G121" s="34">
        <f>SUM(G107:G120)</f>
        <v>16520218.25593737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4709619046.6356335</v>
      </c>
      <c r="E123" s="42">
        <f>SUM(E18,E29,E40,E51,E63,E91,E104,E121)</f>
        <v>1768064904.267653</v>
      </c>
      <c r="F123" s="34"/>
      <c r="G123" s="42">
        <f>SUM(G18,G29,G40,G51,G63,G91,G104,G121)</f>
        <v>161337237.59205312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3" fitToHeight="0" orientation="portrait" r:id="rId1"/>
  <rowBreaks count="1" manualBreakCount="1">
    <brk id="63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5.6640625" style="17" customWidth="1"/>
    <col min="4" max="5" width="13.6640625" style="17" customWidth="1"/>
    <col min="6" max="6" width="14.21875" style="17" customWidth="1"/>
    <col min="7" max="7" width="13.6640625" style="17" customWidth="1"/>
    <col min="8" max="8" width="15.77734375" style="17" customWidth="1"/>
    <col min="9" max="10" width="1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0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0" s="16" customFormat="1" ht="20.100000000000001" customHeight="1">
      <c r="A3" s="831" t="s">
        <v>194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0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150"/>
      <c r="I5" s="150"/>
      <c r="J5" s="40"/>
    </row>
    <row r="6" spans="1:10" s="16" customFormat="1" ht="20.100000000000001" customHeight="1">
      <c r="A6" s="15" t="s">
        <v>94</v>
      </c>
      <c r="D6" s="22"/>
      <c r="E6" s="22"/>
      <c r="F6" s="22"/>
      <c r="H6" s="22"/>
      <c r="I6" s="22"/>
      <c r="J6" s="22" t="s">
        <v>245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D7" s="22"/>
      <c r="E7" s="22"/>
      <c r="F7" s="22"/>
      <c r="H7" s="22"/>
      <c r="I7" s="22"/>
      <c r="J7" s="22" t="s">
        <v>137</v>
      </c>
    </row>
    <row r="8" spans="1:10" s="16" customFormat="1" ht="20.100000000000001" customHeight="1">
      <c r="A8" s="15" t="s">
        <v>365</v>
      </c>
      <c r="D8" s="23"/>
      <c r="E8" s="23"/>
      <c r="F8" s="23"/>
      <c r="H8" s="23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39" t="s">
        <v>250</v>
      </c>
      <c r="E10" s="839"/>
      <c r="F10" s="48"/>
      <c r="G10" s="48"/>
      <c r="H10" s="48"/>
      <c r="I10" s="48"/>
      <c r="J10" s="48"/>
    </row>
    <row r="11" spans="1:10" ht="39" customHeight="1">
      <c r="A11" s="19" t="s">
        <v>92</v>
      </c>
      <c r="B11" s="26" t="s">
        <v>198</v>
      </c>
      <c r="C11" s="19" t="s">
        <v>246</v>
      </c>
      <c r="D11" s="19" t="s">
        <v>247</v>
      </c>
      <c r="E11" s="19" t="s">
        <v>248</v>
      </c>
      <c r="F11" s="19" t="s">
        <v>249</v>
      </c>
      <c r="G11" s="19" t="s">
        <v>184</v>
      </c>
      <c r="H11" s="19" t="s">
        <v>185</v>
      </c>
      <c r="I11" s="19" t="s">
        <v>186</v>
      </c>
      <c r="J11" s="19" t="s">
        <v>187</v>
      </c>
    </row>
    <row r="12" spans="1:10" ht="23.1" customHeight="1">
      <c r="A12" s="28"/>
      <c r="B12" s="29"/>
      <c r="C12" s="30" t="s">
        <v>103</v>
      </c>
      <c r="D12" s="30" t="s">
        <v>103</v>
      </c>
      <c r="E12" s="30" t="s">
        <v>103</v>
      </c>
      <c r="F12" s="30" t="s">
        <v>103</v>
      </c>
      <c r="G12" s="30"/>
      <c r="H12" s="30" t="s">
        <v>103</v>
      </c>
      <c r="I12" s="30" t="s">
        <v>103</v>
      </c>
      <c r="J12" s="30" t="s">
        <v>103</v>
      </c>
    </row>
    <row r="13" spans="1:10" ht="23.1" customHeight="1">
      <c r="A13" s="21"/>
      <c r="B13" s="26" t="s">
        <v>205</v>
      </c>
      <c r="C13" s="43"/>
      <c r="D13" s="43"/>
      <c r="E13" s="43"/>
      <c r="F13" s="43"/>
      <c r="G13" s="43"/>
      <c r="H13" s="43"/>
      <c r="I13" s="43"/>
      <c r="J13" s="43"/>
    </row>
    <row r="14" spans="1:10" ht="18.95" customHeight="1">
      <c r="A14" s="18">
        <v>1</v>
      </c>
      <c r="B14" s="26" t="s">
        <v>1032</v>
      </c>
      <c r="C14" s="34">
        <f>SUMIFS('FC CWIP &amp; RWIP B'!$P$6:$P$17,'FC CWIP &amp; RWIP B'!$A$6:$A$17,B14)*1000</f>
        <v>0</v>
      </c>
      <c r="D14" s="34">
        <v>0</v>
      </c>
      <c r="E14" s="34">
        <v>0</v>
      </c>
      <c r="F14" s="34">
        <f>SUM(C14:E14)</f>
        <v>0</v>
      </c>
      <c r="G14" s="51">
        <v>1</v>
      </c>
      <c r="H14" s="34">
        <f>F14*G14</f>
        <v>0</v>
      </c>
      <c r="I14" s="34"/>
      <c r="J14" s="34">
        <f>SUM(H14:I14)</f>
        <v>0</v>
      </c>
    </row>
    <row r="15" spans="1:10" ht="18.95" customHeight="1">
      <c r="A15" s="18"/>
      <c r="B15" s="26"/>
      <c r="C15" s="34"/>
      <c r="D15" s="34"/>
      <c r="E15" s="34"/>
      <c r="F15" s="34"/>
      <c r="G15" s="51"/>
      <c r="H15" s="34"/>
      <c r="I15" s="34"/>
      <c r="J15" s="34"/>
    </row>
    <row r="16" spans="1:10" ht="18.95" customHeight="1">
      <c r="A16" s="18">
        <v>2</v>
      </c>
      <c r="B16" s="26" t="s">
        <v>979</v>
      </c>
      <c r="C16" s="34">
        <f>SUMIFS('FC CWIP &amp; RWIP B'!$P$6:$P$17,'FC CWIP &amp; RWIP B'!$A$6:$A$17,B16)*1000</f>
        <v>259918845.31999978</v>
      </c>
      <c r="D16" s="34">
        <v>0</v>
      </c>
      <c r="E16" s="34">
        <v>0</v>
      </c>
      <c r="F16" s="34">
        <f>SUM(C16:E16)</f>
        <v>259918845.31999978</v>
      </c>
      <c r="G16" s="51">
        <v>1</v>
      </c>
      <c r="H16" s="34">
        <f>F16*G16</f>
        <v>259918845.31999978</v>
      </c>
      <c r="I16" s="34">
        <f>'SCH B-4.1'!E12</f>
        <v>-246591619.20999989</v>
      </c>
      <c r="J16" s="34">
        <f>SUM(H16:I16)</f>
        <v>13327226.109999895</v>
      </c>
    </row>
    <row r="17" spans="1:10" ht="18.95" customHeight="1">
      <c r="A17" s="18"/>
      <c r="B17" s="26"/>
      <c r="C17" s="34"/>
      <c r="D17" s="34"/>
      <c r="E17" s="34"/>
      <c r="F17" s="34"/>
      <c r="G17" s="51"/>
      <c r="H17" s="34"/>
      <c r="I17" s="34"/>
      <c r="J17" s="34"/>
    </row>
    <row r="18" spans="1:10" ht="18.95" customHeight="1">
      <c r="A18" s="18">
        <v>3</v>
      </c>
      <c r="B18" s="26" t="s">
        <v>189</v>
      </c>
      <c r="C18" s="34">
        <f>SUMIFS('FC CWIP &amp; RWIP B'!$P$6:$P$17,'FC CWIP &amp; RWIP B'!$A$6:$A$17,B18)*1000</f>
        <v>7453679.4000000004</v>
      </c>
      <c r="D18" s="34">
        <v>0</v>
      </c>
      <c r="E18" s="34">
        <v>0</v>
      </c>
      <c r="F18" s="34">
        <f>SUM(C18:E18)</f>
        <v>7453679.4000000004</v>
      </c>
      <c r="G18" s="51">
        <v>1</v>
      </c>
      <c r="H18" s="34">
        <f>F18*G18</f>
        <v>7453679.4000000004</v>
      </c>
      <c r="I18" s="34"/>
      <c r="J18" s="34">
        <f>SUM(H18:I18)</f>
        <v>7453679.4000000004</v>
      </c>
    </row>
    <row r="19" spans="1:10" ht="18.95" customHeight="1">
      <c r="A19" s="18"/>
      <c r="B19" s="26"/>
      <c r="C19" s="34"/>
      <c r="D19" s="34"/>
      <c r="E19" s="34"/>
      <c r="F19" s="34"/>
      <c r="G19" s="34"/>
      <c r="H19" s="34"/>
      <c r="I19" s="34"/>
      <c r="J19" s="34"/>
    </row>
    <row r="20" spans="1:10" ht="18.95" customHeight="1">
      <c r="A20" s="18">
        <v>4</v>
      </c>
      <c r="B20" s="26" t="s">
        <v>203</v>
      </c>
      <c r="C20" s="34">
        <f>SUMIFS('FC CWIP &amp; RWIP B'!$P$6:$P$17,'FC CWIP &amp; RWIP B'!$A$6:$A$17,B20)*1000</f>
        <v>12908222.929999899</v>
      </c>
      <c r="D20" s="34">
        <v>0</v>
      </c>
      <c r="E20" s="34">
        <v>0</v>
      </c>
      <c r="F20" s="34">
        <f>SUM(C20:E20)</f>
        <v>12908222.929999899</v>
      </c>
      <c r="G20" s="51">
        <v>1</v>
      </c>
      <c r="H20" s="34">
        <f>F20*G20</f>
        <v>12908222.929999899</v>
      </c>
      <c r="I20" s="34"/>
      <c r="J20" s="34">
        <f>SUM(H20:I20)</f>
        <v>12908222.929999899</v>
      </c>
    </row>
    <row r="21" spans="1:10" ht="18.95" customHeight="1">
      <c r="A21" s="18"/>
      <c r="B21" s="26"/>
      <c r="C21" s="34"/>
      <c r="D21" s="34"/>
      <c r="E21" s="34"/>
      <c r="F21" s="34"/>
      <c r="G21" s="34"/>
      <c r="H21" s="34"/>
      <c r="I21" s="34"/>
      <c r="J21" s="34"/>
    </row>
    <row r="22" spans="1:10" ht="18.95" customHeight="1">
      <c r="A22" s="18">
        <v>5</v>
      </c>
      <c r="B22" s="26" t="s">
        <v>204</v>
      </c>
      <c r="C22" s="34">
        <f>SUMIFS('FC CWIP &amp; RWIP B'!$P$6:$P$17,'FC CWIP &amp; RWIP B'!$A$6:$A$17,B22)*1000</f>
        <v>240632.84999999998</v>
      </c>
      <c r="D22" s="34">
        <v>0</v>
      </c>
      <c r="E22" s="34">
        <v>0</v>
      </c>
      <c r="F22" s="34">
        <f>SUM(C22:E22)</f>
        <v>240632.84999999998</v>
      </c>
      <c r="G22" s="51">
        <v>1</v>
      </c>
      <c r="H22" s="34">
        <f>F22*G22</f>
        <v>240632.84999999998</v>
      </c>
      <c r="I22" s="34"/>
      <c r="J22" s="34">
        <f>SUM(H22:I22)</f>
        <v>240632.84999999998</v>
      </c>
    </row>
    <row r="23" spans="1:10" ht="18.95" customHeight="1">
      <c r="A23" s="18"/>
      <c r="B23" s="26"/>
      <c r="C23" s="34"/>
      <c r="D23" s="34"/>
      <c r="E23" s="34"/>
      <c r="F23" s="34"/>
      <c r="G23" s="34"/>
      <c r="H23" s="34"/>
      <c r="I23" s="34"/>
      <c r="J23" s="34"/>
    </row>
    <row r="24" spans="1:10" ht="18.95" customHeight="1">
      <c r="A24" s="18">
        <v>6</v>
      </c>
      <c r="B24" s="26" t="s">
        <v>946</v>
      </c>
      <c r="C24" s="52">
        <f>SUMIFS('FC CWIP &amp; RWIP B'!$P$6:$P$17,'FC CWIP &amp; RWIP B'!$A$6:$A$17,B24)*1000*'PIS B'!$A$4</f>
        <v>8369108.2007999979</v>
      </c>
      <c r="D24" s="52">
        <v>0</v>
      </c>
      <c r="E24" s="52">
        <v>0</v>
      </c>
      <c r="F24" s="52">
        <f>SUM(C24:E24)</f>
        <v>8369108.2007999979</v>
      </c>
      <c r="G24" s="51">
        <v>1</v>
      </c>
      <c r="H24" s="52">
        <f>F24*G24</f>
        <v>8369108.2007999979</v>
      </c>
      <c r="I24" s="52"/>
      <c r="J24" s="52">
        <f>SUM(H24:I24)</f>
        <v>8369108.2007999979</v>
      </c>
    </row>
    <row r="25" spans="1:10" ht="18.95" customHeight="1">
      <c r="A25" s="18"/>
      <c r="B25" s="26"/>
      <c r="C25" s="34"/>
      <c r="D25" s="34"/>
      <c r="E25" s="34"/>
      <c r="F25" s="34"/>
      <c r="G25" s="34"/>
      <c r="H25" s="34"/>
      <c r="I25" s="34"/>
      <c r="J25" s="34"/>
    </row>
    <row r="26" spans="1:10" ht="18.95" customHeight="1" thickBot="1">
      <c r="A26" s="18">
        <v>7</v>
      </c>
      <c r="B26" s="26" t="s">
        <v>207</v>
      </c>
      <c r="C26" s="42">
        <f>SUM(C16:C24)</f>
        <v>288890488.7007997</v>
      </c>
      <c r="D26" s="42">
        <f>SUM(D16:D24)</f>
        <v>0</v>
      </c>
      <c r="E26" s="42">
        <f>SUM(E16:E24)</f>
        <v>0</v>
      </c>
      <c r="F26" s="42">
        <f>SUM(F16:F24)</f>
        <v>288890488.7007997</v>
      </c>
      <c r="G26" s="34"/>
      <c r="H26" s="42">
        <f>SUM(H16:H24)</f>
        <v>288890488.7007997</v>
      </c>
      <c r="I26" s="42">
        <f>SUM(I16:I24)</f>
        <v>-246591619.20999989</v>
      </c>
      <c r="J26" s="42">
        <f>SUM(J16:J24)</f>
        <v>42298869.490799785</v>
      </c>
    </row>
    <row r="27" spans="1:10" ht="18.95" customHeight="1" thickTop="1">
      <c r="A27" s="18"/>
      <c r="B27" s="26"/>
      <c r="C27" s="34"/>
      <c r="D27" s="34"/>
      <c r="E27" s="34"/>
      <c r="F27" s="34"/>
      <c r="G27" s="34"/>
      <c r="H27" s="34"/>
      <c r="I27" s="34"/>
      <c r="J27" s="34"/>
    </row>
    <row r="28" spans="1:10" ht="18.95" customHeight="1">
      <c r="A28" s="18"/>
      <c r="B28" s="26"/>
      <c r="C28" s="34"/>
      <c r="D28" s="34"/>
      <c r="E28" s="34"/>
      <c r="F28" s="34"/>
      <c r="G28" s="34"/>
      <c r="H28" s="34"/>
      <c r="I28" s="34"/>
      <c r="J28" s="34"/>
    </row>
    <row r="29" spans="1:10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  <c r="H29" s="831"/>
      <c r="I29" s="831"/>
      <c r="J29" s="831"/>
    </row>
    <row r="30" spans="1:10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  <c r="H30" s="831"/>
      <c r="I30" s="831"/>
      <c r="J30" s="831"/>
    </row>
    <row r="31" spans="1:10" s="16" customFormat="1" ht="20.100000000000001" customHeight="1">
      <c r="A31" s="831" t="str">
        <f>$A$3</f>
        <v>CONSTRUCTION WORK IN PROGRESS</v>
      </c>
      <c r="B31" s="831"/>
      <c r="C31" s="831"/>
      <c r="D31" s="831"/>
      <c r="E31" s="831"/>
      <c r="F31" s="831"/>
      <c r="G31" s="831"/>
      <c r="H31" s="831"/>
      <c r="I31" s="831"/>
      <c r="J31" s="831"/>
    </row>
    <row r="32" spans="1:10" s="16" customFormat="1" ht="20.100000000000001" customHeight="1">
      <c r="A32" s="832" t="str">
        <f>'Rate Case Constants'!C18</f>
        <v>AS OF APRIL 30, 2020</v>
      </c>
      <c r="B32" s="831"/>
      <c r="C32" s="831"/>
      <c r="D32" s="831"/>
      <c r="E32" s="831"/>
      <c r="F32" s="831"/>
      <c r="G32" s="831"/>
      <c r="H32" s="831"/>
      <c r="I32" s="831"/>
      <c r="J32" s="831"/>
    </row>
    <row r="33" spans="1:10" s="16" customFormat="1" ht="20.100000000000001" customHeight="1">
      <c r="A33" s="40"/>
      <c r="B33" s="40"/>
      <c r="C33" s="40"/>
      <c r="D33" s="40"/>
      <c r="E33" s="40"/>
      <c r="F33" s="40"/>
      <c r="G33" s="40"/>
      <c r="H33" s="150"/>
      <c r="I33" s="150"/>
      <c r="J33" s="40"/>
    </row>
    <row r="34" spans="1:10" s="16" customFormat="1" ht="20.100000000000001" customHeight="1">
      <c r="A34" s="15" t="s">
        <v>122</v>
      </c>
      <c r="D34" s="22"/>
      <c r="E34" s="22"/>
      <c r="F34" s="22"/>
      <c r="H34" s="22"/>
      <c r="I34" s="22"/>
      <c r="J34" s="22" t="s">
        <v>245</v>
      </c>
    </row>
    <row r="35" spans="1:10" s="16" customFormat="1" ht="20.100000000000001" customHeight="1">
      <c r="A35" s="15" t="str">
        <f>$A$7</f>
        <v>TYPE OF FILING: _____ ORIGINAL  _____ UPDATED  __X__ REVISED</v>
      </c>
      <c r="D35" s="22"/>
      <c r="E35" s="22"/>
      <c r="F35" s="22"/>
      <c r="H35" s="22"/>
      <c r="I35" s="22"/>
      <c r="J35" s="22" t="s">
        <v>145</v>
      </c>
    </row>
    <row r="36" spans="1:10" s="16" customFormat="1" ht="20.100000000000001" customHeight="1">
      <c r="A36" s="15" t="str">
        <f>$A$8</f>
        <v xml:space="preserve">WORKPAPER REFERENCE NO(S).: </v>
      </c>
      <c r="D36" s="23"/>
      <c r="E36" s="23"/>
      <c r="F36" s="23"/>
      <c r="H36" s="23"/>
      <c r="I36" s="23"/>
      <c r="J36" s="23" t="str">
        <f>$J$8</f>
        <v>WITNESS:   C. M. GARRETT</v>
      </c>
    </row>
    <row r="37" spans="1:10" s="16" customFormat="1" ht="20.100000000000001" customHeight="1"/>
    <row r="38" spans="1:10" s="16" customFormat="1" ht="20.100000000000001" customHeight="1">
      <c r="A38" s="48"/>
      <c r="B38" s="48"/>
      <c r="C38" s="48"/>
      <c r="D38" s="839" t="s">
        <v>250</v>
      </c>
      <c r="E38" s="839"/>
      <c r="F38" s="48"/>
      <c r="G38" s="48"/>
      <c r="H38" s="48"/>
      <c r="I38" s="48"/>
      <c r="J38" s="48"/>
    </row>
    <row r="39" spans="1:10" ht="45" customHeight="1">
      <c r="A39" s="19" t="s">
        <v>92</v>
      </c>
      <c r="B39" s="26" t="s">
        <v>198</v>
      </c>
      <c r="C39" s="19" t="s">
        <v>1033</v>
      </c>
      <c r="D39" s="19" t="s">
        <v>247</v>
      </c>
      <c r="E39" s="19" t="s">
        <v>248</v>
      </c>
      <c r="F39" s="19" t="s">
        <v>249</v>
      </c>
      <c r="G39" s="19" t="s">
        <v>184</v>
      </c>
      <c r="H39" s="19" t="s">
        <v>185</v>
      </c>
      <c r="I39" s="19" t="s">
        <v>186</v>
      </c>
      <c r="J39" s="19" t="s">
        <v>187</v>
      </c>
    </row>
    <row r="40" spans="1:10" ht="23.1" customHeight="1">
      <c r="A40" s="28"/>
      <c r="B40" s="29"/>
      <c r="C40" s="30" t="s">
        <v>103</v>
      </c>
      <c r="D40" s="30" t="s">
        <v>103</v>
      </c>
      <c r="E40" s="30" t="s">
        <v>103</v>
      </c>
      <c r="F40" s="30" t="s">
        <v>103</v>
      </c>
      <c r="G40" s="30"/>
      <c r="H40" s="30" t="s">
        <v>103</v>
      </c>
      <c r="I40" s="30" t="s">
        <v>103</v>
      </c>
      <c r="J40" s="30" t="s">
        <v>103</v>
      </c>
    </row>
    <row r="41" spans="1:10" ht="23.1" customHeight="1">
      <c r="A41" s="21"/>
      <c r="B41" s="53" t="s">
        <v>205</v>
      </c>
      <c r="C41" s="43"/>
      <c r="D41" s="43"/>
      <c r="E41" s="43"/>
      <c r="F41" s="43"/>
      <c r="G41" s="43"/>
      <c r="H41" s="43"/>
      <c r="I41" s="43"/>
      <c r="J41" s="43"/>
    </row>
    <row r="42" spans="1:10" ht="18.95" customHeight="1">
      <c r="A42" s="18">
        <v>1</v>
      </c>
      <c r="B42" s="26" t="s">
        <v>1032</v>
      </c>
      <c r="C42" s="34">
        <f>SUMIFS('FC CWIP &amp; RWIP F'!$Q$6:$Q$17,'FC CWIP &amp; RWIP F'!$A$6:$A$17,B42)*1000</f>
        <v>0</v>
      </c>
      <c r="D42" s="34">
        <v>0</v>
      </c>
      <c r="E42" s="34">
        <v>0</v>
      </c>
      <c r="F42" s="34">
        <f>SUM(C42:E42)</f>
        <v>0</v>
      </c>
      <c r="G42" s="51">
        <v>1</v>
      </c>
      <c r="H42" s="34">
        <f>F42*G42</f>
        <v>0</v>
      </c>
      <c r="I42" s="34"/>
      <c r="J42" s="34">
        <f>SUM(H42:I42)</f>
        <v>0</v>
      </c>
    </row>
    <row r="43" spans="1:10" ht="18.95" customHeight="1">
      <c r="A43" s="18"/>
      <c r="B43" s="26"/>
      <c r="C43" s="34"/>
      <c r="D43" s="34"/>
      <c r="E43" s="34"/>
      <c r="F43" s="34"/>
      <c r="G43" s="51"/>
      <c r="H43" s="34"/>
      <c r="I43" s="34"/>
      <c r="J43" s="34"/>
    </row>
    <row r="44" spans="1:10" ht="18.95" customHeight="1">
      <c r="A44" s="18">
        <v>2</v>
      </c>
      <c r="B44" s="26" t="s">
        <v>979</v>
      </c>
      <c r="C44" s="34">
        <f>SUMIFS('FC CWIP &amp; RWIP F'!$Q$6:$Q$17,'FC CWIP &amp; RWIP F'!$A$6:$A$17,B44)*1000</f>
        <v>63320417.020769082</v>
      </c>
      <c r="D44" s="34">
        <v>0</v>
      </c>
      <c r="E44" s="34">
        <v>0</v>
      </c>
      <c r="F44" s="34">
        <f>SUM(C44:E44)</f>
        <v>63320417.020769082</v>
      </c>
      <c r="G44" s="51">
        <v>1</v>
      </c>
      <c r="H44" s="34">
        <f>F44*G44</f>
        <v>63320417.020769082</v>
      </c>
      <c r="I44" s="34">
        <f>'SCH B-4.1'!E31</f>
        <v>-38788686.966153793</v>
      </c>
      <c r="J44" s="34">
        <f>SUM(H44:I44)</f>
        <v>24531730.054615289</v>
      </c>
    </row>
    <row r="45" spans="1:10" ht="18.95" customHeight="1">
      <c r="A45" s="18"/>
      <c r="B45" s="26"/>
      <c r="C45" s="34"/>
      <c r="D45" s="34"/>
      <c r="E45" s="34"/>
      <c r="F45" s="34"/>
      <c r="G45" s="51"/>
      <c r="H45" s="34"/>
      <c r="I45" s="34"/>
      <c r="J45" s="34"/>
    </row>
    <row r="46" spans="1:10" ht="18.95" customHeight="1">
      <c r="A46" s="18">
        <v>3</v>
      </c>
      <c r="B46" s="26" t="s">
        <v>189</v>
      </c>
      <c r="C46" s="34">
        <f>SUMIFS('FC CWIP &amp; RWIP F'!$Q$6:$Q$17,'FC CWIP &amp; RWIP F'!$A$6:$A$17,B46)*1000</f>
        <v>12182687.259999998</v>
      </c>
      <c r="D46" s="34">
        <v>0</v>
      </c>
      <c r="E46" s="34">
        <v>0</v>
      </c>
      <c r="F46" s="34">
        <f>SUM(C46:E46)</f>
        <v>12182687.259999998</v>
      </c>
      <c r="G46" s="51">
        <v>1</v>
      </c>
      <c r="H46" s="34">
        <f>F46*G46</f>
        <v>12182687.259999998</v>
      </c>
      <c r="I46" s="34"/>
      <c r="J46" s="34">
        <f>SUM(H46:I46)</f>
        <v>12182687.259999998</v>
      </c>
    </row>
    <row r="47" spans="1:10" ht="18.95" customHeight="1">
      <c r="A47" s="18"/>
      <c r="B47" s="26"/>
      <c r="C47" s="34"/>
      <c r="D47" s="34"/>
      <c r="E47" s="34"/>
      <c r="F47" s="34"/>
      <c r="G47" s="34"/>
      <c r="H47" s="34"/>
      <c r="I47" s="34"/>
      <c r="J47" s="34"/>
    </row>
    <row r="48" spans="1:10" ht="18.95" customHeight="1">
      <c r="A48" s="18">
        <v>4</v>
      </c>
      <c r="B48" s="26" t="s">
        <v>203</v>
      </c>
      <c r="C48" s="34">
        <f>SUMIFS('FC CWIP &amp; RWIP F'!$Q$6:$Q$17,'FC CWIP &amp; RWIP F'!$A$6:$A$17,B48)*1000</f>
        <v>26191268.868461445</v>
      </c>
      <c r="D48" s="34">
        <v>0</v>
      </c>
      <c r="E48" s="34">
        <v>0</v>
      </c>
      <c r="F48" s="34">
        <f>SUM(C48:E48)</f>
        <v>26191268.868461445</v>
      </c>
      <c r="G48" s="51">
        <v>1</v>
      </c>
      <c r="H48" s="34">
        <f>F48*G48</f>
        <v>26191268.868461445</v>
      </c>
      <c r="I48" s="34"/>
      <c r="J48" s="34">
        <f>SUM(H48:I48)</f>
        <v>26191268.868461445</v>
      </c>
    </row>
    <row r="49" spans="1:10" ht="18.95" customHeight="1">
      <c r="A49" s="18"/>
      <c r="B49" s="26"/>
      <c r="C49" s="34"/>
      <c r="D49" s="34"/>
      <c r="E49" s="34"/>
      <c r="F49" s="34"/>
      <c r="G49" s="34"/>
      <c r="H49" s="34"/>
      <c r="I49" s="34"/>
      <c r="J49" s="34"/>
    </row>
    <row r="50" spans="1:10" ht="18.95" customHeight="1">
      <c r="A50" s="18">
        <v>5</v>
      </c>
      <c r="B50" s="26" t="s">
        <v>204</v>
      </c>
      <c r="C50" s="34">
        <f>SUMIFS('FC CWIP &amp; RWIP F'!$Q$6:$Q$17,'FC CWIP &amp; RWIP F'!$A$6:$A$17,B50)*1000</f>
        <v>1011556.4761538462</v>
      </c>
      <c r="D50" s="34">
        <v>0</v>
      </c>
      <c r="E50" s="34">
        <v>0</v>
      </c>
      <c r="F50" s="34">
        <f>SUM(C50:E50)</f>
        <v>1011556.4761538462</v>
      </c>
      <c r="G50" s="51">
        <v>1</v>
      </c>
      <c r="H50" s="34">
        <f>F50*G50</f>
        <v>1011556.4761538462</v>
      </c>
      <c r="I50" s="34"/>
      <c r="J50" s="34">
        <f>SUM(H50:I50)</f>
        <v>1011556.4761538462</v>
      </c>
    </row>
    <row r="51" spans="1:10" ht="18.95" customHeight="1">
      <c r="A51" s="18"/>
      <c r="B51" s="26"/>
      <c r="C51" s="34"/>
      <c r="D51" s="34"/>
      <c r="E51" s="34"/>
      <c r="F51" s="34"/>
      <c r="G51" s="34"/>
      <c r="H51" s="34"/>
      <c r="I51" s="34"/>
      <c r="J51" s="34"/>
    </row>
    <row r="52" spans="1:10" ht="18.95" customHeight="1">
      <c r="A52" s="18">
        <v>6</v>
      </c>
      <c r="B52" s="26" t="s">
        <v>946</v>
      </c>
      <c r="C52" s="52">
        <f>SUMIFS('FC CWIP &amp; RWIP F'!$Q$6:$Q$17,'FC CWIP &amp; RWIP F'!$A$6:$A$17,B52)*1000*'PIS F'!$A$4</f>
        <v>17551400.31768458</v>
      </c>
      <c r="D52" s="52">
        <v>0</v>
      </c>
      <c r="E52" s="52">
        <v>0</v>
      </c>
      <c r="F52" s="52">
        <f>SUM(C52:E52)</f>
        <v>17551400.31768458</v>
      </c>
      <c r="G52" s="51">
        <v>1</v>
      </c>
      <c r="H52" s="52">
        <f>F52*G52</f>
        <v>17551400.31768458</v>
      </c>
      <c r="I52" s="52"/>
      <c r="J52" s="52">
        <f>SUM(H52:I52)</f>
        <v>17551400.31768458</v>
      </c>
    </row>
    <row r="53" spans="1:10" ht="18.95" customHeight="1">
      <c r="A53" s="18"/>
      <c r="B53" s="26"/>
      <c r="C53" s="34"/>
      <c r="D53" s="34"/>
      <c r="E53" s="34"/>
      <c r="F53" s="34"/>
      <c r="G53" s="34"/>
      <c r="H53" s="34"/>
      <c r="I53" s="34"/>
      <c r="J53" s="34"/>
    </row>
    <row r="54" spans="1:10" ht="18.95" customHeight="1" thickBot="1">
      <c r="A54" s="18">
        <v>7</v>
      </c>
      <c r="B54" s="26" t="s">
        <v>207</v>
      </c>
      <c r="C54" s="42">
        <f>SUM(C44:C52)</f>
        <v>120257329.94306895</v>
      </c>
      <c r="D54" s="42">
        <f>SUM(D44:D52)</f>
        <v>0</v>
      </c>
      <c r="E54" s="42">
        <f>SUM(E44:E52)</f>
        <v>0</v>
      </c>
      <c r="F54" s="42">
        <f>SUM(F44:F52)</f>
        <v>120257329.94306895</v>
      </c>
      <c r="G54" s="34"/>
      <c r="H54" s="42">
        <f>SUM(H44:H52)</f>
        <v>120257329.94306895</v>
      </c>
      <c r="I54" s="42">
        <f>SUM(I44:I52)</f>
        <v>-38788686.966153793</v>
      </c>
      <c r="J54" s="42">
        <f>SUM(J44:J52)</f>
        <v>81468642.976915151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6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29.77734375" style="17" customWidth="1"/>
    <col min="3" max="3" width="16.77734375" style="17" customWidth="1"/>
    <col min="4" max="5" width="15.6640625" style="17" customWidth="1"/>
    <col min="6" max="6" width="15.77734375" style="17" customWidth="1"/>
    <col min="7" max="7" width="32.77734375" style="17" customWidth="1"/>
    <col min="8" max="8" width="1.6640625" style="17" customWidth="1"/>
    <col min="9" max="16384" width="9" style="17"/>
  </cols>
  <sheetData>
    <row r="1" spans="1:9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9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9" s="16" customFormat="1" ht="20.100000000000001" customHeight="1">
      <c r="A3" s="831" t="s">
        <v>980</v>
      </c>
      <c r="B3" s="831"/>
      <c r="C3" s="831"/>
      <c r="D3" s="831"/>
      <c r="E3" s="831"/>
      <c r="F3" s="831"/>
      <c r="G3" s="831"/>
      <c r="H3" s="831"/>
    </row>
    <row r="4" spans="1:9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</row>
    <row r="5" spans="1:9" s="16" customFormat="1" ht="20.100000000000001" customHeight="1">
      <c r="A5" s="150"/>
      <c r="B5" s="150"/>
      <c r="C5" s="150"/>
      <c r="D5" s="150"/>
      <c r="E5" s="150"/>
      <c r="F5" s="150"/>
      <c r="G5" s="150"/>
    </row>
    <row r="6" spans="1:9" s="16" customFormat="1" ht="20.100000000000001" customHeight="1">
      <c r="A6" s="15" t="s">
        <v>94</v>
      </c>
      <c r="F6" s="22"/>
      <c r="G6" s="22" t="s">
        <v>251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F7" s="22"/>
      <c r="G7" s="22" t="s">
        <v>137</v>
      </c>
    </row>
    <row r="8" spans="1:9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198</v>
      </c>
      <c r="C10" s="24" t="s">
        <v>176</v>
      </c>
      <c r="D10" s="24" t="s">
        <v>177</v>
      </c>
      <c r="E10" s="24" t="s">
        <v>178</v>
      </c>
      <c r="F10" s="24" t="s">
        <v>179</v>
      </c>
      <c r="G10" s="24" t="s">
        <v>180</v>
      </c>
    </row>
    <row r="11" spans="1:9" ht="23.1" customHeight="1">
      <c r="A11" s="28"/>
      <c r="B11" s="29"/>
      <c r="C11" s="30" t="s">
        <v>103</v>
      </c>
      <c r="D11" s="30"/>
      <c r="E11" s="30" t="s">
        <v>103</v>
      </c>
      <c r="F11" s="30"/>
      <c r="G11" s="30"/>
    </row>
    <row r="12" spans="1:9" ht="18.95" customHeight="1">
      <c r="A12" s="153">
        <v>1</v>
      </c>
      <c r="B12" s="16" t="s">
        <v>979</v>
      </c>
      <c r="C12" s="324">
        <f>SUMIFS('FC CWIP &amp; RWIP B'!$P$6:$P$17,'FC CWIP &amp; RWIP B'!$C$6:$C$17,I12)*-1000</f>
        <v>-246591619.20999989</v>
      </c>
      <c r="D12" s="331">
        <v>1</v>
      </c>
      <c r="E12" s="324">
        <f>C12*D12</f>
        <v>-246591619.20999989</v>
      </c>
      <c r="G12" s="16" t="s">
        <v>1030</v>
      </c>
      <c r="I12" s="397" t="s">
        <v>1443</v>
      </c>
    </row>
    <row r="13" spans="1:9" ht="18.95" customHeight="1">
      <c r="A13" s="153">
        <f>A12+1</f>
        <v>2</v>
      </c>
      <c r="B13" s="16" t="s">
        <v>189</v>
      </c>
      <c r="C13" s="324"/>
      <c r="D13" s="331">
        <v>1</v>
      </c>
      <c r="E13" s="324">
        <f>C13*D13</f>
        <v>0</v>
      </c>
      <c r="G13" s="16"/>
    </row>
    <row r="14" spans="1:9" ht="18.95" customHeight="1">
      <c r="A14" s="153">
        <f>A13+1</f>
        <v>3</v>
      </c>
      <c r="B14" s="16" t="s">
        <v>203</v>
      </c>
      <c r="C14" s="324"/>
      <c r="D14" s="331">
        <v>1</v>
      </c>
      <c r="E14" s="324">
        <f>C14*D14</f>
        <v>0</v>
      </c>
      <c r="G14" s="16"/>
    </row>
    <row r="15" spans="1:9" ht="18.95" customHeight="1">
      <c r="A15" s="153">
        <f>A14+1</f>
        <v>4</v>
      </c>
      <c r="B15" s="16" t="s">
        <v>204</v>
      </c>
      <c r="C15" s="324"/>
      <c r="D15" s="331">
        <v>1</v>
      </c>
      <c r="E15" s="324">
        <f>C15*D15</f>
        <v>0</v>
      </c>
      <c r="G15" s="16"/>
    </row>
    <row r="16" spans="1:9" ht="18.95" customHeight="1">
      <c r="A16" s="153">
        <f>A15+1</f>
        <v>5</v>
      </c>
      <c r="B16" s="16" t="s">
        <v>946</v>
      </c>
      <c r="C16" s="324"/>
      <c r="D16" s="331">
        <v>1</v>
      </c>
      <c r="E16" s="324">
        <f>C16*D16</f>
        <v>0</v>
      </c>
      <c r="G16" s="16"/>
    </row>
    <row r="17" spans="1:9" ht="18.95" customHeight="1">
      <c r="A17" s="225"/>
      <c r="B17" s="16"/>
      <c r="C17" s="324"/>
      <c r="D17" s="331"/>
      <c r="E17" s="324"/>
      <c r="G17" s="16"/>
    </row>
    <row r="18" spans="1:9" ht="18.95" customHeight="1" thickBot="1">
      <c r="A18" s="225">
        <f>A16+1</f>
        <v>6</v>
      </c>
      <c r="B18" s="16" t="s">
        <v>1395</v>
      </c>
      <c r="C18" s="332">
        <f>SUM(C12:C17)</f>
        <v>-246591619.20999989</v>
      </c>
      <c r="E18" s="332">
        <f>SUM(E12:E17)</f>
        <v>-246591619.20999989</v>
      </c>
    </row>
    <row r="19" spans="1:9" ht="18.95" customHeight="1" thickTop="1">
      <c r="A19" s="153"/>
      <c r="B19" s="16"/>
      <c r="C19" s="36"/>
      <c r="D19" s="55"/>
      <c r="E19" s="36"/>
      <c r="G19" s="68"/>
    </row>
    <row r="20" spans="1:9" s="16" customFormat="1" ht="20.100000000000001" customHeight="1">
      <c r="A20" s="831" t="str">
        <f>$A$1</f>
        <v>LOUISVILLE GAS AND ELECTRIC COMPANY</v>
      </c>
      <c r="B20" s="831"/>
      <c r="C20" s="831"/>
      <c r="D20" s="831"/>
      <c r="E20" s="831"/>
      <c r="F20" s="831"/>
      <c r="G20" s="831"/>
    </row>
    <row r="21" spans="1:9" s="16" customFormat="1" ht="20.100000000000001" customHeight="1">
      <c r="A21" s="831" t="str">
        <f>$A$2</f>
        <v>CASE NO. 2018-00295 - ELECTRIC OPERATIONS</v>
      </c>
      <c r="B21" s="831"/>
      <c r="C21" s="831"/>
      <c r="D21" s="831"/>
      <c r="E21" s="831"/>
      <c r="F21" s="831"/>
      <c r="G21" s="831"/>
    </row>
    <row r="22" spans="1:9" s="16" customFormat="1" ht="20.100000000000001" customHeight="1">
      <c r="A22" s="831" t="str">
        <f>$A$3</f>
        <v>ADJUSTMENTS TO CONSTRUCTION WORK IN PROGRESS</v>
      </c>
      <c r="B22" s="831"/>
      <c r="C22" s="831"/>
      <c r="D22" s="831"/>
      <c r="E22" s="831"/>
      <c r="F22" s="831"/>
      <c r="G22" s="831"/>
    </row>
    <row r="23" spans="1:9" s="16" customFormat="1" ht="20.100000000000001" customHeight="1">
      <c r="A23" s="831" t="str">
        <f>'Rate Case Constants'!C18</f>
        <v>AS OF APRIL 30, 2020</v>
      </c>
      <c r="B23" s="831"/>
      <c r="C23" s="831"/>
      <c r="D23" s="831"/>
      <c r="E23" s="831"/>
      <c r="F23" s="831"/>
      <c r="G23" s="831"/>
    </row>
    <row r="24" spans="1:9" s="16" customFormat="1" ht="20.100000000000001" customHeight="1">
      <c r="A24" s="150"/>
      <c r="B24" s="150"/>
      <c r="C24" s="150"/>
      <c r="D24" s="150"/>
      <c r="E24" s="150"/>
      <c r="F24" s="150"/>
      <c r="G24" s="150"/>
    </row>
    <row r="25" spans="1:9" s="16" customFormat="1" ht="20.100000000000001" customHeight="1">
      <c r="A25" s="15" t="s">
        <v>122</v>
      </c>
      <c r="F25" s="22"/>
      <c r="G25" s="22" t="s">
        <v>251</v>
      </c>
    </row>
    <row r="26" spans="1:9" s="16" customFormat="1" ht="20.100000000000001" customHeight="1">
      <c r="A26" s="15" t="str">
        <f>$A$7</f>
        <v>TYPE OF FILING: _____ ORIGINAL  _____ UPDATED  __X__ REVISED</v>
      </c>
      <c r="F26" s="22"/>
      <c r="G26" s="22" t="s">
        <v>145</v>
      </c>
    </row>
    <row r="27" spans="1:9" s="16" customFormat="1" ht="20.100000000000001" customHeight="1">
      <c r="A27" s="15" t="str">
        <f>$A$8</f>
        <v>WORKPAPER REFERENCE NO(S).:</v>
      </c>
      <c r="E27" s="15"/>
      <c r="F27" s="23"/>
      <c r="G27" s="23" t="str">
        <f>$G$8</f>
        <v>WITNESS:   C. M. GARRETT</v>
      </c>
    </row>
    <row r="28" spans="1:9" s="16" customFormat="1" ht="20.100000000000001" customHeight="1"/>
    <row r="29" spans="1:9" ht="58.5" customHeight="1">
      <c r="A29" s="24" t="s">
        <v>92</v>
      </c>
      <c r="B29" s="24" t="s">
        <v>198</v>
      </c>
      <c r="C29" s="24" t="s">
        <v>176</v>
      </c>
      <c r="D29" s="24" t="s">
        <v>177</v>
      </c>
      <c r="E29" s="24" t="s">
        <v>178</v>
      </c>
      <c r="F29" s="24" t="s">
        <v>179</v>
      </c>
      <c r="G29" s="24" t="s">
        <v>180</v>
      </c>
    </row>
    <row r="30" spans="1:9" ht="23.1" customHeight="1">
      <c r="A30" s="28"/>
      <c r="B30" s="29"/>
      <c r="C30" s="30" t="s">
        <v>103</v>
      </c>
      <c r="D30" s="30"/>
      <c r="E30" s="30" t="s">
        <v>103</v>
      </c>
      <c r="F30" s="30"/>
      <c r="G30" s="30"/>
    </row>
    <row r="31" spans="1:9" ht="18.95" customHeight="1">
      <c r="A31" s="153">
        <v>1</v>
      </c>
      <c r="B31" s="16" t="s">
        <v>979</v>
      </c>
      <c r="C31" s="324">
        <f>SUMIFS('FC CWIP &amp; RWIP F'!$Q$6:$Q$17,'FC CWIP &amp; RWIP F'!$C$6:$C$17,I31)*-1000</f>
        <v>-38788686.966153793</v>
      </c>
      <c r="D31" s="331">
        <v>1</v>
      </c>
      <c r="E31" s="324">
        <f>C31*D31</f>
        <v>-38788686.966153793</v>
      </c>
      <c r="G31" s="16" t="s">
        <v>1030</v>
      </c>
      <c r="I31" s="397" t="s">
        <v>1443</v>
      </c>
    </row>
    <row r="32" spans="1:9" ht="18.95" customHeight="1">
      <c r="A32" s="153">
        <f>A31+1</f>
        <v>2</v>
      </c>
      <c r="B32" s="16" t="s">
        <v>189</v>
      </c>
      <c r="C32" s="324"/>
      <c r="D32" s="331">
        <v>1</v>
      </c>
      <c r="E32" s="324">
        <f>C32*D32</f>
        <v>0</v>
      </c>
      <c r="G32" s="16"/>
    </row>
    <row r="33" spans="1:7" ht="18.95" customHeight="1">
      <c r="A33" s="153">
        <f>A32+1</f>
        <v>3</v>
      </c>
      <c r="B33" s="16" t="s">
        <v>203</v>
      </c>
      <c r="C33" s="324"/>
      <c r="D33" s="331">
        <v>1</v>
      </c>
      <c r="E33" s="324">
        <f>C33*D33</f>
        <v>0</v>
      </c>
      <c r="G33" s="16"/>
    </row>
    <row r="34" spans="1:7" ht="18.95" customHeight="1">
      <c r="A34" s="153">
        <f>A33+1</f>
        <v>4</v>
      </c>
      <c r="B34" s="16" t="s">
        <v>204</v>
      </c>
      <c r="C34" s="324"/>
      <c r="D34" s="331">
        <v>1</v>
      </c>
      <c r="E34" s="324">
        <f>C34*D34</f>
        <v>0</v>
      </c>
      <c r="G34" s="16"/>
    </row>
    <row r="35" spans="1:7" ht="18.95" customHeight="1">
      <c r="A35" s="153">
        <f>A34+1</f>
        <v>5</v>
      </c>
      <c r="B35" s="16" t="s">
        <v>946</v>
      </c>
      <c r="C35" s="324"/>
      <c r="D35" s="331">
        <v>1</v>
      </c>
      <c r="E35" s="324">
        <f>C35*D35</f>
        <v>0</v>
      </c>
      <c r="G35" s="16"/>
    </row>
    <row r="36" spans="1:7" ht="18.95" customHeight="1">
      <c r="A36" s="153"/>
      <c r="B36" s="16"/>
      <c r="C36" s="324"/>
      <c r="D36" s="331"/>
      <c r="E36" s="324"/>
      <c r="G36" s="16"/>
    </row>
    <row r="37" spans="1:7" ht="18.95" customHeight="1" thickBot="1">
      <c r="A37" s="225">
        <f>A35+1</f>
        <v>6</v>
      </c>
      <c r="B37" s="16" t="s">
        <v>1395</v>
      </c>
      <c r="C37" s="332">
        <f>SUM(C31:C36)</f>
        <v>-38788686.966153793</v>
      </c>
      <c r="E37" s="332">
        <f>SUM(E31:E36)</f>
        <v>-38788686.966153793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8" fitToHeight="0" orientation="portrait" r:id="rId1"/>
  <rowBreaks count="1" manualBreakCount="1">
    <brk id="1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142"/>
  <sheetViews>
    <sheetView topLeftCell="B1" zoomScaleNormal="100" workbookViewId="0">
      <selection activeCell="F24" sqref="F24"/>
    </sheetView>
  </sheetViews>
  <sheetFormatPr defaultColWidth="9" defaultRowHeight="12.75"/>
  <cols>
    <col min="1" max="1" width="6" style="291" customWidth="1"/>
    <col min="2" max="2" width="13.6640625" style="294" customWidth="1"/>
    <col min="3" max="3" width="34.33203125" style="291" customWidth="1"/>
    <col min="4" max="4" width="15.77734375" style="292" customWidth="1"/>
    <col min="5" max="5" width="14.44140625" style="292" customWidth="1"/>
    <col min="6" max="6" width="12.77734375" style="291" customWidth="1"/>
    <col min="7" max="10" width="15.77734375" style="291" customWidth="1"/>
    <col min="11" max="11" width="1.6640625" style="291" customWidth="1"/>
    <col min="12" max="12" width="9" style="291"/>
    <col min="13" max="13" width="10.109375" style="291" customWidth="1"/>
    <col min="14" max="14" width="9" style="291"/>
    <col min="15" max="15" width="11.109375" style="291" customWidth="1"/>
    <col min="16" max="16" width="10.88671875" style="291" customWidth="1"/>
    <col min="17" max="16384" width="9" style="291"/>
  </cols>
  <sheetData>
    <row r="1" spans="1:16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6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6" ht="20.100000000000001" customHeight="1">
      <c r="A3" s="831" t="s">
        <v>252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6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94</v>
      </c>
      <c r="B6" s="285"/>
      <c r="C6" s="16"/>
      <c r="D6" s="65"/>
      <c r="E6" s="65"/>
      <c r="F6" s="16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_____ ORIGINAL  _____ UPDATED  __X__ REVISED</v>
      </c>
      <c r="B7" s="286"/>
      <c r="C7" s="16"/>
      <c r="D7" s="65"/>
      <c r="E7" s="65"/>
      <c r="F7" s="16"/>
      <c r="G7" s="22"/>
      <c r="H7" s="22"/>
      <c r="I7" s="22"/>
      <c r="J7" s="22" t="s">
        <v>1553</v>
      </c>
    </row>
    <row r="8" spans="1:16" ht="20.100000000000001" customHeight="1">
      <c r="A8" s="15" t="s">
        <v>231</v>
      </c>
      <c r="B8" s="285"/>
      <c r="C8" s="16"/>
      <c r="D8" s="65"/>
      <c r="E8" s="6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A9" s="16"/>
      <c r="B9" s="286"/>
      <c r="C9" s="16"/>
      <c r="D9" s="65"/>
      <c r="E9" s="65"/>
      <c r="F9" s="16"/>
      <c r="G9" s="16"/>
      <c r="H9" s="16"/>
      <c r="I9" s="16"/>
      <c r="J9" s="16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295" t="s">
        <v>272</v>
      </c>
      <c r="N10" s="295" t="s">
        <v>273</v>
      </c>
      <c r="O10" s="295" t="s">
        <v>274</v>
      </c>
      <c r="P10" s="295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296"/>
      <c r="B12" s="297"/>
      <c r="E12" s="298"/>
    </row>
    <row r="13" spans="1:16" ht="18.95" customHeight="1">
      <c r="A13" s="294">
        <v>1</v>
      </c>
      <c r="B13" s="394" t="s">
        <v>2576</v>
      </c>
      <c r="C13" s="395" t="s">
        <v>2577</v>
      </c>
      <c r="D13" s="66">
        <v>39083</v>
      </c>
      <c r="E13" s="67">
        <v>46022</v>
      </c>
      <c r="F13" s="300">
        <v>0.63150309842916852</v>
      </c>
      <c r="G13" s="395">
        <v>529000</v>
      </c>
      <c r="H13" s="395">
        <v>57801.319999999992</v>
      </c>
      <c r="I13" s="314">
        <v>131000</v>
      </c>
      <c r="J13" s="310">
        <f t="shared" ref="J13:J56" si="0">IFERROR(I13/H13,0)</f>
        <v>2.2663842279034463</v>
      </c>
      <c r="M13" s="293">
        <f t="shared" ref="M13:M88" si="1">E13-D13</f>
        <v>6939</v>
      </c>
      <c r="N13" s="298">
        <v>43465</v>
      </c>
      <c r="O13" s="293">
        <f t="shared" ref="O13:O88" si="2">E13-N13</f>
        <v>2557</v>
      </c>
      <c r="P13" s="301">
        <f>(M13-O13)/M13</f>
        <v>0.63150309842916852</v>
      </c>
    </row>
    <row r="14" spans="1:16" ht="18.95" customHeight="1">
      <c r="A14" s="294">
        <f>A13+1</f>
        <v>2</v>
      </c>
      <c r="B14" s="304" t="s">
        <v>1557</v>
      </c>
      <c r="C14" s="305" t="s">
        <v>1558</v>
      </c>
      <c r="D14" s="299">
        <v>42370</v>
      </c>
      <c r="E14" s="298">
        <v>43830</v>
      </c>
      <c r="F14" s="300">
        <v>0.75</v>
      </c>
      <c r="G14" s="305">
        <v>2500303</v>
      </c>
      <c r="H14" s="305">
        <v>3361167.41</v>
      </c>
      <c r="I14" s="306">
        <v>2423168.4499999997</v>
      </c>
      <c r="J14" s="310">
        <f t="shared" si="0"/>
        <v>0.72093060369164996</v>
      </c>
      <c r="M14" s="293">
        <f t="shared" si="1"/>
        <v>1460</v>
      </c>
      <c r="N14" s="298">
        <v>43465</v>
      </c>
      <c r="O14" s="293">
        <f t="shared" si="2"/>
        <v>365</v>
      </c>
      <c r="P14" s="301">
        <f t="shared" ref="P14:P89" si="3">(M14-O14)/M14</f>
        <v>0.75</v>
      </c>
    </row>
    <row r="15" spans="1:16" ht="18.95" customHeight="1">
      <c r="A15" s="294">
        <f t="shared" ref="A15:A90" si="4">A14+1</f>
        <v>3</v>
      </c>
      <c r="B15" s="304" t="s">
        <v>1556</v>
      </c>
      <c r="C15" s="305" t="s">
        <v>2578</v>
      </c>
      <c r="D15" s="299">
        <v>42736</v>
      </c>
      <c r="E15" s="298">
        <v>43799</v>
      </c>
      <c r="F15" s="300">
        <v>0.68579492003762932</v>
      </c>
      <c r="G15" s="305">
        <v>3999874.92</v>
      </c>
      <c r="H15" s="305">
        <v>6534512.9499999993</v>
      </c>
      <c r="I15" s="306">
        <v>3489296.5700000003</v>
      </c>
      <c r="J15" s="310">
        <f t="shared" si="0"/>
        <v>0.5339795936895344</v>
      </c>
      <c r="M15" s="293">
        <f t="shared" si="1"/>
        <v>1063</v>
      </c>
      <c r="N15" s="298">
        <v>43465</v>
      </c>
      <c r="O15" s="293">
        <f t="shared" si="2"/>
        <v>334</v>
      </c>
      <c r="P15" s="301">
        <f t="shared" si="3"/>
        <v>0.68579492003762932</v>
      </c>
    </row>
    <row r="16" spans="1:16" ht="18.95" customHeight="1">
      <c r="A16" s="294">
        <f t="shared" si="4"/>
        <v>4</v>
      </c>
      <c r="B16" s="304" t="s">
        <v>1543</v>
      </c>
      <c r="C16" s="305" t="s">
        <v>1544</v>
      </c>
      <c r="D16" s="299">
        <v>42736</v>
      </c>
      <c r="E16" s="298">
        <v>44196</v>
      </c>
      <c r="F16" s="300">
        <v>0.49931506849315066</v>
      </c>
      <c r="G16" s="305">
        <v>175265.35</v>
      </c>
      <c r="H16" s="305">
        <v>4150802.3</v>
      </c>
      <c r="I16" s="306">
        <v>788901.31</v>
      </c>
      <c r="J16" s="310">
        <f t="shared" si="0"/>
        <v>0.19005995780622945</v>
      </c>
      <c r="M16" s="293">
        <f t="shared" si="1"/>
        <v>1460</v>
      </c>
      <c r="N16" s="298">
        <v>43465</v>
      </c>
      <c r="O16" s="293">
        <f t="shared" si="2"/>
        <v>731</v>
      </c>
      <c r="P16" s="301">
        <f t="shared" si="3"/>
        <v>0.49931506849315066</v>
      </c>
    </row>
    <row r="17" spans="1:16" ht="18.95" customHeight="1">
      <c r="A17" s="294">
        <f t="shared" si="4"/>
        <v>5</v>
      </c>
      <c r="B17" s="304" t="s">
        <v>1574</v>
      </c>
      <c r="C17" s="305" t="s">
        <v>1575</v>
      </c>
      <c r="D17" s="299">
        <v>43101</v>
      </c>
      <c r="E17" s="298">
        <v>43465</v>
      </c>
      <c r="F17" s="300">
        <v>1</v>
      </c>
      <c r="G17" s="305">
        <v>75600.42</v>
      </c>
      <c r="H17" s="305">
        <v>73347.87</v>
      </c>
      <c r="I17" s="306">
        <v>-1.4551915228366852E-11</v>
      </c>
      <c r="J17" s="310">
        <f t="shared" si="0"/>
        <v>-1.9839588018529853E-16</v>
      </c>
      <c r="M17" s="293">
        <f t="shared" si="1"/>
        <v>364</v>
      </c>
      <c r="N17" s="298">
        <v>43465</v>
      </c>
      <c r="O17" s="293">
        <f t="shared" si="2"/>
        <v>0</v>
      </c>
      <c r="P17" s="301">
        <f t="shared" si="3"/>
        <v>1</v>
      </c>
    </row>
    <row r="18" spans="1:16" ht="18.95" customHeight="1">
      <c r="A18" s="294">
        <f t="shared" si="4"/>
        <v>6</v>
      </c>
      <c r="B18" s="304" t="s">
        <v>2579</v>
      </c>
      <c r="C18" s="305" t="s">
        <v>2580</v>
      </c>
      <c r="D18" s="299">
        <v>42314</v>
      </c>
      <c r="E18" s="298">
        <v>43646</v>
      </c>
      <c r="F18" s="300">
        <v>0.8641141141141141</v>
      </c>
      <c r="G18" s="305">
        <v>0.03</v>
      </c>
      <c r="H18" s="305">
        <v>0.03</v>
      </c>
      <c r="I18" s="306">
        <v>2.9999999999972715E-2</v>
      </c>
      <c r="J18" s="310">
        <f t="shared" si="0"/>
        <v>0.99999999999909051</v>
      </c>
      <c r="M18" s="293">
        <f t="shared" si="1"/>
        <v>1332</v>
      </c>
      <c r="N18" s="298">
        <v>43465</v>
      </c>
      <c r="O18" s="293">
        <f t="shared" si="2"/>
        <v>181</v>
      </c>
      <c r="P18" s="301">
        <f t="shared" si="3"/>
        <v>0.8641141141141141</v>
      </c>
    </row>
    <row r="19" spans="1:16" ht="18.95" customHeight="1">
      <c r="A19" s="294">
        <f t="shared" si="4"/>
        <v>7</v>
      </c>
      <c r="B19" s="304" t="s">
        <v>2581</v>
      </c>
      <c r="C19" s="305" t="s">
        <v>2582</v>
      </c>
      <c r="D19" s="299">
        <v>39083</v>
      </c>
      <c r="E19" s="298">
        <v>46022</v>
      </c>
      <c r="F19" s="300">
        <v>0.63150309842916852</v>
      </c>
      <c r="G19" s="305">
        <v>-3000</v>
      </c>
      <c r="H19" s="305">
        <v>1000</v>
      </c>
      <c r="I19" s="306">
        <v>1000.0000000000002</v>
      </c>
      <c r="J19" s="310">
        <f t="shared" si="0"/>
        <v>1.0000000000000002</v>
      </c>
      <c r="M19" s="293">
        <f t="shared" si="1"/>
        <v>6939</v>
      </c>
      <c r="N19" s="298">
        <v>43465</v>
      </c>
      <c r="O19" s="293">
        <f t="shared" si="2"/>
        <v>2557</v>
      </c>
      <c r="P19" s="301">
        <f t="shared" si="3"/>
        <v>0.63150309842916852</v>
      </c>
    </row>
    <row r="20" spans="1:16" ht="18.95" customHeight="1">
      <c r="A20" s="294">
        <f t="shared" si="4"/>
        <v>8</v>
      </c>
      <c r="B20" s="304" t="s">
        <v>2583</v>
      </c>
      <c r="C20" s="305" t="s">
        <v>2584</v>
      </c>
      <c r="D20" s="299">
        <v>42736</v>
      </c>
      <c r="E20" s="298">
        <v>43830</v>
      </c>
      <c r="F20" s="300">
        <v>0.6663619744058501</v>
      </c>
      <c r="G20" s="305">
        <v>75081.78</v>
      </c>
      <c r="H20" s="305">
        <v>34714.21</v>
      </c>
      <c r="I20" s="306">
        <v>34714.21</v>
      </c>
      <c r="J20" s="310">
        <f t="shared" si="0"/>
        <v>1</v>
      </c>
      <c r="M20" s="293">
        <f t="shared" si="1"/>
        <v>1094</v>
      </c>
      <c r="N20" s="298">
        <v>43465</v>
      </c>
      <c r="O20" s="293">
        <f t="shared" si="2"/>
        <v>365</v>
      </c>
      <c r="P20" s="301">
        <f t="shared" si="3"/>
        <v>0.6663619744058501</v>
      </c>
    </row>
    <row r="21" spans="1:16" ht="18.95" customHeight="1">
      <c r="A21" s="294">
        <f t="shared" si="4"/>
        <v>9</v>
      </c>
      <c r="B21" s="304" t="s">
        <v>2585</v>
      </c>
      <c r="C21" s="305" t="s">
        <v>2586</v>
      </c>
      <c r="D21" s="299">
        <v>42887</v>
      </c>
      <c r="E21" s="298">
        <v>43830</v>
      </c>
      <c r="F21" s="300">
        <v>0.61293743372216336</v>
      </c>
      <c r="G21" s="305">
        <v>1049655.5999999999</v>
      </c>
      <c r="H21" s="305">
        <v>1740241.9413000001</v>
      </c>
      <c r="I21" s="306">
        <v>1823189.0147999998</v>
      </c>
      <c r="J21" s="310">
        <f t="shared" si="0"/>
        <v>1.0476641043589814</v>
      </c>
      <c r="M21" s="293">
        <f t="shared" si="1"/>
        <v>943</v>
      </c>
      <c r="N21" s="298">
        <v>43465</v>
      </c>
      <c r="O21" s="293">
        <f t="shared" si="2"/>
        <v>365</v>
      </c>
      <c r="P21" s="301">
        <f t="shared" si="3"/>
        <v>0.61293743372216336</v>
      </c>
    </row>
    <row r="22" spans="1:16" ht="18.95" customHeight="1">
      <c r="A22" s="294">
        <f t="shared" si="4"/>
        <v>10</v>
      </c>
      <c r="B22" s="304" t="s">
        <v>2587</v>
      </c>
      <c r="C22" s="305" t="s">
        <v>2588</v>
      </c>
      <c r="D22" s="299">
        <v>43221</v>
      </c>
      <c r="E22" s="298">
        <v>44196</v>
      </c>
      <c r="F22" s="300">
        <v>0.25025641025641027</v>
      </c>
      <c r="G22" s="305">
        <v>6440943.4800000004</v>
      </c>
      <c r="H22" s="305">
        <v>6440943.4800000004</v>
      </c>
      <c r="I22" s="306">
        <v>998726.5</v>
      </c>
      <c r="J22" s="310">
        <f t="shared" si="0"/>
        <v>0.15505903802776422</v>
      </c>
      <c r="M22" s="293">
        <f t="shared" si="1"/>
        <v>975</v>
      </c>
      <c r="N22" s="298">
        <v>43465</v>
      </c>
      <c r="O22" s="293">
        <f t="shared" si="2"/>
        <v>731</v>
      </c>
      <c r="P22" s="301">
        <f t="shared" si="3"/>
        <v>0.25025641025641027</v>
      </c>
    </row>
    <row r="23" spans="1:16" ht="18.95" customHeight="1">
      <c r="A23" s="294">
        <f t="shared" si="4"/>
        <v>11</v>
      </c>
      <c r="B23" s="304" t="s">
        <v>2589</v>
      </c>
      <c r="C23" s="305" t="s">
        <v>2590</v>
      </c>
      <c r="D23" s="299">
        <v>43172</v>
      </c>
      <c r="E23" s="298">
        <v>43830</v>
      </c>
      <c r="F23" s="300">
        <v>0.44528875379939209</v>
      </c>
      <c r="G23" s="305">
        <v>747124.48</v>
      </c>
      <c r="H23" s="305">
        <v>747124.48</v>
      </c>
      <c r="I23" s="306">
        <v>456939.8</v>
      </c>
      <c r="J23" s="310">
        <f t="shared" si="0"/>
        <v>0.61159794951438351</v>
      </c>
      <c r="M23" s="293">
        <f t="shared" si="1"/>
        <v>658</v>
      </c>
      <c r="N23" s="298">
        <v>43465</v>
      </c>
      <c r="O23" s="293">
        <f t="shared" si="2"/>
        <v>365</v>
      </c>
      <c r="P23" s="301">
        <f t="shared" si="3"/>
        <v>0.44528875379939209</v>
      </c>
    </row>
    <row r="24" spans="1:16" ht="18.95" customHeight="1">
      <c r="A24" s="294">
        <f t="shared" si="4"/>
        <v>12</v>
      </c>
      <c r="B24" s="304" t="s">
        <v>2591</v>
      </c>
      <c r="C24" s="305" t="s">
        <v>2592</v>
      </c>
      <c r="D24" s="299">
        <v>43282</v>
      </c>
      <c r="E24" s="298">
        <v>43830</v>
      </c>
      <c r="F24" s="300">
        <v>0.33394160583941607</v>
      </c>
      <c r="G24" s="305">
        <v>2230548.3200000003</v>
      </c>
      <c r="H24" s="305">
        <v>2230548.3200000003</v>
      </c>
      <c r="I24" s="306">
        <v>739635.45</v>
      </c>
      <c r="J24" s="310">
        <f t="shared" si="0"/>
        <v>0.33159355633237297</v>
      </c>
      <c r="M24" s="293">
        <f t="shared" si="1"/>
        <v>548</v>
      </c>
      <c r="N24" s="298">
        <v>43465</v>
      </c>
      <c r="O24" s="293">
        <f t="shared" si="2"/>
        <v>365</v>
      </c>
      <c r="P24" s="301">
        <f t="shared" si="3"/>
        <v>0.33394160583941607</v>
      </c>
    </row>
    <row r="25" spans="1:16" ht="18.95" customHeight="1">
      <c r="A25" s="294">
        <f t="shared" si="4"/>
        <v>13</v>
      </c>
      <c r="B25" s="304" t="s">
        <v>1576</v>
      </c>
      <c r="C25" s="305" t="s">
        <v>1577</v>
      </c>
      <c r="D25" s="299">
        <v>42736</v>
      </c>
      <c r="E25" s="298">
        <v>47118</v>
      </c>
      <c r="F25" s="300">
        <v>0.16636239160200822</v>
      </c>
      <c r="G25" s="305">
        <v>275000</v>
      </c>
      <c r="H25" s="305">
        <v>380441.75</v>
      </c>
      <c r="I25" s="306">
        <v>50908</v>
      </c>
      <c r="J25" s="310">
        <f t="shared" si="0"/>
        <v>0.1338128635986981</v>
      </c>
      <c r="M25" s="293">
        <f t="shared" si="1"/>
        <v>4382</v>
      </c>
      <c r="N25" s="298">
        <v>43465</v>
      </c>
      <c r="O25" s="293">
        <f t="shared" si="2"/>
        <v>3653</v>
      </c>
      <c r="P25" s="301">
        <f t="shared" si="3"/>
        <v>0.16636239160200822</v>
      </c>
    </row>
    <row r="26" spans="1:16" ht="18.95" customHeight="1">
      <c r="A26" s="294">
        <f t="shared" si="4"/>
        <v>14</v>
      </c>
      <c r="B26" s="304" t="s">
        <v>2593</v>
      </c>
      <c r="C26" s="305" t="s">
        <v>2594</v>
      </c>
      <c r="D26" s="299">
        <v>42736</v>
      </c>
      <c r="E26" s="298">
        <v>46387</v>
      </c>
      <c r="F26" s="300">
        <v>0.19967132292522596</v>
      </c>
      <c r="G26" s="305">
        <v>1452113.46</v>
      </c>
      <c r="H26" s="305">
        <v>2286592.87</v>
      </c>
      <c r="I26" s="306">
        <v>381046.44</v>
      </c>
      <c r="J26" s="310">
        <f t="shared" si="0"/>
        <v>0.16664376286627711</v>
      </c>
      <c r="M26" s="293">
        <f t="shared" si="1"/>
        <v>3651</v>
      </c>
      <c r="N26" s="298">
        <v>43465</v>
      </c>
      <c r="O26" s="293">
        <f t="shared" si="2"/>
        <v>2922</v>
      </c>
      <c r="P26" s="301">
        <f t="shared" si="3"/>
        <v>0.19967132292522596</v>
      </c>
    </row>
    <row r="27" spans="1:16" ht="18.95" customHeight="1">
      <c r="A27" s="294">
        <f t="shared" si="4"/>
        <v>15</v>
      </c>
      <c r="B27" s="304" t="s">
        <v>2595</v>
      </c>
      <c r="C27" s="305" t="s">
        <v>2596</v>
      </c>
      <c r="D27" s="299">
        <v>43101</v>
      </c>
      <c r="E27" s="298">
        <v>43677</v>
      </c>
      <c r="F27" s="300">
        <v>0.63194444444444442</v>
      </c>
      <c r="G27" s="305">
        <v>5500000</v>
      </c>
      <c r="H27" s="305">
        <v>700000</v>
      </c>
      <c r="I27" s="306">
        <v>300000</v>
      </c>
      <c r="J27" s="310">
        <f t="shared" si="0"/>
        <v>0.42857142857142855</v>
      </c>
      <c r="M27" s="293">
        <f t="shared" si="1"/>
        <v>576</v>
      </c>
      <c r="N27" s="298">
        <v>43465</v>
      </c>
      <c r="O27" s="293">
        <f t="shared" si="2"/>
        <v>212</v>
      </c>
      <c r="P27" s="301">
        <f t="shared" si="3"/>
        <v>0.63194444444444442</v>
      </c>
    </row>
    <row r="28" spans="1:16" ht="18.95" customHeight="1">
      <c r="A28" s="294">
        <f t="shared" si="4"/>
        <v>16</v>
      </c>
      <c r="B28" s="304" t="s">
        <v>1498</v>
      </c>
      <c r="C28" s="305" t="s">
        <v>1499</v>
      </c>
      <c r="D28" s="299">
        <v>42887</v>
      </c>
      <c r="E28" s="298">
        <v>47848</v>
      </c>
      <c r="F28" s="300">
        <v>0.11650876839346906</v>
      </c>
      <c r="G28" s="305">
        <v>124319.74</v>
      </c>
      <c r="H28" s="305">
        <v>841901.37000000011</v>
      </c>
      <c r="I28" s="306">
        <v>95966</v>
      </c>
      <c r="J28" s="310">
        <f t="shared" si="0"/>
        <v>0.11398722394287111</v>
      </c>
      <c r="M28" s="293">
        <f t="shared" si="1"/>
        <v>4961</v>
      </c>
      <c r="N28" s="298">
        <v>43465</v>
      </c>
      <c r="O28" s="293">
        <f t="shared" si="2"/>
        <v>4383</v>
      </c>
      <c r="P28" s="301">
        <f t="shared" si="3"/>
        <v>0.11650876839346906</v>
      </c>
    </row>
    <row r="29" spans="1:16" ht="18.95" customHeight="1">
      <c r="A29" s="294">
        <f t="shared" si="4"/>
        <v>17</v>
      </c>
      <c r="B29" s="304" t="s">
        <v>2597</v>
      </c>
      <c r="C29" s="305" t="s">
        <v>2598</v>
      </c>
      <c r="D29" s="299">
        <v>43831</v>
      </c>
      <c r="E29" s="298">
        <v>44377</v>
      </c>
      <c r="F29" s="300">
        <v>-0.67032967032967028</v>
      </c>
      <c r="G29" s="305">
        <v>1545000</v>
      </c>
      <c r="H29" s="305">
        <v>2105000</v>
      </c>
      <c r="I29" s="306">
        <v>720000</v>
      </c>
      <c r="J29" s="310">
        <f t="shared" si="0"/>
        <v>0.34204275534441803</v>
      </c>
      <c r="M29" s="293">
        <f t="shared" si="1"/>
        <v>546</v>
      </c>
      <c r="N29" s="298">
        <v>43465</v>
      </c>
      <c r="O29" s="293">
        <f t="shared" si="2"/>
        <v>912</v>
      </c>
      <c r="P29" s="301">
        <f t="shared" si="3"/>
        <v>-0.67032967032967028</v>
      </c>
    </row>
    <row r="30" spans="1:16" ht="18.95" customHeight="1">
      <c r="A30" s="294">
        <f t="shared" si="4"/>
        <v>18</v>
      </c>
      <c r="B30" s="304" t="s">
        <v>1542</v>
      </c>
      <c r="C30" s="305" t="s">
        <v>2599</v>
      </c>
      <c r="D30" s="299">
        <v>43132</v>
      </c>
      <c r="E30" s="298">
        <v>47087</v>
      </c>
      <c r="F30" s="300">
        <v>8.4197218710493044E-2</v>
      </c>
      <c r="G30" s="305">
        <v>780000</v>
      </c>
      <c r="H30" s="305">
        <v>441932.79</v>
      </c>
      <c r="I30" s="306">
        <v>39728.630000000005</v>
      </c>
      <c r="J30" s="310">
        <f t="shared" si="0"/>
        <v>8.9897447980721246E-2</v>
      </c>
      <c r="M30" s="293">
        <f t="shared" si="1"/>
        <v>3955</v>
      </c>
      <c r="N30" s="298">
        <v>43465</v>
      </c>
      <c r="O30" s="293">
        <f t="shared" si="2"/>
        <v>3622</v>
      </c>
      <c r="P30" s="301">
        <f t="shared" si="3"/>
        <v>8.4197218710493044E-2</v>
      </c>
    </row>
    <row r="31" spans="1:16" ht="18.95" customHeight="1">
      <c r="A31" s="294">
        <f t="shared" si="4"/>
        <v>19</v>
      </c>
      <c r="B31" s="304" t="s">
        <v>2600</v>
      </c>
      <c r="C31" s="305" t="s">
        <v>2601</v>
      </c>
      <c r="D31" s="299">
        <v>42736</v>
      </c>
      <c r="E31" s="298">
        <v>43830</v>
      </c>
      <c r="F31" s="300">
        <v>0.6663619744058501</v>
      </c>
      <c r="G31" s="305">
        <v>21735</v>
      </c>
      <c r="H31" s="305">
        <v>38427.17</v>
      </c>
      <c r="I31" s="306">
        <v>26200.63</v>
      </c>
      <c r="J31" s="310">
        <f t="shared" si="0"/>
        <v>0.68182564576053872</v>
      </c>
      <c r="M31" s="293">
        <f t="shared" si="1"/>
        <v>1094</v>
      </c>
      <c r="N31" s="298">
        <v>43465</v>
      </c>
      <c r="O31" s="293">
        <f t="shared" si="2"/>
        <v>365</v>
      </c>
      <c r="P31" s="301">
        <f t="shared" si="3"/>
        <v>0.6663619744058501</v>
      </c>
    </row>
    <row r="32" spans="1:16" ht="18.95" customHeight="1">
      <c r="A32" s="294">
        <f t="shared" si="4"/>
        <v>20</v>
      </c>
      <c r="B32" s="304" t="s">
        <v>1536</v>
      </c>
      <c r="C32" s="305" t="s">
        <v>1537</v>
      </c>
      <c r="D32" s="299">
        <v>42552</v>
      </c>
      <c r="E32" s="298">
        <v>43830</v>
      </c>
      <c r="F32" s="300">
        <v>0.71439749608763692</v>
      </c>
      <c r="G32" s="305">
        <v>1450000</v>
      </c>
      <c r="H32" s="305">
        <v>372479.04</v>
      </c>
      <c r="I32" s="306">
        <v>1096742.57</v>
      </c>
      <c r="J32" s="310">
        <f t="shared" si="0"/>
        <v>2.9444410348566192</v>
      </c>
      <c r="M32" s="293">
        <f t="shared" si="1"/>
        <v>1278</v>
      </c>
      <c r="N32" s="298">
        <v>43465</v>
      </c>
      <c r="O32" s="293">
        <f t="shared" si="2"/>
        <v>365</v>
      </c>
      <c r="P32" s="301">
        <f t="shared" si="3"/>
        <v>0.71439749608763692</v>
      </c>
    </row>
    <row r="33" spans="1:16" ht="18.95" customHeight="1">
      <c r="A33" s="294">
        <f t="shared" si="4"/>
        <v>21</v>
      </c>
      <c r="B33" s="304" t="s">
        <v>2602</v>
      </c>
      <c r="C33" s="305" t="s">
        <v>2603</v>
      </c>
      <c r="D33" s="299">
        <v>42948</v>
      </c>
      <c r="E33" s="298">
        <v>43677</v>
      </c>
      <c r="F33" s="300">
        <v>0.70919067215363507</v>
      </c>
      <c r="G33" s="305">
        <v>2500000</v>
      </c>
      <c r="H33" s="305">
        <v>1152913.25</v>
      </c>
      <c r="I33" s="306">
        <v>569119.52</v>
      </c>
      <c r="J33" s="310">
        <f t="shared" si="0"/>
        <v>0.49363603029109088</v>
      </c>
      <c r="M33" s="293">
        <f t="shared" si="1"/>
        <v>729</v>
      </c>
      <c r="N33" s="298">
        <v>43465</v>
      </c>
      <c r="O33" s="293">
        <f t="shared" si="2"/>
        <v>212</v>
      </c>
      <c r="P33" s="301">
        <f t="shared" si="3"/>
        <v>0.70919067215363507</v>
      </c>
    </row>
    <row r="34" spans="1:16" ht="18.95" customHeight="1">
      <c r="A34" s="294">
        <f t="shared" si="4"/>
        <v>22</v>
      </c>
      <c r="B34" s="304" t="s">
        <v>2604</v>
      </c>
      <c r="C34" s="305" t="s">
        <v>2605</v>
      </c>
      <c r="D34" s="299">
        <v>42948</v>
      </c>
      <c r="E34" s="298">
        <v>43830</v>
      </c>
      <c r="F34" s="300">
        <v>0.58616780045351469</v>
      </c>
      <c r="G34" s="305">
        <v>2475000</v>
      </c>
      <c r="H34" s="305">
        <v>962849.82000000007</v>
      </c>
      <c r="I34" s="306">
        <v>164598.87</v>
      </c>
      <c r="J34" s="310">
        <f t="shared" si="0"/>
        <v>0.17094968143630124</v>
      </c>
      <c r="M34" s="293">
        <f t="shared" si="1"/>
        <v>882</v>
      </c>
      <c r="N34" s="298">
        <v>43465</v>
      </c>
      <c r="O34" s="293">
        <f t="shared" si="2"/>
        <v>365</v>
      </c>
      <c r="P34" s="301">
        <f t="shared" si="3"/>
        <v>0.58616780045351469</v>
      </c>
    </row>
    <row r="35" spans="1:16" ht="18.95" customHeight="1">
      <c r="A35" s="294">
        <f t="shared" si="4"/>
        <v>23</v>
      </c>
      <c r="B35" s="304" t="s">
        <v>2606</v>
      </c>
      <c r="C35" s="305" t="s">
        <v>2607</v>
      </c>
      <c r="D35" s="299">
        <v>43252</v>
      </c>
      <c r="E35" s="298">
        <v>43830</v>
      </c>
      <c r="F35" s="300">
        <v>0.36851211072664358</v>
      </c>
      <c r="G35" s="305">
        <v>3500000</v>
      </c>
      <c r="H35" s="305">
        <v>2593000</v>
      </c>
      <c r="I35" s="306">
        <v>803000</v>
      </c>
      <c r="J35" s="310">
        <f t="shared" si="0"/>
        <v>0.30967990744311608</v>
      </c>
      <c r="M35" s="293">
        <f t="shared" si="1"/>
        <v>578</v>
      </c>
      <c r="N35" s="298">
        <v>43465</v>
      </c>
      <c r="O35" s="293">
        <f t="shared" si="2"/>
        <v>365</v>
      </c>
      <c r="P35" s="301">
        <f t="shared" si="3"/>
        <v>0.36851211072664358</v>
      </c>
    </row>
    <row r="36" spans="1:16" ht="18.95" customHeight="1">
      <c r="A36" s="294">
        <f t="shared" si="4"/>
        <v>24</v>
      </c>
      <c r="B36" s="304" t="s">
        <v>1547</v>
      </c>
      <c r="C36" s="305" t="s">
        <v>2608</v>
      </c>
      <c r="D36" s="299">
        <v>42736</v>
      </c>
      <c r="E36" s="298">
        <v>43616</v>
      </c>
      <c r="F36" s="300">
        <v>0.82840909090909087</v>
      </c>
      <c r="G36" s="305">
        <v>77680</v>
      </c>
      <c r="H36" s="305">
        <v>50705.06</v>
      </c>
      <c r="I36" s="306">
        <v>13200</v>
      </c>
      <c r="J36" s="310">
        <f t="shared" si="0"/>
        <v>0.26032904802794832</v>
      </c>
      <c r="M36" s="293">
        <f t="shared" si="1"/>
        <v>880</v>
      </c>
      <c r="N36" s="298">
        <v>43465</v>
      </c>
      <c r="O36" s="293">
        <f t="shared" si="2"/>
        <v>151</v>
      </c>
      <c r="P36" s="301">
        <f t="shared" si="3"/>
        <v>0.82840909090909087</v>
      </c>
    </row>
    <row r="37" spans="1:16" ht="18.95" customHeight="1">
      <c r="A37" s="294">
        <f t="shared" si="4"/>
        <v>25</v>
      </c>
      <c r="B37" s="304" t="s">
        <v>2609</v>
      </c>
      <c r="C37" s="305" t="s">
        <v>2610</v>
      </c>
      <c r="D37" s="299">
        <v>42736</v>
      </c>
      <c r="E37" s="298">
        <v>43830</v>
      </c>
      <c r="F37" s="300">
        <v>0.6663619744058501</v>
      </c>
      <c r="G37" s="305">
        <v>393266.25</v>
      </c>
      <c r="H37" s="305">
        <v>345982.69</v>
      </c>
      <c r="I37" s="306">
        <v>134793</v>
      </c>
      <c r="J37" s="310">
        <f t="shared" si="0"/>
        <v>0.38959463550040613</v>
      </c>
      <c r="M37" s="293">
        <f t="shared" si="1"/>
        <v>1094</v>
      </c>
      <c r="N37" s="298">
        <v>43465</v>
      </c>
      <c r="O37" s="293">
        <f t="shared" si="2"/>
        <v>365</v>
      </c>
      <c r="P37" s="301">
        <f t="shared" si="3"/>
        <v>0.6663619744058501</v>
      </c>
    </row>
    <row r="38" spans="1:16" ht="18.95" customHeight="1">
      <c r="A38" s="294">
        <f t="shared" si="4"/>
        <v>26</v>
      </c>
      <c r="B38" s="304" t="s">
        <v>2611</v>
      </c>
      <c r="C38" s="305" t="s">
        <v>2612</v>
      </c>
      <c r="D38" s="299">
        <v>43252</v>
      </c>
      <c r="E38" s="298">
        <v>43616</v>
      </c>
      <c r="F38" s="300">
        <v>0.5851648351648352</v>
      </c>
      <c r="G38" s="305">
        <v>135000</v>
      </c>
      <c r="H38" s="305">
        <v>290000</v>
      </c>
      <c r="I38" s="306">
        <v>50000</v>
      </c>
      <c r="J38" s="310">
        <f t="shared" si="0"/>
        <v>0.17241379310344829</v>
      </c>
      <c r="M38" s="293">
        <f t="shared" si="1"/>
        <v>364</v>
      </c>
      <c r="N38" s="298">
        <v>43465</v>
      </c>
      <c r="O38" s="293">
        <f t="shared" si="2"/>
        <v>151</v>
      </c>
      <c r="P38" s="301">
        <f t="shared" si="3"/>
        <v>0.5851648351648352</v>
      </c>
    </row>
    <row r="39" spans="1:16" ht="18.95" customHeight="1">
      <c r="A39" s="294">
        <f t="shared" si="4"/>
        <v>27</v>
      </c>
      <c r="B39" s="304" t="s">
        <v>1569</v>
      </c>
      <c r="C39" s="305" t="s">
        <v>2613</v>
      </c>
      <c r="D39" s="299">
        <v>42736</v>
      </c>
      <c r="E39" s="298">
        <v>46752</v>
      </c>
      <c r="F39" s="300">
        <v>0.18152390438247012</v>
      </c>
      <c r="G39" s="305">
        <v>466626.20999999996</v>
      </c>
      <c r="H39" s="305">
        <v>551462.77</v>
      </c>
      <c r="I39" s="306">
        <v>93456.48</v>
      </c>
      <c r="J39" s="310">
        <f t="shared" si="0"/>
        <v>0.16947015298965692</v>
      </c>
      <c r="M39" s="293">
        <f t="shared" si="1"/>
        <v>4016</v>
      </c>
      <c r="N39" s="298">
        <v>43465</v>
      </c>
      <c r="O39" s="293">
        <f t="shared" si="2"/>
        <v>3287</v>
      </c>
      <c r="P39" s="301">
        <f t="shared" si="3"/>
        <v>0.18152390438247012</v>
      </c>
    </row>
    <row r="40" spans="1:16" ht="18.95" customHeight="1">
      <c r="A40" s="294">
        <f t="shared" si="4"/>
        <v>28</v>
      </c>
      <c r="B40" s="304" t="s">
        <v>2614</v>
      </c>
      <c r="C40" s="305" t="s">
        <v>2615</v>
      </c>
      <c r="D40" s="299">
        <v>43101</v>
      </c>
      <c r="E40" s="298">
        <v>43830</v>
      </c>
      <c r="F40" s="300">
        <v>0.4993141289437586</v>
      </c>
      <c r="G40" s="305">
        <v>1811646.52</v>
      </c>
      <c r="H40" s="305">
        <v>2378935.08</v>
      </c>
      <c r="I40" s="306">
        <v>226593.15</v>
      </c>
      <c r="J40" s="310">
        <f t="shared" si="0"/>
        <v>9.5249824976308295E-2</v>
      </c>
      <c r="M40" s="293">
        <f t="shared" si="1"/>
        <v>729</v>
      </c>
      <c r="N40" s="298">
        <v>43465</v>
      </c>
      <c r="O40" s="293">
        <f t="shared" si="2"/>
        <v>365</v>
      </c>
      <c r="P40" s="301">
        <f t="shared" si="3"/>
        <v>0.4993141289437586</v>
      </c>
    </row>
    <row r="41" spans="1:16" ht="18.95" customHeight="1">
      <c r="A41" s="294">
        <f t="shared" si="4"/>
        <v>29</v>
      </c>
      <c r="B41" s="304" t="s">
        <v>2616</v>
      </c>
      <c r="C41" s="305" t="s">
        <v>2617</v>
      </c>
      <c r="D41" s="299">
        <v>43101</v>
      </c>
      <c r="E41" s="298">
        <v>43677</v>
      </c>
      <c r="F41" s="300">
        <v>0.63194444444444442</v>
      </c>
      <c r="G41" s="305">
        <v>350000</v>
      </c>
      <c r="H41" s="305">
        <v>349108.54</v>
      </c>
      <c r="I41" s="306">
        <v>250000</v>
      </c>
      <c r="J41" s="310">
        <f t="shared" si="0"/>
        <v>0.71610966606545923</v>
      </c>
      <c r="M41" s="293">
        <f t="shared" si="1"/>
        <v>576</v>
      </c>
      <c r="N41" s="298">
        <v>43465</v>
      </c>
      <c r="O41" s="293">
        <f t="shared" si="2"/>
        <v>212</v>
      </c>
      <c r="P41" s="301">
        <f t="shared" si="3"/>
        <v>0.63194444444444442</v>
      </c>
    </row>
    <row r="42" spans="1:16" ht="18.95" customHeight="1">
      <c r="A42" s="294">
        <f t="shared" si="4"/>
        <v>30</v>
      </c>
      <c r="B42" s="304" t="s">
        <v>2618</v>
      </c>
      <c r="C42" s="305" t="s">
        <v>2619</v>
      </c>
      <c r="D42" s="299">
        <v>43101</v>
      </c>
      <c r="E42" s="298">
        <v>43830</v>
      </c>
      <c r="F42" s="300">
        <v>0.4993141289437586</v>
      </c>
      <c r="G42" s="305">
        <v>916369.58000000007</v>
      </c>
      <c r="H42" s="305">
        <v>598662.85</v>
      </c>
      <c r="I42" s="306">
        <v>450000</v>
      </c>
      <c r="J42" s="310">
        <f t="shared" si="0"/>
        <v>0.75167517075763102</v>
      </c>
      <c r="M42" s="293">
        <f t="shared" si="1"/>
        <v>729</v>
      </c>
      <c r="N42" s="298">
        <v>43465</v>
      </c>
      <c r="O42" s="293">
        <f t="shared" si="2"/>
        <v>365</v>
      </c>
      <c r="P42" s="301">
        <f t="shared" si="3"/>
        <v>0.4993141289437586</v>
      </c>
    </row>
    <row r="43" spans="1:16" ht="18.95" customHeight="1">
      <c r="A43" s="294">
        <f t="shared" si="4"/>
        <v>31</v>
      </c>
      <c r="B43" s="304" t="s">
        <v>2620</v>
      </c>
      <c r="C43" s="305" t="s">
        <v>2621</v>
      </c>
      <c r="D43" s="299">
        <v>42856</v>
      </c>
      <c r="E43" s="298">
        <v>43677</v>
      </c>
      <c r="F43" s="300">
        <v>0.74177831912302072</v>
      </c>
      <c r="G43" s="305">
        <v>500000</v>
      </c>
      <c r="H43" s="305">
        <v>546879.97</v>
      </c>
      <c r="I43" s="306">
        <v>200000</v>
      </c>
      <c r="J43" s="310">
        <f t="shared" si="0"/>
        <v>0.36571096213306187</v>
      </c>
      <c r="M43" s="293">
        <f t="shared" si="1"/>
        <v>821</v>
      </c>
      <c r="N43" s="298">
        <v>43465</v>
      </c>
      <c r="O43" s="293">
        <f t="shared" si="2"/>
        <v>212</v>
      </c>
      <c r="P43" s="301">
        <f t="shared" si="3"/>
        <v>0.74177831912302072</v>
      </c>
    </row>
    <row r="44" spans="1:16" ht="18.95" customHeight="1">
      <c r="A44" s="294">
        <f t="shared" si="4"/>
        <v>32</v>
      </c>
      <c r="B44" s="304" t="s">
        <v>2622</v>
      </c>
      <c r="C44" s="305" t="s">
        <v>2623</v>
      </c>
      <c r="D44" s="299">
        <v>42856</v>
      </c>
      <c r="E44" s="298">
        <v>43708</v>
      </c>
      <c r="F44" s="300">
        <v>0.71478873239436624</v>
      </c>
      <c r="G44" s="305">
        <v>2700000</v>
      </c>
      <c r="H44" s="305">
        <v>1685736.96</v>
      </c>
      <c r="I44" s="306">
        <v>100000</v>
      </c>
      <c r="J44" s="310">
        <f t="shared" si="0"/>
        <v>5.9321235977408959E-2</v>
      </c>
      <c r="M44" s="293">
        <f t="shared" si="1"/>
        <v>852</v>
      </c>
      <c r="N44" s="298">
        <v>43465</v>
      </c>
      <c r="O44" s="293">
        <f t="shared" si="2"/>
        <v>243</v>
      </c>
      <c r="P44" s="301">
        <f t="shared" si="3"/>
        <v>0.71478873239436624</v>
      </c>
    </row>
    <row r="45" spans="1:16" ht="18.95" customHeight="1">
      <c r="A45" s="294">
        <f t="shared" si="4"/>
        <v>33</v>
      </c>
      <c r="B45" s="304" t="s">
        <v>2624</v>
      </c>
      <c r="C45" s="305" t="s">
        <v>2625</v>
      </c>
      <c r="D45" s="299">
        <v>43056</v>
      </c>
      <c r="E45" s="298">
        <v>43708</v>
      </c>
      <c r="F45" s="300">
        <v>0.62730061349693256</v>
      </c>
      <c r="G45" s="305">
        <v>110000.00000000001</v>
      </c>
      <c r="H45" s="305">
        <v>188468.59</v>
      </c>
      <c r="I45" s="306">
        <v>39805.760000000002</v>
      </c>
      <c r="J45" s="310">
        <f t="shared" si="0"/>
        <v>0.21120633416952928</v>
      </c>
      <c r="M45" s="293">
        <f t="shared" si="1"/>
        <v>652</v>
      </c>
      <c r="N45" s="298">
        <v>43465</v>
      </c>
      <c r="O45" s="293">
        <f t="shared" si="2"/>
        <v>243</v>
      </c>
      <c r="P45" s="301">
        <f t="shared" si="3"/>
        <v>0.62730061349693256</v>
      </c>
    </row>
    <row r="46" spans="1:16" ht="18.95" customHeight="1">
      <c r="A46" s="294">
        <f t="shared" si="4"/>
        <v>34</v>
      </c>
      <c r="B46" s="304" t="s">
        <v>2626</v>
      </c>
      <c r="C46" s="305" t="s">
        <v>2627</v>
      </c>
      <c r="D46" s="299">
        <v>43101</v>
      </c>
      <c r="E46" s="298">
        <v>44561</v>
      </c>
      <c r="F46" s="300">
        <v>0.24931506849315069</v>
      </c>
      <c r="G46" s="305">
        <v>140062.5</v>
      </c>
      <c r="H46" s="305">
        <v>139144.76</v>
      </c>
      <c r="I46" s="306">
        <v>46728.200000000004</v>
      </c>
      <c r="J46" s="310">
        <f t="shared" si="0"/>
        <v>0.33582436018431455</v>
      </c>
      <c r="M46" s="293">
        <f t="shared" si="1"/>
        <v>1460</v>
      </c>
      <c r="N46" s="298">
        <v>43465</v>
      </c>
      <c r="O46" s="293">
        <f t="shared" si="2"/>
        <v>1096</v>
      </c>
      <c r="P46" s="301">
        <f t="shared" si="3"/>
        <v>0.24931506849315069</v>
      </c>
    </row>
    <row r="47" spans="1:16" ht="18.95" customHeight="1">
      <c r="A47" s="294">
        <f t="shared" si="4"/>
        <v>35</v>
      </c>
      <c r="B47" s="304" t="s">
        <v>2628</v>
      </c>
      <c r="C47" s="305" t="s">
        <v>2629</v>
      </c>
      <c r="D47" s="299">
        <v>43101</v>
      </c>
      <c r="E47" s="298">
        <v>47848</v>
      </c>
      <c r="F47" s="300">
        <v>7.6680008426374555E-2</v>
      </c>
      <c r="G47" s="305">
        <v>346020</v>
      </c>
      <c r="H47" s="305">
        <v>592846.60000000009</v>
      </c>
      <c r="I47" s="306">
        <v>73989.600000000006</v>
      </c>
      <c r="J47" s="310">
        <f t="shared" si="0"/>
        <v>0.12480395434501942</v>
      </c>
      <c r="M47" s="293">
        <f t="shared" si="1"/>
        <v>4747</v>
      </c>
      <c r="N47" s="298">
        <v>43465</v>
      </c>
      <c r="O47" s="293">
        <f t="shared" si="2"/>
        <v>4383</v>
      </c>
      <c r="P47" s="301">
        <f t="shared" si="3"/>
        <v>7.6680008426374555E-2</v>
      </c>
    </row>
    <row r="48" spans="1:16" ht="18.95" customHeight="1">
      <c r="A48" s="294">
        <f t="shared" si="4"/>
        <v>36</v>
      </c>
      <c r="B48" s="304" t="s">
        <v>2630</v>
      </c>
      <c r="C48" s="305" t="s">
        <v>2631</v>
      </c>
      <c r="D48" s="299">
        <v>43101</v>
      </c>
      <c r="E48" s="298">
        <v>44561</v>
      </c>
      <c r="F48" s="300">
        <v>0.24931506849315069</v>
      </c>
      <c r="G48" s="305">
        <v>688481.06</v>
      </c>
      <c r="H48" s="305">
        <v>217585.51</v>
      </c>
      <c r="I48" s="306">
        <v>-0.2</v>
      </c>
      <c r="J48" s="310">
        <f t="shared" si="0"/>
        <v>-9.1917885524638111E-7</v>
      </c>
      <c r="M48" s="293">
        <f t="shared" si="1"/>
        <v>1460</v>
      </c>
      <c r="N48" s="298">
        <v>43465</v>
      </c>
      <c r="O48" s="293">
        <f t="shared" si="2"/>
        <v>1096</v>
      </c>
      <c r="P48" s="301">
        <f t="shared" si="3"/>
        <v>0.24931506849315069</v>
      </c>
    </row>
    <row r="49" spans="1:16" ht="18.95" customHeight="1">
      <c r="A49" s="294">
        <f t="shared" si="4"/>
        <v>37</v>
      </c>
      <c r="B49" s="304" t="s">
        <v>2632</v>
      </c>
      <c r="C49" s="305" t="s">
        <v>2633</v>
      </c>
      <c r="D49" s="299">
        <v>43101</v>
      </c>
      <c r="E49" s="298">
        <v>45657</v>
      </c>
      <c r="F49" s="300">
        <v>0.14241001564945227</v>
      </c>
      <c r="G49" s="305">
        <v>108131.25</v>
      </c>
      <c r="H49" s="305">
        <v>44028.9</v>
      </c>
      <c r="I49" s="306">
        <v>-0.14000000000000001</v>
      </c>
      <c r="J49" s="310">
        <f t="shared" si="0"/>
        <v>-3.1797296775526985E-6</v>
      </c>
      <c r="M49" s="293">
        <f t="shared" si="1"/>
        <v>2556</v>
      </c>
      <c r="N49" s="298">
        <v>43465</v>
      </c>
      <c r="O49" s="293">
        <f t="shared" si="2"/>
        <v>2192</v>
      </c>
      <c r="P49" s="301">
        <f t="shared" si="3"/>
        <v>0.14241001564945227</v>
      </c>
    </row>
    <row r="50" spans="1:16" ht="18.95" customHeight="1">
      <c r="A50" s="294">
        <f t="shared" si="4"/>
        <v>38</v>
      </c>
      <c r="B50" s="304" t="s">
        <v>2634</v>
      </c>
      <c r="C50" s="305" t="s">
        <v>2635</v>
      </c>
      <c r="D50" s="299">
        <v>43374</v>
      </c>
      <c r="E50" s="298">
        <v>43616</v>
      </c>
      <c r="F50" s="300">
        <v>0.37603305785123969</v>
      </c>
      <c r="G50" s="305">
        <v>271018.12</v>
      </c>
      <c r="H50" s="305">
        <v>271018.12</v>
      </c>
      <c r="I50" s="306">
        <v>57000</v>
      </c>
      <c r="J50" s="310">
        <f t="shared" si="0"/>
        <v>0.21031804072731372</v>
      </c>
      <c r="M50" s="293">
        <f t="shared" si="1"/>
        <v>242</v>
      </c>
      <c r="N50" s="298">
        <v>43465</v>
      </c>
      <c r="O50" s="293">
        <f t="shared" si="2"/>
        <v>151</v>
      </c>
      <c r="P50" s="301">
        <f t="shared" si="3"/>
        <v>0.37603305785123969</v>
      </c>
    </row>
    <row r="51" spans="1:16" ht="18.95" customHeight="1">
      <c r="A51" s="294">
        <f t="shared" si="4"/>
        <v>39</v>
      </c>
      <c r="B51" s="304" t="s">
        <v>2636</v>
      </c>
      <c r="C51" s="305" t="s">
        <v>2637</v>
      </c>
      <c r="D51" s="299">
        <v>43101</v>
      </c>
      <c r="E51" s="298">
        <v>43677</v>
      </c>
      <c r="F51" s="300">
        <v>0.63194444444444442</v>
      </c>
      <c r="G51" s="305">
        <v>1391172.0200000003</v>
      </c>
      <c r="H51" s="305">
        <v>1301054.92</v>
      </c>
      <c r="I51" s="306">
        <v>630000</v>
      </c>
      <c r="J51" s="310">
        <f t="shared" si="0"/>
        <v>0.48422244927216451</v>
      </c>
      <c r="M51" s="293">
        <f t="shared" si="1"/>
        <v>576</v>
      </c>
      <c r="N51" s="298">
        <v>43465</v>
      </c>
      <c r="O51" s="293">
        <f t="shared" si="2"/>
        <v>212</v>
      </c>
      <c r="P51" s="301">
        <f t="shared" si="3"/>
        <v>0.63194444444444442</v>
      </c>
    </row>
    <row r="52" spans="1:16" ht="18.95" customHeight="1">
      <c r="A52" s="294">
        <f t="shared" si="4"/>
        <v>40</v>
      </c>
      <c r="B52" s="304" t="s">
        <v>2638</v>
      </c>
      <c r="C52" s="305" t="s">
        <v>2639</v>
      </c>
      <c r="D52" s="299">
        <v>43221</v>
      </c>
      <c r="E52" s="298">
        <v>44196</v>
      </c>
      <c r="F52" s="300">
        <v>0.25025641025641027</v>
      </c>
      <c r="G52" s="305">
        <v>7091424.3699999992</v>
      </c>
      <c r="H52" s="305">
        <v>7091424.3699999992</v>
      </c>
      <c r="I52" s="306">
        <v>900000</v>
      </c>
      <c r="J52" s="310">
        <f t="shared" si="0"/>
        <v>0.12691385440242664</v>
      </c>
      <c r="M52" s="293">
        <f t="shared" si="1"/>
        <v>975</v>
      </c>
      <c r="N52" s="298">
        <v>43465</v>
      </c>
      <c r="O52" s="293">
        <f t="shared" si="2"/>
        <v>731</v>
      </c>
      <c r="P52" s="301">
        <f t="shared" si="3"/>
        <v>0.25025641025641027</v>
      </c>
    </row>
    <row r="53" spans="1:16" ht="18.95" customHeight="1">
      <c r="A53" s="294">
        <f t="shared" si="4"/>
        <v>41</v>
      </c>
      <c r="B53" s="304" t="s">
        <v>2640</v>
      </c>
      <c r="C53" s="305" t="s">
        <v>2641</v>
      </c>
      <c r="D53" s="299">
        <v>43178</v>
      </c>
      <c r="E53" s="298">
        <v>43830</v>
      </c>
      <c r="F53" s="300">
        <v>0.44018404907975461</v>
      </c>
      <c r="G53" s="305">
        <v>289273.03000000003</v>
      </c>
      <c r="H53" s="305">
        <v>289273.03000000003</v>
      </c>
      <c r="I53" s="306">
        <v>134090</v>
      </c>
      <c r="J53" s="310">
        <f t="shared" si="0"/>
        <v>0.46354131251019143</v>
      </c>
      <c r="M53" s="293">
        <f t="shared" si="1"/>
        <v>652</v>
      </c>
      <c r="N53" s="298">
        <v>43465</v>
      </c>
      <c r="O53" s="293">
        <f t="shared" si="2"/>
        <v>365</v>
      </c>
      <c r="P53" s="301">
        <f t="shared" si="3"/>
        <v>0.44018404907975461</v>
      </c>
    </row>
    <row r="54" spans="1:16" ht="18.95" customHeight="1">
      <c r="A54" s="294">
        <f t="shared" si="4"/>
        <v>42</v>
      </c>
      <c r="B54" s="304" t="s">
        <v>2642</v>
      </c>
      <c r="C54" s="305" t="s">
        <v>2643</v>
      </c>
      <c r="D54" s="299">
        <v>43221</v>
      </c>
      <c r="E54" s="298">
        <v>43830</v>
      </c>
      <c r="F54" s="300">
        <v>0.40065681444991791</v>
      </c>
      <c r="G54" s="305">
        <v>75077.19</v>
      </c>
      <c r="H54" s="305">
        <v>75077.19</v>
      </c>
      <c r="I54" s="306">
        <v>75077.19</v>
      </c>
      <c r="J54" s="310">
        <f t="shared" si="0"/>
        <v>1</v>
      </c>
      <c r="M54" s="293">
        <f t="shared" si="1"/>
        <v>609</v>
      </c>
      <c r="N54" s="298">
        <v>43465</v>
      </c>
      <c r="O54" s="293">
        <f t="shared" si="2"/>
        <v>365</v>
      </c>
      <c r="P54" s="301">
        <f t="shared" si="3"/>
        <v>0.40065681444991791</v>
      </c>
    </row>
    <row r="55" spans="1:16" ht="18.95" customHeight="1">
      <c r="A55" s="294">
        <f t="shared" si="4"/>
        <v>43</v>
      </c>
      <c r="B55" s="307" t="s">
        <v>2644</v>
      </c>
      <c r="C55" s="305" t="s">
        <v>2645</v>
      </c>
      <c r="D55" s="299">
        <v>43252</v>
      </c>
      <c r="E55" s="298">
        <v>43830</v>
      </c>
      <c r="F55" s="300">
        <v>0.36851211072664358</v>
      </c>
      <c r="G55" s="305">
        <v>450000</v>
      </c>
      <c r="H55" s="305">
        <v>450000</v>
      </c>
      <c r="I55" s="306">
        <v>125000</v>
      </c>
      <c r="J55" s="310">
        <f t="shared" si="0"/>
        <v>0.27777777777777779</v>
      </c>
      <c r="M55" s="293">
        <f t="shared" si="1"/>
        <v>578</v>
      </c>
      <c r="N55" s="298">
        <v>43465</v>
      </c>
      <c r="O55" s="293">
        <f t="shared" si="2"/>
        <v>365</v>
      </c>
      <c r="P55" s="301">
        <f t="shared" si="3"/>
        <v>0.36851211072664358</v>
      </c>
    </row>
    <row r="56" spans="1:16" ht="18.95" customHeight="1">
      <c r="A56" s="294">
        <f t="shared" si="4"/>
        <v>44</v>
      </c>
      <c r="B56" s="304" t="s">
        <v>2646</v>
      </c>
      <c r="C56" s="305" t="s">
        <v>2647</v>
      </c>
      <c r="D56" s="299">
        <v>43252</v>
      </c>
      <c r="E56" s="298">
        <v>43677</v>
      </c>
      <c r="F56" s="300">
        <v>0.50117647058823533</v>
      </c>
      <c r="G56" s="305">
        <v>560000</v>
      </c>
      <c r="H56" s="305">
        <v>560000</v>
      </c>
      <c r="I56" s="306">
        <v>170000</v>
      </c>
      <c r="J56" s="310">
        <f t="shared" si="0"/>
        <v>0.30357142857142855</v>
      </c>
      <c r="M56" s="293">
        <f t="shared" si="1"/>
        <v>425</v>
      </c>
      <c r="N56" s="298">
        <v>43465</v>
      </c>
      <c r="O56" s="293">
        <f t="shared" si="2"/>
        <v>212</v>
      </c>
      <c r="P56" s="301">
        <f t="shared" si="3"/>
        <v>0.50117647058823533</v>
      </c>
    </row>
    <row r="57" spans="1:16" ht="20.100000000000001" customHeight="1">
      <c r="A57" s="831" t="str">
        <f>$A$1</f>
        <v>LOUISVILLE GAS AND ELECTRIC COMPANY</v>
      </c>
      <c r="B57" s="831"/>
      <c r="C57" s="831"/>
      <c r="D57" s="831"/>
      <c r="E57" s="831"/>
      <c r="F57" s="831"/>
      <c r="G57" s="831"/>
      <c r="H57" s="831"/>
      <c r="I57" s="831"/>
      <c r="J57" s="831"/>
    </row>
    <row r="58" spans="1:16" ht="20.100000000000001" customHeight="1">
      <c r="A58" s="831" t="str">
        <f>$A$2</f>
        <v>CASE NO. 2018-00295 - ELECTRIC OPERATIONS</v>
      </c>
      <c r="B58" s="831"/>
      <c r="C58" s="831"/>
      <c r="D58" s="831"/>
      <c r="E58" s="831"/>
      <c r="F58" s="831"/>
      <c r="G58" s="831"/>
      <c r="H58" s="831"/>
      <c r="I58" s="831"/>
      <c r="J58" s="831"/>
    </row>
    <row r="59" spans="1:16" ht="20.100000000000001" customHeight="1">
      <c r="A59" s="831" t="s">
        <v>252</v>
      </c>
      <c r="B59" s="831"/>
      <c r="C59" s="831"/>
      <c r="D59" s="831"/>
      <c r="E59" s="831"/>
      <c r="F59" s="831"/>
      <c r="G59" s="831"/>
      <c r="H59" s="831"/>
      <c r="I59" s="831"/>
      <c r="J59" s="831"/>
    </row>
    <row r="60" spans="1:16" ht="20.100000000000001" customHeight="1">
      <c r="A60" s="831" t="str">
        <f>$A$4</f>
        <v>AS OF DECEMBER 31, 2018</v>
      </c>
      <c r="B60" s="831"/>
      <c r="C60" s="831"/>
      <c r="D60" s="831"/>
      <c r="E60" s="831"/>
      <c r="F60" s="831"/>
      <c r="G60" s="831"/>
      <c r="H60" s="831"/>
      <c r="I60" s="831"/>
      <c r="J60" s="831"/>
    </row>
    <row r="61" spans="1:16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ht="20.100000000000001" customHeight="1">
      <c r="A62" s="15" t="str">
        <f>$A$6</f>
        <v>DATA:__X__BASE  PERIOD____FORECASTED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ht="20.100000000000001" customHeight="1">
      <c r="A63" s="15" t="str">
        <f>$A$7</f>
        <v>TYPE OF FILING: _____ ORIGINAL  _____ UPDATED  __X__ REVISED</v>
      </c>
      <c r="B63" s="286"/>
      <c r="C63" s="16"/>
      <c r="D63" s="65"/>
      <c r="E63" s="65"/>
      <c r="F63" s="16"/>
      <c r="G63" s="22"/>
      <c r="H63" s="22"/>
      <c r="I63" s="22"/>
      <c r="J63" s="22" t="s">
        <v>1554</v>
      </c>
    </row>
    <row r="64" spans="1:16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95" customHeight="1">
      <c r="A69" s="294">
        <f>A56+1</f>
        <v>45</v>
      </c>
      <c r="B69" s="304" t="s">
        <v>2648</v>
      </c>
      <c r="C69" s="305" t="s">
        <v>2649</v>
      </c>
      <c r="D69" s="299">
        <v>41821</v>
      </c>
      <c r="E69" s="298">
        <v>46022</v>
      </c>
      <c r="F69" s="300">
        <v>0.39133539633420616</v>
      </c>
      <c r="G69" s="305">
        <v>60000000</v>
      </c>
      <c r="H69" s="305">
        <v>-3692824.6799999997</v>
      </c>
      <c r="I69" s="306">
        <v>4468985.43</v>
      </c>
      <c r="J69" s="396">
        <f t="shared" ref="J69:J89" si="5">I69/H69</f>
        <v>-1.2101807741384571</v>
      </c>
      <c r="M69" s="293">
        <f t="shared" si="1"/>
        <v>4201</v>
      </c>
      <c r="N69" s="298">
        <v>43465</v>
      </c>
      <c r="O69" s="293">
        <f t="shared" si="2"/>
        <v>2557</v>
      </c>
      <c r="P69" s="301">
        <f t="shared" si="3"/>
        <v>0.39133539633420616</v>
      </c>
    </row>
    <row r="70" spans="1:16" ht="18.95" customHeight="1">
      <c r="A70" s="294">
        <f t="shared" si="4"/>
        <v>46</v>
      </c>
      <c r="B70" s="304" t="s">
        <v>2650</v>
      </c>
      <c r="C70" s="305" t="s">
        <v>2651</v>
      </c>
      <c r="D70" s="299">
        <v>42186</v>
      </c>
      <c r="E70" s="298">
        <v>46022</v>
      </c>
      <c r="F70" s="300">
        <v>0.33342022940563087</v>
      </c>
      <c r="G70" s="305">
        <v>7800000</v>
      </c>
      <c r="H70" s="305">
        <v>-1428485.56</v>
      </c>
      <c r="I70" s="306">
        <v>1764254.1</v>
      </c>
      <c r="J70" s="396">
        <f t="shared" si="5"/>
        <v>-1.2350521065120181</v>
      </c>
      <c r="M70" s="293">
        <f t="shared" si="1"/>
        <v>3836</v>
      </c>
      <c r="N70" s="298">
        <v>43465</v>
      </c>
      <c r="O70" s="293">
        <f t="shared" si="2"/>
        <v>2557</v>
      </c>
      <c r="P70" s="301">
        <f t="shared" si="3"/>
        <v>0.33342022940563087</v>
      </c>
    </row>
    <row r="71" spans="1:16" ht="18.95" customHeight="1">
      <c r="A71" s="294">
        <f t="shared" si="4"/>
        <v>47</v>
      </c>
      <c r="B71" s="304" t="s">
        <v>2652</v>
      </c>
      <c r="C71" s="305" t="s">
        <v>2653</v>
      </c>
      <c r="D71" s="299">
        <v>40744</v>
      </c>
      <c r="E71" s="298">
        <v>44196</v>
      </c>
      <c r="F71" s="300">
        <v>0.78823870220162229</v>
      </c>
      <c r="G71" s="305">
        <v>300000</v>
      </c>
      <c r="H71" s="305">
        <v>389724.85</v>
      </c>
      <c r="I71" s="306">
        <v>189724.85</v>
      </c>
      <c r="J71" s="396">
        <f t="shared" si="5"/>
        <v>0.48681743029729824</v>
      </c>
      <c r="M71" s="293">
        <f t="shared" si="1"/>
        <v>3452</v>
      </c>
      <c r="N71" s="298">
        <v>43465</v>
      </c>
      <c r="O71" s="293">
        <f t="shared" si="2"/>
        <v>731</v>
      </c>
      <c r="P71" s="301">
        <f t="shared" si="3"/>
        <v>0.78823870220162229</v>
      </c>
    </row>
    <row r="72" spans="1:16" ht="18.95" customHeight="1">
      <c r="A72" s="294">
        <f t="shared" si="4"/>
        <v>48</v>
      </c>
      <c r="B72" s="304" t="s">
        <v>2654</v>
      </c>
      <c r="C72" s="305" t="s">
        <v>2655</v>
      </c>
      <c r="D72" s="299">
        <v>41640</v>
      </c>
      <c r="E72" s="298">
        <v>45291</v>
      </c>
      <c r="F72" s="300">
        <v>0.49986305121884417</v>
      </c>
      <c r="G72" s="305">
        <v>-850000</v>
      </c>
      <c r="H72" s="305">
        <v>-850000</v>
      </c>
      <c r="I72" s="306">
        <v>-817022.12</v>
      </c>
      <c r="J72" s="396">
        <f t="shared" si="5"/>
        <v>0.96120249411764702</v>
      </c>
      <c r="M72" s="293">
        <f t="shared" si="1"/>
        <v>3651</v>
      </c>
      <c r="N72" s="298">
        <v>43465</v>
      </c>
      <c r="O72" s="293">
        <f t="shared" si="2"/>
        <v>1826</v>
      </c>
      <c r="P72" s="301">
        <f t="shared" si="3"/>
        <v>0.49986305121884417</v>
      </c>
    </row>
    <row r="73" spans="1:16" ht="18.95" customHeight="1">
      <c r="A73" s="294">
        <f t="shared" si="4"/>
        <v>49</v>
      </c>
      <c r="B73" s="304" t="s">
        <v>2656</v>
      </c>
      <c r="C73" s="305" t="s">
        <v>2657</v>
      </c>
      <c r="D73" s="299">
        <v>42458</v>
      </c>
      <c r="E73" s="298">
        <v>44012</v>
      </c>
      <c r="F73" s="300">
        <v>0.64800514800514797</v>
      </c>
      <c r="G73" s="305">
        <v>21520499.060000002</v>
      </c>
      <c r="H73" s="305">
        <v>21984689.239999998</v>
      </c>
      <c r="I73" s="306">
        <v>14190531.6</v>
      </c>
      <c r="J73" s="396">
        <f t="shared" si="5"/>
        <v>0.64547337672533778</v>
      </c>
      <c r="M73" s="293">
        <f t="shared" si="1"/>
        <v>1554</v>
      </c>
      <c r="N73" s="298">
        <v>43465</v>
      </c>
      <c r="O73" s="293">
        <f t="shared" si="2"/>
        <v>547</v>
      </c>
      <c r="P73" s="301">
        <f t="shared" si="3"/>
        <v>0.64800514800514797</v>
      </c>
    </row>
    <row r="74" spans="1:16" ht="18.95" customHeight="1">
      <c r="A74" s="294">
        <f t="shared" si="4"/>
        <v>50</v>
      </c>
      <c r="B74" s="304" t="s">
        <v>2658</v>
      </c>
      <c r="C74" s="305" t="s">
        <v>2659</v>
      </c>
      <c r="D74" s="299">
        <v>42458</v>
      </c>
      <c r="E74" s="298">
        <v>46022</v>
      </c>
      <c r="F74" s="300">
        <v>0.2825476992143659</v>
      </c>
      <c r="G74" s="305">
        <v>38859464.049999997</v>
      </c>
      <c r="H74" s="305">
        <v>17708697.84</v>
      </c>
      <c r="I74" s="306">
        <v>34592106.859999999</v>
      </c>
      <c r="J74" s="396">
        <f t="shared" si="5"/>
        <v>1.9533964141544131</v>
      </c>
      <c r="M74" s="293">
        <f t="shared" si="1"/>
        <v>3564</v>
      </c>
      <c r="N74" s="298">
        <v>43465</v>
      </c>
      <c r="O74" s="293">
        <f t="shared" si="2"/>
        <v>2557</v>
      </c>
      <c r="P74" s="301">
        <f t="shared" si="3"/>
        <v>0.2825476992143659</v>
      </c>
    </row>
    <row r="75" spans="1:16" ht="18.95" customHeight="1">
      <c r="A75" s="294">
        <f t="shared" si="4"/>
        <v>51</v>
      </c>
      <c r="B75" s="304" t="s">
        <v>2660</v>
      </c>
      <c r="C75" s="305" t="s">
        <v>2661</v>
      </c>
      <c r="D75" s="299">
        <v>42543</v>
      </c>
      <c r="E75" s="298">
        <v>45657</v>
      </c>
      <c r="F75" s="300">
        <v>0.29608220937700708</v>
      </c>
      <c r="G75" s="305">
        <v>133767979.88</v>
      </c>
      <c r="H75" s="305">
        <v>106180849.36</v>
      </c>
      <c r="I75" s="306">
        <v>158559435.76999998</v>
      </c>
      <c r="J75" s="396">
        <f t="shared" si="5"/>
        <v>1.4932959825214189</v>
      </c>
      <c r="M75" s="293">
        <f t="shared" si="1"/>
        <v>3114</v>
      </c>
      <c r="N75" s="298">
        <v>43465</v>
      </c>
      <c r="O75" s="293">
        <f t="shared" si="2"/>
        <v>2192</v>
      </c>
      <c r="P75" s="301">
        <f t="shared" si="3"/>
        <v>0.29608220937700708</v>
      </c>
    </row>
    <row r="76" spans="1:16" ht="18.95" customHeight="1">
      <c r="A76" s="294">
        <f t="shared" si="4"/>
        <v>52</v>
      </c>
      <c r="B76" s="304" t="s">
        <v>2662</v>
      </c>
      <c r="C76" s="305" t="s">
        <v>2663</v>
      </c>
      <c r="D76" s="299">
        <v>42543</v>
      </c>
      <c r="E76" s="298">
        <v>44196</v>
      </c>
      <c r="F76" s="300">
        <v>0.55777374470659402</v>
      </c>
      <c r="G76" s="305">
        <v>42544321</v>
      </c>
      <c r="H76" s="305">
        <v>26802047.5</v>
      </c>
      <c r="I76" s="306">
        <v>36132088.810000002</v>
      </c>
      <c r="J76" s="396">
        <f t="shared" si="5"/>
        <v>1.3481092744873318</v>
      </c>
      <c r="M76" s="293">
        <f t="shared" si="1"/>
        <v>1653</v>
      </c>
      <c r="N76" s="298">
        <v>43465</v>
      </c>
      <c r="O76" s="293">
        <f t="shared" si="2"/>
        <v>731</v>
      </c>
      <c r="P76" s="301">
        <f t="shared" si="3"/>
        <v>0.55777374470659402</v>
      </c>
    </row>
    <row r="77" spans="1:16" ht="18.95" customHeight="1">
      <c r="A77" s="294">
        <f t="shared" si="4"/>
        <v>53</v>
      </c>
      <c r="B77" s="304" t="s">
        <v>2664</v>
      </c>
      <c r="C77" s="305" t="s">
        <v>2665</v>
      </c>
      <c r="D77" s="299">
        <v>43009</v>
      </c>
      <c r="E77" s="298">
        <v>43830</v>
      </c>
      <c r="F77" s="300">
        <v>0.55542021924482343</v>
      </c>
      <c r="G77" s="305">
        <v>2925000</v>
      </c>
      <c r="H77" s="305">
        <v>4044079.78</v>
      </c>
      <c r="I77" s="306">
        <v>2397456.15</v>
      </c>
      <c r="J77" s="396">
        <f t="shared" si="5"/>
        <v>0.59283107169562321</v>
      </c>
      <c r="M77" s="293">
        <f t="shared" si="1"/>
        <v>821</v>
      </c>
      <c r="N77" s="298">
        <v>43465</v>
      </c>
      <c r="O77" s="293">
        <f t="shared" si="2"/>
        <v>365</v>
      </c>
      <c r="P77" s="301">
        <f t="shared" si="3"/>
        <v>0.55542021924482343</v>
      </c>
    </row>
    <row r="78" spans="1:16" ht="18.95" customHeight="1">
      <c r="A78" s="294">
        <f t="shared" si="4"/>
        <v>54</v>
      </c>
      <c r="B78" s="304" t="s">
        <v>2666</v>
      </c>
      <c r="C78" s="305" t="s">
        <v>2667</v>
      </c>
      <c r="D78" s="299">
        <v>43281</v>
      </c>
      <c r="E78" s="298">
        <v>44561</v>
      </c>
      <c r="F78" s="300">
        <v>0.14374999999999999</v>
      </c>
      <c r="G78" s="305">
        <v>29000000</v>
      </c>
      <c r="H78" s="305">
        <v>29000000</v>
      </c>
      <c r="I78" s="306">
        <v>50000</v>
      </c>
      <c r="J78" s="396">
        <f t="shared" si="5"/>
        <v>1.7241379310344827E-3</v>
      </c>
      <c r="M78" s="293">
        <f t="shared" si="1"/>
        <v>1280</v>
      </c>
      <c r="N78" s="298">
        <v>43465</v>
      </c>
      <c r="O78" s="293">
        <f t="shared" si="2"/>
        <v>1096</v>
      </c>
      <c r="P78" s="301">
        <f t="shared" si="3"/>
        <v>0.14374999999999999</v>
      </c>
    </row>
    <row r="79" spans="1:16" ht="18.95" customHeight="1">
      <c r="A79" s="294">
        <f t="shared" si="4"/>
        <v>55</v>
      </c>
      <c r="B79" s="304" t="s">
        <v>2668</v>
      </c>
      <c r="C79" s="305" t="s">
        <v>2669</v>
      </c>
      <c r="D79" s="299">
        <v>43132</v>
      </c>
      <c r="E79" s="298">
        <v>43982</v>
      </c>
      <c r="F79" s="300">
        <v>0.39176470588235296</v>
      </c>
      <c r="G79" s="305">
        <v>1270608</v>
      </c>
      <c r="H79" s="305">
        <v>5348260.07</v>
      </c>
      <c r="I79" s="306">
        <v>662080.79</v>
      </c>
      <c r="J79" s="396">
        <f t="shared" si="5"/>
        <v>0.12379367894127108</v>
      </c>
      <c r="M79" s="293">
        <f t="shared" si="1"/>
        <v>850</v>
      </c>
      <c r="N79" s="298">
        <v>43465</v>
      </c>
      <c r="O79" s="293">
        <f t="shared" si="2"/>
        <v>517</v>
      </c>
      <c r="P79" s="301">
        <f t="shared" si="3"/>
        <v>0.39176470588235296</v>
      </c>
    </row>
    <row r="80" spans="1:16" ht="18.95" customHeight="1">
      <c r="A80" s="294">
        <f t="shared" si="4"/>
        <v>56</v>
      </c>
      <c r="B80" s="304" t="s">
        <v>2670</v>
      </c>
      <c r="C80" s="305" t="s">
        <v>2671</v>
      </c>
      <c r="D80" s="299">
        <v>43374</v>
      </c>
      <c r="E80" s="298">
        <v>43616</v>
      </c>
      <c r="F80" s="300">
        <v>0.37603305785123969</v>
      </c>
      <c r="G80" s="305">
        <v>570160.68999999994</v>
      </c>
      <c r="H80" s="305">
        <v>2494518.2399999998</v>
      </c>
      <c r="I80" s="306">
        <v>171820.46</v>
      </c>
      <c r="J80" s="396">
        <f t="shared" si="5"/>
        <v>6.88792157318521E-2</v>
      </c>
      <c r="M80" s="293">
        <f t="shared" si="1"/>
        <v>242</v>
      </c>
      <c r="N80" s="298">
        <v>43465</v>
      </c>
      <c r="O80" s="293">
        <f t="shared" si="2"/>
        <v>151</v>
      </c>
      <c r="P80" s="301">
        <f t="shared" si="3"/>
        <v>0.37603305785123969</v>
      </c>
    </row>
    <row r="81" spans="1:16" ht="18.95" customHeight="1">
      <c r="A81" s="294">
        <f t="shared" si="4"/>
        <v>57</v>
      </c>
      <c r="B81" s="304" t="s">
        <v>1561</v>
      </c>
      <c r="C81" s="305" t="s">
        <v>1562</v>
      </c>
      <c r="D81" s="299">
        <v>43191</v>
      </c>
      <c r="E81" s="298">
        <v>43677</v>
      </c>
      <c r="F81" s="300">
        <v>0.56378600823045266</v>
      </c>
      <c r="G81" s="305">
        <v>1550000</v>
      </c>
      <c r="H81" s="305">
        <v>1120822.8999999999</v>
      </c>
      <c r="I81" s="306">
        <v>216087.45</v>
      </c>
      <c r="J81" s="396">
        <f t="shared" si="5"/>
        <v>0.19279357158030946</v>
      </c>
      <c r="M81" s="293">
        <f t="shared" si="1"/>
        <v>486</v>
      </c>
      <c r="N81" s="298">
        <v>43465</v>
      </c>
      <c r="O81" s="293">
        <f t="shared" si="2"/>
        <v>212</v>
      </c>
      <c r="P81" s="301">
        <f t="shared" si="3"/>
        <v>0.56378600823045266</v>
      </c>
    </row>
    <row r="82" spans="1:16" ht="18.95" customHeight="1">
      <c r="A82" s="294">
        <f t="shared" si="4"/>
        <v>58</v>
      </c>
      <c r="B82" s="304" t="s">
        <v>1583</v>
      </c>
      <c r="C82" s="305" t="s">
        <v>1584</v>
      </c>
      <c r="D82" s="299">
        <v>43101</v>
      </c>
      <c r="E82" s="298">
        <v>43830</v>
      </c>
      <c r="F82" s="300">
        <v>0.4993141289437586</v>
      </c>
      <c r="G82" s="305">
        <v>431234.39</v>
      </c>
      <c r="H82" s="305">
        <v>443876.14999999997</v>
      </c>
      <c r="I82" s="306">
        <v>425594.05</v>
      </c>
      <c r="J82" s="396">
        <f t="shared" si="5"/>
        <v>0.95881261022922726</v>
      </c>
      <c r="M82" s="293">
        <f t="shared" si="1"/>
        <v>729</v>
      </c>
      <c r="N82" s="298">
        <v>43465</v>
      </c>
      <c r="O82" s="293">
        <f t="shared" si="2"/>
        <v>365</v>
      </c>
      <c r="P82" s="301">
        <f t="shared" si="3"/>
        <v>0.4993141289437586</v>
      </c>
    </row>
    <row r="83" spans="1:16" ht="18.95" customHeight="1">
      <c r="A83" s="294">
        <f t="shared" si="4"/>
        <v>59</v>
      </c>
      <c r="B83" s="304" t="s">
        <v>2672</v>
      </c>
      <c r="C83" s="305" t="s">
        <v>2673</v>
      </c>
      <c r="D83" s="299">
        <v>43191</v>
      </c>
      <c r="E83" s="298">
        <v>43555</v>
      </c>
      <c r="F83" s="300">
        <v>0.75274725274725274</v>
      </c>
      <c r="G83" s="305">
        <v>430205.24</v>
      </c>
      <c r="H83" s="305">
        <v>940924.66999999993</v>
      </c>
      <c r="I83" s="306">
        <v>439677.6</v>
      </c>
      <c r="J83" s="396">
        <f t="shared" si="5"/>
        <v>0.46728246587476552</v>
      </c>
      <c r="M83" s="293">
        <f t="shared" si="1"/>
        <v>364</v>
      </c>
      <c r="N83" s="298">
        <v>43465</v>
      </c>
      <c r="O83" s="293">
        <f t="shared" si="2"/>
        <v>90</v>
      </c>
      <c r="P83" s="301">
        <f t="shared" si="3"/>
        <v>0.75274725274725274</v>
      </c>
    </row>
    <row r="84" spans="1:16" ht="18.95" customHeight="1">
      <c r="A84" s="294">
        <f t="shared" si="4"/>
        <v>60</v>
      </c>
      <c r="B84" s="304" t="s">
        <v>2674</v>
      </c>
      <c r="C84" s="305" t="s">
        <v>2675</v>
      </c>
      <c r="D84" s="299">
        <v>43101</v>
      </c>
      <c r="E84" s="298">
        <v>43830</v>
      </c>
      <c r="F84" s="300">
        <v>0.4993141289437586</v>
      </c>
      <c r="G84" s="305">
        <v>1100000.01</v>
      </c>
      <c r="H84" s="305">
        <v>1250038.3600000001</v>
      </c>
      <c r="I84" s="306">
        <v>110829</v>
      </c>
      <c r="J84" s="396">
        <f t="shared" si="5"/>
        <v>8.8660479187214689E-2</v>
      </c>
      <c r="M84" s="293">
        <f t="shared" si="1"/>
        <v>729</v>
      </c>
      <c r="N84" s="298">
        <v>43465</v>
      </c>
      <c r="O84" s="293">
        <f t="shared" si="2"/>
        <v>365</v>
      </c>
      <c r="P84" s="301">
        <f t="shared" si="3"/>
        <v>0.4993141289437586</v>
      </c>
    </row>
    <row r="85" spans="1:16" ht="18.95" customHeight="1">
      <c r="A85" s="294">
        <f t="shared" si="4"/>
        <v>61</v>
      </c>
      <c r="B85" s="304" t="s">
        <v>2676</v>
      </c>
      <c r="C85" s="305" t="s">
        <v>2677</v>
      </c>
      <c r="D85" s="299">
        <v>42736</v>
      </c>
      <c r="E85" s="298">
        <v>43830</v>
      </c>
      <c r="F85" s="300">
        <v>0.6663619744058501</v>
      </c>
      <c r="G85" s="305">
        <v>2750000</v>
      </c>
      <c r="H85" s="305">
        <v>2130030.64</v>
      </c>
      <c r="I85" s="306">
        <v>1320007.5</v>
      </c>
      <c r="J85" s="396">
        <f t="shared" si="5"/>
        <v>0.61971291643015991</v>
      </c>
      <c r="M85" s="293">
        <f t="shared" si="1"/>
        <v>1094</v>
      </c>
      <c r="N85" s="298">
        <v>43465</v>
      </c>
      <c r="O85" s="293">
        <f t="shared" si="2"/>
        <v>365</v>
      </c>
      <c r="P85" s="301">
        <f t="shared" si="3"/>
        <v>0.6663619744058501</v>
      </c>
    </row>
    <row r="86" spans="1:16" ht="18.95" customHeight="1">
      <c r="A86" s="294">
        <f t="shared" si="4"/>
        <v>62</v>
      </c>
      <c r="B86" s="304" t="s">
        <v>2678</v>
      </c>
      <c r="C86" s="305" t="s">
        <v>2679</v>
      </c>
      <c r="D86" s="299">
        <v>42856</v>
      </c>
      <c r="E86" s="298">
        <v>43465</v>
      </c>
      <c r="F86" s="300">
        <v>1</v>
      </c>
      <c r="G86" s="305">
        <v>207313.31</v>
      </c>
      <c r="H86" s="305">
        <v>207313.31</v>
      </c>
      <c r="I86" s="306">
        <v>-5.8207660913467407E-11</v>
      </c>
      <c r="J86" s="396">
        <f t="shared" si="5"/>
        <v>-2.8077146090363135E-16</v>
      </c>
      <c r="M86" s="293">
        <f t="shared" si="1"/>
        <v>609</v>
      </c>
      <c r="N86" s="298">
        <v>43465</v>
      </c>
      <c r="O86" s="293">
        <f t="shared" si="2"/>
        <v>0</v>
      </c>
      <c r="P86" s="301">
        <f t="shared" si="3"/>
        <v>1</v>
      </c>
    </row>
    <row r="87" spans="1:16" ht="18.95" customHeight="1">
      <c r="A87" s="294">
        <f t="shared" si="4"/>
        <v>63</v>
      </c>
      <c r="B87" s="304" t="s">
        <v>2680</v>
      </c>
      <c r="C87" s="305" t="s">
        <v>2681</v>
      </c>
      <c r="D87" s="299">
        <v>43101</v>
      </c>
      <c r="E87" s="298">
        <v>43830</v>
      </c>
      <c r="F87" s="300">
        <v>0.4993141289437586</v>
      </c>
      <c r="G87" s="305">
        <v>363295.33</v>
      </c>
      <c r="H87" s="305">
        <v>363295.33</v>
      </c>
      <c r="I87" s="306">
        <v>113360.07999999999</v>
      </c>
      <c r="J87" s="396">
        <f t="shared" si="5"/>
        <v>0.31203285767532435</v>
      </c>
      <c r="M87" s="293">
        <f t="shared" si="1"/>
        <v>729</v>
      </c>
      <c r="N87" s="298">
        <v>43465</v>
      </c>
      <c r="O87" s="293">
        <f t="shared" si="2"/>
        <v>365</v>
      </c>
      <c r="P87" s="301">
        <f t="shared" si="3"/>
        <v>0.4993141289437586</v>
      </c>
    </row>
    <row r="88" spans="1:16" ht="18.95" customHeight="1">
      <c r="A88" s="294">
        <f t="shared" si="4"/>
        <v>64</v>
      </c>
      <c r="B88" s="304" t="s">
        <v>2682</v>
      </c>
      <c r="C88" s="305" t="s">
        <v>2683</v>
      </c>
      <c r="D88" s="299">
        <v>43132</v>
      </c>
      <c r="E88" s="298">
        <v>43830</v>
      </c>
      <c r="F88" s="300">
        <v>0.47707736389684813</v>
      </c>
      <c r="G88" s="305">
        <v>2901249.09</v>
      </c>
      <c r="H88" s="305">
        <v>2901249.09</v>
      </c>
      <c r="I88" s="306">
        <v>545967.32999999996</v>
      </c>
      <c r="J88" s="396">
        <f t="shared" si="5"/>
        <v>0.18818354200672924</v>
      </c>
      <c r="M88" s="293">
        <f t="shared" si="1"/>
        <v>698</v>
      </c>
      <c r="N88" s="298">
        <v>43465</v>
      </c>
      <c r="O88" s="293">
        <f t="shared" si="2"/>
        <v>365</v>
      </c>
      <c r="P88" s="301">
        <f t="shared" si="3"/>
        <v>0.47707736389684813</v>
      </c>
    </row>
    <row r="89" spans="1:16" ht="18.95" customHeight="1">
      <c r="A89" s="294">
        <f t="shared" si="4"/>
        <v>65</v>
      </c>
      <c r="B89" s="304" t="s">
        <v>2684</v>
      </c>
      <c r="C89" s="305" t="s">
        <v>2685</v>
      </c>
      <c r="D89" s="299">
        <v>43160</v>
      </c>
      <c r="E89" s="298">
        <v>43830</v>
      </c>
      <c r="F89" s="300">
        <v>0.45522388059701491</v>
      </c>
      <c r="G89" s="305">
        <v>525510.07000000007</v>
      </c>
      <c r="H89" s="305">
        <v>525510.07000000007</v>
      </c>
      <c r="I89" s="306">
        <v>504457.45999999996</v>
      </c>
      <c r="J89" s="396">
        <f t="shared" si="5"/>
        <v>0.95993871249698393</v>
      </c>
      <c r="M89" s="293">
        <f t="shared" ref="M89:M142" si="6">E89-D89</f>
        <v>670</v>
      </c>
      <c r="N89" s="298">
        <v>43465</v>
      </c>
      <c r="O89" s="293">
        <f t="shared" ref="O89:O142" si="7">E89-N89</f>
        <v>365</v>
      </c>
      <c r="P89" s="301">
        <f t="shared" si="3"/>
        <v>0.45522388059701491</v>
      </c>
    </row>
    <row r="90" spans="1:16" ht="18.95" customHeight="1">
      <c r="A90" s="294">
        <f t="shared" si="4"/>
        <v>66</v>
      </c>
      <c r="B90" s="304" t="s">
        <v>2686</v>
      </c>
      <c r="C90" s="305" t="s">
        <v>2687</v>
      </c>
      <c r="D90" s="299">
        <v>43221</v>
      </c>
      <c r="E90" s="298">
        <v>44196</v>
      </c>
      <c r="F90" s="300">
        <v>0.25025641025641027</v>
      </c>
      <c r="G90" s="305">
        <v>871011.74</v>
      </c>
      <c r="H90" s="305">
        <v>871011.74</v>
      </c>
      <c r="I90" s="306">
        <v>124832.82999999999</v>
      </c>
      <c r="J90" s="396">
        <f t="shared" ref="J90:J112" si="8">I90/H90</f>
        <v>0.14331934263021529</v>
      </c>
      <c r="M90" s="293">
        <f t="shared" si="6"/>
        <v>975</v>
      </c>
      <c r="N90" s="298">
        <v>43465</v>
      </c>
      <c r="O90" s="293">
        <f t="shared" si="7"/>
        <v>731</v>
      </c>
      <c r="P90" s="301">
        <f t="shared" ref="P90:P142" si="9">(M90-O90)/M90</f>
        <v>0.25025641025641027</v>
      </c>
    </row>
    <row r="91" spans="1:16" ht="18.95" customHeight="1">
      <c r="A91" s="294">
        <f t="shared" ref="A91:A142" si="10">A90+1</f>
        <v>67</v>
      </c>
      <c r="B91" s="304" t="s">
        <v>2688</v>
      </c>
      <c r="C91" s="305" t="s">
        <v>2689</v>
      </c>
      <c r="D91" s="299">
        <v>43252</v>
      </c>
      <c r="E91" s="298">
        <v>43830</v>
      </c>
      <c r="F91" s="300">
        <v>0.36851211072664358</v>
      </c>
      <c r="G91" s="305">
        <v>13148.27</v>
      </c>
      <c r="H91" s="305">
        <v>13148.27</v>
      </c>
      <c r="I91" s="306">
        <v>7991.57</v>
      </c>
      <c r="J91" s="396">
        <f t="shared" si="8"/>
        <v>0.60780391640877462</v>
      </c>
      <c r="M91" s="293">
        <f t="shared" si="6"/>
        <v>578</v>
      </c>
      <c r="N91" s="298">
        <v>43465</v>
      </c>
      <c r="O91" s="293">
        <f t="shared" si="7"/>
        <v>365</v>
      </c>
      <c r="P91" s="301">
        <f t="shared" si="9"/>
        <v>0.36851211072664358</v>
      </c>
    </row>
    <row r="92" spans="1:16" ht="18.95" customHeight="1">
      <c r="A92" s="294">
        <f t="shared" si="10"/>
        <v>68</v>
      </c>
      <c r="B92" s="304" t="s">
        <v>2690</v>
      </c>
      <c r="C92" s="305" t="s">
        <v>2691</v>
      </c>
      <c r="D92" s="299">
        <v>43344</v>
      </c>
      <c r="E92" s="298">
        <v>43585</v>
      </c>
      <c r="F92" s="300">
        <v>0.50207468879668049</v>
      </c>
      <c r="G92" s="305">
        <v>1100000.0000000002</v>
      </c>
      <c r="H92" s="305">
        <v>1147252.0899999999</v>
      </c>
      <c r="I92" s="306">
        <v>107305.4</v>
      </c>
      <c r="J92" s="396">
        <f t="shared" si="8"/>
        <v>9.3532538258439796E-2</v>
      </c>
      <c r="M92" s="293">
        <f t="shared" si="6"/>
        <v>241</v>
      </c>
      <c r="N92" s="298">
        <v>43465</v>
      </c>
      <c r="O92" s="293">
        <f t="shared" si="7"/>
        <v>120</v>
      </c>
      <c r="P92" s="301">
        <f t="shared" si="9"/>
        <v>0.50207468879668049</v>
      </c>
    </row>
    <row r="93" spans="1:16" ht="18.95" customHeight="1">
      <c r="A93" s="294">
        <f t="shared" si="10"/>
        <v>69</v>
      </c>
      <c r="B93" s="304" t="s">
        <v>2692</v>
      </c>
      <c r="C93" s="305" t="s">
        <v>2693</v>
      </c>
      <c r="D93" s="299">
        <v>43101</v>
      </c>
      <c r="E93" s="298">
        <v>44196</v>
      </c>
      <c r="F93" s="300">
        <v>0.33242009132420092</v>
      </c>
      <c r="G93" s="305">
        <v>200000.04</v>
      </c>
      <c r="H93" s="305">
        <v>498407.38</v>
      </c>
      <c r="I93" s="306">
        <v>146143.09</v>
      </c>
      <c r="J93" s="396">
        <f t="shared" si="8"/>
        <v>0.29322015657151784</v>
      </c>
      <c r="M93" s="293">
        <f t="shared" si="6"/>
        <v>1095</v>
      </c>
      <c r="N93" s="298">
        <v>43465</v>
      </c>
      <c r="O93" s="293">
        <f t="shared" si="7"/>
        <v>731</v>
      </c>
      <c r="P93" s="301">
        <f t="shared" si="9"/>
        <v>0.33242009132420092</v>
      </c>
    </row>
    <row r="94" spans="1:16" ht="18.95" customHeight="1">
      <c r="A94" s="294">
        <f t="shared" si="10"/>
        <v>70</v>
      </c>
      <c r="B94" s="304" t="s">
        <v>2694</v>
      </c>
      <c r="C94" s="305" t="s">
        <v>2695</v>
      </c>
      <c r="D94" s="299">
        <v>43101</v>
      </c>
      <c r="E94" s="298">
        <v>44561</v>
      </c>
      <c r="F94" s="300">
        <v>0.24931506849315069</v>
      </c>
      <c r="G94" s="305">
        <v>250000.08000000002</v>
      </c>
      <c r="H94" s="305">
        <v>793649.14</v>
      </c>
      <c r="I94" s="306">
        <v>160644.29</v>
      </c>
      <c r="J94" s="396">
        <f t="shared" si="8"/>
        <v>0.20241222714611648</v>
      </c>
      <c r="M94" s="293">
        <f t="shared" si="6"/>
        <v>1460</v>
      </c>
      <c r="N94" s="298">
        <v>43465</v>
      </c>
      <c r="O94" s="293">
        <f t="shared" si="7"/>
        <v>1096</v>
      </c>
      <c r="P94" s="301">
        <f t="shared" si="9"/>
        <v>0.24931506849315069</v>
      </c>
    </row>
    <row r="95" spans="1:16" ht="18.95" customHeight="1">
      <c r="A95" s="294">
        <f t="shared" si="10"/>
        <v>71</v>
      </c>
      <c r="B95" s="304" t="s">
        <v>2696</v>
      </c>
      <c r="C95" s="305" t="s">
        <v>2697</v>
      </c>
      <c r="D95" s="299">
        <v>43101</v>
      </c>
      <c r="E95" s="298">
        <v>43830</v>
      </c>
      <c r="F95" s="300">
        <v>0.4993141289437586</v>
      </c>
      <c r="G95" s="305">
        <v>240000</v>
      </c>
      <c r="H95" s="305">
        <v>312812.11</v>
      </c>
      <c r="I95" s="306">
        <v>246500.97999999998</v>
      </c>
      <c r="J95" s="396">
        <f t="shared" si="8"/>
        <v>0.78801610334075622</v>
      </c>
      <c r="M95" s="293">
        <f t="shared" si="6"/>
        <v>729</v>
      </c>
      <c r="N95" s="298">
        <v>43465</v>
      </c>
      <c r="O95" s="293">
        <f t="shared" si="7"/>
        <v>365</v>
      </c>
      <c r="P95" s="301">
        <f t="shared" si="9"/>
        <v>0.4993141289437586</v>
      </c>
    </row>
    <row r="96" spans="1:16" ht="18.95" customHeight="1">
      <c r="A96" s="294">
        <f t="shared" si="10"/>
        <v>72</v>
      </c>
      <c r="B96" s="304" t="s">
        <v>2698</v>
      </c>
      <c r="C96" s="305" t="s">
        <v>2699</v>
      </c>
      <c r="D96" s="299">
        <v>43101</v>
      </c>
      <c r="E96" s="298">
        <v>43830</v>
      </c>
      <c r="F96" s="300">
        <v>0.4993141289437586</v>
      </c>
      <c r="G96" s="305">
        <v>480000</v>
      </c>
      <c r="H96" s="305">
        <v>1361806.75</v>
      </c>
      <c r="I96" s="306">
        <v>301103.01</v>
      </c>
      <c r="J96" s="396">
        <f t="shared" si="8"/>
        <v>0.22110553498137678</v>
      </c>
      <c r="M96" s="293">
        <f t="shared" si="6"/>
        <v>729</v>
      </c>
      <c r="N96" s="298">
        <v>43465</v>
      </c>
      <c r="O96" s="293">
        <f t="shared" si="7"/>
        <v>365</v>
      </c>
      <c r="P96" s="301">
        <f t="shared" si="9"/>
        <v>0.4993141289437586</v>
      </c>
    </row>
    <row r="97" spans="1:16" ht="18.95" customHeight="1">
      <c r="A97" s="294">
        <f t="shared" si="10"/>
        <v>73</v>
      </c>
      <c r="B97" s="304" t="s">
        <v>2700</v>
      </c>
      <c r="C97" s="305" t="s">
        <v>2701</v>
      </c>
      <c r="D97" s="299">
        <v>43070</v>
      </c>
      <c r="E97" s="298">
        <v>43830</v>
      </c>
      <c r="F97" s="300">
        <v>0.51973684210526316</v>
      </c>
      <c r="G97" s="305">
        <v>240000</v>
      </c>
      <c r="H97" s="305">
        <v>647299.12</v>
      </c>
      <c r="I97" s="306">
        <v>312184.71999999997</v>
      </c>
      <c r="J97" s="396">
        <f t="shared" si="8"/>
        <v>0.48228818849622407</v>
      </c>
      <c r="M97" s="293">
        <f t="shared" si="6"/>
        <v>760</v>
      </c>
      <c r="N97" s="298">
        <v>43465</v>
      </c>
      <c r="O97" s="293">
        <f t="shared" si="7"/>
        <v>365</v>
      </c>
      <c r="P97" s="301">
        <f t="shared" si="9"/>
        <v>0.51973684210526316</v>
      </c>
    </row>
    <row r="98" spans="1:16" ht="18.95" customHeight="1">
      <c r="A98" s="294">
        <f t="shared" si="10"/>
        <v>74</v>
      </c>
      <c r="B98" s="304" t="s">
        <v>2702</v>
      </c>
      <c r="C98" s="305" t="s">
        <v>2703</v>
      </c>
      <c r="D98" s="299">
        <v>43101</v>
      </c>
      <c r="E98" s="298">
        <v>43830</v>
      </c>
      <c r="F98" s="300">
        <v>0.4993141289437586</v>
      </c>
      <c r="G98" s="305">
        <v>240000</v>
      </c>
      <c r="H98" s="305">
        <v>216696.3</v>
      </c>
      <c r="I98" s="306">
        <v>120513.2</v>
      </c>
      <c r="J98" s="396">
        <f t="shared" si="8"/>
        <v>0.55613870656767095</v>
      </c>
      <c r="M98" s="293">
        <f t="shared" si="6"/>
        <v>729</v>
      </c>
      <c r="N98" s="298">
        <v>43465</v>
      </c>
      <c r="O98" s="293">
        <f t="shared" si="7"/>
        <v>365</v>
      </c>
      <c r="P98" s="301">
        <f t="shared" si="9"/>
        <v>0.4993141289437586</v>
      </c>
    </row>
    <row r="99" spans="1:16" ht="18.95" customHeight="1">
      <c r="A99" s="294">
        <f t="shared" si="10"/>
        <v>75</v>
      </c>
      <c r="B99" s="304" t="s">
        <v>2704</v>
      </c>
      <c r="C99" s="305" t="s">
        <v>2705</v>
      </c>
      <c r="D99" s="299">
        <v>43101</v>
      </c>
      <c r="E99" s="298">
        <v>43830</v>
      </c>
      <c r="F99" s="300">
        <v>0.4993141289437586</v>
      </c>
      <c r="G99" s="305">
        <v>240000</v>
      </c>
      <c r="H99" s="305">
        <v>216696.32000000001</v>
      </c>
      <c r="I99" s="306">
        <v>120513.22</v>
      </c>
      <c r="J99" s="396">
        <f t="shared" si="8"/>
        <v>0.55613874753387593</v>
      </c>
      <c r="M99" s="293">
        <f t="shared" si="6"/>
        <v>729</v>
      </c>
      <c r="N99" s="298">
        <v>43465</v>
      </c>
      <c r="O99" s="293">
        <f t="shared" si="7"/>
        <v>365</v>
      </c>
      <c r="P99" s="301">
        <f t="shared" si="9"/>
        <v>0.4993141289437586</v>
      </c>
    </row>
    <row r="100" spans="1:16" ht="18.95" customHeight="1">
      <c r="A100" s="294">
        <f t="shared" si="10"/>
        <v>76</v>
      </c>
      <c r="B100" s="304" t="s">
        <v>2706</v>
      </c>
      <c r="C100" s="305" t="s">
        <v>2707</v>
      </c>
      <c r="D100" s="299">
        <v>43101</v>
      </c>
      <c r="E100" s="298">
        <v>43830</v>
      </c>
      <c r="F100" s="300">
        <v>0.4993141289437586</v>
      </c>
      <c r="G100" s="305">
        <v>240000</v>
      </c>
      <c r="H100" s="305">
        <v>216696.45</v>
      </c>
      <c r="I100" s="306">
        <v>120513.22</v>
      </c>
      <c r="J100" s="396">
        <f t="shared" si="8"/>
        <v>0.55613841389648977</v>
      </c>
      <c r="M100" s="293">
        <f t="shared" si="6"/>
        <v>729</v>
      </c>
      <c r="N100" s="298">
        <v>43465</v>
      </c>
      <c r="O100" s="293">
        <f t="shared" si="7"/>
        <v>365</v>
      </c>
      <c r="P100" s="301">
        <f t="shared" si="9"/>
        <v>0.4993141289437586</v>
      </c>
    </row>
    <row r="101" spans="1:16" ht="18.95" customHeight="1">
      <c r="A101" s="294">
        <f t="shared" si="10"/>
        <v>77</v>
      </c>
      <c r="B101" s="304" t="s">
        <v>2708</v>
      </c>
      <c r="C101" s="305" t="s">
        <v>2709</v>
      </c>
      <c r="D101" s="299">
        <v>43101</v>
      </c>
      <c r="E101" s="298">
        <v>43830</v>
      </c>
      <c r="F101" s="300">
        <v>0.4993141289437586</v>
      </c>
      <c r="G101" s="305">
        <v>1449960</v>
      </c>
      <c r="H101" s="305">
        <v>2106254.98</v>
      </c>
      <c r="I101" s="306">
        <v>352124.02</v>
      </c>
      <c r="J101" s="396">
        <f t="shared" si="8"/>
        <v>0.16718014834082434</v>
      </c>
      <c r="M101" s="293">
        <f t="shared" si="6"/>
        <v>729</v>
      </c>
      <c r="N101" s="298">
        <v>43465</v>
      </c>
      <c r="O101" s="293">
        <f t="shared" si="7"/>
        <v>365</v>
      </c>
      <c r="P101" s="301">
        <f t="shared" si="9"/>
        <v>0.4993141289437586</v>
      </c>
    </row>
    <row r="102" spans="1:16" ht="18.95" customHeight="1">
      <c r="A102" s="294">
        <f t="shared" si="10"/>
        <v>78</v>
      </c>
      <c r="B102" s="304" t="s">
        <v>2710</v>
      </c>
      <c r="C102" s="305" t="s">
        <v>2711</v>
      </c>
      <c r="D102" s="299">
        <v>42736</v>
      </c>
      <c r="E102" s="298">
        <v>43830</v>
      </c>
      <c r="F102" s="300">
        <v>0.6663619744058501</v>
      </c>
      <c r="G102" s="305">
        <v>537500</v>
      </c>
      <c r="H102" s="305">
        <v>-920.18</v>
      </c>
      <c r="I102" s="306">
        <v>-176.19999999999982</v>
      </c>
      <c r="J102" s="396">
        <f t="shared" si="8"/>
        <v>0.19148427481579672</v>
      </c>
      <c r="M102" s="293">
        <f t="shared" si="6"/>
        <v>1094</v>
      </c>
      <c r="N102" s="298">
        <v>43465</v>
      </c>
      <c r="O102" s="293">
        <f t="shared" si="7"/>
        <v>365</v>
      </c>
      <c r="P102" s="301">
        <f t="shared" si="9"/>
        <v>0.6663619744058501</v>
      </c>
    </row>
    <row r="103" spans="1:16" ht="18.95" customHeight="1">
      <c r="A103" s="294">
        <f t="shared" si="10"/>
        <v>79</v>
      </c>
      <c r="B103" s="304" t="s">
        <v>2712</v>
      </c>
      <c r="C103" s="305" t="s">
        <v>2713</v>
      </c>
      <c r="D103" s="299">
        <v>43101</v>
      </c>
      <c r="E103" s="298">
        <v>43830</v>
      </c>
      <c r="F103" s="300">
        <v>0.4993141289437586</v>
      </c>
      <c r="G103" s="305">
        <v>300000</v>
      </c>
      <c r="H103" s="305">
        <v>404416.7</v>
      </c>
      <c r="I103" s="306">
        <v>158849.38</v>
      </c>
      <c r="J103" s="396">
        <f t="shared" si="8"/>
        <v>0.39278640075941473</v>
      </c>
      <c r="M103" s="293">
        <f t="shared" si="6"/>
        <v>729</v>
      </c>
      <c r="N103" s="298">
        <v>43465</v>
      </c>
      <c r="O103" s="293">
        <f t="shared" si="7"/>
        <v>365</v>
      </c>
      <c r="P103" s="301">
        <f t="shared" si="9"/>
        <v>0.4993141289437586</v>
      </c>
    </row>
    <row r="104" spans="1:16" ht="18.95" customHeight="1">
      <c r="A104" s="294">
        <f t="shared" si="10"/>
        <v>80</v>
      </c>
      <c r="B104" s="304" t="s">
        <v>2714</v>
      </c>
      <c r="C104" s="305" t="s">
        <v>2715</v>
      </c>
      <c r="D104" s="299">
        <v>43252</v>
      </c>
      <c r="E104" s="298">
        <v>43830</v>
      </c>
      <c r="F104" s="300">
        <v>0.36851211072664358</v>
      </c>
      <c r="G104" s="305">
        <v>625080</v>
      </c>
      <c r="H104" s="305">
        <v>537904.30000000005</v>
      </c>
      <c r="I104" s="306">
        <v>115384.74999999999</v>
      </c>
      <c r="J104" s="396">
        <f t="shared" si="8"/>
        <v>0.21450795243689255</v>
      </c>
      <c r="M104" s="293">
        <f t="shared" si="6"/>
        <v>578</v>
      </c>
      <c r="N104" s="298">
        <v>43465</v>
      </c>
      <c r="O104" s="293">
        <f t="shared" si="7"/>
        <v>365</v>
      </c>
      <c r="P104" s="301">
        <f t="shared" si="9"/>
        <v>0.36851211072664358</v>
      </c>
    </row>
    <row r="105" spans="1:16" ht="18.95" customHeight="1">
      <c r="A105" s="294">
        <f t="shared" si="10"/>
        <v>81</v>
      </c>
      <c r="B105" s="304" t="s">
        <v>2716</v>
      </c>
      <c r="C105" s="305" t="s">
        <v>2717</v>
      </c>
      <c r="D105" s="299">
        <v>43101</v>
      </c>
      <c r="E105" s="298">
        <v>43830</v>
      </c>
      <c r="F105" s="300">
        <v>0.4993141289437586</v>
      </c>
      <c r="G105" s="305">
        <v>1623686.75</v>
      </c>
      <c r="H105" s="305">
        <v>1623686.75</v>
      </c>
      <c r="I105" s="306">
        <v>163735.85</v>
      </c>
      <c r="J105" s="396">
        <f t="shared" si="8"/>
        <v>0.10084201894238529</v>
      </c>
      <c r="M105" s="293">
        <f t="shared" si="6"/>
        <v>729</v>
      </c>
      <c r="N105" s="298">
        <v>43465</v>
      </c>
      <c r="O105" s="293">
        <f t="shared" si="7"/>
        <v>365</v>
      </c>
      <c r="P105" s="301">
        <f t="shared" si="9"/>
        <v>0.4993141289437586</v>
      </c>
    </row>
    <row r="106" spans="1:16" ht="18.95" customHeight="1">
      <c r="A106" s="294">
        <f t="shared" si="10"/>
        <v>82</v>
      </c>
      <c r="B106" s="304" t="s">
        <v>2718</v>
      </c>
      <c r="C106" s="305" t="s">
        <v>2719</v>
      </c>
      <c r="D106" s="299">
        <v>43282</v>
      </c>
      <c r="E106" s="298">
        <v>43830</v>
      </c>
      <c r="F106" s="300">
        <v>0.33394160583941607</v>
      </c>
      <c r="G106" s="305">
        <v>1406437.25</v>
      </c>
      <c r="H106" s="305">
        <v>1406437.25</v>
      </c>
      <c r="I106" s="306">
        <v>127228.25999999998</v>
      </c>
      <c r="J106" s="396">
        <f t="shared" si="8"/>
        <v>9.0461383897504119E-2</v>
      </c>
      <c r="M106" s="293">
        <f t="shared" si="6"/>
        <v>548</v>
      </c>
      <c r="N106" s="298">
        <v>43465</v>
      </c>
      <c r="O106" s="293">
        <f t="shared" si="7"/>
        <v>365</v>
      </c>
      <c r="P106" s="301">
        <f t="shared" si="9"/>
        <v>0.33394160583941607</v>
      </c>
    </row>
    <row r="107" spans="1:16" ht="18.95" customHeight="1">
      <c r="A107" s="294">
        <f t="shared" si="10"/>
        <v>83</v>
      </c>
      <c r="B107" s="304" t="s">
        <v>2720</v>
      </c>
      <c r="C107" s="305" t="s">
        <v>2721</v>
      </c>
      <c r="D107" s="299">
        <v>43252</v>
      </c>
      <c r="E107" s="298">
        <v>44196</v>
      </c>
      <c r="F107" s="300">
        <v>0.22563559322033899</v>
      </c>
      <c r="G107" s="305">
        <v>2229903.2400000002</v>
      </c>
      <c r="H107" s="305">
        <v>2229903.2400000002</v>
      </c>
      <c r="I107" s="306">
        <v>258406.09</v>
      </c>
      <c r="J107" s="396">
        <f t="shared" si="8"/>
        <v>0.11588219854777196</v>
      </c>
      <c r="M107" s="293">
        <f t="shared" si="6"/>
        <v>944</v>
      </c>
      <c r="N107" s="298">
        <v>43465</v>
      </c>
      <c r="O107" s="293">
        <f t="shared" si="7"/>
        <v>731</v>
      </c>
      <c r="P107" s="301">
        <f t="shared" si="9"/>
        <v>0.22563559322033899</v>
      </c>
    </row>
    <row r="108" spans="1:16" ht="18.95" customHeight="1">
      <c r="A108" s="294">
        <f t="shared" si="10"/>
        <v>84</v>
      </c>
      <c r="B108" s="304" t="s">
        <v>2722</v>
      </c>
      <c r="C108" s="305" t="s">
        <v>2723</v>
      </c>
      <c r="D108" s="299">
        <v>43101</v>
      </c>
      <c r="E108" s="298">
        <v>44135</v>
      </c>
      <c r="F108" s="300">
        <v>0.3520309477756286</v>
      </c>
      <c r="G108" s="305">
        <v>448500</v>
      </c>
      <c r="H108" s="305">
        <v>1966310.0016000001</v>
      </c>
      <c r="I108" s="306">
        <v>244825.82069999995</v>
      </c>
      <c r="J108" s="396">
        <f t="shared" si="8"/>
        <v>0.12451028601837121</v>
      </c>
      <c r="M108" s="293">
        <f t="shared" si="6"/>
        <v>1034</v>
      </c>
      <c r="N108" s="298">
        <v>43465</v>
      </c>
      <c r="O108" s="293">
        <f t="shared" si="7"/>
        <v>670</v>
      </c>
      <c r="P108" s="301">
        <f t="shared" si="9"/>
        <v>0.3520309477756286</v>
      </c>
    </row>
    <row r="109" spans="1:16" ht="18.95" customHeight="1">
      <c r="A109" s="294">
        <f t="shared" si="10"/>
        <v>85</v>
      </c>
      <c r="B109" s="304" t="s">
        <v>2724</v>
      </c>
      <c r="C109" s="305" t="s">
        <v>2725</v>
      </c>
      <c r="D109" s="299">
        <v>43101</v>
      </c>
      <c r="E109" s="298">
        <v>43616</v>
      </c>
      <c r="F109" s="300">
        <v>0.70679611650485441</v>
      </c>
      <c r="G109" s="305">
        <v>1725000</v>
      </c>
      <c r="H109" s="305">
        <v>1835593.2413999997</v>
      </c>
      <c r="I109" s="306">
        <v>1162410.6596999997</v>
      </c>
      <c r="J109" s="396">
        <f t="shared" si="8"/>
        <v>0.63326157096407354</v>
      </c>
      <c r="M109" s="293">
        <f t="shared" si="6"/>
        <v>515</v>
      </c>
      <c r="N109" s="298">
        <v>43465</v>
      </c>
      <c r="O109" s="293">
        <f t="shared" si="7"/>
        <v>151</v>
      </c>
      <c r="P109" s="301">
        <f t="shared" si="9"/>
        <v>0.70679611650485441</v>
      </c>
    </row>
    <row r="110" spans="1:16" ht="18.95" customHeight="1">
      <c r="A110" s="294">
        <f t="shared" si="10"/>
        <v>86</v>
      </c>
      <c r="B110" s="304" t="s">
        <v>2726</v>
      </c>
      <c r="C110" s="305" t="s">
        <v>2727</v>
      </c>
      <c r="D110" s="299">
        <v>42948</v>
      </c>
      <c r="E110" s="298">
        <v>43524</v>
      </c>
      <c r="F110" s="300">
        <v>0.89756944444444442</v>
      </c>
      <c r="G110" s="305">
        <v>359804.72969999997</v>
      </c>
      <c r="H110" s="305">
        <v>359804.72969999997</v>
      </c>
      <c r="I110" s="306">
        <v>359804.72969999997</v>
      </c>
      <c r="J110" s="396">
        <f t="shared" si="8"/>
        <v>1</v>
      </c>
      <c r="M110" s="293">
        <f t="shared" si="6"/>
        <v>576</v>
      </c>
      <c r="N110" s="298">
        <v>43465</v>
      </c>
      <c r="O110" s="293">
        <f t="shared" si="7"/>
        <v>59</v>
      </c>
      <c r="P110" s="301">
        <f t="shared" si="9"/>
        <v>0.89756944444444442</v>
      </c>
    </row>
    <row r="111" spans="1:16" ht="18.95" customHeight="1">
      <c r="A111" s="294">
        <f t="shared" si="10"/>
        <v>87</v>
      </c>
      <c r="B111" s="304" t="s">
        <v>2728</v>
      </c>
      <c r="C111" s="305" t="s">
        <v>2729</v>
      </c>
      <c r="D111" s="299">
        <v>42736</v>
      </c>
      <c r="E111" s="298">
        <v>45291</v>
      </c>
      <c r="F111" s="300">
        <v>0.28532289628180041</v>
      </c>
      <c r="G111" s="305">
        <v>2500000.08</v>
      </c>
      <c r="H111" s="305">
        <v>3197873</v>
      </c>
      <c r="I111" s="306">
        <v>614873</v>
      </c>
      <c r="J111" s="396">
        <f t="shared" si="8"/>
        <v>0.19227561569830948</v>
      </c>
      <c r="M111" s="293">
        <f t="shared" si="6"/>
        <v>2555</v>
      </c>
      <c r="N111" s="298">
        <v>43465</v>
      </c>
      <c r="O111" s="293">
        <f t="shared" si="7"/>
        <v>1826</v>
      </c>
      <c r="P111" s="301">
        <f t="shared" si="9"/>
        <v>0.28532289628180041</v>
      </c>
    </row>
    <row r="112" spans="1:16" ht="18.95" customHeight="1">
      <c r="A112" s="294">
        <f t="shared" si="10"/>
        <v>88</v>
      </c>
      <c r="B112" s="304" t="s">
        <v>2730</v>
      </c>
      <c r="C112" s="305" t="s">
        <v>2731</v>
      </c>
      <c r="D112" s="299">
        <v>42705</v>
      </c>
      <c r="E112" s="298">
        <v>43830</v>
      </c>
      <c r="F112" s="300">
        <v>0.67555555555555558</v>
      </c>
      <c r="G112" s="305">
        <v>3483749.4200000004</v>
      </c>
      <c r="H112" s="305">
        <v>4712792.57</v>
      </c>
      <c r="I112" s="306">
        <v>3656070.16</v>
      </c>
      <c r="J112" s="396">
        <f t="shared" si="8"/>
        <v>0.77577574350996736</v>
      </c>
      <c r="M112" s="293">
        <f t="shared" si="6"/>
        <v>1125</v>
      </c>
      <c r="N112" s="298">
        <v>43465</v>
      </c>
      <c r="O112" s="293">
        <f t="shared" si="7"/>
        <v>365</v>
      </c>
      <c r="P112" s="301">
        <f t="shared" si="9"/>
        <v>0.67555555555555558</v>
      </c>
    </row>
    <row r="113" spans="1:16" ht="20.100000000000001" customHeight="1">
      <c r="A113" s="831" t="str">
        <f>$A$1</f>
        <v>LOUISVILLE GAS AND ELECTRIC COMPANY</v>
      </c>
      <c r="B113" s="831"/>
      <c r="C113" s="831"/>
      <c r="D113" s="831"/>
      <c r="E113" s="831"/>
      <c r="F113" s="831"/>
      <c r="G113" s="831"/>
      <c r="H113" s="831"/>
      <c r="I113" s="831"/>
      <c r="J113" s="831"/>
    </row>
    <row r="114" spans="1:16" ht="20.100000000000001" customHeight="1">
      <c r="A114" s="831" t="str">
        <f>$A$2</f>
        <v>CASE NO. 2018-00295 - ELECTRIC OPERATIONS</v>
      </c>
      <c r="B114" s="831"/>
      <c r="C114" s="831"/>
      <c r="D114" s="831"/>
      <c r="E114" s="831"/>
      <c r="F114" s="831"/>
      <c r="G114" s="831"/>
      <c r="H114" s="831"/>
      <c r="I114" s="831"/>
      <c r="J114" s="831"/>
    </row>
    <row r="115" spans="1:16" ht="20.100000000000001" customHeight="1">
      <c r="A115" s="831" t="s">
        <v>252</v>
      </c>
      <c r="B115" s="831"/>
      <c r="C115" s="831"/>
      <c r="D115" s="831"/>
      <c r="E115" s="831"/>
      <c r="F115" s="831"/>
      <c r="G115" s="831"/>
      <c r="H115" s="831"/>
      <c r="I115" s="831"/>
      <c r="J115" s="831"/>
    </row>
    <row r="116" spans="1:16" ht="20.100000000000001" customHeight="1">
      <c r="A116" s="831" t="str">
        <f>$A$4</f>
        <v>AS OF DECEMBER 31, 2018</v>
      </c>
      <c r="B116" s="831"/>
      <c r="C116" s="831"/>
      <c r="D116" s="831"/>
      <c r="E116" s="831"/>
      <c r="F116" s="831"/>
      <c r="G116" s="831"/>
      <c r="H116" s="831"/>
      <c r="I116" s="831"/>
      <c r="J116" s="831"/>
    </row>
    <row r="117" spans="1:16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ht="20.100000000000001" customHeight="1">
      <c r="A118" s="15" t="str">
        <f>$A$6</f>
        <v>DATA:__X__BASE  PERIOD____FORECASTED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ht="20.100000000000001" customHeight="1">
      <c r="A119" s="15" t="str">
        <f>$A$7</f>
        <v>TYPE OF FILING: _____ ORIGINAL  _____ UPDATED  __X__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1555</v>
      </c>
    </row>
    <row r="120" spans="1:16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95" customHeight="1">
      <c r="A125" s="294">
        <f>A112+1</f>
        <v>89</v>
      </c>
      <c r="B125" s="304" t="s">
        <v>2732</v>
      </c>
      <c r="C125" s="305" t="s">
        <v>2733</v>
      </c>
      <c r="D125" s="299">
        <v>43101</v>
      </c>
      <c r="E125" s="298">
        <v>43830</v>
      </c>
      <c r="F125" s="300">
        <v>0.4993141289437586</v>
      </c>
      <c r="G125" s="305">
        <v>799829.99999999988</v>
      </c>
      <c r="H125" s="305">
        <v>642833.19999999995</v>
      </c>
      <c r="I125" s="306">
        <v>312900.03000000003</v>
      </c>
      <c r="J125" s="310">
        <f t="shared" ref="J125:J142" si="11">IFERROR(I125/H125,0)</f>
        <v>0.48675150878952744</v>
      </c>
      <c r="M125" s="293">
        <f t="shared" si="6"/>
        <v>729</v>
      </c>
      <c r="N125" s="298">
        <v>43465</v>
      </c>
      <c r="O125" s="293">
        <f t="shared" si="7"/>
        <v>365</v>
      </c>
      <c r="P125" s="301">
        <f t="shared" si="9"/>
        <v>0.4993141289437586</v>
      </c>
    </row>
    <row r="126" spans="1:16" ht="18.95" customHeight="1">
      <c r="A126" s="294">
        <f t="shared" si="10"/>
        <v>90</v>
      </c>
      <c r="B126" s="304" t="s">
        <v>2734</v>
      </c>
      <c r="C126" s="305" t="s">
        <v>2735</v>
      </c>
      <c r="D126" s="299">
        <v>43119</v>
      </c>
      <c r="E126" s="298">
        <v>44012</v>
      </c>
      <c r="F126" s="300">
        <v>0.387458006718925</v>
      </c>
      <c r="G126" s="305">
        <v>2432278.7936999998</v>
      </c>
      <c r="H126" s="305">
        <v>2432278.7936999998</v>
      </c>
      <c r="I126" s="306">
        <v>17255.250899999999</v>
      </c>
      <c r="J126" s="310">
        <f t="shared" si="11"/>
        <v>7.0942734626860716E-3</v>
      </c>
      <c r="M126" s="293">
        <f t="shared" si="6"/>
        <v>893</v>
      </c>
      <c r="N126" s="298">
        <v>43465</v>
      </c>
      <c r="O126" s="293">
        <f t="shared" si="7"/>
        <v>547</v>
      </c>
      <c r="P126" s="301">
        <f t="shared" si="9"/>
        <v>0.387458006718925</v>
      </c>
    </row>
    <row r="127" spans="1:16" ht="18.95" customHeight="1">
      <c r="A127" s="294">
        <f t="shared" si="10"/>
        <v>91</v>
      </c>
      <c r="B127" s="304" t="s">
        <v>2736</v>
      </c>
      <c r="C127" s="305" t="s">
        <v>2737</v>
      </c>
      <c r="D127" s="299">
        <v>42583</v>
      </c>
      <c r="E127" s="298">
        <v>46022</v>
      </c>
      <c r="F127" s="300">
        <v>0.25646990404187264</v>
      </c>
      <c r="G127" s="305">
        <v>1649734.8896999997</v>
      </c>
      <c r="H127" s="305">
        <v>1649734.8896999997</v>
      </c>
      <c r="I127" s="306">
        <v>1649734.8896999997</v>
      </c>
      <c r="J127" s="310">
        <f t="shared" si="11"/>
        <v>1</v>
      </c>
      <c r="M127" s="293">
        <f t="shared" si="6"/>
        <v>3439</v>
      </c>
      <c r="N127" s="298">
        <v>43465</v>
      </c>
      <c r="O127" s="293">
        <f t="shared" si="7"/>
        <v>2557</v>
      </c>
      <c r="P127" s="301">
        <f t="shared" si="9"/>
        <v>0.25646990404187264</v>
      </c>
    </row>
    <row r="128" spans="1:16" ht="18.95" customHeight="1">
      <c r="A128" s="294">
        <f t="shared" si="10"/>
        <v>92</v>
      </c>
      <c r="B128" s="304" t="s">
        <v>1538</v>
      </c>
      <c r="C128" s="305" t="s">
        <v>1539</v>
      </c>
      <c r="D128" s="299">
        <v>42736</v>
      </c>
      <c r="E128" s="298">
        <v>44196</v>
      </c>
      <c r="F128" s="300">
        <v>0.49931506849315066</v>
      </c>
      <c r="G128" s="305">
        <v>4305220.8311999999</v>
      </c>
      <c r="H128" s="305">
        <v>3030596.0096999994</v>
      </c>
      <c r="I128" s="306">
        <v>822070.85759999999</v>
      </c>
      <c r="J128" s="310">
        <f t="shared" si="11"/>
        <v>0.27125715699776737</v>
      </c>
      <c r="M128" s="293">
        <f t="shared" si="6"/>
        <v>1460</v>
      </c>
      <c r="N128" s="298">
        <v>43465</v>
      </c>
      <c r="O128" s="293">
        <f t="shared" si="7"/>
        <v>731</v>
      </c>
      <c r="P128" s="301">
        <f t="shared" si="9"/>
        <v>0.49931506849315066</v>
      </c>
    </row>
    <row r="129" spans="1:16" ht="18.95" customHeight="1">
      <c r="A129" s="294">
        <f t="shared" si="10"/>
        <v>93</v>
      </c>
      <c r="B129" s="304" t="s">
        <v>2738</v>
      </c>
      <c r="C129" s="305" t="s">
        <v>2739</v>
      </c>
      <c r="D129" s="299">
        <v>43132</v>
      </c>
      <c r="E129" s="298">
        <v>43465</v>
      </c>
      <c r="F129" s="300">
        <v>1</v>
      </c>
      <c r="G129" s="305">
        <v>61485.092699999994</v>
      </c>
      <c r="H129" s="305">
        <v>61485.092699999994</v>
      </c>
      <c r="I129" s="306">
        <v>-1.0040821507573127E-11</v>
      </c>
      <c r="J129" s="310">
        <f t="shared" si="11"/>
        <v>-1.6330497469629947E-16</v>
      </c>
      <c r="M129" s="293">
        <f t="shared" si="6"/>
        <v>333</v>
      </c>
      <c r="N129" s="298">
        <v>43465</v>
      </c>
      <c r="O129" s="293">
        <f t="shared" si="7"/>
        <v>0</v>
      </c>
      <c r="P129" s="301">
        <f t="shared" si="9"/>
        <v>1</v>
      </c>
    </row>
    <row r="130" spans="1:16" ht="18.95" customHeight="1">
      <c r="A130" s="294">
        <f t="shared" si="10"/>
        <v>94</v>
      </c>
      <c r="B130" s="304" t="s">
        <v>1578</v>
      </c>
      <c r="C130" s="305" t="s">
        <v>1579</v>
      </c>
      <c r="D130" s="299">
        <v>43101</v>
      </c>
      <c r="E130" s="298">
        <v>43465</v>
      </c>
      <c r="F130" s="300">
        <v>1</v>
      </c>
      <c r="G130" s="305">
        <v>40613.123999999996</v>
      </c>
      <c r="H130" s="305">
        <v>99459.132299999997</v>
      </c>
      <c r="I130" s="306">
        <v>-2.0081643015146254E-11</v>
      </c>
      <c r="J130" s="310">
        <f t="shared" si="11"/>
        <v>-2.019084879463226E-16</v>
      </c>
      <c r="M130" s="293">
        <f t="shared" si="6"/>
        <v>364</v>
      </c>
      <c r="N130" s="298">
        <v>43465</v>
      </c>
      <c r="O130" s="293">
        <f t="shared" si="7"/>
        <v>0</v>
      </c>
      <c r="P130" s="301">
        <f t="shared" si="9"/>
        <v>1</v>
      </c>
    </row>
    <row r="131" spans="1:16" ht="18.95" customHeight="1">
      <c r="A131" s="294">
        <f t="shared" si="10"/>
        <v>95</v>
      </c>
      <c r="B131" s="304" t="s">
        <v>1570</v>
      </c>
      <c r="C131" s="305" t="s">
        <v>1571</v>
      </c>
      <c r="D131" s="299">
        <v>43101</v>
      </c>
      <c r="E131" s="298">
        <v>43830</v>
      </c>
      <c r="F131" s="300">
        <v>0.4993141289437586</v>
      </c>
      <c r="G131" s="305">
        <v>311190</v>
      </c>
      <c r="H131" s="305">
        <v>166980.04829999999</v>
      </c>
      <c r="I131" s="306">
        <v>136620.04830000002</v>
      </c>
      <c r="J131" s="310">
        <f t="shared" si="11"/>
        <v>0.81818187077383919</v>
      </c>
      <c r="M131" s="293">
        <f t="shared" si="6"/>
        <v>729</v>
      </c>
      <c r="N131" s="298">
        <v>43465</v>
      </c>
      <c r="O131" s="293">
        <f t="shared" si="7"/>
        <v>365</v>
      </c>
      <c r="P131" s="301">
        <f t="shared" si="9"/>
        <v>0.4993141289437586</v>
      </c>
    </row>
    <row r="132" spans="1:16" ht="18.95" customHeight="1">
      <c r="A132" s="294">
        <f t="shared" si="10"/>
        <v>96</v>
      </c>
      <c r="B132" s="304" t="s">
        <v>1572</v>
      </c>
      <c r="C132" s="305" t="s">
        <v>1573</v>
      </c>
      <c r="D132" s="299">
        <v>43101</v>
      </c>
      <c r="E132" s="298">
        <v>43830</v>
      </c>
      <c r="F132" s="300">
        <v>0.4993141289437586</v>
      </c>
      <c r="G132" s="305">
        <v>180710.29619999998</v>
      </c>
      <c r="H132" s="305">
        <v>308083.4682</v>
      </c>
      <c r="I132" s="306">
        <v>128683.46819999999</v>
      </c>
      <c r="J132" s="310">
        <f t="shared" si="11"/>
        <v>0.4176902738463783</v>
      </c>
      <c r="M132" s="293">
        <f t="shared" si="6"/>
        <v>729</v>
      </c>
      <c r="N132" s="298">
        <v>43465</v>
      </c>
      <c r="O132" s="293">
        <f t="shared" si="7"/>
        <v>365</v>
      </c>
      <c r="P132" s="301">
        <f t="shared" si="9"/>
        <v>0.4993141289437586</v>
      </c>
    </row>
    <row r="133" spans="1:16" ht="18.95" customHeight="1">
      <c r="A133" s="294">
        <f t="shared" si="10"/>
        <v>97</v>
      </c>
      <c r="B133" s="304" t="s">
        <v>1581</v>
      </c>
      <c r="C133" s="305" t="s">
        <v>1582</v>
      </c>
      <c r="D133" s="299">
        <v>43101</v>
      </c>
      <c r="E133" s="298">
        <v>43830</v>
      </c>
      <c r="F133" s="300">
        <v>0.4993141289437586</v>
      </c>
      <c r="G133" s="305">
        <v>242879.99999999997</v>
      </c>
      <c r="H133" s="305">
        <v>144677.55089999997</v>
      </c>
      <c r="I133" s="306">
        <v>30826.633199999997</v>
      </c>
      <c r="J133" s="310">
        <f t="shared" si="11"/>
        <v>0.21307129549979134</v>
      </c>
      <c r="M133" s="293">
        <f t="shared" si="6"/>
        <v>729</v>
      </c>
      <c r="N133" s="298">
        <v>43465</v>
      </c>
      <c r="O133" s="293">
        <f t="shared" si="7"/>
        <v>365</v>
      </c>
      <c r="P133" s="301">
        <f t="shared" si="9"/>
        <v>0.4993141289437586</v>
      </c>
    </row>
    <row r="134" spans="1:16" ht="18.95" customHeight="1">
      <c r="A134" s="294">
        <f t="shared" si="10"/>
        <v>98</v>
      </c>
      <c r="B134" s="304" t="s">
        <v>2740</v>
      </c>
      <c r="C134" s="305" t="s">
        <v>2741</v>
      </c>
      <c r="D134" s="299">
        <v>43101</v>
      </c>
      <c r="E134" s="298">
        <v>43830</v>
      </c>
      <c r="F134" s="300">
        <v>0.4993141289437586</v>
      </c>
      <c r="G134" s="305">
        <v>607200.06900000002</v>
      </c>
      <c r="H134" s="305">
        <v>872775.5075999999</v>
      </c>
      <c r="I134" s="306">
        <v>594056.96279999986</v>
      </c>
      <c r="J134" s="310">
        <f t="shared" si="11"/>
        <v>0.68065265079856141</v>
      </c>
      <c r="M134" s="293">
        <f t="shared" si="6"/>
        <v>729</v>
      </c>
      <c r="N134" s="298">
        <v>43465</v>
      </c>
      <c r="O134" s="293">
        <f t="shared" si="7"/>
        <v>365</v>
      </c>
      <c r="P134" s="301">
        <f t="shared" si="9"/>
        <v>0.4993141289437586</v>
      </c>
    </row>
    <row r="135" spans="1:16" ht="18.95" customHeight="1">
      <c r="A135" s="294">
        <f t="shared" si="10"/>
        <v>99</v>
      </c>
      <c r="B135" s="304" t="s">
        <v>2742</v>
      </c>
      <c r="C135" s="305" t="s">
        <v>2743</v>
      </c>
      <c r="D135" s="299">
        <v>43101</v>
      </c>
      <c r="E135" s="298">
        <v>43830</v>
      </c>
      <c r="F135" s="300">
        <v>0.4993141289437586</v>
      </c>
      <c r="G135" s="305">
        <v>45540</v>
      </c>
      <c r="H135" s="305">
        <v>167875.44749999998</v>
      </c>
      <c r="I135" s="306">
        <v>46435.309499999996</v>
      </c>
      <c r="J135" s="310">
        <f t="shared" si="11"/>
        <v>0.27660572282316626</v>
      </c>
      <c r="M135" s="293">
        <f t="shared" si="6"/>
        <v>729</v>
      </c>
      <c r="N135" s="298">
        <v>43465</v>
      </c>
      <c r="O135" s="293">
        <f t="shared" si="7"/>
        <v>365</v>
      </c>
      <c r="P135" s="301">
        <f t="shared" si="9"/>
        <v>0.4993141289437586</v>
      </c>
    </row>
    <row r="136" spans="1:16" ht="18.95" customHeight="1">
      <c r="A136" s="294">
        <f t="shared" si="10"/>
        <v>100</v>
      </c>
      <c r="B136" s="304" t="s">
        <v>2744</v>
      </c>
      <c r="C136" s="305" t="s">
        <v>2745</v>
      </c>
      <c r="D136" s="299">
        <v>43101</v>
      </c>
      <c r="E136" s="298">
        <v>43830</v>
      </c>
      <c r="F136" s="300">
        <v>0.4993141289437586</v>
      </c>
      <c r="G136" s="305">
        <v>276000.22080000001</v>
      </c>
      <c r="H136" s="305">
        <v>210450</v>
      </c>
      <c r="I136" s="306">
        <v>72450</v>
      </c>
      <c r="J136" s="310">
        <f t="shared" si="11"/>
        <v>0.34426229508196721</v>
      </c>
      <c r="M136" s="293">
        <f t="shared" si="6"/>
        <v>729</v>
      </c>
      <c r="N136" s="298">
        <v>43465</v>
      </c>
      <c r="O136" s="293">
        <f t="shared" si="7"/>
        <v>365</v>
      </c>
      <c r="P136" s="301">
        <f t="shared" si="9"/>
        <v>0.4993141289437586</v>
      </c>
    </row>
    <row r="137" spans="1:16" ht="18.95" customHeight="1">
      <c r="A137" s="294">
        <f t="shared" si="10"/>
        <v>101</v>
      </c>
      <c r="B137" s="304" t="s">
        <v>2746</v>
      </c>
      <c r="C137" s="305" t="s">
        <v>2747</v>
      </c>
      <c r="D137" s="299">
        <v>43101</v>
      </c>
      <c r="E137" s="298">
        <v>43830</v>
      </c>
      <c r="F137" s="300">
        <v>0.4993141289437586</v>
      </c>
      <c r="G137" s="305">
        <v>91080</v>
      </c>
      <c r="H137" s="305">
        <v>301738.29029999999</v>
      </c>
      <c r="I137" s="306">
        <v>180642.06209999995</v>
      </c>
      <c r="J137" s="310">
        <f t="shared" si="11"/>
        <v>0.5986713251420579</v>
      </c>
      <c r="M137" s="293">
        <f t="shared" si="6"/>
        <v>729</v>
      </c>
      <c r="N137" s="298">
        <v>43465</v>
      </c>
      <c r="O137" s="293">
        <f t="shared" si="7"/>
        <v>365</v>
      </c>
      <c r="P137" s="301">
        <f t="shared" si="9"/>
        <v>0.4993141289437586</v>
      </c>
    </row>
    <row r="138" spans="1:16" ht="18.95" customHeight="1">
      <c r="A138" s="294">
        <f t="shared" si="10"/>
        <v>102</v>
      </c>
      <c r="B138" s="304" t="s">
        <v>1550</v>
      </c>
      <c r="C138" s="305" t="s">
        <v>1500</v>
      </c>
      <c r="D138" s="299">
        <v>42005</v>
      </c>
      <c r="E138" s="298">
        <v>45291</v>
      </c>
      <c r="F138" s="300">
        <v>0.44430919050517348</v>
      </c>
      <c r="G138" s="305">
        <v>34300</v>
      </c>
      <c r="H138" s="305">
        <v>41399.999999999993</v>
      </c>
      <c r="I138" s="306">
        <v>6899.9999999999991</v>
      </c>
      <c r="J138" s="310">
        <f t="shared" si="11"/>
        <v>0.16666666666666669</v>
      </c>
      <c r="M138" s="293">
        <f t="shared" si="6"/>
        <v>3286</v>
      </c>
      <c r="N138" s="298">
        <v>43465</v>
      </c>
      <c r="O138" s="293">
        <f t="shared" si="7"/>
        <v>1826</v>
      </c>
      <c r="P138" s="301">
        <f t="shared" si="9"/>
        <v>0.44430919050517348</v>
      </c>
    </row>
    <row r="139" spans="1:16" ht="18.95" customHeight="1">
      <c r="A139" s="294">
        <f t="shared" si="10"/>
        <v>103</v>
      </c>
      <c r="B139" s="304" t="s">
        <v>1545</v>
      </c>
      <c r="C139" s="305" t="s">
        <v>1546</v>
      </c>
      <c r="D139" s="299">
        <v>42370</v>
      </c>
      <c r="E139" s="298">
        <v>45291</v>
      </c>
      <c r="F139" s="300">
        <v>0.37487161930845603</v>
      </c>
      <c r="G139" s="305">
        <v>83650</v>
      </c>
      <c r="H139" s="305">
        <v>775137.16800000006</v>
      </c>
      <c r="I139" s="306">
        <v>119637.16800000001</v>
      </c>
      <c r="J139" s="310">
        <f t="shared" si="11"/>
        <v>0.15434322199861275</v>
      </c>
      <c r="M139" s="293">
        <f t="shared" si="6"/>
        <v>2921</v>
      </c>
      <c r="N139" s="298">
        <v>43465</v>
      </c>
      <c r="O139" s="293">
        <f t="shared" si="7"/>
        <v>1826</v>
      </c>
      <c r="P139" s="301">
        <f t="shared" si="9"/>
        <v>0.37487161930845603</v>
      </c>
    </row>
    <row r="140" spans="1:16" ht="18.95" customHeight="1">
      <c r="A140" s="294">
        <f t="shared" si="10"/>
        <v>104</v>
      </c>
      <c r="B140" s="304" t="s">
        <v>2748</v>
      </c>
      <c r="C140" s="305" t="s">
        <v>2749</v>
      </c>
      <c r="D140" s="299">
        <v>38504</v>
      </c>
      <c r="E140" s="298">
        <v>46022</v>
      </c>
      <c r="F140" s="300">
        <v>0.65988294759244481</v>
      </c>
      <c r="G140" s="305">
        <v>2788.8350000000664</v>
      </c>
      <c r="H140" s="305">
        <v>0</v>
      </c>
      <c r="I140" s="306">
        <v>134525.32559999998</v>
      </c>
      <c r="J140" s="310">
        <f t="shared" si="11"/>
        <v>0</v>
      </c>
      <c r="M140" s="293">
        <f t="shared" si="6"/>
        <v>7518</v>
      </c>
      <c r="N140" s="298">
        <v>43465</v>
      </c>
      <c r="O140" s="293">
        <f t="shared" si="7"/>
        <v>2557</v>
      </c>
      <c r="P140" s="301">
        <f t="shared" si="9"/>
        <v>0.65988294759244481</v>
      </c>
    </row>
    <row r="141" spans="1:16" ht="18.95" customHeight="1">
      <c r="A141" s="294">
        <f t="shared" si="10"/>
        <v>105</v>
      </c>
      <c r="B141" s="304" t="s">
        <v>2750</v>
      </c>
      <c r="C141" s="305" t="s">
        <v>2751</v>
      </c>
      <c r="D141" s="299">
        <v>42736</v>
      </c>
      <c r="E141" s="298">
        <v>45291</v>
      </c>
      <c r="F141" s="300">
        <v>0.28532289628180041</v>
      </c>
      <c r="G141" s="305">
        <v>87500</v>
      </c>
      <c r="H141" s="305">
        <v>8235150</v>
      </c>
      <c r="I141" s="306">
        <v>748650</v>
      </c>
      <c r="J141" s="310">
        <f t="shared" si="11"/>
        <v>9.0909090909090912E-2</v>
      </c>
      <c r="M141" s="293">
        <f t="shared" si="6"/>
        <v>2555</v>
      </c>
      <c r="N141" s="298">
        <v>43465</v>
      </c>
      <c r="O141" s="293">
        <f t="shared" si="7"/>
        <v>1826</v>
      </c>
      <c r="P141" s="301">
        <f t="shared" si="9"/>
        <v>0.28532289628180041</v>
      </c>
    </row>
    <row r="142" spans="1:16" ht="18.95" customHeight="1">
      <c r="A142" s="294">
        <f t="shared" si="10"/>
        <v>106</v>
      </c>
      <c r="B142" s="304" t="s">
        <v>1540</v>
      </c>
      <c r="C142" s="305" t="s">
        <v>1541</v>
      </c>
      <c r="D142" s="299">
        <v>42314</v>
      </c>
      <c r="E142" s="298">
        <v>43646</v>
      </c>
      <c r="F142" s="300">
        <v>0.8641141141141141</v>
      </c>
      <c r="G142" s="305">
        <v>162087.20000000001</v>
      </c>
      <c r="H142" s="305">
        <v>0</v>
      </c>
      <c r="I142" s="306">
        <v>6870.42</v>
      </c>
      <c r="J142" s="310">
        <f t="shared" si="11"/>
        <v>0</v>
      </c>
      <c r="M142" s="293">
        <f t="shared" si="6"/>
        <v>1332</v>
      </c>
      <c r="N142" s="298">
        <v>43465</v>
      </c>
      <c r="O142" s="293">
        <f t="shared" si="7"/>
        <v>181</v>
      </c>
      <c r="P142" s="301">
        <f t="shared" si="9"/>
        <v>0.8641141141141141</v>
      </c>
    </row>
  </sheetData>
  <mergeCells count="12"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57" fitToHeight="0" orientation="portrait" r:id="rId1"/>
  <rowBreaks count="2" manualBreakCount="2">
    <brk id="56" max="9" man="1"/>
    <brk id="11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P248"/>
  <sheetViews>
    <sheetView zoomScale="85" zoomScaleNormal="85" workbookViewId="0">
      <selection activeCell="G16" sqref="G16"/>
    </sheetView>
  </sheetViews>
  <sheetFormatPr defaultColWidth="9" defaultRowHeight="12.75"/>
  <cols>
    <col min="1" max="1" width="6" style="16" customWidth="1"/>
    <col min="2" max="2" width="13.6640625" style="286" customWidth="1"/>
    <col min="3" max="3" width="34.33203125" style="16" customWidth="1"/>
    <col min="4" max="4" width="15.77734375" style="65" customWidth="1"/>
    <col min="5" max="5" width="14.44140625" style="65" customWidth="1"/>
    <col min="6" max="6" width="12.77734375" style="16" customWidth="1"/>
    <col min="7" max="10" width="15.77734375" style="16" customWidth="1"/>
    <col min="11" max="11" width="1.6640625" style="16" customWidth="1"/>
    <col min="12" max="12" width="9" style="16"/>
    <col min="13" max="13" width="9.77734375" style="16" customWidth="1"/>
    <col min="14" max="14" width="9" style="16"/>
    <col min="15" max="15" width="11.109375" style="16" customWidth="1"/>
    <col min="16" max="16" width="9.44140625" style="16" customWidth="1"/>
    <col min="17" max="16384" width="9" style="16"/>
  </cols>
  <sheetData>
    <row r="1" spans="1:16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  <c r="I1" s="831"/>
      <c r="J1" s="831"/>
    </row>
    <row r="2" spans="1:16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  <c r="I2" s="831"/>
      <c r="J2" s="831"/>
    </row>
    <row r="3" spans="1:16" ht="20.100000000000001" customHeight="1">
      <c r="A3" s="831" t="s">
        <v>252</v>
      </c>
      <c r="B3" s="831"/>
      <c r="C3" s="831"/>
      <c r="D3" s="831"/>
      <c r="E3" s="831"/>
      <c r="F3" s="831"/>
      <c r="G3" s="831"/>
      <c r="H3" s="831"/>
      <c r="I3" s="831"/>
      <c r="J3" s="831"/>
    </row>
    <row r="4" spans="1:16" ht="20.100000000000001" customHeight="1">
      <c r="A4" s="831" t="str">
        <f>'Rate Case Constants'!C18</f>
        <v>AS OF APRIL 30, 2020</v>
      </c>
      <c r="B4" s="831"/>
      <c r="C4" s="831"/>
      <c r="D4" s="831"/>
      <c r="E4" s="831"/>
      <c r="F4" s="831"/>
      <c r="G4" s="831"/>
      <c r="H4" s="831"/>
      <c r="I4" s="831"/>
      <c r="J4" s="831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122</v>
      </c>
      <c r="B6" s="285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_____ ORIGINAL  _____ UPDATED  __X__ REVISED</v>
      </c>
      <c r="G7" s="22"/>
      <c r="H7" s="22"/>
      <c r="I7" s="22"/>
      <c r="J7" s="22" t="s">
        <v>1587</v>
      </c>
    </row>
    <row r="8" spans="1:16" ht="20.100000000000001" customHeight="1">
      <c r="A8" s="15" t="s">
        <v>231</v>
      </c>
      <c r="B8" s="28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G9" s="312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71" t="s">
        <v>272</v>
      </c>
      <c r="N10" s="71" t="s">
        <v>273</v>
      </c>
      <c r="O10" s="71" t="s">
        <v>274</v>
      </c>
      <c r="P10" s="71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60"/>
      <c r="B12" s="61"/>
      <c r="E12" s="67"/>
    </row>
    <row r="13" spans="1:16" ht="18.95" customHeight="1">
      <c r="A13" s="286">
        <v>1</v>
      </c>
      <c r="B13" s="313" t="s">
        <v>2576</v>
      </c>
      <c r="C13" s="312" t="s">
        <v>2577</v>
      </c>
      <c r="D13" s="66">
        <v>39083</v>
      </c>
      <c r="E13" s="67">
        <v>46022</v>
      </c>
      <c r="F13" s="70">
        <v>0.70154200893500507</v>
      </c>
      <c r="G13" s="312">
        <v>529000</v>
      </c>
      <c r="H13" s="312">
        <v>57801.319999999992</v>
      </c>
      <c r="I13" s="314">
        <v>131000</v>
      </c>
      <c r="J13" s="310">
        <f>I13/H13</f>
        <v>2.2663842279034463</v>
      </c>
      <c r="M13" s="22">
        <f t="shared" ref="M13:M88" si="0">E13-D13</f>
        <v>6939</v>
      </c>
      <c r="N13" s="67">
        <v>43951</v>
      </c>
      <c r="O13" s="22">
        <f t="shared" ref="O13:O88" si="1">E13-N13</f>
        <v>2071</v>
      </c>
      <c r="P13" s="311">
        <f>(M13-O13)/M13</f>
        <v>0.70154200893500507</v>
      </c>
    </row>
    <row r="14" spans="1:16" ht="18.95" customHeight="1">
      <c r="A14" s="286">
        <f>A13+1</f>
        <v>2</v>
      </c>
      <c r="B14" s="313" t="s">
        <v>2752</v>
      </c>
      <c r="C14" s="312" t="s">
        <v>2753</v>
      </c>
      <c r="D14" s="66">
        <v>43221</v>
      </c>
      <c r="E14" s="67">
        <v>44196</v>
      </c>
      <c r="F14" s="70">
        <v>0.74871794871794872</v>
      </c>
      <c r="G14" s="312">
        <v>7300000</v>
      </c>
      <c r="H14" s="312">
        <v>2774535.12</v>
      </c>
      <c r="I14" s="314">
        <v>2277880.7200000002</v>
      </c>
      <c r="J14" s="310">
        <f t="shared" ref="J14:J89" si="2">I14/H14</f>
        <v>0.82099545382579264</v>
      </c>
      <c r="M14" s="22">
        <f t="shared" si="0"/>
        <v>975</v>
      </c>
      <c r="N14" s="67">
        <v>43951</v>
      </c>
      <c r="O14" s="22">
        <f t="shared" si="1"/>
        <v>245</v>
      </c>
      <c r="P14" s="311">
        <f t="shared" ref="P14:P89" si="3">(M14-O14)/M14</f>
        <v>0.74871794871794872</v>
      </c>
    </row>
    <row r="15" spans="1:16" ht="18.95" customHeight="1">
      <c r="A15" s="286">
        <f t="shared" ref="A15:A90" si="4">A14+1</f>
        <v>3</v>
      </c>
      <c r="B15" s="313" t="s">
        <v>1543</v>
      </c>
      <c r="C15" s="312" t="s">
        <v>1544</v>
      </c>
      <c r="D15" s="66">
        <v>42736</v>
      </c>
      <c r="E15" s="67">
        <v>44196</v>
      </c>
      <c r="F15" s="70">
        <v>0.8321917808219178</v>
      </c>
      <c r="G15" s="312">
        <v>175265.35</v>
      </c>
      <c r="H15" s="312">
        <v>4150802.3</v>
      </c>
      <c r="I15" s="314">
        <v>2652271.12</v>
      </c>
      <c r="J15" s="310">
        <f t="shared" si="2"/>
        <v>0.63897794409528974</v>
      </c>
      <c r="M15" s="22">
        <f t="shared" si="0"/>
        <v>1460</v>
      </c>
      <c r="N15" s="67">
        <v>43951</v>
      </c>
      <c r="O15" s="22">
        <f t="shared" si="1"/>
        <v>245</v>
      </c>
      <c r="P15" s="311">
        <f t="shared" si="3"/>
        <v>0.8321917808219178</v>
      </c>
    </row>
    <row r="16" spans="1:16" ht="18.95" customHeight="1">
      <c r="A16" s="286">
        <f t="shared" si="4"/>
        <v>4</v>
      </c>
      <c r="B16" s="313" t="s">
        <v>2754</v>
      </c>
      <c r="C16" s="312" t="s">
        <v>2755</v>
      </c>
      <c r="D16" s="66">
        <v>43800</v>
      </c>
      <c r="E16" s="67">
        <v>44561</v>
      </c>
      <c r="F16" s="70">
        <v>0.19842312746386334</v>
      </c>
      <c r="G16" s="312">
        <v>2750045.45</v>
      </c>
      <c r="H16" s="312">
        <v>2301969.92</v>
      </c>
      <c r="I16" s="314">
        <v>251901.14</v>
      </c>
      <c r="J16" s="310">
        <f t="shared" si="2"/>
        <v>0.10942851069053067</v>
      </c>
      <c r="M16" s="22">
        <f t="shared" si="0"/>
        <v>761</v>
      </c>
      <c r="N16" s="67">
        <v>43951</v>
      </c>
      <c r="O16" s="22">
        <f t="shared" si="1"/>
        <v>610</v>
      </c>
      <c r="P16" s="311">
        <f t="shared" si="3"/>
        <v>0.19842312746386334</v>
      </c>
    </row>
    <row r="17" spans="1:16" ht="18.95" customHeight="1">
      <c r="A17" s="286">
        <f t="shared" si="4"/>
        <v>5</v>
      </c>
      <c r="B17" s="313" t="s">
        <v>2756</v>
      </c>
      <c r="C17" s="312" t="s">
        <v>2757</v>
      </c>
      <c r="D17" s="66">
        <v>43466</v>
      </c>
      <c r="E17" s="67">
        <v>44196</v>
      </c>
      <c r="F17" s="70">
        <v>0.66438356164383561</v>
      </c>
      <c r="G17" s="312">
        <v>1750000</v>
      </c>
      <c r="H17" s="312">
        <v>2329663.4699999997</v>
      </c>
      <c r="I17" s="314">
        <v>1682773.0399999996</v>
      </c>
      <c r="J17" s="310">
        <f t="shared" si="2"/>
        <v>0.7223245166822313</v>
      </c>
      <c r="M17" s="22">
        <f t="shared" si="0"/>
        <v>730</v>
      </c>
      <c r="N17" s="67">
        <v>43951</v>
      </c>
      <c r="O17" s="22">
        <f t="shared" si="1"/>
        <v>245</v>
      </c>
      <c r="P17" s="311">
        <f t="shared" si="3"/>
        <v>0.66438356164383561</v>
      </c>
    </row>
    <row r="18" spans="1:16" ht="18.95" customHeight="1">
      <c r="A18" s="286">
        <f t="shared" si="4"/>
        <v>6</v>
      </c>
      <c r="B18" s="313" t="s">
        <v>2758</v>
      </c>
      <c r="C18" s="312" t="s">
        <v>2759</v>
      </c>
      <c r="D18" s="66">
        <v>43466</v>
      </c>
      <c r="E18" s="67">
        <v>44561</v>
      </c>
      <c r="F18" s="70">
        <v>0.44292237442922372</v>
      </c>
      <c r="G18" s="312">
        <v>5500000</v>
      </c>
      <c r="H18" s="312">
        <v>7099217.25</v>
      </c>
      <c r="I18" s="314">
        <v>6277803.0099999998</v>
      </c>
      <c r="J18" s="310">
        <f t="shared" si="2"/>
        <v>0.8842950974630337</v>
      </c>
      <c r="M18" s="22">
        <f t="shared" si="0"/>
        <v>1095</v>
      </c>
      <c r="N18" s="67">
        <v>43951</v>
      </c>
      <c r="O18" s="22">
        <f t="shared" si="1"/>
        <v>610</v>
      </c>
      <c r="P18" s="311">
        <f t="shared" si="3"/>
        <v>0.44292237442922372</v>
      </c>
    </row>
    <row r="19" spans="1:16" ht="18.95" customHeight="1">
      <c r="A19" s="286">
        <f t="shared" si="4"/>
        <v>7</v>
      </c>
      <c r="B19" s="313" t="s">
        <v>2581</v>
      </c>
      <c r="C19" s="312" t="s">
        <v>2582</v>
      </c>
      <c r="D19" s="66">
        <v>39083</v>
      </c>
      <c r="E19" s="67">
        <v>46022</v>
      </c>
      <c r="F19" s="70">
        <v>0.70154200893500507</v>
      </c>
      <c r="G19" s="312">
        <v>-3000</v>
      </c>
      <c r="H19" s="312">
        <v>1000</v>
      </c>
      <c r="I19" s="314">
        <v>1000.0000000000002</v>
      </c>
      <c r="J19" s="310">
        <f t="shared" si="2"/>
        <v>1.0000000000000002</v>
      </c>
      <c r="M19" s="22">
        <f t="shared" si="0"/>
        <v>6939</v>
      </c>
      <c r="N19" s="67">
        <v>43951</v>
      </c>
      <c r="O19" s="22">
        <f t="shared" si="1"/>
        <v>2071</v>
      </c>
      <c r="P19" s="311">
        <f t="shared" si="3"/>
        <v>0.70154200893500507</v>
      </c>
    </row>
    <row r="20" spans="1:16" ht="18.95" customHeight="1">
      <c r="A20" s="286">
        <f t="shared" si="4"/>
        <v>8</v>
      </c>
      <c r="B20" s="313" t="s">
        <v>2760</v>
      </c>
      <c r="C20" s="312" t="s">
        <v>2761</v>
      </c>
      <c r="D20" s="66">
        <v>43831</v>
      </c>
      <c r="E20" s="67">
        <v>44196</v>
      </c>
      <c r="F20" s="70">
        <v>0.32876712328767121</v>
      </c>
      <c r="G20" s="312">
        <v>203356.23</v>
      </c>
      <c r="H20" s="312">
        <v>304299.89</v>
      </c>
      <c r="I20" s="314">
        <v>100041.40999999999</v>
      </c>
      <c r="J20" s="310">
        <f t="shared" si="2"/>
        <v>0.32875927099414981</v>
      </c>
      <c r="M20" s="22">
        <f t="shared" si="0"/>
        <v>365</v>
      </c>
      <c r="N20" s="67">
        <v>43951</v>
      </c>
      <c r="O20" s="22">
        <f t="shared" si="1"/>
        <v>245</v>
      </c>
      <c r="P20" s="311">
        <f t="shared" si="3"/>
        <v>0.32876712328767121</v>
      </c>
    </row>
    <row r="21" spans="1:16" ht="18.95" customHeight="1">
      <c r="A21" s="286">
        <f t="shared" si="4"/>
        <v>9</v>
      </c>
      <c r="B21" s="313" t="s">
        <v>2762</v>
      </c>
      <c r="C21" s="312" t="s">
        <v>2763</v>
      </c>
      <c r="D21" s="66">
        <v>43831</v>
      </c>
      <c r="E21" s="67">
        <v>44196</v>
      </c>
      <c r="F21" s="70">
        <v>0.32876712328767121</v>
      </c>
      <c r="G21" s="312">
        <v>238755.56</v>
      </c>
      <c r="H21" s="312">
        <v>239485.8</v>
      </c>
      <c r="I21" s="314">
        <v>79828.600000000006</v>
      </c>
      <c r="J21" s="310">
        <f t="shared" si="2"/>
        <v>0.33333333333333337</v>
      </c>
      <c r="M21" s="22">
        <f t="shared" si="0"/>
        <v>365</v>
      </c>
      <c r="N21" s="67">
        <v>43951</v>
      </c>
      <c r="O21" s="22">
        <f t="shared" si="1"/>
        <v>245</v>
      </c>
      <c r="P21" s="311">
        <f t="shared" si="3"/>
        <v>0.32876712328767121</v>
      </c>
    </row>
    <row r="22" spans="1:16" ht="18.95" customHeight="1">
      <c r="A22" s="286">
        <f t="shared" si="4"/>
        <v>10</v>
      </c>
      <c r="B22" s="313" t="s">
        <v>2764</v>
      </c>
      <c r="C22" s="312" t="s">
        <v>2765</v>
      </c>
      <c r="D22" s="66">
        <v>43800</v>
      </c>
      <c r="E22" s="67">
        <v>44196</v>
      </c>
      <c r="F22" s="70">
        <v>0.38131313131313133</v>
      </c>
      <c r="G22" s="312">
        <v>428876.89</v>
      </c>
      <c r="H22" s="312">
        <v>433763.18</v>
      </c>
      <c r="I22" s="314">
        <v>148462.74</v>
      </c>
      <c r="J22" s="310">
        <f t="shared" si="2"/>
        <v>0.34226681019813621</v>
      </c>
      <c r="M22" s="22">
        <f t="shared" si="0"/>
        <v>396</v>
      </c>
      <c r="N22" s="67">
        <v>43951</v>
      </c>
      <c r="O22" s="22">
        <f t="shared" si="1"/>
        <v>245</v>
      </c>
      <c r="P22" s="311">
        <f t="shared" si="3"/>
        <v>0.38131313131313133</v>
      </c>
    </row>
    <row r="23" spans="1:16" ht="18.95" customHeight="1">
      <c r="A23" s="286">
        <f t="shared" si="4"/>
        <v>11</v>
      </c>
      <c r="B23" s="313" t="s">
        <v>2766</v>
      </c>
      <c r="C23" s="312" t="s">
        <v>2767</v>
      </c>
      <c r="D23" s="66">
        <v>43831</v>
      </c>
      <c r="E23" s="67">
        <v>44926</v>
      </c>
      <c r="F23" s="70">
        <v>0.1095890410958904</v>
      </c>
      <c r="G23" s="312">
        <v>4666316.47</v>
      </c>
      <c r="H23" s="312">
        <v>1742041.68</v>
      </c>
      <c r="I23" s="314">
        <v>580680.56000000006</v>
      </c>
      <c r="J23" s="310">
        <f t="shared" si="2"/>
        <v>0.33333333333333337</v>
      </c>
      <c r="M23" s="22">
        <f t="shared" si="0"/>
        <v>1095</v>
      </c>
      <c r="N23" s="67">
        <v>43951</v>
      </c>
      <c r="O23" s="22">
        <f t="shared" si="1"/>
        <v>975</v>
      </c>
      <c r="P23" s="311">
        <f t="shared" si="3"/>
        <v>0.1095890410958904</v>
      </c>
    </row>
    <row r="24" spans="1:16" ht="18.95" customHeight="1">
      <c r="A24" s="286">
        <f t="shared" si="4"/>
        <v>12</v>
      </c>
      <c r="B24" s="313" t="s">
        <v>2768</v>
      </c>
      <c r="C24" s="312" t="s">
        <v>2769</v>
      </c>
      <c r="D24" s="66">
        <v>43831</v>
      </c>
      <c r="E24" s="67">
        <v>44926</v>
      </c>
      <c r="F24" s="70">
        <v>0.1095890410958904</v>
      </c>
      <c r="G24" s="312">
        <v>2456468.2999999998</v>
      </c>
      <c r="H24" s="312">
        <v>1448853.66</v>
      </c>
      <c r="I24" s="314">
        <v>479809.74</v>
      </c>
      <c r="J24" s="310">
        <f t="shared" si="2"/>
        <v>0.33116508122704402</v>
      </c>
      <c r="M24" s="22">
        <f t="shared" si="0"/>
        <v>1095</v>
      </c>
      <c r="N24" s="67">
        <v>43951</v>
      </c>
      <c r="O24" s="22">
        <f t="shared" si="1"/>
        <v>975</v>
      </c>
      <c r="P24" s="311">
        <f t="shared" si="3"/>
        <v>0.1095890410958904</v>
      </c>
    </row>
    <row r="25" spans="1:16" ht="18.95" customHeight="1">
      <c r="A25" s="286">
        <f t="shared" si="4"/>
        <v>13</v>
      </c>
      <c r="B25" s="313" t="s">
        <v>2770</v>
      </c>
      <c r="C25" s="312" t="s">
        <v>2771</v>
      </c>
      <c r="D25" s="66">
        <v>43800</v>
      </c>
      <c r="E25" s="67">
        <v>44926</v>
      </c>
      <c r="F25" s="70">
        <v>0.13410301953818829</v>
      </c>
      <c r="G25" s="312">
        <v>25518636.359999999</v>
      </c>
      <c r="H25" s="312">
        <v>10964374.109999999</v>
      </c>
      <c r="I25" s="314">
        <v>3666395.43</v>
      </c>
      <c r="J25" s="310">
        <f t="shared" si="2"/>
        <v>0.33439167555000548</v>
      </c>
      <c r="M25" s="22">
        <f t="shared" si="0"/>
        <v>1126</v>
      </c>
      <c r="N25" s="67">
        <v>43951</v>
      </c>
      <c r="O25" s="22">
        <f t="shared" si="1"/>
        <v>975</v>
      </c>
      <c r="P25" s="311">
        <f t="shared" si="3"/>
        <v>0.13410301953818829</v>
      </c>
    </row>
    <row r="26" spans="1:16" ht="18.95" customHeight="1">
      <c r="A26" s="286">
        <f t="shared" si="4"/>
        <v>14</v>
      </c>
      <c r="B26" s="315" t="s">
        <v>2772</v>
      </c>
      <c r="C26" s="312" t="s">
        <v>2773</v>
      </c>
      <c r="D26" s="66">
        <v>43831</v>
      </c>
      <c r="E26" s="67">
        <v>44926</v>
      </c>
      <c r="F26" s="70">
        <v>0.1095890410958904</v>
      </c>
      <c r="G26" s="312">
        <v>5065463.3100000005</v>
      </c>
      <c r="H26" s="312">
        <v>1699547.63</v>
      </c>
      <c r="I26" s="314">
        <v>560422.40000000002</v>
      </c>
      <c r="J26" s="310">
        <f t="shared" si="2"/>
        <v>0.3297479812319235</v>
      </c>
      <c r="M26" s="22">
        <f t="shared" si="0"/>
        <v>1095</v>
      </c>
      <c r="N26" s="67">
        <v>43951</v>
      </c>
      <c r="O26" s="22">
        <f t="shared" si="1"/>
        <v>975</v>
      </c>
      <c r="P26" s="311">
        <f t="shared" si="3"/>
        <v>0.1095890410958904</v>
      </c>
    </row>
    <row r="27" spans="1:16" ht="18.95" customHeight="1">
      <c r="A27" s="286">
        <f t="shared" si="4"/>
        <v>15</v>
      </c>
      <c r="B27" s="313" t="s">
        <v>2587</v>
      </c>
      <c r="C27" s="312" t="s">
        <v>2588</v>
      </c>
      <c r="D27" s="66">
        <v>43221</v>
      </c>
      <c r="E27" s="67">
        <v>44196</v>
      </c>
      <c r="F27" s="70">
        <v>0.74871794871794872</v>
      </c>
      <c r="G27" s="312">
        <v>6440943.4800000004</v>
      </c>
      <c r="H27" s="312">
        <v>6440943.4800000004</v>
      </c>
      <c r="I27" s="314">
        <v>6306078.04</v>
      </c>
      <c r="J27" s="310">
        <f t="shared" si="2"/>
        <v>0.97906122908564941</v>
      </c>
      <c r="M27" s="22">
        <f t="shared" si="0"/>
        <v>975</v>
      </c>
      <c r="N27" s="67">
        <v>43951</v>
      </c>
      <c r="O27" s="22">
        <f t="shared" si="1"/>
        <v>245</v>
      </c>
      <c r="P27" s="311">
        <f t="shared" si="3"/>
        <v>0.74871794871794872</v>
      </c>
    </row>
    <row r="28" spans="1:16" ht="18.95" customHeight="1">
      <c r="A28" s="286">
        <f t="shared" si="4"/>
        <v>16</v>
      </c>
      <c r="B28" s="313" t="s">
        <v>2774</v>
      </c>
      <c r="C28" s="312" t="s">
        <v>2775</v>
      </c>
      <c r="D28" s="66">
        <v>43831</v>
      </c>
      <c r="E28" s="67">
        <v>44196</v>
      </c>
      <c r="F28" s="70">
        <v>0.32876712328767121</v>
      </c>
      <c r="G28" s="312">
        <v>87801.329999999987</v>
      </c>
      <c r="H28" s="312">
        <v>80042.44</v>
      </c>
      <c r="I28" s="314">
        <v>11739.5</v>
      </c>
      <c r="J28" s="310">
        <f t="shared" si="2"/>
        <v>0.1466659437168582</v>
      </c>
      <c r="M28" s="22">
        <f t="shared" si="0"/>
        <v>365</v>
      </c>
      <c r="N28" s="67">
        <v>43951</v>
      </c>
      <c r="O28" s="22">
        <f t="shared" si="1"/>
        <v>245</v>
      </c>
      <c r="P28" s="311">
        <f t="shared" si="3"/>
        <v>0.32876712328767121</v>
      </c>
    </row>
    <row r="29" spans="1:16" ht="18.95" customHeight="1">
      <c r="A29" s="286">
        <f t="shared" si="4"/>
        <v>17</v>
      </c>
      <c r="B29" s="313" t="s">
        <v>2776</v>
      </c>
      <c r="C29" s="312" t="s">
        <v>2777</v>
      </c>
      <c r="D29" s="66">
        <v>43831</v>
      </c>
      <c r="E29" s="67">
        <v>44196</v>
      </c>
      <c r="F29" s="70">
        <v>0.32876712328767121</v>
      </c>
      <c r="G29" s="312">
        <v>83853.509999999995</v>
      </c>
      <c r="H29" s="312">
        <v>76869.399999999994</v>
      </c>
      <c r="I29" s="314">
        <v>14234.19</v>
      </c>
      <c r="J29" s="310">
        <f t="shared" si="2"/>
        <v>0.18517368419683258</v>
      </c>
      <c r="M29" s="22">
        <f t="shared" si="0"/>
        <v>365</v>
      </c>
      <c r="N29" s="67">
        <v>43951</v>
      </c>
      <c r="O29" s="22">
        <f t="shared" si="1"/>
        <v>245</v>
      </c>
      <c r="P29" s="311">
        <f t="shared" si="3"/>
        <v>0.32876712328767121</v>
      </c>
    </row>
    <row r="30" spans="1:16" ht="18.95" customHeight="1">
      <c r="A30" s="286">
        <f t="shared" si="4"/>
        <v>18</v>
      </c>
      <c r="B30" s="313" t="s">
        <v>2778</v>
      </c>
      <c r="C30" s="312" t="s">
        <v>2779</v>
      </c>
      <c r="D30" s="66">
        <v>43831</v>
      </c>
      <c r="E30" s="67">
        <v>44196</v>
      </c>
      <c r="F30" s="70">
        <v>0.32876712328767121</v>
      </c>
      <c r="G30" s="312">
        <v>168693.47999999998</v>
      </c>
      <c r="H30" s="312">
        <v>149898.60999999999</v>
      </c>
      <c r="I30" s="314">
        <v>149898.60999999999</v>
      </c>
      <c r="J30" s="310">
        <f t="shared" si="2"/>
        <v>1</v>
      </c>
      <c r="M30" s="22">
        <f t="shared" si="0"/>
        <v>365</v>
      </c>
      <c r="N30" s="67">
        <v>43951</v>
      </c>
      <c r="O30" s="22">
        <f t="shared" si="1"/>
        <v>245</v>
      </c>
      <c r="P30" s="311">
        <f t="shared" si="3"/>
        <v>0.32876712328767121</v>
      </c>
    </row>
    <row r="31" spans="1:16" ht="18.95" customHeight="1">
      <c r="A31" s="286">
        <f t="shared" si="4"/>
        <v>19</v>
      </c>
      <c r="B31" s="313" t="s">
        <v>2780</v>
      </c>
      <c r="C31" s="312" t="s">
        <v>2781</v>
      </c>
      <c r="D31" s="66">
        <v>43831</v>
      </c>
      <c r="E31" s="67">
        <v>44196</v>
      </c>
      <c r="F31" s="70">
        <v>0.32876712328767121</v>
      </c>
      <c r="G31" s="312">
        <v>60869.359999999993</v>
      </c>
      <c r="H31" s="312">
        <v>59937.96</v>
      </c>
      <c r="I31" s="314">
        <v>24465.52</v>
      </c>
      <c r="J31" s="310">
        <f t="shared" si="2"/>
        <v>0.40818072553687179</v>
      </c>
      <c r="M31" s="22">
        <f t="shared" si="0"/>
        <v>365</v>
      </c>
      <c r="N31" s="67">
        <v>43951</v>
      </c>
      <c r="O31" s="22">
        <f t="shared" si="1"/>
        <v>245</v>
      </c>
      <c r="P31" s="311">
        <f t="shared" si="3"/>
        <v>0.32876712328767121</v>
      </c>
    </row>
    <row r="32" spans="1:16" ht="18.95" customHeight="1">
      <c r="A32" s="286">
        <f t="shared" si="4"/>
        <v>20</v>
      </c>
      <c r="B32" s="313" t="s">
        <v>2782</v>
      </c>
      <c r="C32" s="312" t="s">
        <v>2783</v>
      </c>
      <c r="D32" s="66">
        <v>43466</v>
      </c>
      <c r="E32" s="67">
        <v>45291</v>
      </c>
      <c r="F32" s="70">
        <v>0.26575342465753427</v>
      </c>
      <c r="G32" s="312">
        <v>-1473403.92</v>
      </c>
      <c r="H32" s="312">
        <v>-1473403.92</v>
      </c>
      <c r="I32" s="314">
        <v>-816881.34999999986</v>
      </c>
      <c r="J32" s="310">
        <f t="shared" si="2"/>
        <v>0.55441779332309626</v>
      </c>
      <c r="M32" s="22">
        <f t="shared" si="0"/>
        <v>1825</v>
      </c>
      <c r="N32" s="67">
        <v>43951</v>
      </c>
      <c r="O32" s="22">
        <f t="shared" si="1"/>
        <v>1340</v>
      </c>
      <c r="P32" s="311">
        <f t="shared" si="3"/>
        <v>0.26575342465753427</v>
      </c>
    </row>
    <row r="33" spans="1:16" ht="18.95" customHeight="1">
      <c r="A33" s="286">
        <f t="shared" si="4"/>
        <v>21</v>
      </c>
      <c r="B33" s="313" t="s">
        <v>2784</v>
      </c>
      <c r="C33" s="312" t="s">
        <v>2785</v>
      </c>
      <c r="D33" s="66">
        <v>43466</v>
      </c>
      <c r="E33" s="67">
        <v>44196</v>
      </c>
      <c r="F33" s="70">
        <v>0.66438356164383561</v>
      </c>
      <c r="G33" s="312">
        <v>1209618.8700000001</v>
      </c>
      <c r="H33" s="312">
        <v>1209618.8700000001</v>
      </c>
      <c r="I33" s="314">
        <v>874188.94999999984</v>
      </c>
      <c r="J33" s="310">
        <f t="shared" si="2"/>
        <v>0.72269784448716456</v>
      </c>
      <c r="M33" s="22">
        <f t="shared" si="0"/>
        <v>730</v>
      </c>
      <c r="N33" s="67">
        <v>43951</v>
      </c>
      <c r="O33" s="22">
        <f t="shared" si="1"/>
        <v>245</v>
      </c>
      <c r="P33" s="311">
        <f t="shared" si="3"/>
        <v>0.66438356164383561</v>
      </c>
    </row>
    <row r="34" spans="1:16" ht="18.95" customHeight="1">
      <c r="A34" s="286">
        <f t="shared" si="4"/>
        <v>22</v>
      </c>
      <c r="B34" s="313" t="s">
        <v>2786</v>
      </c>
      <c r="C34" s="312" t="s">
        <v>2787</v>
      </c>
      <c r="D34" s="66">
        <v>43466</v>
      </c>
      <c r="E34" s="67">
        <v>45291</v>
      </c>
      <c r="F34" s="70">
        <v>0.26575342465753427</v>
      </c>
      <c r="G34" s="312">
        <v>569249.59289999993</v>
      </c>
      <c r="H34" s="312">
        <v>569249.59289999993</v>
      </c>
      <c r="I34" s="314">
        <v>146251.02689999997</v>
      </c>
      <c r="J34" s="310">
        <f t="shared" si="2"/>
        <v>0.25691898373600047</v>
      </c>
      <c r="M34" s="22">
        <f t="shared" si="0"/>
        <v>1825</v>
      </c>
      <c r="N34" s="67">
        <v>43951</v>
      </c>
      <c r="O34" s="22">
        <f t="shared" si="1"/>
        <v>1340</v>
      </c>
      <c r="P34" s="311">
        <f t="shared" si="3"/>
        <v>0.26575342465753427</v>
      </c>
    </row>
    <row r="35" spans="1:16" ht="18.95" customHeight="1">
      <c r="A35" s="286">
        <f t="shared" si="4"/>
        <v>23</v>
      </c>
      <c r="B35" s="313" t="s">
        <v>2788</v>
      </c>
      <c r="C35" s="312" t="s">
        <v>2789</v>
      </c>
      <c r="D35" s="66">
        <v>43466</v>
      </c>
      <c r="E35" s="67">
        <v>45291</v>
      </c>
      <c r="F35" s="70">
        <v>0.26575342465753427</v>
      </c>
      <c r="G35" s="312">
        <v>155787.10980000001</v>
      </c>
      <c r="H35" s="312">
        <v>155787.10980000001</v>
      </c>
      <c r="I35" s="314">
        <v>62229.15419999999</v>
      </c>
      <c r="J35" s="310">
        <f t="shared" si="2"/>
        <v>0.39944995628900221</v>
      </c>
      <c r="M35" s="22">
        <f t="shared" si="0"/>
        <v>1825</v>
      </c>
      <c r="N35" s="67">
        <v>43951</v>
      </c>
      <c r="O35" s="22">
        <f t="shared" si="1"/>
        <v>1340</v>
      </c>
      <c r="P35" s="311">
        <f t="shared" si="3"/>
        <v>0.26575342465753427</v>
      </c>
    </row>
    <row r="36" spans="1:16" ht="18.95" customHeight="1">
      <c r="A36" s="286">
        <f t="shared" si="4"/>
        <v>24</v>
      </c>
      <c r="B36" s="313" t="s">
        <v>1576</v>
      </c>
      <c r="C36" s="312" t="s">
        <v>1577</v>
      </c>
      <c r="D36" s="66">
        <v>42736</v>
      </c>
      <c r="E36" s="67">
        <v>47118</v>
      </c>
      <c r="F36" s="70">
        <v>0.27727065267001372</v>
      </c>
      <c r="G36" s="312">
        <v>275000</v>
      </c>
      <c r="H36" s="312">
        <v>380441.75</v>
      </c>
      <c r="I36" s="314">
        <v>101605.5</v>
      </c>
      <c r="J36" s="310">
        <f t="shared" si="2"/>
        <v>0.26707242304505224</v>
      </c>
      <c r="M36" s="22">
        <f t="shared" si="0"/>
        <v>4382</v>
      </c>
      <c r="N36" s="67">
        <v>43951</v>
      </c>
      <c r="O36" s="22">
        <f t="shared" si="1"/>
        <v>3167</v>
      </c>
      <c r="P36" s="311">
        <f t="shared" si="3"/>
        <v>0.27727065267001372</v>
      </c>
    </row>
    <row r="37" spans="1:16" ht="18.95" customHeight="1">
      <c r="A37" s="286">
        <f t="shared" si="4"/>
        <v>25</v>
      </c>
      <c r="B37" s="313" t="s">
        <v>2790</v>
      </c>
      <c r="C37" s="312" t="s">
        <v>2791</v>
      </c>
      <c r="D37" s="66">
        <v>43466</v>
      </c>
      <c r="E37" s="67">
        <v>44561</v>
      </c>
      <c r="F37" s="70">
        <v>0.44292237442922372</v>
      </c>
      <c r="G37" s="312">
        <v>419775.29999999993</v>
      </c>
      <c r="H37" s="312">
        <v>419775.29999999993</v>
      </c>
      <c r="I37" s="314">
        <v>139925.09999999998</v>
      </c>
      <c r="J37" s="310">
        <f t="shared" si="2"/>
        <v>0.33333333333333331</v>
      </c>
      <c r="M37" s="22">
        <f t="shared" si="0"/>
        <v>1095</v>
      </c>
      <c r="N37" s="67">
        <v>43951</v>
      </c>
      <c r="O37" s="22">
        <f t="shared" si="1"/>
        <v>610</v>
      </c>
      <c r="P37" s="311">
        <f t="shared" si="3"/>
        <v>0.44292237442922372</v>
      </c>
    </row>
    <row r="38" spans="1:16" ht="18.95" customHeight="1">
      <c r="A38" s="286">
        <f t="shared" si="4"/>
        <v>26</v>
      </c>
      <c r="B38" s="313" t="s">
        <v>2792</v>
      </c>
      <c r="C38" s="312" t="s">
        <v>2793</v>
      </c>
      <c r="D38" s="66">
        <v>43466</v>
      </c>
      <c r="E38" s="67">
        <v>44196</v>
      </c>
      <c r="F38" s="70">
        <v>0.66438356164383561</v>
      </c>
      <c r="G38" s="312">
        <v>104943.825</v>
      </c>
      <c r="H38" s="312">
        <v>104943.825</v>
      </c>
      <c r="I38" s="314">
        <v>52471.912499999999</v>
      </c>
      <c r="J38" s="310">
        <f t="shared" si="2"/>
        <v>0.5</v>
      </c>
      <c r="M38" s="22">
        <f t="shared" si="0"/>
        <v>730</v>
      </c>
      <c r="N38" s="67">
        <v>43951</v>
      </c>
      <c r="O38" s="22">
        <f t="shared" si="1"/>
        <v>245</v>
      </c>
      <c r="P38" s="311">
        <f t="shared" si="3"/>
        <v>0.66438356164383561</v>
      </c>
    </row>
    <row r="39" spans="1:16" ht="18.95" customHeight="1">
      <c r="A39" s="286">
        <f t="shared" si="4"/>
        <v>27</v>
      </c>
      <c r="B39" s="313" t="s">
        <v>2794</v>
      </c>
      <c r="C39" s="312" t="s">
        <v>2795</v>
      </c>
      <c r="D39" s="66">
        <v>43466</v>
      </c>
      <c r="E39" s="67">
        <v>44196</v>
      </c>
      <c r="F39" s="70">
        <v>0.66438356164383561</v>
      </c>
      <c r="G39" s="312">
        <v>27985.019999999997</v>
      </c>
      <c r="H39" s="312">
        <v>27985.019999999997</v>
      </c>
      <c r="I39" s="314">
        <v>13992.509999999998</v>
      </c>
      <c r="J39" s="310">
        <f t="shared" si="2"/>
        <v>0.5</v>
      </c>
      <c r="M39" s="22">
        <f t="shared" si="0"/>
        <v>730</v>
      </c>
      <c r="N39" s="67">
        <v>43951</v>
      </c>
      <c r="O39" s="22">
        <f t="shared" si="1"/>
        <v>245</v>
      </c>
      <c r="P39" s="311">
        <f t="shared" si="3"/>
        <v>0.66438356164383561</v>
      </c>
    </row>
    <row r="40" spans="1:16" ht="18.95" customHeight="1">
      <c r="A40" s="286">
        <f t="shared" si="4"/>
        <v>28</v>
      </c>
      <c r="B40" s="313" t="s">
        <v>2796</v>
      </c>
      <c r="C40" s="312" t="s">
        <v>2797</v>
      </c>
      <c r="D40" s="66">
        <v>43831</v>
      </c>
      <c r="E40" s="67">
        <v>44043</v>
      </c>
      <c r="F40" s="70">
        <v>0.56603773584905659</v>
      </c>
      <c r="G40" s="312">
        <v>500000</v>
      </c>
      <c r="H40" s="312">
        <v>595044.69999999995</v>
      </c>
      <c r="I40" s="314">
        <v>595044.69999999995</v>
      </c>
      <c r="J40" s="310">
        <f t="shared" si="2"/>
        <v>1</v>
      </c>
      <c r="M40" s="22">
        <f t="shared" si="0"/>
        <v>212</v>
      </c>
      <c r="N40" s="67">
        <v>43951</v>
      </c>
      <c r="O40" s="22">
        <f t="shared" si="1"/>
        <v>92</v>
      </c>
      <c r="P40" s="311">
        <f t="shared" si="3"/>
        <v>0.56603773584905659</v>
      </c>
    </row>
    <row r="41" spans="1:16" ht="18.95" customHeight="1">
      <c r="A41" s="286">
        <f t="shared" si="4"/>
        <v>29</v>
      </c>
      <c r="B41" s="313" t="s">
        <v>2798</v>
      </c>
      <c r="C41" s="312" t="s">
        <v>2799</v>
      </c>
      <c r="D41" s="66">
        <v>43831</v>
      </c>
      <c r="E41" s="67">
        <v>44196</v>
      </c>
      <c r="F41" s="70">
        <v>0.32876712328767121</v>
      </c>
      <c r="G41" s="312">
        <v>2141000</v>
      </c>
      <c r="H41" s="312">
        <v>2222596.19</v>
      </c>
      <c r="I41" s="314">
        <v>793497.83</v>
      </c>
      <c r="J41" s="310">
        <f t="shared" si="2"/>
        <v>0.35701394323005653</v>
      </c>
      <c r="M41" s="22">
        <f t="shared" si="0"/>
        <v>365</v>
      </c>
      <c r="N41" s="67">
        <v>43951</v>
      </c>
      <c r="O41" s="22">
        <f t="shared" si="1"/>
        <v>245</v>
      </c>
      <c r="P41" s="311">
        <f t="shared" si="3"/>
        <v>0.32876712328767121</v>
      </c>
    </row>
    <row r="42" spans="1:16" ht="18.95" customHeight="1">
      <c r="A42" s="286">
        <f t="shared" si="4"/>
        <v>30</v>
      </c>
      <c r="B42" s="313" t="s">
        <v>2597</v>
      </c>
      <c r="C42" s="312" t="s">
        <v>2598</v>
      </c>
      <c r="D42" s="66">
        <v>43831</v>
      </c>
      <c r="E42" s="67">
        <v>44377</v>
      </c>
      <c r="F42" s="70">
        <v>0.21978021978021978</v>
      </c>
      <c r="G42" s="312">
        <v>1545000</v>
      </c>
      <c r="H42" s="312">
        <v>2105000</v>
      </c>
      <c r="I42" s="314">
        <v>720000</v>
      </c>
      <c r="J42" s="310">
        <f t="shared" si="2"/>
        <v>0.34204275534441803</v>
      </c>
      <c r="M42" s="22">
        <f t="shared" si="0"/>
        <v>546</v>
      </c>
      <c r="N42" s="67">
        <v>43951</v>
      </c>
      <c r="O42" s="22">
        <f t="shared" si="1"/>
        <v>426</v>
      </c>
      <c r="P42" s="311">
        <f t="shared" si="3"/>
        <v>0.21978021978021978</v>
      </c>
    </row>
    <row r="43" spans="1:16" ht="18.95" customHeight="1">
      <c r="A43" s="286">
        <f t="shared" si="4"/>
        <v>31</v>
      </c>
      <c r="B43" s="313" t="s">
        <v>2800</v>
      </c>
      <c r="C43" s="312" t="s">
        <v>2801</v>
      </c>
      <c r="D43" s="66">
        <v>43466</v>
      </c>
      <c r="E43" s="67">
        <v>44012</v>
      </c>
      <c r="F43" s="70">
        <v>0.88827838827838823</v>
      </c>
      <c r="G43" s="312">
        <v>1545000</v>
      </c>
      <c r="H43" s="312">
        <v>1342011.1600000001</v>
      </c>
      <c r="I43" s="314">
        <v>1342011.1600000001</v>
      </c>
      <c r="J43" s="310">
        <f t="shared" si="2"/>
        <v>1</v>
      </c>
      <c r="M43" s="22">
        <f t="shared" si="0"/>
        <v>546</v>
      </c>
      <c r="N43" s="67">
        <v>43951</v>
      </c>
      <c r="O43" s="22">
        <f t="shared" si="1"/>
        <v>61</v>
      </c>
      <c r="P43" s="311">
        <f t="shared" si="3"/>
        <v>0.88827838827838823</v>
      </c>
    </row>
    <row r="44" spans="1:16" ht="18.95" customHeight="1">
      <c r="A44" s="286">
        <f t="shared" si="4"/>
        <v>32</v>
      </c>
      <c r="B44" s="313" t="s">
        <v>1497</v>
      </c>
      <c r="C44" s="312" t="s">
        <v>2802</v>
      </c>
      <c r="D44" s="66">
        <v>42491</v>
      </c>
      <c r="E44" s="67">
        <v>45291</v>
      </c>
      <c r="F44" s="70">
        <v>0.52142857142857146</v>
      </c>
      <c r="G44" s="312">
        <v>66242.149999999994</v>
      </c>
      <c r="H44" s="312">
        <v>204001.28000000003</v>
      </c>
      <c r="I44" s="314">
        <v>36892.39</v>
      </c>
      <c r="J44" s="310">
        <f t="shared" si="2"/>
        <v>0.18084391431269448</v>
      </c>
      <c r="M44" s="22">
        <f t="shared" si="0"/>
        <v>2800</v>
      </c>
      <c r="N44" s="67">
        <v>43951</v>
      </c>
      <c r="O44" s="22">
        <f t="shared" si="1"/>
        <v>1340</v>
      </c>
      <c r="P44" s="311">
        <f t="shared" si="3"/>
        <v>0.52142857142857146</v>
      </c>
    </row>
    <row r="45" spans="1:16" ht="18.95" customHeight="1">
      <c r="A45" s="286">
        <f t="shared" si="4"/>
        <v>33</v>
      </c>
      <c r="B45" s="313" t="s">
        <v>2803</v>
      </c>
      <c r="C45" s="312" t="s">
        <v>2804</v>
      </c>
      <c r="D45" s="66">
        <v>43831</v>
      </c>
      <c r="E45" s="67">
        <v>44196</v>
      </c>
      <c r="F45" s="70">
        <v>0.32876712328767121</v>
      </c>
      <c r="G45" s="312">
        <v>2235000</v>
      </c>
      <c r="H45" s="312">
        <v>2385134.25</v>
      </c>
      <c r="I45" s="314">
        <v>991872.29</v>
      </c>
      <c r="J45" s="310">
        <f t="shared" si="2"/>
        <v>0.41585595863209796</v>
      </c>
      <c r="M45" s="22">
        <f t="shared" si="0"/>
        <v>365</v>
      </c>
      <c r="N45" s="67">
        <v>43951</v>
      </c>
      <c r="O45" s="22">
        <f t="shared" si="1"/>
        <v>245</v>
      </c>
      <c r="P45" s="311">
        <f t="shared" si="3"/>
        <v>0.32876712328767121</v>
      </c>
    </row>
    <row r="46" spans="1:16" ht="18.95" customHeight="1">
      <c r="A46" s="286">
        <f t="shared" si="4"/>
        <v>34</v>
      </c>
      <c r="B46" s="313" t="s">
        <v>1567</v>
      </c>
      <c r="C46" s="312" t="s">
        <v>1568</v>
      </c>
      <c r="D46" s="66">
        <v>42736</v>
      </c>
      <c r="E46" s="67">
        <v>47118</v>
      </c>
      <c r="F46" s="70">
        <v>0.27727065267001372</v>
      </c>
      <c r="G46" s="312">
        <v>549309</v>
      </c>
      <c r="H46" s="312">
        <v>332019.89</v>
      </c>
      <c r="I46" s="314">
        <v>80263.490000000005</v>
      </c>
      <c r="J46" s="310">
        <f t="shared" si="2"/>
        <v>0.24174301726321276</v>
      </c>
      <c r="M46" s="22">
        <f t="shared" si="0"/>
        <v>4382</v>
      </c>
      <c r="N46" s="67">
        <v>43951</v>
      </c>
      <c r="O46" s="22">
        <f t="shared" si="1"/>
        <v>3167</v>
      </c>
      <c r="P46" s="311">
        <f t="shared" si="3"/>
        <v>0.27727065267001372</v>
      </c>
    </row>
    <row r="47" spans="1:16" ht="18.95" customHeight="1">
      <c r="A47" s="286">
        <f t="shared" si="4"/>
        <v>35</v>
      </c>
      <c r="B47" s="315" t="s">
        <v>2805</v>
      </c>
      <c r="C47" s="312" t="s">
        <v>2806</v>
      </c>
      <c r="D47" s="66">
        <v>43831</v>
      </c>
      <c r="E47" s="67">
        <v>44012</v>
      </c>
      <c r="F47" s="70">
        <v>0.66298342541436461</v>
      </c>
      <c r="G47" s="312">
        <v>90000</v>
      </c>
      <c r="H47" s="312">
        <v>88245.95</v>
      </c>
      <c r="I47" s="314">
        <v>88245.95</v>
      </c>
      <c r="J47" s="310">
        <f t="shared" si="2"/>
        <v>1</v>
      </c>
      <c r="M47" s="22">
        <f t="shared" si="0"/>
        <v>181</v>
      </c>
      <c r="N47" s="67">
        <v>43951</v>
      </c>
      <c r="O47" s="22">
        <f t="shared" si="1"/>
        <v>61</v>
      </c>
      <c r="P47" s="311">
        <f t="shared" si="3"/>
        <v>0.66298342541436461</v>
      </c>
    </row>
    <row r="48" spans="1:16" ht="18.95" customHeight="1">
      <c r="A48" s="286">
        <f t="shared" si="4"/>
        <v>36</v>
      </c>
      <c r="B48" s="313" t="s">
        <v>2807</v>
      </c>
      <c r="C48" s="312" t="s">
        <v>2808</v>
      </c>
      <c r="D48" s="66">
        <v>43466</v>
      </c>
      <c r="E48" s="67">
        <v>44012</v>
      </c>
      <c r="F48" s="70">
        <v>0.88827838827838823</v>
      </c>
      <c r="G48" s="312">
        <v>4075000</v>
      </c>
      <c r="H48" s="312">
        <v>2570269.91</v>
      </c>
      <c r="I48" s="314">
        <v>2570269.91</v>
      </c>
      <c r="J48" s="310">
        <f t="shared" si="2"/>
        <v>1</v>
      </c>
      <c r="M48" s="22">
        <f t="shared" si="0"/>
        <v>546</v>
      </c>
      <c r="N48" s="67">
        <v>43951</v>
      </c>
      <c r="O48" s="22">
        <f t="shared" si="1"/>
        <v>61</v>
      </c>
      <c r="P48" s="311">
        <f t="shared" si="3"/>
        <v>0.88827838827838823</v>
      </c>
    </row>
    <row r="49" spans="1:16" ht="18.95" customHeight="1">
      <c r="A49" s="286">
        <f t="shared" si="4"/>
        <v>37</v>
      </c>
      <c r="B49" s="313" t="s">
        <v>2809</v>
      </c>
      <c r="C49" s="312" t="s">
        <v>2810</v>
      </c>
      <c r="D49" s="66">
        <v>43831</v>
      </c>
      <c r="E49" s="67">
        <v>44196</v>
      </c>
      <c r="F49" s="70">
        <v>0.32876712328767121</v>
      </c>
      <c r="G49" s="312">
        <v>29888.240000000002</v>
      </c>
      <c r="H49" s="312">
        <v>32032.58</v>
      </c>
      <c r="I49" s="314">
        <v>32032.58</v>
      </c>
      <c r="J49" s="310">
        <f t="shared" si="2"/>
        <v>1</v>
      </c>
      <c r="M49" s="22">
        <f t="shared" si="0"/>
        <v>365</v>
      </c>
      <c r="N49" s="67">
        <v>43951</v>
      </c>
      <c r="O49" s="22">
        <f t="shared" si="1"/>
        <v>245</v>
      </c>
      <c r="P49" s="311">
        <f t="shared" si="3"/>
        <v>0.32876712328767121</v>
      </c>
    </row>
    <row r="50" spans="1:16" ht="18.75" customHeight="1">
      <c r="A50" s="286">
        <f t="shared" si="4"/>
        <v>38</v>
      </c>
      <c r="B50" s="313" t="s">
        <v>2811</v>
      </c>
      <c r="C50" s="312" t="s">
        <v>2812</v>
      </c>
      <c r="D50" s="66">
        <v>43466</v>
      </c>
      <c r="E50" s="67">
        <v>44196</v>
      </c>
      <c r="F50" s="70">
        <v>0.66438356164383561</v>
      </c>
      <c r="G50" s="312">
        <v>675000</v>
      </c>
      <c r="H50" s="312">
        <v>173400.56</v>
      </c>
      <c r="I50" s="314">
        <v>173400.56</v>
      </c>
      <c r="J50" s="310">
        <f t="shared" si="2"/>
        <v>1</v>
      </c>
      <c r="M50" s="22">
        <f t="shared" si="0"/>
        <v>730</v>
      </c>
      <c r="N50" s="67">
        <v>43951</v>
      </c>
      <c r="O50" s="22">
        <f t="shared" si="1"/>
        <v>245</v>
      </c>
      <c r="P50" s="311">
        <f t="shared" si="3"/>
        <v>0.66438356164383561</v>
      </c>
    </row>
    <row r="51" spans="1:16" ht="18.75" customHeight="1">
      <c r="A51" s="286">
        <f t="shared" si="4"/>
        <v>39</v>
      </c>
      <c r="B51" s="313" t="s">
        <v>2813</v>
      </c>
      <c r="C51" s="312" t="s">
        <v>2814</v>
      </c>
      <c r="D51" s="66">
        <v>43831</v>
      </c>
      <c r="E51" s="67">
        <v>44196</v>
      </c>
      <c r="F51" s="70">
        <v>0.32876712328767121</v>
      </c>
      <c r="G51" s="312">
        <v>375000</v>
      </c>
      <c r="H51" s="312">
        <v>74856.44</v>
      </c>
      <c r="I51" s="314">
        <v>74856.44</v>
      </c>
      <c r="J51" s="310">
        <f t="shared" si="2"/>
        <v>1</v>
      </c>
      <c r="M51" s="22">
        <f t="shared" si="0"/>
        <v>365</v>
      </c>
      <c r="N51" s="67">
        <v>43951</v>
      </c>
      <c r="O51" s="22">
        <f t="shared" si="1"/>
        <v>245</v>
      </c>
      <c r="P51" s="311">
        <f t="shared" si="3"/>
        <v>0.32876712328767121</v>
      </c>
    </row>
    <row r="52" spans="1:16" ht="18.75" customHeight="1">
      <c r="A52" s="286">
        <f t="shared" si="4"/>
        <v>40</v>
      </c>
      <c r="B52" s="313" t="s">
        <v>2815</v>
      </c>
      <c r="C52" s="312" t="s">
        <v>2816</v>
      </c>
      <c r="D52" s="66">
        <v>43466</v>
      </c>
      <c r="E52" s="67">
        <v>44561</v>
      </c>
      <c r="F52" s="70">
        <v>0.44292237442922372</v>
      </c>
      <c r="G52" s="312">
        <v>760000</v>
      </c>
      <c r="H52" s="312">
        <v>753530.82000000007</v>
      </c>
      <c r="I52" s="314">
        <v>376760.95999999996</v>
      </c>
      <c r="J52" s="310">
        <f t="shared" si="2"/>
        <v>0.49999409446849158</v>
      </c>
      <c r="M52" s="22">
        <f t="shared" si="0"/>
        <v>1095</v>
      </c>
      <c r="N52" s="67">
        <v>43951</v>
      </c>
      <c r="O52" s="22">
        <f t="shared" si="1"/>
        <v>610</v>
      </c>
      <c r="P52" s="311">
        <f t="shared" si="3"/>
        <v>0.44292237442922372</v>
      </c>
    </row>
    <row r="53" spans="1:16" ht="18.75" customHeight="1">
      <c r="A53" s="286">
        <f t="shared" si="4"/>
        <v>41</v>
      </c>
      <c r="B53" s="313" t="s">
        <v>2817</v>
      </c>
      <c r="C53" s="312" t="s">
        <v>2818</v>
      </c>
      <c r="D53" s="66">
        <v>43831</v>
      </c>
      <c r="E53" s="67">
        <v>44012</v>
      </c>
      <c r="F53" s="70">
        <v>0.66298342541436461</v>
      </c>
      <c r="G53" s="312">
        <v>200000</v>
      </c>
      <c r="H53" s="312">
        <v>193340.36</v>
      </c>
      <c r="I53" s="314">
        <v>193340.36</v>
      </c>
      <c r="J53" s="310">
        <f t="shared" si="2"/>
        <v>1</v>
      </c>
      <c r="M53" s="22">
        <f t="shared" si="0"/>
        <v>181</v>
      </c>
      <c r="N53" s="67">
        <v>43951</v>
      </c>
      <c r="O53" s="22">
        <f t="shared" si="1"/>
        <v>61</v>
      </c>
      <c r="P53" s="311">
        <f t="shared" si="3"/>
        <v>0.66298342541436461</v>
      </c>
    </row>
    <row r="54" spans="1:16" ht="18.75" customHeight="1">
      <c r="A54" s="286">
        <f t="shared" si="4"/>
        <v>42</v>
      </c>
      <c r="B54" s="313" t="s">
        <v>2819</v>
      </c>
      <c r="C54" s="312" t="s">
        <v>2820</v>
      </c>
      <c r="D54" s="66">
        <v>43831</v>
      </c>
      <c r="E54" s="67">
        <v>44196</v>
      </c>
      <c r="F54" s="70">
        <v>0.32876712328767121</v>
      </c>
      <c r="G54" s="312">
        <v>238214</v>
      </c>
      <c r="H54" s="312">
        <v>154085.25</v>
      </c>
      <c r="I54" s="314">
        <v>154085.25</v>
      </c>
      <c r="J54" s="310">
        <f t="shared" si="2"/>
        <v>1</v>
      </c>
      <c r="M54" s="22">
        <f t="shared" si="0"/>
        <v>365</v>
      </c>
      <c r="N54" s="67">
        <v>43951</v>
      </c>
      <c r="O54" s="22">
        <f t="shared" si="1"/>
        <v>245</v>
      </c>
      <c r="P54" s="311">
        <f t="shared" si="3"/>
        <v>0.32876712328767121</v>
      </c>
    </row>
    <row r="55" spans="1:16" ht="18.75" customHeight="1">
      <c r="A55" s="286">
        <f t="shared" si="4"/>
        <v>43</v>
      </c>
      <c r="B55" s="313" t="s">
        <v>2821</v>
      </c>
      <c r="C55" s="312" t="s">
        <v>2822</v>
      </c>
      <c r="D55" s="66">
        <v>43831</v>
      </c>
      <c r="E55" s="67">
        <v>44196</v>
      </c>
      <c r="F55" s="70">
        <v>0.32876712328767121</v>
      </c>
      <c r="G55" s="312">
        <v>176424.22</v>
      </c>
      <c r="H55" s="312">
        <v>32845.24</v>
      </c>
      <c r="I55" s="314">
        <v>32845.24</v>
      </c>
      <c r="J55" s="310">
        <f t="shared" si="2"/>
        <v>1</v>
      </c>
      <c r="M55" s="22">
        <f t="shared" si="0"/>
        <v>365</v>
      </c>
      <c r="N55" s="67">
        <v>43951</v>
      </c>
      <c r="O55" s="22">
        <f t="shared" si="1"/>
        <v>245</v>
      </c>
      <c r="P55" s="311">
        <f t="shared" si="3"/>
        <v>0.32876712328767121</v>
      </c>
    </row>
    <row r="56" spans="1:16" ht="18.75" customHeight="1">
      <c r="A56" s="286">
        <f t="shared" si="4"/>
        <v>44</v>
      </c>
      <c r="B56" s="313" t="s">
        <v>2823</v>
      </c>
      <c r="C56" s="312" t="s">
        <v>2824</v>
      </c>
      <c r="D56" s="66">
        <v>43466</v>
      </c>
      <c r="E56" s="67">
        <v>44196</v>
      </c>
      <c r="F56" s="70">
        <v>0.66438356164383561</v>
      </c>
      <c r="G56" s="312">
        <v>675000</v>
      </c>
      <c r="H56" s="312">
        <v>114549.66</v>
      </c>
      <c r="I56" s="314">
        <v>114549.66</v>
      </c>
      <c r="J56" s="310">
        <f t="shared" si="2"/>
        <v>1</v>
      </c>
      <c r="M56" s="22">
        <f t="shared" si="0"/>
        <v>730</v>
      </c>
      <c r="N56" s="67">
        <v>43951</v>
      </c>
      <c r="O56" s="22">
        <f t="shared" si="1"/>
        <v>245</v>
      </c>
      <c r="P56" s="311">
        <f t="shared" si="3"/>
        <v>0.66438356164383561</v>
      </c>
    </row>
    <row r="57" spans="1:16" s="291" customFormat="1" ht="20.100000000000001" customHeight="1">
      <c r="A57" s="831" t="str">
        <f>$A$1</f>
        <v>LOUISVILLE GAS AND ELECTRIC COMPANY</v>
      </c>
      <c r="B57" s="831"/>
      <c r="C57" s="831"/>
      <c r="D57" s="831"/>
      <c r="E57" s="831"/>
      <c r="F57" s="831"/>
      <c r="G57" s="831"/>
      <c r="H57" s="831"/>
      <c r="I57" s="831"/>
      <c r="J57" s="831"/>
    </row>
    <row r="58" spans="1:16" s="291" customFormat="1" ht="20.100000000000001" customHeight="1">
      <c r="A58" s="831" t="str">
        <f>$A$2</f>
        <v>CASE NO. 2018-00295 - ELECTRIC OPERATIONS</v>
      </c>
      <c r="B58" s="831"/>
      <c r="C58" s="831"/>
      <c r="D58" s="831"/>
      <c r="E58" s="831"/>
      <c r="F58" s="831"/>
      <c r="G58" s="831"/>
      <c r="H58" s="831"/>
      <c r="I58" s="831"/>
      <c r="J58" s="831"/>
    </row>
    <row r="59" spans="1:16" s="291" customFormat="1" ht="20.100000000000001" customHeight="1">
      <c r="A59" s="831" t="s">
        <v>252</v>
      </c>
      <c r="B59" s="831"/>
      <c r="C59" s="831"/>
      <c r="D59" s="831"/>
      <c r="E59" s="831"/>
      <c r="F59" s="831"/>
      <c r="G59" s="831"/>
      <c r="H59" s="831"/>
      <c r="I59" s="831"/>
      <c r="J59" s="831"/>
    </row>
    <row r="60" spans="1:16" s="291" customFormat="1" ht="20.100000000000001" customHeight="1">
      <c r="A60" s="831" t="str">
        <f>$A$4</f>
        <v>AS OF APRIL 30, 2020</v>
      </c>
      <c r="B60" s="831"/>
      <c r="C60" s="831"/>
      <c r="D60" s="831"/>
      <c r="E60" s="831"/>
      <c r="F60" s="831"/>
      <c r="G60" s="831"/>
      <c r="H60" s="831"/>
      <c r="I60" s="831"/>
      <c r="J60" s="831"/>
    </row>
    <row r="61" spans="1:16" s="291" customFormat="1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s="291" customFormat="1" ht="20.100000000000001" customHeight="1">
      <c r="A62" s="15" t="str">
        <f>$A$6</f>
        <v>DATA:____BASE  PERIOD__X__FORECASTED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s="291" customFormat="1" ht="20.100000000000001" customHeight="1">
      <c r="A63" s="15" t="str">
        <f>$A$7</f>
        <v>TYPE OF FILING: _____ ORIGINAL  _____ UPDATED  __X__ REVISED</v>
      </c>
      <c r="B63" s="286"/>
      <c r="C63" s="16"/>
      <c r="D63" s="65"/>
      <c r="E63" s="65"/>
      <c r="F63" s="16"/>
      <c r="G63" s="22"/>
      <c r="H63" s="22"/>
      <c r="I63" s="22"/>
      <c r="J63" s="22" t="s">
        <v>1585</v>
      </c>
    </row>
    <row r="64" spans="1:16" s="291" customFormat="1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s="291" customFormat="1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s="291" customFormat="1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s="291" customFormat="1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s="291" customFormat="1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75" customHeight="1">
      <c r="A69" s="286">
        <f>A56+1</f>
        <v>45</v>
      </c>
      <c r="B69" s="313" t="s">
        <v>2825</v>
      </c>
      <c r="C69" s="312" t="s">
        <v>2826</v>
      </c>
      <c r="D69" s="66">
        <v>43466</v>
      </c>
      <c r="E69" s="67">
        <v>44196</v>
      </c>
      <c r="F69" s="70">
        <v>0.66438356164383561</v>
      </c>
      <c r="G69" s="312">
        <v>430889.77</v>
      </c>
      <c r="H69" s="312">
        <v>557782.11</v>
      </c>
      <c r="I69" s="314">
        <v>557782.11</v>
      </c>
      <c r="J69" s="310">
        <f t="shared" si="2"/>
        <v>1</v>
      </c>
      <c r="M69" s="22">
        <f t="shared" si="0"/>
        <v>730</v>
      </c>
      <c r="N69" s="67">
        <v>43951</v>
      </c>
      <c r="O69" s="22">
        <f t="shared" si="1"/>
        <v>245</v>
      </c>
      <c r="P69" s="311">
        <f t="shared" si="3"/>
        <v>0.66438356164383561</v>
      </c>
    </row>
    <row r="70" spans="1:16" ht="18.75" customHeight="1">
      <c r="A70" s="286">
        <f t="shared" si="4"/>
        <v>46</v>
      </c>
      <c r="B70" s="313" t="s">
        <v>2827</v>
      </c>
      <c r="C70" s="312" t="s">
        <v>2828</v>
      </c>
      <c r="D70" s="66">
        <v>43466</v>
      </c>
      <c r="E70" s="67">
        <v>44561</v>
      </c>
      <c r="F70" s="70">
        <v>0.44292237442922372</v>
      </c>
      <c r="G70" s="312">
        <v>570000.03</v>
      </c>
      <c r="H70" s="312">
        <v>564918.80000000005</v>
      </c>
      <c r="I70" s="314">
        <v>376612.54000000004</v>
      </c>
      <c r="J70" s="310">
        <f t="shared" si="2"/>
        <v>0.66666667846777272</v>
      </c>
      <c r="M70" s="22">
        <f t="shared" si="0"/>
        <v>1095</v>
      </c>
      <c r="N70" s="67">
        <v>43951</v>
      </c>
      <c r="O70" s="22">
        <f t="shared" si="1"/>
        <v>610</v>
      </c>
      <c r="P70" s="311">
        <f t="shared" si="3"/>
        <v>0.44292237442922372</v>
      </c>
    </row>
    <row r="71" spans="1:16" ht="18.75" customHeight="1">
      <c r="A71" s="286">
        <f t="shared" si="4"/>
        <v>47</v>
      </c>
      <c r="B71" s="313" t="s">
        <v>2829</v>
      </c>
      <c r="C71" s="312" t="s">
        <v>2830</v>
      </c>
      <c r="D71" s="66">
        <v>43831</v>
      </c>
      <c r="E71" s="67">
        <v>44074</v>
      </c>
      <c r="F71" s="70">
        <v>0.49382716049382713</v>
      </c>
      <c r="G71" s="312">
        <v>165000</v>
      </c>
      <c r="H71" s="312">
        <v>163529.12</v>
      </c>
      <c r="I71" s="314">
        <v>163529.12</v>
      </c>
      <c r="J71" s="310">
        <f t="shared" si="2"/>
        <v>1</v>
      </c>
      <c r="M71" s="22">
        <f t="shared" si="0"/>
        <v>243</v>
      </c>
      <c r="N71" s="67">
        <v>43951</v>
      </c>
      <c r="O71" s="22">
        <f t="shared" si="1"/>
        <v>123</v>
      </c>
      <c r="P71" s="311">
        <f t="shared" si="3"/>
        <v>0.49382716049382713</v>
      </c>
    </row>
    <row r="72" spans="1:16" ht="18.75" customHeight="1">
      <c r="A72" s="286">
        <f t="shared" si="4"/>
        <v>48</v>
      </c>
      <c r="B72" s="313" t="s">
        <v>2831</v>
      </c>
      <c r="C72" s="312" t="s">
        <v>2832</v>
      </c>
      <c r="D72" s="66">
        <v>43586</v>
      </c>
      <c r="E72" s="67">
        <v>44196</v>
      </c>
      <c r="F72" s="70">
        <v>0.59836065573770492</v>
      </c>
      <c r="G72" s="312">
        <v>594725.59</v>
      </c>
      <c r="H72" s="312">
        <v>594725.59</v>
      </c>
      <c r="I72" s="314">
        <v>446062.74</v>
      </c>
      <c r="J72" s="310">
        <f t="shared" si="2"/>
        <v>0.75003118665198187</v>
      </c>
      <c r="M72" s="22">
        <f t="shared" si="0"/>
        <v>610</v>
      </c>
      <c r="N72" s="67">
        <v>43951</v>
      </c>
      <c r="O72" s="22">
        <f t="shared" si="1"/>
        <v>245</v>
      </c>
      <c r="P72" s="311">
        <f t="shared" si="3"/>
        <v>0.59836065573770492</v>
      </c>
    </row>
    <row r="73" spans="1:16" ht="18.75" customHeight="1">
      <c r="A73" s="286">
        <f t="shared" si="4"/>
        <v>49</v>
      </c>
      <c r="B73" s="313" t="s">
        <v>2833</v>
      </c>
      <c r="C73" s="312" t="s">
        <v>2834</v>
      </c>
      <c r="D73" s="66">
        <v>43831</v>
      </c>
      <c r="E73" s="67">
        <v>44135</v>
      </c>
      <c r="F73" s="70">
        <v>0.39473684210526316</v>
      </c>
      <c r="G73" s="312">
        <v>120796.19</v>
      </c>
      <c r="H73" s="312">
        <v>123964.38</v>
      </c>
      <c r="I73" s="314">
        <v>24777.15</v>
      </c>
      <c r="J73" s="310">
        <f t="shared" si="2"/>
        <v>0.19987314097807773</v>
      </c>
      <c r="M73" s="22">
        <f t="shared" si="0"/>
        <v>304</v>
      </c>
      <c r="N73" s="67">
        <v>43951</v>
      </c>
      <c r="O73" s="22">
        <f t="shared" si="1"/>
        <v>184</v>
      </c>
      <c r="P73" s="311">
        <f t="shared" si="3"/>
        <v>0.39473684210526316</v>
      </c>
    </row>
    <row r="74" spans="1:16" ht="18.75" customHeight="1">
      <c r="A74" s="286">
        <f t="shared" si="4"/>
        <v>50</v>
      </c>
      <c r="B74" s="313" t="s">
        <v>2835</v>
      </c>
      <c r="C74" s="312" t="s">
        <v>2836</v>
      </c>
      <c r="D74" s="66">
        <v>43831</v>
      </c>
      <c r="E74" s="67">
        <v>44074</v>
      </c>
      <c r="F74" s="70">
        <v>0.49382716049382713</v>
      </c>
      <c r="G74" s="312">
        <v>145375.82</v>
      </c>
      <c r="H74" s="312">
        <v>143801.81</v>
      </c>
      <c r="I74" s="314">
        <v>24777.15</v>
      </c>
      <c r="J74" s="310">
        <f t="shared" si="2"/>
        <v>0.17230068244620844</v>
      </c>
      <c r="M74" s="22">
        <f t="shared" si="0"/>
        <v>243</v>
      </c>
      <c r="N74" s="67">
        <v>43951</v>
      </c>
      <c r="O74" s="22">
        <f t="shared" si="1"/>
        <v>123</v>
      </c>
      <c r="P74" s="311">
        <f t="shared" si="3"/>
        <v>0.49382716049382713</v>
      </c>
    </row>
    <row r="75" spans="1:16" ht="18.75" customHeight="1">
      <c r="A75" s="286">
        <f t="shared" si="4"/>
        <v>51</v>
      </c>
      <c r="B75" s="313" t="s">
        <v>2837</v>
      </c>
      <c r="C75" s="312" t="s">
        <v>2838</v>
      </c>
      <c r="D75" s="66">
        <v>43831</v>
      </c>
      <c r="E75" s="67">
        <v>44074</v>
      </c>
      <c r="F75" s="70">
        <v>0.49382716049382713</v>
      </c>
      <c r="G75" s="312">
        <v>140586.01</v>
      </c>
      <c r="H75" s="312">
        <v>153720.54</v>
      </c>
      <c r="I75" s="314">
        <v>24777.15</v>
      </c>
      <c r="J75" s="310">
        <f t="shared" si="2"/>
        <v>0.16118307937247683</v>
      </c>
      <c r="M75" s="22">
        <f t="shared" si="0"/>
        <v>243</v>
      </c>
      <c r="N75" s="67">
        <v>43951</v>
      </c>
      <c r="O75" s="22">
        <f t="shared" si="1"/>
        <v>123</v>
      </c>
      <c r="P75" s="311">
        <f t="shared" si="3"/>
        <v>0.49382716049382713</v>
      </c>
    </row>
    <row r="76" spans="1:16" ht="18.75" customHeight="1">
      <c r="A76" s="286">
        <f t="shared" si="4"/>
        <v>52</v>
      </c>
      <c r="B76" s="313" t="s">
        <v>2839</v>
      </c>
      <c r="C76" s="312" t="s">
        <v>2840</v>
      </c>
      <c r="D76" s="66">
        <v>43831</v>
      </c>
      <c r="E76" s="67">
        <v>44074</v>
      </c>
      <c r="F76" s="70">
        <v>0.49382716049382713</v>
      </c>
      <c r="G76" s="312">
        <v>112477.71999999999</v>
      </c>
      <c r="H76" s="312">
        <v>119008.95</v>
      </c>
      <c r="I76" s="314">
        <v>19821.72</v>
      </c>
      <c r="J76" s="310">
        <f t="shared" si="2"/>
        <v>0.16655654889821314</v>
      </c>
      <c r="M76" s="22">
        <f t="shared" si="0"/>
        <v>243</v>
      </c>
      <c r="N76" s="67">
        <v>43951</v>
      </c>
      <c r="O76" s="22">
        <f t="shared" si="1"/>
        <v>123</v>
      </c>
      <c r="P76" s="311">
        <f t="shared" si="3"/>
        <v>0.49382716049382713</v>
      </c>
    </row>
    <row r="77" spans="1:16" ht="18.75" customHeight="1">
      <c r="A77" s="286">
        <f t="shared" si="4"/>
        <v>53</v>
      </c>
      <c r="B77" s="313" t="s">
        <v>2841</v>
      </c>
      <c r="C77" s="312" t="s">
        <v>2842</v>
      </c>
      <c r="D77" s="66">
        <v>43831</v>
      </c>
      <c r="E77" s="67">
        <v>44074</v>
      </c>
      <c r="F77" s="70">
        <v>0.49382716049382713</v>
      </c>
      <c r="G77" s="312">
        <v>120586.01</v>
      </c>
      <c r="H77" s="312">
        <v>123964.38</v>
      </c>
      <c r="I77" s="314">
        <v>24777.15</v>
      </c>
      <c r="J77" s="310">
        <f t="shared" si="2"/>
        <v>0.19987314097807773</v>
      </c>
      <c r="M77" s="22">
        <f t="shared" si="0"/>
        <v>243</v>
      </c>
      <c r="N77" s="67">
        <v>43951</v>
      </c>
      <c r="O77" s="22">
        <f t="shared" si="1"/>
        <v>123</v>
      </c>
      <c r="P77" s="311">
        <f t="shared" si="3"/>
        <v>0.49382716049382713</v>
      </c>
    </row>
    <row r="78" spans="1:16" ht="18.75" customHeight="1">
      <c r="A78" s="286">
        <f t="shared" si="4"/>
        <v>54</v>
      </c>
      <c r="B78" s="313" t="s">
        <v>2843</v>
      </c>
      <c r="C78" s="312" t="s">
        <v>2844</v>
      </c>
      <c r="D78" s="66">
        <v>43831</v>
      </c>
      <c r="E78" s="67">
        <v>44561</v>
      </c>
      <c r="F78" s="70">
        <v>0.16438356164383561</v>
      </c>
      <c r="G78" s="312">
        <v>341820</v>
      </c>
      <c r="H78" s="312">
        <v>337185</v>
      </c>
      <c r="I78" s="314">
        <v>168592.5</v>
      </c>
      <c r="J78" s="310">
        <f t="shared" si="2"/>
        <v>0.5</v>
      </c>
      <c r="M78" s="22">
        <f t="shared" si="0"/>
        <v>730</v>
      </c>
      <c r="N78" s="67">
        <v>43951</v>
      </c>
      <c r="O78" s="22">
        <f t="shared" si="1"/>
        <v>610</v>
      </c>
      <c r="P78" s="311">
        <f t="shared" si="3"/>
        <v>0.16438356164383561</v>
      </c>
    </row>
    <row r="79" spans="1:16" ht="18.75" customHeight="1">
      <c r="A79" s="286">
        <f t="shared" si="4"/>
        <v>55</v>
      </c>
      <c r="B79" s="313" t="s">
        <v>2845</v>
      </c>
      <c r="C79" s="312" t="s">
        <v>2846</v>
      </c>
      <c r="D79" s="66">
        <v>43831</v>
      </c>
      <c r="E79" s="67">
        <v>45657</v>
      </c>
      <c r="F79" s="70">
        <v>6.5717415115005479E-2</v>
      </c>
      <c r="G79" s="312">
        <v>200822.47</v>
      </c>
      <c r="H79" s="312">
        <v>37589.199999999997</v>
      </c>
      <c r="I79" s="314">
        <v>18239.62</v>
      </c>
      <c r="J79" s="310">
        <f t="shared" si="2"/>
        <v>0.48523565279388764</v>
      </c>
      <c r="M79" s="22">
        <f t="shared" si="0"/>
        <v>1826</v>
      </c>
      <c r="N79" s="67">
        <v>43951</v>
      </c>
      <c r="O79" s="22">
        <f t="shared" si="1"/>
        <v>1706</v>
      </c>
      <c r="P79" s="311">
        <f t="shared" si="3"/>
        <v>6.5717415115005479E-2</v>
      </c>
    </row>
    <row r="80" spans="1:16" ht="18.75" customHeight="1">
      <c r="A80" s="286">
        <f t="shared" si="4"/>
        <v>56</v>
      </c>
      <c r="B80" s="313" t="s">
        <v>2847</v>
      </c>
      <c r="C80" s="312" t="s">
        <v>2848</v>
      </c>
      <c r="D80" s="66">
        <v>43466</v>
      </c>
      <c r="E80" s="67">
        <v>44196</v>
      </c>
      <c r="F80" s="70">
        <v>0.66438356164383561</v>
      </c>
      <c r="G80" s="312">
        <v>937825.2</v>
      </c>
      <c r="H80" s="312">
        <v>2102505.6</v>
      </c>
      <c r="I80" s="314">
        <v>845495.04</v>
      </c>
      <c r="J80" s="310">
        <f t="shared" si="2"/>
        <v>0.40213687896954947</v>
      </c>
      <c r="M80" s="22">
        <f t="shared" si="0"/>
        <v>730</v>
      </c>
      <c r="N80" s="67">
        <v>43951</v>
      </c>
      <c r="O80" s="22">
        <f t="shared" si="1"/>
        <v>245</v>
      </c>
      <c r="P80" s="311">
        <f t="shared" si="3"/>
        <v>0.66438356164383561</v>
      </c>
    </row>
    <row r="81" spans="1:16" ht="18.75" customHeight="1">
      <c r="A81" s="286">
        <f t="shared" si="4"/>
        <v>57</v>
      </c>
      <c r="B81" s="313" t="s">
        <v>2849</v>
      </c>
      <c r="C81" s="312" t="s">
        <v>2850</v>
      </c>
      <c r="D81" s="66">
        <v>43831</v>
      </c>
      <c r="E81" s="67">
        <v>44196</v>
      </c>
      <c r="F81" s="70">
        <v>0.32876712328767121</v>
      </c>
      <c r="G81" s="312">
        <v>325034.86</v>
      </c>
      <c r="H81" s="312">
        <v>320288.15999999997</v>
      </c>
      <c r="I81" s="314">
        <v>320288.15999999997</v>
      </c>
      <c r="J81" s="310">
        <f t="shared" si="2"/>
        <v>1</v>
      </c>
      <c r="M81" s="22">
        <f t="shared" si="0"/>
        <v>365</v>
      </c>
      <c r="N81" s="67">
        <v>43951</v>
      </c>
      <c r="O81" s="22">
        <f t="shared" si="1"/>
        <v>245</v>
      </c>
      <c r="P81" s="311">
        <f t="shared" si="3"/>
        <v>0.32876712328767121</v>
      </c>
    </row>
    <row r="82" spans="1:16" ht="18.75" customHeight="1">
      <c r="A82" s="286">
        <f t="shared" si="4"/>
        <v>58</v>
      </c>
      <c r="B82" s="313" t="s">
        <v>2851</v>
      </c>
      <c r="C82" s="312" t="s">
        <v>2852</v>
      </c>
      <c r="D82" s="66">
        <v>43831</v>
      </c>
      <c r="E82" s="67">
        <v>44196</v>
      </c>
      <c r="F82" s="70">
        <v>0.32876712328767121</v>
      </c>
      <c r="G82" s="312">
        <v>81182.25</v>
      </c>
      <c r="H82" s="312">
        <v>111465.29</v>
      </c>
      <c r="I82" s="314">
        <v>111465.29</v>
      </c>
      <c r="J82" s="310">
        <f t="shared" si="2"/>
        <v>1</v>
      </c>
      <c r="M82" s="22">
        <f t="shared" si="0"/>
        <v>365</v>
      </c>
      <c r="N82" s="67">
        <v>43951</v>
      </c>
      <c r="O82" s="22">
        <f t="shared" si="1"/>
        <v>245</v>
      </c>
      <c r="P82" s="311">
        <f t="shared" si="3"/>
        <v>0.32876712328767121</v>
      </c>
    </row>
    <row r="83" spans="1:16" ht="18.75" customHeight="1">
      <c r="A83" s="286">
        <f t="shared" si="4"/>
        <v>59</v>
      </c>
      <c r="B83" s="313" t="s">
        <v>2853</v>
      </c>
      <c r="C83" s="312" t="s">
        <v>2854</v>
      </c>
      <c r="D83" s="66">
        <v>43831</v>
      </c>
      <c r="E83" s="67">
        <v>44196</v>
      </c>
      <c r="F83" s="70">
        <v>0.32876712328767121</v>
      </c>
      <c r="G83" s="312">
        <v>47369.520000000004</v>
      </c>
      <c r="H83" s="312">
        <v>46727.199999999997</v>
      </c>
      <c r="I83" s="314">
        <v>46727.199999999997</v>
      </c>
      <c r="J83" s="310">
        <f t="shared" si="2"/>
        <v>1</v>
      </c>
      <c r="M83" s="22">
        <f t="shared" si="0"/>
        <v>365</v>
      </c>
      <c r="N83" s="67">
        <v>43951</v>
      </c>
      <c r="O83" s="22">
        <f t="shared" si="1"/>
        <v>245</v>
      </c>
      <c r="P83" s="311">
        <f t="shared" si="3"/>
        <v>0.32876712328767121</v>
      </c>
    </row>
    <row r="84" spans="1:16" ht="18.75" customHeight="1">
      <c r="A84" s="286">
        <f t="shared" si="4"/>
        <v>60</v>
      </c>
      <c r="B84" s="313" t="s">
        <v>2855</v>
      </c>
      <c r="C84" s="312" t="s">
        <v>2856</v>
      </c>
      <c r="D84" s="66">
        <v>43466</v>
      </c>
      <c r="E84" s="67">
        <v>44196</v>
      </c>
      <c r="F84" s="70">
        <v>0.66438356164383561</v>
      </c>
      <c r="G84" s="312">
        <v>237860.53999999998</v>
      </c>
      <c r="H84" s="312">
        <v>237860.53999999998</v>
      </c>
      <c r="I84" s="314">
        <v>39643.42</v>
      </c>
      <c r="J84" s="310">
        <f t="shared" si="2"/>
        <v>0.1666666526528528</v>
      </c>
      <c r="M84" s="22">
        <f t="shared" si="0"/>
        <v>730</v>
      </c>
      <c r="N84" s="67">
        <v>43951</v>
      </c>
      <c r="O84" s="22">
        <f t="shared" si="1"/>
        <v>245</v>
      </c>
      <c r="P84" s="311">
        <f t="shared" si="3"/>
        <v>0.66438356164383561</v>
      </c>
    </row>
    <row r="85" spans="1:16" ht="18.75" customHeight="1">
      <c r="A85" s="286">
        <f t="shared" si="4"/>
        <v>61</v>
      </c>
      <c r="B85" s="313" t="s">
        <v>2638</v>
      </c>
      <c r="C85" s="312" t="s">
        <v>2639</v>
      </c>
      <c r="D85" s="66">
        <v>43221</v>
      </c>
      <c r="E85" s="67">
        <v>44196</v>
      </c>
      <c r="F85" s="70">
        <v>0.74871794871794872</v>
      </c>
      <c r="G85" s="312">
        <v>7091424.3699999992</v>
      </c>
      <c r="H85" s="312">
        <v>7091424.3699999992</v>
      </c>
      <c r="I85" s="314">
        <v>2281630.48</v>
      </c>
      <c r="J85" s="310">
        <f t="shared" si="2"/>
        <v>0.321745020598732</v>
      </c>
      <c r="M85" s="22">
        <f t="shared" si="0"/>
        <v>975</v>
      </c>
      <c r="N85" s="67">
        <v>43951</v>
      </c>
      <c r="O85" s="22">
        <f t="shared" si="1"/>
        <v>245</v>
      </c>
      <c r="P85" s="311">
        <f t="shared" si="3"/>
        <v>0.74871794871794872</v>
      </c>
    </row>
    <row r="86" spans="1:16" ht="18.75" customHeight="1">
      <c r="A86" s="286">
        <f t="shared" si="4"/>
        <v>62</v>
      </c>
      <c r="B86" s="313" t="s">
        <v>2857</v>
      </c>
      <c r="C86" s="312" t="s">
        <v>2858</v>
      </c>
      <c r="D86" s="66">
        <v>43831</v>
      </c>
      <c r="E86" s="67">
        <v>44196</v>
      </c>
      <c r="F86" s="70">
        <v>0.32876712328767121</v>
      </c>
      <c r="G86" s="312">
        <v>29724.080000000002</v>
      </c>
      <c r="H86" s="312">
        <v>29724.080000000002</v>
      </c>
      <c r="I86" s="314">
        <v>29724.080000000002</v>
      </c>
      <c r="J86" s="310">
        <f t="shared" si="2"/>
        <v>1</v>
      </c>
      <c r="M86" s="22">
        <f t="shared" si="0"/>
        <v>365</v>
      </c>
      <c r="N86" s="67">
        <v>43951</v>
      </c>
      <c r="O86" s="22">
        <f t="shared" si="1"/>
        <v>245</v>
      </c>
      <c r="P86" s="311">
        <f t="shared" si="3"/>
        <v>0.32876712328767121</v>
      </c>
    </row>
    <row r="87" spans="1:16" ht="18.75" customHeight="1">
      <c r="A87" s="286">
        <f t="shared" si="4"/>
        <v>63</v>
      </c>
      <c r="B87" s="313" t="s">
        <v>2859</v>
      </c>
      <c r="C87" s="312" t="s">
        <v>2860</v>
      </c>
      <c r="D87" s="66">
        <v>43831</v>
      </c>
      <c r="E87" s="67">
        <v>44926</v>
      </c>
      <c r="F87" s="70">
        <v>0.1095890410958904</v>
      </c>
      <c r="G87" s="312">
        <v>405330.61</v>
      </c>
      <c r="H87" s="312">
        <v>405330.61</v>
      </c>
      <c r="I87" s="314">
        <v>199670.25</v>
      </c>
      <c r="J87" s="310">
        <f t="shared" si="2"/>
        <v>0.49261083440009629</v>
      </c>
      <c r="M87" s="22">
        <f t="shared" si="0"/>
        <v>1095</v>
      </c>
      <c r="N87" s="67">
        <v>43951</v>
      </c>
      <c r="O87" s="22">
        <f t="shared" si="1"/>
        <v>975</v>
      </c>
      <c r="P87" s="311">
        <f t="shared" si="3"/>
        <v>0.1095890410958904</v>
      </c>
    </row>
    <row r="88" spans="1:16" ht="18.75" customHeight="1">
      <c r="A88" s="286">
        <f t="shared" si="4"/>
        <v>64</v>
      </c>
      <c r="B88" s="313" t="s">
        <v>2861</v>
      </c>
      <c r="C88" s="312" t="s">
        <v>2862</v>
      </c>
      <c r="D88" s="66">
        <v>43466</v>
      </c>
      <c r="E88" s="67">
        <v>44561</v>
      </c>
      <c r="F88" s="70">
        <v>0.44292237442922372</v>
      </c>
      <c r="G88" s="312">
        <v>153592.5</v>
      </c>
      <c r="H88" s="312">
        <v>153592.5</v>
      </c>
      <c r="I88" s="314">
        <v>76796.25</v>
      </c>
      <c r="J88" s="310">
        <f t="shared" si="2"/>
        <v>0.5</v>
      </c>
      <c r="M88" s="22">
        <f t="shared" si="0"/>
        <v>1095</v>
      </c>
      <c r="N88" s="67">
        <v>43951</v>
      </c>
      <c r="O88" s="22">
        <f t="shared" si="1"/>
        <v>610</v>
      </c>
      <c r="P88" s="311">
        <f t="shared" si="3"/>
        <v>0.44292237442922372</v>
      </c>
    </row>
    <row r="89" spans="1:16" ht="18.75" customHeight="1">
      <c r="A89" s="286">
        <f t="shared" si="4"/>
        <v>65</v>
      </c>
      <c r="B89" s="313" t="s">
        <v>2863</v>
      </c>
      <c r="C89" s="312" t="s">
        <v>2864</v>
      </c>
      <c r="D89" s="66">
        <v>43831</v>
      </c>
      <c r="E89" s="67">
        <v>47118</v>
      </c>
      <c r="F89" s="70">
        <v>3.6507453605111047E-2</v>
      </c>
      <c r="G89" s="312">
        <v>41322.03</v>
      </c>
      <c r="H89" s="312">
        <v>41322.03</v>
      </c>
      <c r="I89" s="314">
        <v>20020.36</v>
      </c>
      <c r="J89" s="310">
        <f t="shared" si="2"/>
        <v>0.48449604242579564</v>
      </c>
      <c r="M89" s="22">
        <f t="shared" ref="M89:M164" si="5">E89-D89</f>
        <v>3287</v>
      </c>
      <c r="N89" s="67">
        <v>43951</v>
      </c>
      <c r="O89" s="22">
        <f t="shared" ref="O89:O164" si="6">E89-N89</f>
        <v>3167</v>
      </c>
      <c r="P89" s="311">
        <f t="shared" si="3"/>
        <v>3.6507453605111047E-2</v>
      </c>
    </row>
    <row r="90" spans="1:16" ht="18.75" customHeight="1">
      <c r="A90" s="286">
        <f t="shared" si="4"/>
        <v>66</v>
      </c>
      <c r="B90" s="313" t="s">
        <v>2865</v>
      </c>
      <c r="C90" s="312" t="s">
        <v>2866</v>
      </c>
      <c r="D90" s="66">
        <v>43831</v>
      </c>
      <c r="E90" s="67">
        <v>46387</v>
      </c>
      <c r="F90" s="70">
        <v>4.6948356807511735E-2</v>
      </c>
      <c r="G90" s="312">
        <v>18446.09</v>
      </c>
      <c r="H90" s="312">
        <v>18446.09</v>
      </c>
      <c r="I90" s="314">
        <v>8919.77</v>
      </c>
      <c r="J90" s="310">
        <f t="shared" ref="J90:J165" si="7">I90/H90</f>
        <v>0.48355884634629887</v>
      </c>
      <c r="M90" s="22">
        <f t="shared" si="5"/>
        <v>2556</v>
      </c>
      <c r="N90" s="67">
        <v>43951</v>
      </c>
      <c r="O90" s="22">
        <f t="shared" si="6"/>
        <v>2436</v>
      </c>
      <c r="P90" s="311">
        <f t="shared" ref="P90:P165" si="8">(M90-O90)/M90</f>
        <v>4.6948356807511735E-2</v>
      </c>
    </row>
    <row r="91" spans="1:16" ht="18.75" customHeight="1">
      <c r="A91" s="286">
        <f t="shared" ref="A91:A166" si="9">A90+1</f>
        <v>67</v>
      </c>
      <c r="B91" s="313" t="s">
        <v>2867</v>
      </c>
      <c r="C91" s="312" t="s">
        <v>2868</v>
      </c>
      <c r="D91" s="66">
        <v>43466</v>
      </c>
      <c r="E91" s="67">
        <v>44196</v>
      </c>
      <c r="F91" s="70">
        <v>0.66438356164383561</v>
      </c>
      <c r="G91" s="312">
        <v>177319.16</v>
      </c>
      <c r="H91" s="312">
        <v>177319.16</v>
      </c>
      <c r="I91" s="314">
        <v>177319.16</v>
      </c>
      <c r="J91" s="310">
        <f t="shared" si="7"/>
        <v>1</v>
      </c>
      <c r="M91" s="22">
        <f t="shared" si="5"/>
        <v>730</v>
      </c>
      <c r="N91" s="67">
        <v>43951</v>
      </c>
      <c r="O91" s="22">
        <f t="shared" si="6"/>
        <v>245</v>
      </c>
      <c r="P91" s="311">
        <f t="shared" si="8"/>
        <v>0.66438356164383561</v>
      </c>
    </row>
    <row r="92" spans="1:16" ht="18.75" customHeight="1">
      <c r="A92" s="286">
        <f t="shared" si="9"/>
        <v>68</v>
      </c>
      <c r="B92" s="313" t="s">
        <v>2648</v>
      </c>
      <c r="C92" s="312" t="s">
        <v>2649</v>
      </c>
      <c r="D92" s="66">
        <v>41821</v>
      </c>
      <c r="E92" s="67">
        <v>46022</v>
      </c>
      <c r="F92" s="70">
        <v>0.507022137586289</v>
      </c>
      <c r="G92" s="312">
        <v>60000000</v>
      </c>
      <c r="H92" s="312">
        <v>-3692824.6799999997</v>
      </c>
      <c r="I92" s="314">
        <v>5174985.22</v>
      </c>
      <c r="J92" s="310">
        <f t="shared" si="7"/>
        <v>-1.4013622818400358</v>
      </c>
      <c r="M92" s="22">
        <f t="shared" si="5"/>
        <v>4201</v>
      </c>
      <c r="N92" s="67">
        <v>43951</v>
      </c>
      <c r="O92" s="22">
        <f t="shared" si="6"/>
        <v>2071</v>
      </c>
      <c r="P92" s="311">
        <f t="shared" si="8"/>
        <v>0.507022137586289</v>
      </c>
    </row>
    <row r="93" spans="1:16" ht="18.75" customHeight="1">
      <c r="A93" s="286">
        <f t="shared" si="9"/>
        <v>69</v>
      </c>
      <c r="B93" s="313" t="s">
        <v>2650</v>
      </c>
      <c r="C93" s="312" t="s">
        <v>2651</v>
      </c>
      <c r="D93" s="66">
        <v>42186</v>
      </c>
      <c r="E93" s="67">
        <v>46022</v>
      </c>
      <c r="F93" s="70">
        <v>0.46011470281543276</v>
      </c>
      <c r="G93" s="312">
        <v>7800000</v>
      </c>
      <c r="H93" s="312">
        <v>-1428485.56</v>
      </c>
      <c r="I93" s="314">
        <v>1967834.1</v>
      </c>
      <c r="J93" s="310">
        <f t="shared" si="7"/>
        <v>-1.3775666727775673</v>
      </c>
      <c r="M93" s="22">
        <f t="shared" si="5"/>
        <v>3836</v>
      </c>
      <c r="N93" s="67">
        <v>43951</v>
      </c>
      <c r="O93" s="22">
        <f t="shared" si="6"/>
        <v>2071</v>
      </c>
      <c r="P93" s="311">
        <f t="shared" si="8"/>
        <v>0.46011470281543276</v>
      </c>
    </row>
    <row r="94" spans="1:16" ht="18.75" customHeight="1">
      <c r="A94" s="286">
        <f t="shared" si="9"/>
        <v>70</v>
      </c>
      <c r="B94" s="313" t="s">
        <v>2652</v>
      </c>
      <c r="C94" s="312" t="s">
        <v>2653</v>
      </c>
      <c r="D94" s="66">
        <v>40744</v>
      </c>
      <c r="E94" s="67">
        <v>44196</v>
      </c>
      <c r="F94" s="70">
        <v>0.92902665121668593</v>
      </c>
      <c r="G94" s="312">
        <v>300000</v>
      </c>
      <c r="H94" s="312">
        <v>389724.85</v>
      </c>
      <c r="I94" s="314">
        <v>389724.85</v>
      </c>
      <c r="J94" s="310">
        <f t="shared" si="7"/>
        <v>1</v>
      </c>
      <c r="M94" s="22">
        <f t="shared" si="5"/>
        <v>3452</v>
      </c>
      <c r="N94" s="67">
        <v>43951</v>
      </c>
      <c r="O94" s="22">
        <f t="shared" si="6"/>
        <v>245</v>
      </c>
      <c r="P94" s="311">
        <f t="shared" si="8"/>
        <v>0.92902665121668593</v>
      </c>
    </row>
    <row r="95" spans="1:16" ht="18.75" customHeight="1">
      <c r="A95" s="286">
        <f t="shared" si="9"/>
        <v>71</v>
      </c>
      <c r="B95" s="313" t="s">
        <v>2666</v>
      </c>
      <c r="C95" s="312" t="s">
        <v>2667</v>
      </c>
      <c r="D95" s="66">
        <v>43281</v>
      </c>
      <c r="E95" s="67">
        <v>44561</v>
      </c>
      <c r="F95" s="70">
        <v>0.5234375</v>
      </c>
      <c r="G95" s="312">
        <v>29000000</v>
      </c>
      <c r="H95" s="312">
        <v>29000000</v>
      </c>
      <c r="I95" s="314">
        <v>6300000</v>
      </c>
      <c r="J95" s="310">
        <f t="shared" si="7"/>
        <v>0.21724137931034482</v>
      </c>
      <c r="M95" s="22">
        <f t="shared" si="5"/>
        <v>1280</v>
      </c>
      <c r="N95" s="67">
        <v>43951</v>
      </c>
      <c r="O95" s="22">
        <f t="shared" si="6"/>
        <v>610</v>
      </c>
      <c r="P95" s="311">
        <f t="shared" si="8"/>
        <v>0.5234375</v>
      </c>
    </row>
    <row r="96" spans="1:16" ht="18.75" customHeight="1">
      <c r="A96" s="286">
        <f t="shared" si="9"/>
        <v>72</v>
      </c>
      <c r="B96" s="313" t="s">
        <v>2668</v>
      </c>
      <c r="C96" s="312" t="s">
        <v>2669</v>
      </c>
      <c r="D96" s="66">
        <v>43132</v>
      </c>
      <c r="E96" s="67">
        <v>43982</v>
      </c>
      <c r="F96" s="70">
        <v>0.96352941176470586</v>
      </c>
      <c r="G96" s="312">
        <v>1270608</v>
      </c>
      <c r="H96" s="312">
        <v>5348260.07</v>
      </c>
      <c r="I96" s="314">
        <v>5348260.0700000012</v>
      </c>
      <c r="J96" s="310">
        <f t="shared" si="7"/>
        <v>1.0000000000000002</v>
      </c>
      <c r="M96" s="22">
        <f t="shared" si="5"/>
        <v>850</v>
      </c>
      <c r="N96" s="67">
        <v>43951</v>
      </c>
      <c r="O96" s="22">
        <f t="shared" si="6"/>
        <v>31</v>
      </c>
      <c r="P96" s="311">
        <f t="shared" si="8"/>
        <v>0.96352941176470586</v>
      </c>
    </row>
    <row r="97" spans="1:16" ht="18.75" customHeight="1">
      <c r="A97" s="286">
        <f t="shared" si="9"/>
        <v>73</v>
      </c>
      <c r="B97" s="313" t="s">
        <v>2869</v>
      </c>
      <c r="C97" s="312" t="s">
        <v>2870</v>
      </c>
      <c r="D97" s="66">
        <v>43739</v>
      </c>
      <c r="E97" s="67">
        <v>44196</v>
      </c>
      <c r="F97" s="70">
        <v>0.46389496717724288</v>
      </c>
      <c r="G97" s="312">
        <v>6889241.1600000001</v>
      </c>
      <c r="H97" s="312">
        <v>3108272.93</v>
      </c>
      <c r="I97" s="314">
        <v>1088089.8900000001</v>
      </c>
      <c r="J97" s="310">
        <f t="shared" si="7"/>
        <v>0.35006253134920173</v>
      </c>
      <c r="M97" s="22">
        <f t="shared" si="5"/>
        <v>457</v>
      </c>
      <c r="N97" s="67">
        <v>43951</v>
      </c>
      <c r="O97" s="22">
        <f t="shared" si="6"/>
        <v>245</v>
      </c>
      <c r="P97" s="311">
        <f t="shared" si="8"/>
        <v>0.46389496717724288</v>
      </c>
    </row>
    <row r="98" spans="1:16" ht="18.75" customHeight="1">
      <c r="A98" s="286">
        <f t="shared" si="9"/>
        <v>74</v>
      </c>
      <c r="B98" s="313" t="s">
        <v>2871</v>
      </c>
      <c r="C98" s="312" t="s">
        <v>2872</v>
      </c>
      <c r="D98" s="66">
        <v>41640</v>
      </c>
      <c r="E98" s="67">
        <v>45291</v>
      </c>
      <c r="F98" s="70">
        <v>0.63297726650232811</v>
      </c>
      <c r="G98" s="312">
        <v>8.0035533756017685E-11</v>
      </c>
      <c r="H98" s="312">
        <v>-7107.3600000000006</v>
      </c>
      <c r="I98" s="314">
        <v>-3323.29</v>
      </c>
      <c r="J98" s="310">
        <f t="shared" si="7"/>
        <v>0.46758430697192765</v>
      </c>
      <c r="M98" s="22">
        <f t="shared" si="5"/>
        <v>3651</v>
      </c>
      <c r="N98" s="67">
        <v>43951</v>
      </c>
      <c r="O98" s="22">
        <f t="shared" si="6"/>
        <v>1340</v>
      </c>
      <c r="P98" s="311">
        <f t="shared" si="8"/>
        <v>0.63297726650232811</v>
      </c>
    </row>
    <row r="99" spans="1:16" ht="18.75" customHeight="1">
      <c r="A99" s="286">
        <f t="shared" si="9"/>
        <v>75</v>
      </c>
      <c r="B99" s="313" t="s">
        <v>2873</v>
      </c>
      <c r="C99" s="312" t="s">
        <v>2874</v>
      </c>
      <c r="D99" s="66">
        <v>43678</v>
      </c>
      <c r="E99" s="67">
        <v>44196</v>
      </c>
      <c r="F99" s="70">
        <v>0.52702702702702697</v>
      </c>
      <c r="G99" s="312">
        <v>116185.57999999999</v>
      </c>
      <c r="H99" s="312">
        <v>114992.10869999998</v>
      </c>
      <c r="I99" s="314">
        <v>21681.9735</v>
      </c>
      <c r="J99" s="310">
        <f t="shared" si="7"/>
        <v>0.1885518384271529</v>
      </c>
      <c r="M99" s="22">
        <f t="shared" si="5"/>
        <v>518</v>
      </c>
      <c r="N99" s="67">
        <v>43951</v>
      </c>
      <c r="O99" s="22">
        <f t="shared" si="6"/>
        <v>245</v>
      </c>
      <c r="P99" s="311">
        <f t="shared" si="8"/>
        <v>0.52702702702702697</v>
      </c>
    </row>
    <row r="100" spans="1:16" ht="18.75" customHeight="1">
      <c r="A100" s="286">
        <f t="shared" si="9"/>
        <v>76</v>
      </c>
      <c r="B100" s="313" t="s">
        <v>1563</v>
      </c>
      <c r="C100" s="312" t="s">
        <v>2875</v>
      </c>
      <c r="D100" s="66">
        <v>42887</v>
      </c>
      <c r="E100" s="67">
        <v>47848</v>
      </c>
      <c r="F100" s="70">
        <v>0.2144728885305382</v>
      </c>
      <c r="G100" s="312">
        <v>4316227.5</v>
      </c>
      <c r="H100" s="312">
        <v>4112003.36</v>
      </c>
      <c r="I100" s="314">
        <v>342666.92</v>
      </c>
      <c r="J100" s="310">
        <f t="shared" si="7"/>
        <v>8.3333326848254327E-2</v>
      </c>
      <c r="M100" s="22">
        <f t="shared" si="5"/>
        <v>4961</v>
      </c>
      <c r="N100" s="67">
        <v>43951</v>
      </c>
      <c r="O100" s="22">
        <f t="shared" si="6"/>
        <v>3897</v>
      </c>
      <c r="P100" s="311">
        <f t="shared" si="8"/>
        <v>0.2144728885305382</v>
      </c>
    </row>
    <row r="101" spans="1:16" ht="18.75" customHeight="1">
      <c r="A101" s="286">
        <f t="shared" si="9"/>
        <v>77</v>
      </c>
      <c r="B101" s="313" t="s">
        <v>2876</v>
      </c>
      <c r="C101" s="312" t="s">
        <v>2877</v>
      </c>
      <c r="D101" s="66">
        <v>43709</v>
      </c>
      <c r="E101" s="67">
        <v>44561</v>
      </c>
      <c r="F101" s="70">
        <v>0.284037558685446</v>
      </c>
      <c r="G101" s="312">
        <v>1073000</v>
      </c>
      <c r="H101" s="312">
        <v>10872659.960000001</v>
      </c>
      <c r="I101" s="314">
        <v>1758112.44</v>
      </c>
      <c r="J101" s="310">
        <f t="shared" si="7"/>
        <v>0.16170030576399999</v>
      </c>
      <c r="M101" s="22">
        <f t="shared" si="5"/>
        <v>852</v>
      </c>
      <c r="N101" s="67">
        <v>43951</v>
      </c>
      <c r="O101" s="22">
        <f t="shared" si="6"/>
        <v>610</v>
      </c>
      <c r="P101" s="311">
        <f t="shared" si="8"/>
        <v>0.284037558685446</v>
      </c>
    </row>
    <row r="102" spans="1:16" ht="18.75" customHeight="1">
      <c r="A102" s="286">
        <f t="shared" si="9"/>
        <v>78</v>
      </c>
      <c r="B102" s="313" t="s">
        <v>1559</v>
      </c>
      <c r="C102" s="312" t="s">
        <v>1560</v>
      </c>
      <c r="D102" s="66">
        <v>42736</v>
      </c>
      <c r="E102" s="67">
        <v>46387</v>
      </c>
      <c r="F102" s="70">
        <v>0.33278553820870993</v>
      </c>
      <c r="G102" s="312">
        <v>2800240.01</v>
      </c>
      <c r="H102" s="312">
        <v>2087088.28</v>
      </c>
      <c r="I102" s="314">
        <v>334351.78999999998</v>
      </c>
      <c r="J102" s="310">
        <f t="shared" si="7"/>
        <v>0.16020011860734515</v>
      </c>
      <c r="M102" s="22">
        <f t="shared" si="5"/>
        <v>3651</v>
      </c>
      <c r="N102" s="67">
        <v>43951</v>
      </c>
      <c r="O102" s="22">
        <f t="shared" si="6"/>
        <v>2436</v>
      </c>
      <c r="P102" s="311">
        <f t="shared" si="8"/>
        <v>0.33278553820870993</v>
      </c>
    </row>
    <row r="103" spans="1:16" ht="18.75" customHeight="1">
      <c r="A103" s="286">
        <f t="shared" si="9"/>
        <v>79</v>
      </c>
      <c r="B103" s="313" t="s">
        <v>1564</v>
      </c>
      <c r="C103" s="312" t="s">
        <v>1565</v>
      </c>
      <c r="D103" s="66">
        <v>42736</v>
      </c>
      <c r="E103" s="67">
        <v>44561</v>
      </c>
      <c r="F103" s="70">
        <v>0.66575342465753429</v>
      </c>
      <c r="G103" s="312">
        <v>754120.03</v>
      </c>
      <c r="H103" s="312">
        <v>405102.5</v>
      </c>
      <c r="I103" s="314">
        <v>42494.64</v>
      </c>
      <c r="J103" s="310">
        <f t="shared" si="7"/>
        <v>0.10489848865410606</v>
      </c>
      <c r="M103" s="22">
        <f t="shared" si="5"/>
        <v>1825</v>
      </c>
      <c r="N103" s="67">
        <v>43951</v>
      </c>
      <c r="O103" s="22">
        <f t="shared" si="6"/>
        <v>610</v>
      </c>
      <c r="P103" s="311">
        <f t="shared" si="8"/>
        <v>0.66575342465753429</v>
      </c>
    </row>
    <row r="104" spans="1:16" ht="18.75" customHeight="1">
      <c r="A104" s="286">
        <f t="shared" si="9"/>
        <v>80</v>
      </c>
      <c r="B104" s="313" t="s">
        <v>2878</v>
      </c>
      <c r="C104" s="312" t="s">
        <v>2879</v>
      </c>
      <c r="D104" s="66">
        <v>43709</v>
      </c>
      <c r="E104" s="67">
        <v>44561</v>
      </c>
      <c r="F104" s="70">
        <v>0.284037558685446</v>
      </c>
      <c r="G104" s="312">
        <v>4690000</v>
      </c>
      <c r="H104" s="312">
        <v>4136208.1899999995</v>
      </c>
      <c r="I104" s="314">
        <v>870442.62999999989</v>
      </c>
      <c r="J104" s="310">
        <f t="shared" si="7"/>
        <v>0.21044458838035424</v>
      </c>
      <c r="M104" s="22">
        <f t="shared" si="5"/>
        <v>852</v>
      </c>
      <c r="N104" s="67">
        <v>43951</v>
      </c>
      <c r="O104" s="22">
        <f t="shared" si="6"/>
        <v>610</v>
      </c>
      <c r="P104" s="311">
        <f t="shared" si="8"/>
        <v>0.284037558685446</v>
      </c>
    </row>
    <row r="105" spans="1:16" ht="18.75" customHeight="1">
      <c r="A105" s="286">
        <f t="shared" si="9"/>
        <v>81</v>
      </c>
      <c r="B105" s="313" t="s">
        <v>2880</v>
      </c>
      <c r="C105" s="312" t="s">
        <v>2881</v>
      </c>
      <c r="D105" s="66">
        <v>43739</v>
      </c>
      <c r="E105" s="67">
        <v>44012</v>
      </c>
      <c r="F105" s="70">
        <v>0.77655677655677657</v>
      </c>
      <c r="G105" s="312">
        <v>198126.09</v>
      </c>
      <c r="H105" s="312">
        <v>198126.09</v>
      </c>
      <c r="I105" s="314">
        <v>133250.33000000002</v>
      </c>
      <c r="J105" s="310">
        <f t="shared" si="7"/>
        <v>0.67255317055921315</v>
      </c>
      <c r="M105" s="22">
        <f t="shared" si="5"/>
        <v>273</v>
      </c>
      <c r="N105" s="67">
        <v>43951</v>
      </c>
      <c r="O105" s="22">
        <f t="shared" si="6"/>
        <v>61</v>
      </c>
      <c r="P105" s="311">
        <f t="shared" si="8"/>
        <v>0.77655677655677657</v>
      </c>
    </row>
    <row r="106" spans="1:16" ht="18.75" customHeight="1">
      <c r="A106" s="286">
        <f t="shared" si="9"/>
        <v>82</v>
      </c>
      <c r="B106" s="313" t="s">
        <v>2882</v>
      </c>
      <c r="C106" s="312" t="s">
        <v>2883</v>
      </c>
      <c r="D106" s="66">
        <v>43739</v>
      </c>
      <c r="E106" s="67">
        <v>43982</v>
      </c>
      <c r="F106" s="70">
        <v>0.87242798353909468</v>
      </c>
      <c r="G106" s="312">
        <v>2000000.0299999998</v>
      </c>
      <c r="H106" s="312">
        <v>2133389.92</v>
      </c>
      <c r="I106" s="314">
        <v>1716693.32</v>
      </c>
      <c r="J106" s="310">
        <f t="shared" si="7"/>
        <v>0.80467864964881808</v>
      </c>
      <c r="M106" s="22">
        <f t="shared" si="5"/>
        <v>243</v>
      </c>
      <c r="N106" s="67">
        <v>43951</v>
      </c>
      <c r="O106" s="22">
        <f t="shared" si="6"/>
        <v>31</v>
      </c>
      <c r="P106" s="311">
        <f t="shared" si="8"/>
        <v>0.87242798353909468</v>
      </c>
    </row>
    <row r="107" spans="1:16" ht="18.75" customHeight="1">
      <c r="A107" s="286">
        <f t="shared" si="9"/>
        <v>83</v>
      </c>
      <c r="B107" s="313" t="s">
        <v>2692</v>
      </c>
      <c r="C107" s="312" t="s">
        <v>2693</v>
      </c>
      <c r="D107" s="66">
        <v>43101</v>
      </c>
      <c r="E107" s="67">
        <v>44196</v>
      </c>
      <c r="F107" s="70">
        <v>0.77625570776255703</v>
      </c>
      <c r="G107" s="312">
        <v>200000.04</v>
      </c>
      <c r="H107" s="312">
        <v>498407.38</v>
      </c>
      <c r="I107" s="314">
        <v>453856.22</v>
      </c>
      <c r="J107" s="310">
        <f t="shared" si="7"/>
        <v>0.91061296082734566</v>
      </c>
      <c r="M107" s="22">
        <f t="shared" si="5"/>
        <v>1095</v>
      </c>
      <c r="N107" s="67">
        <v>43951</v>
      </c>
      <c r="O107" s="22">
        <f t="shared" si="6"/>
        <v>245</v>
      </c>
      <c r="P107" s="311">
        <f t="shared" si="8"/>
        <v>0.77625570776255703</v>
      </c>
    </row>
    <row r="108" spans="1:16" ht="18.75" customHeight="1">
      <c r="A108" s="286">
        <f t="shared" si="9"/>
        <v>84</v>
      </c>
      <c r="B108" s="313" t="s">
        <v>2884</v>
      </c>
      <c r="C108" s="312" t="s">
        <v>2885</v>
      </c>
      <c r="D108" s="66">
        <v>43831</v>
      </c>
      <c r="E108" s="67">
        <v>44196</v>
      </c>
      <c r="F108" s="70">
        <v>0.32876712328767121</v>
      </c>
      <c r="G108" s="312">
        <v>205840.08</v>
      </c>
      <c r="H108" s="312">
        <v>205840.08</v>
      </c>
      <c r="I108" s="314">
        <v>82336</v>
      </c>
      <c r="J108" s="310">
        <f t="shared" si="7"/>
        <v>0.39999984453950854</v>
      </c>
      <c r="M108" s="22">
        <f t="shared" si="5"/>
        <v>365</v>
      </c>
      <c r="N108" s="67">
        <v>43951</v>
      </c>
      <c r="O108" s="22">
        <f t="shared" si="6"/>
        <v>245</v>
      </c>
      <c r="P108" s="311">
        <f t="shared" si="8"/>
        <v>0.32876712328767121</v>
      </c>
    </row>
    <row r="109" spans="1:16" ht="18.75" customHeight="1">
      <c r="A109" s="286">
        <f t="shared" si="9"/>
        <v>85</v>
      </c>
      <c r="B109" s="313" t="s">
        <v>2886</v>
      </c>
      <c r="C109" s="312" t="s">
        <v>2887</v>
      </c>
      <c r="D109" s="66">
        <v>43831</v>
      </c>
      <c r="E109" s="67">
        <v>44196</v>
      </c>
      <c r="F109" s="70">
        <v>0.32876712328767121</v>
      </c>
      <c r="G109" s="312">
        <v>205840.08</v>
      </c>
      <c r="H109" s="312">
        <v>205840.08</v>
      </c>
      <c r="I109" s="314">
        <v>82336</v>
      </c>
      <c r="J109" s="310">
        <f t="shared" si="7"/>
        <v>0.39999984453950854</v>
      </c>
      <c r="M109" s="22">
        <f t="shared" si="5"/>
        <v>365</v>
      </c>
      <c r="N109" s="67">
        <v>43951</v>
      </c>
      <c r="O109" s="22">
        <f t="shared" si="6"/>
        <v>245</v>
      </c>
      <c r="P109" s="311">
        <f t="shared" si="8"/>
        <v>0.32876712328767121</v>
      </c>
    </row>
    <row r="110" spans="1:16" ht="18.75" customHeight="1">
      <c r="A110" s="286">
        <f t="shared" si="9"/>
        <v>86</v>
      </c>
      <c r="B110" s="313" t="s">
        <v>2888</v>
      </c>
      <c r="C110" s="312" t="s">
        <v>2889</v>
      </c>
      <c r="D110" s="66">
        <v>43831</v>
      </c>
      <c r="E110" s="67">
        <v>44196</v>
      </c>
      <c r="F110" s="70">
        <v>0.32876712328767121</v>
      </c>
      <c r="G110" s="312">
        <v>205840.08</v>
      </c>
      <c r="H110" s="312">
        <v>205840.08</v>
      </c>
      <c r="I110" s="314">
        <v>82336</v>
      </c>
      <c r="J110" s="310">
        <f t="shared" si="7"/>
        <v>0.39999984453950854</v>
      </c>
      <c r="M110" s="22">
        <f t="shared" si="5"/>
        <v>365</v>
      </c>
      <c r="N110" s="67">
        <v>43951</v>
      </c>
      <c r="O110" s="22">
        <f t="shared" si="6"/>
        <v>245</v>
      </c>
      <c r="P110" s="311">
        <f t="shared" si="8"/>
        <v>0.32876712328767121</v>
      </c>
    </row>
    <row r="111" spans="1:16" ht="18.75" customHeight="1">
      <c r="A111" s="286">
        <f t="shared" si="9"/>
        <v>87</v>
      </c>
      <c r="B111" s="313" t="s">
        <v>2890</v>
      </c>
      <c r="C111" s="312" t="s">
        <v>2891</v>
      </c>
      <c r="D111" s="66">
        <v>43831</v>
      </c>
      <c r="E111" s="67">
        <v>44196</v>
      </c>
      <c r="F111" s="70">
        <v>0.32876712328767121</v>
      </c>
      <c r="G111" s="312">
        <v>205840.08</v>
      </c>
      <c r="H111" s="312">
        <v>205840.08</v>
      </c>
      <c r="I111" s="314">
        <v>82336</v>
      </c>
      <c r="J111" s="310">
        <f t="shared" si="7"/>
        <v>0.39999984453950854</v>
      </c>
      <c r="M111" s="22">
        <f t="shared" si="5"/>
        <v>365</v>
      </c>
      <c r="N111" s="67">
        <v>43951</v>
      </c>
      <c r="O111" s="22">
        <f t="shared" si="6"/>
        <v>245</v>
      </c>
      <c r="P111" s="311">
        <f t="shared" si="8"/>
        <v>0.32876712328767121</v>
      </c>
    </row>
    <row r="112" spans="1:16" ht="18.75" customHeight="1">
      <c r="A112" s="286">
        <f t="shared" si="9"/>
        <v>88</v>
      </c>
      <c r="B112" s="313" t="s">
        <v>2892</v>
      </c>
      <c r="C112" s="312" t="s">
        <v>2893</v>
      </c>
      <c r="D112" s="66">
        <v>43831</v>
      </c>
      <c r="E112" s="67">
        <v>44196</v>
      </c>
      <c r="F112" s="70">
        <v>0.32876712328767121</v>
      </c>
      <c r="G112" s="312">
        <v>205840.08</v>
      </c>
      <c r="H112" s="312">
        <v>205840.08</v>
      </c>
      <c r="I112" s="314">
        <v>82336</v>
      </c>
      <c r="J112" s="310">
        <f t="shared" si="7"/>
        <v>0.39999984453950854</v>
      </c>
      <c r="M112" s="22">
        <f t="shared" si="5"/>
        <v>365</v>
      </c>
      <c r="N112" s="67">
        <v>43951</v>
      </c>
      <c r="O112" s="22">
        <f t="shared" si="6"/>
        <v>245</v>
      </c>
      <c r="P112" s="311">
        <f t="shared" si="8"/>
        <v>0.32876712328767121</v>
      </c>
    </row>
    <row r="113" spans="1:16" s="291" customFormat="1" ht="20.100000000000001" customHeight="1">
      <c r="A113" s="831" t="str">
        <f>$A$1</f>
        <v>LOUISVILLE GAS AND ELECTRIC COMPANY</v>
      </c>
      <c r="B113" s="831"/>
      <c r="C113" s="831"/>
      <c r="D113" s="831"/>
      <c r="E113" s="831"/>
      <c r="F113" s="831"/>
      <c r="G113" s="831"/>
      <c r="H113" s="831"/>
      <c r="I113" s="831"/>
      <c r="J113" s="831"/>
    </row>
    <row r="114" spans="1:16" s="291" customFormat="1" ht="20.100000000000001" customHeight="1">
      <c r="A114" s="831" t="str">
        <f>$A$2</f>
        <v>CASE NO. 2018-00295 - ELECTRIC OPERATIONS</v>
      </c>
      <c r="B114" s="831"/>
      <c r="C114" s="831"/>
      <c r="D114" s="831"/>
      <c r="E114" s="831"/>
      <c r="F114" s="831"/>
      <c r="G114" s="831"/>
      <c r="H114" s="831"/>
      <c r="I114" s="831"/>
      <c r="J114" s="831"/>
    </row>
    <row r="115" spans="1:16" s="291" customFormat="1" ht="20.100000000000001" customHeight="1">
      <c r="A115" s="831" t="s">
        <v>252</v>
      </c>
      <c r="B115" s="831"/>
      <c r="C115" s="831"/>
      <c r="D115" s="831"/>
      <c r="E115" s="831"/>
      <c r="F115" s="831"/>
      <c r="G115" s="831"/>
      <c r="H115" s="831"/>
      <c r="I115" s="831"/>
      <c r="J115" s="831"/>
    </row>
    <row r="116" spans="1:16" s="291" customFormat="1" ht="20.100000000000001" customHeight="1">
      <c r="A116" s="831" t="str">
        <f>$A$4</f>
        <v>AS OF APRIL 30, 2020</v>
      </c>
      <c r="B116" s="831"/>
      <c r="C116" s="831"/>
      <c r="D116" s="831"/>
      <c r="E116" s="831"/>
      <c r="F116" s="831"/>
      <c r="G116" s="831"/>
      <c r="H116" s="831"/>
      <c r="I116" s="831"/>
      <c r="J116" s="831"/>
    </row>
    <row r="117" spans="1:16" s="291" customFormat="1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s="291" customFormat="1" ht="20.100000000000001" customHeight="1">
      <c r="A118" s="15" t="str">
        <f>$A$6</f>
        <v>DATA:____BASE  PERIOD__X__FORECASTED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s="291" customFormat="1" ht="20.100000000000001" customHeight="1">
      <c r="A119" s="15" t="str">
        <f>$A$7</f>
        <v>TYPE OF FILING: _____ ORIGINAL  _____ UPDATED  __X__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1586</v>
      </c>
    </row>
    <row r="120" spans="1:16" s="291" customFormat="1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s="291" customFormat="1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s="291" customFormat="1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s="291" customFormat="1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s="291" customFormat="1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75" customHeight="1">
      <c r="A125" s="286">
        <f>A112+1</f>
        <v>89</v>
      </c>
      <c r="B125" s="313" t="s">
        <v>2894</v>
      </c>
      <c r="C125" s="312" t="s">
        <v>2895</v>
      </c>
      <c r="D125" s="66">
        <v>43466</v>
      </c>
      <c r="E125" s="67">
        <v>44196</v>
      </c>
      <c r="F125" s="70">
        <v>0.66438356164383561</v>
      </c>
      <c r="G125" s="312">
        <v>774761.06</v>
      </c>
      <c r="H125" s="312">
        <v>774761.06</v>
      </c>
      <c r="I125" s="314">
        <v>532588.16</v>
      </c>
      <c r="J125" s="310">
        <f t="shared" si="7"/>
        <v>0.68742246803162765</v>
      </c>
      <c r="M125" s="22">
        <f t="shared" si="5"/>
        <v>730</v>
      </c>
      <c r="N125" s="67">
        <v>43951</v>
      </c>
      <c r="O125" s="22">
        <f t="shared" si="6"/>
        <v>245</v>
      </c>
      <c r="P125" s="311">
        <f t="shared" si="8"/>
        <v>0.66438356164383561</v>
      </c>
    </row>
    <row r="126" spans="1:16" ht="18.75" customHeight="1">
      <c r="A126" s="286">
        <f t="shared" si="9"/>
        <v>90</v>
      </c>
      <c r="B126" s="313" t="s">
        <v>2896</v>
      </c>
      <c r="C126" s="312" t="s">
        <v>2897</v>
      </c>
      <c r="D126" s="66">
        <v>43891</v>
      </c>
      <c r="E126" s="67">
        <v>44561</v>
      </c>
      <c r="F126" s="70">
        <v>8.9552238805970144E-2</v>
      </c>
      <c r="G126" s="312">
        <v>3304116.71</v>
      </c>
      <c r="H126" s="312">
        <v>3304116.71</v>
      </c>
      <c r="I126" s="314">
        <v>15734.02</v>
      </c>
      <c r="J126" s="310">
        <f t="shared" si="7"/>
        <v>4.7619443805905996E-3</v>
      </c>
      <c r="M126" s="22">
        <f t="shared" si="5"/>
        <v>670</v>
      </c>
      <c r="N126" s="67">
        <v>43951</v>
      </c>
      <c r="O126" s="22">
        <f t="shared" si="6"/>
        <v>610</v>
      </c>
      <c r="P126" s="311">
        <f t="shared" si="8"/>
        <v>8.9552238805970144E-2</v>
      </c>
    </row>
    <row r="127" spans="1:16" ht="18.75" customHeight="1">
      <c r="A127" s="286">
        <f t="shared" si="9"/>
        <v>91</v>
      </c>
      <c r="B127" s="313" t="s">
        <v>2898</v>
      </c>
      <c r="C127" s="312" t="s">
        <v>2899</v>
      </c>
      <c r="D127" s="66">
        <v>43831</v>
      </c>
      <c r="E127" s="67">
        <v>44196</v>
      </c>
      <c r="F127" s="70">
        <v>0.32876712328767121</v>
      </c>
      <c r="G127" s="312">
        <v>545554.28</v>
      </c>
      <c r="H127" s="312">
        <v>545554.28</v>
      </c>
      <c r="I127" s="314">
        <v>218221.76</v>
      </c>
      <c r="J127" s="310">
        <f t="shared" si="7"/>
        <v>0.40000008798391246</v>
      </c>
      <c r="M127" s="22">
        <f t="shared" si="5"/>
        <v>365</v>
      </c>
      <c r="N127" s="67">
        <v>43951</v>
      </c>
      <c r="O127" s="22">
        <f t="shared" si="6"/>
        <v>245</v>
      </c>
      <c r="P127" s="311">
        <f t="shared" si="8"/>
        <v>0.32876712328767121</v>
      </c>
    </row>
    <row r="128" spans="1:16" ht="18.75" customHeight="1">
      <c r="A128" s="286">
        <f t="shared" si="9"/>
        <v>92</v>
      </c>
      <c r="B128" s="313" t="s">
        <v>2900</v>
      </c>
      <c r="C128" s="312" t="s">
        <v>2901</v>
      </c>
      <c r="D128" s="66">
        <v>43831</v>
      </c>
      <c r="E128" s="67">
        <v>44196</v>
      </c>
      <c r="F128" s="70">
        <v>0.32876712328767121</v>
      </c>
      <c r="G128" s="312">
        <v>603214.48</v>
      </c>
      <c r="H128" s="312">
        <v>603214.48</v>
      </c>
      <c r="I128" s="314">
        <v>241285.76000000001</v>
      </c>
      <c r="J128" s="310">
        <f t="shared" si="7"/>
        <v>0.3999999469508756</v>
      </c>
      <c r="M128" s="22">
        <f t="shared" si="5"/>
        <v>365</v>
      </c>
      <c r="N128" s="67">
        <v>43951</v>
      </c>
      <c r="O128" s="22">
        <f t="shared" si="6"/>
        <v>245</v>
      </c>
      <c r="P128" s="311">
        <f t="shared" si="8"/>
        <v>0.32876712328767121</v>
      </c>
    </row>
    <row r="129" spans="1:16" ht="18.75" customHeight="1">
      <c r="A129" s="286">
        <f t="shared" si="9"/>
        <v>93</v>
      </c>
      <c r="B129" s="313" t="s">
        <v>2902</v>
      </c>
      <c r="C129" s="312" t="s">
        <v>2903</v>
      </c>
      <c r="D129" s="66">
        <v>43831</v>
      </c>
      <c r="E129" s="67">
        <v>44196</v>
      </c>
      <c r="F129" s="70">
        <v>0.32876712328767121</v>
      </c>
      <c r="G129" s="312">
        <v>621843.30000000005</v>
      </c>
      <c r="H129" s="312">
        <v>621843.30000000005</v>
      </c>
      <c r="I129" s="314">
        <v>300557.59999999998</v>
      </c>
      <c r="J129" s="310">
        <f t="shared" si="7"/>
        <v>0.48333334137394413</v>
      </c>
      <c r="M129" s="22">
        <f t="shared" si="5"/>
        <v>365</v>
      </c>
      <c r="N129" s="67">
        <v>43951</v>
      </c>
      <c r="O129" s="22">
        <f t="shared" si="6"/>
        <v>245</v>
      </c>
      <c r="P129" s="311">
        <f t="shared" si="8"/>
        <v>0.32876712328767121</v>
      </c>
    </row>
    <row r="130" spans="1:16" ht="18.75" customHeight="1">
      <c r="A130" s="286">
        <f t="shared" si="9"/>
        <v>94</v>
      </c>
      <c r="B130" s="313" t="s">
        <v>2904</v>
      </c>
      <c r="C130" s="312" t="s">
        <v>2905</v>
      </c>
      <c r="D130" s="66">
        <v>43831</v>
      </c>
      <c r="E130" s="67">
        <v>44196</v>
      </c>
      <c r="F130" s="70">
        <v>0.32876712328767121</v>
      </c>
      <c r="G130" s="312">
        <v>705228.76</v>
      </c>
      <c r="H130" s="312">
        <v>705228.76</v>
      </c>
      <c r="I130" s="314">
        <v>282091.56</v>
      </c>
      <c r="J130" s="310">
        <f t="shared" si="7"/>
        <v>0.400000079406858</v>
      </c>
      <c r="M130" s="22">
        <f t="shared" si="5"/>
        <v>365</v>
      </c>
      <c r="N130" s="67">
        <v>43951</v>
      </c>
      <c r="O130" s="22">
        <f t="shared" si="6"/>
        <v>245</v>
      </c>
      <c r="P130" s="311">
        <f t="shared" si="8"/>
        <v>0.32876712328767121</v>
      </c>
    </row>
    <row r="131" spans="1:16" ht="18.75" customHeight="1">
      <c r="A131" s="286">
        <f t="shared" si="9"/>
        <v>95</v>
      </c>
      <c r="B131" s="313" t="s">
        <v>2906</v>
      </c>
      <c r="C131" s="312" t="s">
        <v>2907</v>
      </c>
      <c r="D131" s="66">
        <v>43922</v>
      </c>
      <c r="E131" s="67">
        <v>44286</v>
      </c>
      <c r="F131" s="70">
        <v>7.9670329670329665E-2</v>
      </c>
      <c r="G131" s="312">
        <v>621869.26</v>
      </c>
      <c r="H131" s="312">
        <v>621869.26</v>
      </c>
      <c r="I131" s="314">
        <v>62184.33</v>
      </c>
      <c r="J131" s="310">
        <f t="shared" si="7"/>
        <v>9.9995825489106821E-2</v>
      </c>
      <c r="M131" s="22">
        <f t="shared" si="5"/>
        <v>364</v>
      </c>
      <c r="N131" s="67">
        <v>43951</v>
      </c>
      <c r="O131" s="22">
        <f t="shared" si="6"/>
        <v>335</v>
      </c>
      <c r="P131" s="311">
        <f t="shared" si="8"/>
        <v>7.9670329670329665E-2</v>
      </c>
    </row>
    <row r="132" spans="1:16" ht="18.75" customHeight="1">
      <c r="A132" s="286">
        <f t="shared" si="9"/>
        <v>96</v>
      </c>
      <c r="B132" s="313" t="s">
        <v>2908</v>
      </c>
      <c r="C132" s="312" t="s">
        <v>2909</v>
      </c>
      <c r="D132" s="66">
        <v>43922</v>
      </c>
      <c r="E132" s="67">
        <v>44286</v>
      </c>
      <c r="F132" s="70">
        <v>7.9670329670329665E-2</v>
      </c>
      <c r="G132" s="312">
        <v>724925.78</v>
      </c>
      <c r="H132" s="312">
        <v>724925.78</v>
      </c>
      <c r="I132" s="314">
        <v>72563.149999999994</v>
      </c>
      <c r="J132" s="310">
        <f t="shared" si="7"/>
        <v>0.10009735065567676</v>
      </c>
      <c r="M132" s="22">
        <f t="shared" si="5"/>
        <v>364</v>
      </c>
      <c r="N132" s="67">
        <v>43951</v>
      </c>
      <c r="O132" s="22">
        <f t="shared" si="6"/>
        <v>335</v>
      </c>
      <c r="P132" s="311">
        <f t="shared" si="8"/>
        <v>7.9670329670329665E-2</v>
      </c>
    </row>
    <row r="133" spans="1:16" ht="18.75" customHeight="1">
      <c r="A133" s="286">
        <f t="shared" si="9"/>
        <v>97</v>
      </c>
      <c r="B133" s="313" t="s">
        <v>2910</v>
      </c>
      <c r="C133" s="312" t="s">
        <v>2911</v>
      </c>
      <c r="D133" s="66">
        <v>43831</v>
      </c>
      <c r="E133" s="67">
        <v>44377</v>
      </c>
      <c r="F133" s="70">
        <v>0.21978021978021978</v>
      </c>
      <c r="G133" s="312">
        <v>1038792.7799999999</v>
      </c>
      <c r="H133" s="312">
        <v>1038792.7799999999</v>
      </c>
      <c r="I133" s="314">
        <v>319490.40000000002</v>
      </c>
      <c r="J133" s="310">
        <f t="shared" si="7"/>
        <v>0.30755931900104277</v>
      </c>
      <c r="M133" s="22">
        <f t="shared" si="5"/>
        <v>546</v>
      </c>
      <c r="N133" s="67">
        <v>43951</v>
      </c>
      <c r="O133" s="22">
        <f t="shared" si="6"/>
        <v>426</v>
      </c>
      <c r="P133" s="311">
        <f t="shared" si="8"/>
        <v>0.21978021978021978</v>
      </c>
    </row>
    <row r="134" spans="1:16" ht="18.75" customHeight="1">
      <c r="A134" s="286">
        <f t="shared" si="9"/>
        <v>98</v>
      </c>
      <c r="B134" s="313" t="s">
        <v>2912</v>
      </c>
      <c r="C134" s="312" t="s">
        <v>2913</v>
      </c>
      <c r="D134" s="66">
        <v>43617</v>
      </c>
      <c r="E134" s="67">
        <v>44196</v>
      </c>
      <c r="F134" s="70">
        <v>0.57685664939550951</v>
      </c>
      <c r="G134" s="312">
        <v>133218.47999999998</v>
      </c>
      <c r="H134" s="312">
        <v>133218.47999999998</v>
      </c>
      <c r="I134" s="314">
        <v>123460.59999999999</v>
      </c>
      <c r="J134" s="310">
        <f t="shared" si="7"/>
        <v>0.92675280486611178</v>
      </c>
      <c r="M134" s="22">
        <f t="shared" si="5"/>
        <v>579</v>
      </c>
      <c r="N134" s="67">
        <v>43951</v>
      </c>
      <c r="O134" s="22">
        <f t="shared" si="6"/>
        <v>245</v>
      </c>
      <c r="P134" s="311">
        <f t="shared" si="8"/>
        <v>0.57685664939550951</v>
      </c>
    </row>
    <row r="135" spans="1:16" ht="18.75" customHeight="1">
      <c r="A135" s="286">
        <f t="shared" si="9"/>
        <v>99</v>
      </c>
      <c r="B135" s="313" t="s">
        <v>2914</v>
      </c>
      <c r="C135" s="312" t="s">
        <v>2915</v>
      </c>
      <c r="D135" s="66">
        <v>43617</v>
      </c>
      <c r="E135" s="67">
        <v>44196</v>
      </c>
      <c r="F135" s="70">
        <v>0.57685664939550951</v>
      </c>
      <c r="G135" s="312">
        <v>266436.8</v>
      </c>
      <c r="H135" s="312">
        <v>266436.8</v>
      </c>
      <c r="I135" s="314">
        <v>246921.03999999998</v>
      </c>
      <c r="J135" s="310">
        <f t="shared" si="7"/>
        <v>0.92675276087987846</v>
      </c>
      <c r="M135" s="22">
        <f t="shared" si="5"/>
        <v>579</v>
      </c>
      <c r="N135" s="67">
        <v>43951</v>
      </c>
      <c r="O135" s="22">
        <f t="shared" si="6"/>
        <v>245</v>
      </c>
      <c r="P135" s="311">
        <f t="shared" si="8"/>
        <v>0.57685664939550951</v>
      </c>
    </row>
    <row r="136" spans="1:16" ht="18.75" customHeight="1">
      <c r="A136" s="286">
        <f t="shared" si="9"/>
        <v>100</v>
      </c>
      <c r="B136" s="313" t="s">
        <v>2916</v>
      </c>
      <c r="C136" s="312" t="s">
        <v>2917</v>
      </c>
      <c r="D136" s="66">
        <v>43617</v>
      </c>
      <c r="E136" s="67">
        <v>44196</v>
      </c>
      <c r="F136" s="70">
        <v>0.57685664939550951</v>
      </c>
      <c r="G136" s="312">
        <v>178513.88</v>
      </c>
      <c r="H136" s="312">
        <v>178513.88</v>
      </c>
      <c r="I136" s="314">
        <v>171417.22999999998</v>
      </c>
      <c r="J136" s="310">
        <f t="shared" si="7"/>
        <v>0.96024594838227695</v>
      </c>
      <c r="M136" s="22">
        <f t="shared" si="5"/>
        <v>579</v>
      </c>
      <c r="N136" s="67">
        <v>43951</v>
      </c>
      <c r="O136" s="22">
        <f t="shared" si="6"/>
        <v>245</v>
      </c>
      <c r="P136" s="311">
        <f t="shared" si="8"/>
        <v>0.57685664939550951</v>
      </c>
    </row>
    <row r="137" spans="1:16" ht="18.75" customHeight="1">
      <c r="A137" s="286">
        <f t="shared" si="9"/>
        <v>101</v>
      </c>
      <c r="B137" s="313" t="s">
        <v>2720</v>
      </c>
      <c r="C137" s="312" t="s">
        <v>2721</v>
      </c>
      <c r="D137" s="66">
        <v>43252</v>
      </c>
      <c r="E137" s="67">
        <v>44196</v>
      </c>
      <c r="F137" s="70">
        <v>0.74046610169491522</v>
      </c>
      <c r="G137" s="312">
        <v>2229903.2400000002</v>
      </c>
      <c r="H137" s="312">
        <v>2229903.2400000002</v>
      </c>
      <c r="I137" s="314">
        <v>787569.09000000008</v>
      </c>
      <c r="J137" s="310">
        <f t="shared" si="7"/>
        <v>0.35318532027425548</v>
      </c>
      <c r="M137" s="22">
        <f t="shared" si="5"/>
        <v>944</v>
      </c>
      <c r="N137" s="67">
        <v>43951</v>
      </c>
      <c r="O137" s="22">
        <f t="shared" si="6"/>
        <v>245</v>
      </c>
      <c r="P137" s="311">
        <f t="shared" si="8"/>
        <v>0.74046610169491522</v>
      </c>
    </row>
    <row r="138" spans="1:16" ht="18.75" customHeight="1">
      <c r="A138" s="286">
        <f t="shared" si="9"/>
        <v>102</v>
      </c>
      <c r="B138" s="313" t="s">
        <v>2918</v>
      </c>
      <c r="C138" s="312" t="s">
        <v>2919</v>
      </c>
      <c r="D138" s="66">
        <v>43466</v>
      </c>
      <c r="E138" s="67">
        <v>44196</v>
      </c>
      <c r="F138" s="70">
        <v>0.66438356164383561</v>
      </c>
      <c r="G138" s="312">
        <v>44384.990000000005</v>
      </c>
      <c r="H138" s="312">
        <v>44384.990000000005</v>
      </c>
      <c r="I138" s="314">
        <v>36397.730000000003</v>
      </c>
      <c r="J138" s="310">
        <f t="shared" si="7"/>
        <v>0.82004592092957551</v>
      </c>
      <c r="M138" s="22">
        <f t="shared" si="5"/>
        <v>730</v>
      </c>
      <c r="N138" s="67">
        <v>43951</v>
      </c>
      <c r="O138" s="22">
        <f t="shared" si="6"/>
        <v>245</v>
      </c>
      <c r="P138" s="311">
        <f t="shared" si="8"/>
        <v>0.66438356164383561</v>
      </c>
    </row>
    <row r="139" spans="1:16" ht="18.75" customHeight="1">
      <c r="A139" s="286">
        <f t="shared" si="9"/>
        <v>103</v>
      </c>
      <c r="B139" s="313" t="s">
        <v>2920</v>
      </c>
      <c r="C139" s="312" t="s">
        <v>2921</v>
      </c>
      <c r="D139" s="66">
        <v>43466</v>
      </c>
      <c r="E139" s="67">
        <v>44196</v>
      </c>
      <c r="F139" s="70">
        <v>0.66438356164383561</v>
      </c>
      <c r="G139" s="312">
        <v>87340.32</v>
      </c>
      <c r="H139" s="312">
        <v>87340.32</v>
      </c>
      <c r="I139" s="314">
        <v>54735.12</v>
      </c>
      <c r="J139" s="310">
        <f t="shared" si="7"/>
        <v>0.62668788023675659</v>
      </c>
      <c r="M139" s="22">
        <f t="shared" si="5"/>
        <v>730</v>
      </c>
      <c r="N139" s="67">
        <v>43951</v>
      </c>
      <c r="O139" s="22">
        <f t="shared" si="6"/>
        <v>245</v>
      </c>
      <c r="P139" s="311">
        <f t="shared" si="8"/>
        <v>0.66438356164383561</v>
      </c>
    </row>
    <row r="140" spans="1:16" ht="18.75" customHeight="1">
      <c r="A140" s="286">
        <f t="shared" si="9"/>
        <v>104</v>
      </c>
      <c r="B140" s="313" t="s">
        <v>2722</v>
      </c>
      <c r="C140" s="312" t="s">
        <v>2723</v>
      </c>
      <c r="D140" s="66">
        <v>43101</v>
      </c>
      <c r="E140" s="67">
        <v>44135</v>
      </c>
      <c r="F140" s="70">
        <v>0.82205029013539654</v>
      </c>
      <c r="G140" s="312">
        <v>448500</v>
      </c>
      <c r="H140" s="312">
        <v>1966310.0016000001</v>
      </c>
      <c r="I140" s="314">
        <v>1180790.3759999999</v>
      </c>
      <c r="J140" s="310">
        <f t="shared" si="7"/>
        <v>0.60051079180759015</v>
      </c>
      <c r="M140" s="22">
        <f t="shared" si="5"/>
        <v>1034</v>
      </c>
      <c r="N140" s="67">
        <v>43951</v>
      </c>
      <c r="O140" s="22">
        <f t="shared" si="6"/>
        <v>184</v>
      </c>
      <c r="P140" s="311">
        <f t="shared" si="8"/>
        <v>0.82205029013539654</v>
      </c>
    </row>
    <row r="141" spans="1:16" ht="18.75" customHeight="1">
      <c r="A141" s="286">
        <f t="shared" si="9"/>
        <v>105</v>
      </c>
      <c r="B141" s="313" t="s">
        <v>2922</v>
      </c>
      <c r="C141" s="312" t="s">
        <v>2923</v>
      </c>
      <c r="D141" s="66">
        <v>43466</v>
      </c>
      <c r="E141" s="67">
        <v>44561</v>
      </c>
      <c r="F141" s="70">
        <v>0.44292237442922372</v>
      </c>
      <c r="G141" s="312">
        <v>10073958.6</v>
      </c>
      <c r="H141" s="312">
        <v>7234909.564199999</v>
      </c>
      <c r="I141" s="314">
        <v>2832595.500299999</v>
      </c>
      <c r="J141" s="310">
        <f t="shared" si="7"/>
        <v>0.3915177481023861</v>
      </c>
      <c r="M141" s="22">
        <f t="shared" si="5"/>
        <v>1095</v>
      </c>
      <c r="N141" s="67">
        <v>43951</v>
      </c>
      <c r="O141" s="22">
        <f t="shared" si="6"/>
        <v>610</v>
      </c>
      <c r="P141" s="311">
        <f t="shared" si="8"/>
        <v>0.44292237442922372</v>
      </c>
    </row>
    <row r="142" spans="1:16" ht="18.75" customHeight="1">
      <c r="A142" s="286">
        <f t="shared" si="9"/>
        <v>106</v>
      </c>
      <c r="B142" s="313" t="s">
        <v>2924</v>
      </c>
      <c r="C142" s="312" t="s">
        <v>2925</v>
      </c>
      <c r="D142" s="66">
        <v>43466</v>
      </c>
      <c r="E142" s="67">
        <v>44074</v>
      </c>
      <c r="F142" s="70">
        <v>0.79769736842105265</v>
      </c>
      <c r="G142" s="312">
        <v>310541.82089999999</v>
      </c>
      <c r="H142" s="312">
        <v>310541.82089999999</v>
      </c>
      <c r="I142" s="314">
        <v>233256.07320000001</v>
      </c>
      <c r="J142" s="310">
        <f t="shared" si="7"/>
        <v>0.75112612054629713</v>
      </c>
      <c r="M142" s="22">
        <f t="shared" si="5"/>
        <v>608</v>
      </c>
      <c r="N142" s="67">
        <v>43951</v>
      </c>
      <c r="O142" s="22">
        <f t="shared" si="6"/>
        <v>123</v>
      </c>
      <c r="P142" s="311">
        <f t="shared" si="8"/>
        <v>0.79769736842105265</v>
      </c>
    </row>
    <row r="143" spans="1:16" ht="18.75" customHeight="1">
      <c r="A143" s="286">
        <f t="shared" si="9"/>
        <v>107</v>
      </c>
      <c r="B143" s="313" t="s">
        <v>2926</v>
      </c>
      <c r="C143" s="312" t="s">
        <v>2927</v>
      </c>
      <c r="D143" s="66">
        <v>43466</v>
      </c>
      <c r="E143" s="67">
        <v>45291</v>
      </c>
      <c r="F143" s="70">
        <v>0.26575342465753427</v>
      </c>
      <c r="G143" s="312">
        <v>1817479.0370999998</v>
      </c>
      <c r="H143" s="312">
        <v>1817479.0370999998</v>
      </c>
      <c r="I143" s="314">
        <v>381375.49589999998</v>
      </c>
      <c r="J143" s="310">
        <f t="shared" si="7"/>
        <v>0.20983763119960336</v>
      </c>
      <c r="M143" s="22">
        <f t="shared" si="5"/>
        <v>1825</v>
      </c>
      <c r="N143" s="67">
        <v>43951</v>
      </c>
      <c r="O143" s="22">
        <f t="shared" si="6"/>
        <v>1340</v>
      </c>
      <c r="P143" s="311">
        <f t="shared" si="8"/>
        <v>0.26575342465753427</v>
      </c>
    </row>
    <row r="144" spans="1:16" ht="18.75" customHeight="1">
      <c r="A144" s="286">
        <f t="shared" si="9"/>
        <v>108</v>
      </c>
      <c r="B144" s="313" t="s">
        <v>2928</v>
      </c>
      <c r="C144" s="312" t="s">
        <v>2929</v>
      </c>
      <c r="D144" s="66">
        <v>43831</v>
      </c>
      <c r="E144" s="67">
        <v>44196</v>
      </c>
      <c r="F144" s="70">
        <v>0.32876712328767121</v>
      </c>
      <c r="G144" s="312">
        <v>25905.599999999999</v>
      </c>
      <c r="H144" s="312">
        <v>113721.21149999999</v>
      </c>
      <c r="I144" s="314">
        <v>57571.481699999989</v>
      </c>
      <c r="J144" s="310">
        <f t="shared" si="7"/>
        <v>0.50625104095026274</v>
      </c>
      <c r="M144" s="22">
        <f t="shared" si="5"/>
        <v>365</v>
      </c>
      <c r="N144" s="67">
        <v>43951</v>
      </c>
      <c r="O144" s="22">
        <f t="shared" si="6"/>
        <v>245</v>
      </c>
      <c r="P144" s="311">
        <f t="shared" si="8"/>
        <v>0.32876712328767121</v>
      </c>
    </row>
    <row r="145" spans="1:16" ht="18.75" customHeight="1">
      <c r="A145" s="286">
        <f t="shared" si="9"/>
        <v>109</v>
      </c>
      <c r="B145" s="313" t="s">
        <v>2930</v>
      </c>
      <c r="C145" s="312" t="s">
        <v>2931</v>
      </c>
      <c r="D145" s="66">
        <v>43831</v>
      </c>
      <c r="E145" s="67">
        <v>44196</v>
      </c>
      <c r="F145" s="70">
        <v>0.32876712328767121</v>
      </c>
      <c r="G145" s="312">
        <v>79800</v>
      </c>
      <c r="H145" s="312">
        <v>75900</v>
      </c>
      <c r="I145" s="314">
        <v>7589.9999999999991</v>
      </c>
      <c r="J145" s="310">
        <f t="shared" si="7"/>
        <v>9.9999999999999992E-2</v>
      </c>
      <c r="M145" s="22">
        <f t="shared" si="5"/>
        <v>365</v>
      </c>
      <c r="N145" s="67">
        <v>43951</v>
      </c>
      <c r="O145" s="22">
        <f t="shared" si="6"/>
        <v>245</v>
      </c>
      <c r="P145" s="311">
        <f t="shared" si="8"/>
        <v>0.32876712328767121</v>
      </c>
    </row>
    <row r="146" spans="1:16" ht="18.75" customHeight="1">
      <c r="A146" s="286">
        <f t="shared" si="9"/>
        <v>110</v>
      </c>
      <c r="B146" s="313" t="s">
        <v>2932</v>
      </c>
      <c r="C146" s="312" t="s">
        <v>2933</v>
      </c>
      <c r="D146" s="66">
        <v>43831</v>
      </c>
      <c r="E146" s="67">
        <v>44196</v>
      </c>
      <c r="F146" s="70">
        <v>0.32876712328767121</v>
      </c>
      <c r="G146" s="312">
        <v>899345.93099999987</v>
      </c>
      <c r="H146" s="312">
        <v>443011.67790000001</v>
      </c>
      <c r="I146" s="314">
        <v>69941.849999999991</v>
      </c>
      <c r="J146" s="310">
        <f t="shared" si="7"/>
        <v>0.15787811809283231</v>
      </c>
      <c r="M146" s="22">
        <f t="shared" si="5"/>
        <v>365</v>
      </c>
      <c r="N146" s="67">
        <v>43951</v>
      </c>
      <c r="O146" s="22">
        <f t="shared" si="6"/>
        <v>245</v>
      </c>
      <c r="P146" s="311">
        <f t="shared" si="8"/>
        <v>0.32876712328767121</v>
      </c>
    </row>
    <row r="147" spans="1:16" ht="18.75" customHeight="1">
      <c r="A147" s="286">
        <f t="shared" si="9"/>
        <v>111</v>
      </c>
      <c r="B147" s="313" t="s">
        <v>2934</v>
      </c>
      <c r="C147" s="312" t="s">
        <v>2935</v>
      </c>
      <c r="D147" s="66">
        <v>43831</v>
      </c>
      <c r="E147" s="67">
        <v>44196</v>
      </c>
      <c r="F147" s="70">
        <v>0.32876712328767121</v>
      </c>
      <c r="G147" s="312">
        <v>147411.42059999995</v>
      </c>
      <c r="H147" s="312">
        <v>74208.306299999997</v>
      </c>
      <c r="I147" s="314">
        <v>18884.299499999997</v>
      </c>
      <c r="J147" s="310">
        <f t="shared" si="7"/>
        <v>0.25447689674599133</v>
      </c>
      <c r="M147" s="22">
        <f t="shared" si="5"/>
        <v>365</v>
      </c>
      <c r="N147" s="67">
        <v>43951</v>
      </c>
      <c r="O147" s="22">
        <f t="shared" si="6"/>
        <v>245</v>
      </c>
      <c r="P147" s="311">
        <f t="shared" si="8"/>
        <v>0.32876712328767121</v>
      </c>
    </row>
    <row r="148" spans="1:16" ht="18.75" customHeight="1">
      <c r="A148" s="286">
        <f t="shared" si="9"/>
        <v>112</v>
      </c>
      <c r="B148" s="313" t="s">
        <v>2936</v>
      </c>
      <c r="C148" s="312" t="s">
        <v>2937</v>
      </c>
      <c r="D148" s="66">
        <v>43831</v>
      </c>
      <c r="E148" s="67">
        <v>44196</v>
      </c>
      <c r="F148" s="70">
        <v>0.32876712328767121</v>
      </c>
      <c r="G148" s="312">
        <v>628527.78960000002</v>
      </c>
      <c r="H148" s="312">
        <v>313968.9681</v>
      </c>
      <c r="I148" s="314">
        <v>84559.700100000002</v>
      </c>
      <c r="J148" s="310">
        <f t="shared" si="7"/>
        <v>0.26932502473641756</v>
      </c>
      <c r="M148" s="22">
        <f t="shared" si="5"/>
        <v>365</v>
      </c>
      <c r="N148" s="67">
        <v>43951</v>
      </c>
      <c r="O148" s="22">
        <f t="shared" si="6"/>
        <v>245</v>
      </c>
      <c r="P148" s="311">
        <f t="shared" si="8"/>
        <v>0.32876712328767121</v>
      </c>
    </row>
    <row r="149" spans="1:16" ht="18.75" customHeight="1">
      <c r="A149" s="286">
        <f t="shared" si="9"/>
        <v>113</v>
      </c>
      <c r="B149" s="313" t="s">
        <v>2734</v>
      </c>
      <c r="C149" s="312" t="s">
        <v>2735</v>
      </c>
      <c r="D149" s="66">
        <v>43119</v>
      </c>
      <c r="E149" s="67">
        <v>44012</v>
      </c>
      <c r="F149" s="70">
        <v>0.93169092945128784</v>
      </c>
      <c r="G149" s="312">
        <v>2432278.7936999998</v>
      </c>
      <c r="H149" s="312">
        <v>2432278.7936999998</v>
      </c>
      <c r="I149" s="314">
        <v>1397277.8966999997</v>
      </c>
      <c r="J149" s="310">
        <f t="shared" si="7"/>
        <v>0.57447275383034957</v>
      </c>
      <c r="M149" s="22">
        <f t="shared" si="5"/>
        <v>893</v>
      </c>
      <c r="N149" s="67">
        <v>43951</v>
      </c>
      <c r="O149" s="22">
        <f t="shared" si="6"/>
        <v>61</v>
      </c>
      <c r="P149" s="311">
        <f t="shared" si="8"/>
        <v>0.93169092945128784</v>
      </c>
    </row>
    <row r="150" spans="1:16" ht="18.75" customHeight="1">
      <c r="A150" s="286">
        <f t="shared" si="9"/>
        <v>114</v>
      </c>
      <c r="B150" s="313" t="s">
        <v>2938</v>
      </c>
      <c r="C150" s="312" t="s">
        <v>2939</v>
      </c>
      <c r="D150" s="66">
        <v>43466</v>
      </c>
      <c r="E150" s="67">
        <v>44196</v>
      </c>
      <c r="F150" s="70">
        <v>0.66438356164383561</v>
      </c>
      <c r="G150" s="312">
        <v>88000</v>
      </c>
      <c r="H150" s="312">
        <v>88000</v>
      </c>
      <c r="I150" s="314">
        <v>58666.8</v>
      </c>
      <c r="J150" s="310">
        <f t="shared" si="7"/>
        <v>0.66666818181818188</v>
      </c>
      <c r="M150" s="22">
        <f t="shared" si="5"/>
        <v>730</v>
      </c>
      <c r="N150" s="67">
        <v>43951</v>
      </c>
      <c r="O150" s="22">
        <f t="shared" si="6"/>
        <v>245</v>
      </c>
      <c r="P150" s="311">
        <f t="shared" si="8"/>
        <v>0.66438356164383561</v>
      </c>
    </row>
    <row r="151" spans="1:16" ht="18.75" customHeight="1">
      <c r="A151" s="286">
        <f t="shared" si="9"/>
        <v>115</v>
      </c>
      <c r="B151" s="313" t="s">
        <v>2736</v>
      </c>
      <c r="C151" s="312" t="s">
        <v>2737</v>
      </c>
      <c r="D151" s="66">
        <v>42583</v>
      </c>
      <c r="E151" s="67">
        <v>46022</v>
      </c>
      <c r="F151" s="70">
        <v>0.39779005524861877</v>
      </c>
      <c r="G151" s="312">
        <v>1649734.8896999997</v>
      </c>
      <c r="H151" s="312">
        <v>1649734.8896999997</v>
      </c>
      <c r="I151" s="314">
        <v>1649734.8896999997</v>
      </c>
      <c r="J151" s="310">
        <f t="shared" si="7"/>
        <v>1</v>
      </c>
      <c r="M151" s="22">
        <f t="shared" si="5"/>
        <v>3439</v>
      </c>
      <c r="N151" s="67">
        <v>43951</v>
      </c>
      <c r="O151" s="22">
        <f t="shared" si="6"/>
        <v>2071</v>
      </c>
      <c r="P151" s="311">
        <f t="shared" si="8"/>
        <v>0.39779005524861877</v>
      </c>
    </row>
    <row r="152" spans="1:16" ht="18.75" customHeight="1">
      <c r="A152" s="286">
        <f t="shared" si="9"/>
        <v>116</v>
      </c>
      <c r="B152" s="313" t="s">
        <v>1551</v>
      </c>
      <c r="C152" s="312" t="s">
        <v>1552</v>
      </c>
      <c r="D152" s="66">
        <v>43466</v>
      </c>
      <c r="E152" s="67">
        <v>44196</v>
      </c>
      <c r="F152" s="70">
        <v>0.66438356164383561</v>
      </c>
      <c r="G152" s="312">
        <v>207000.06899999996</v>
      </c>
      <c r="H152" s="312">
        <v>207000</v>
      </c>
      <c r="I152" s="314">
        <v>155250</v>
      </c>
      <c r="J152" s="310">
        <f t="shared" si="7"/>
        <v>0.75</v>
      </c>
      <c r="M152" s="22">
        <f t="shared" si="5"/>
        <v>730</v>
      </c>
      <c r="N152" s="67">
        <v>43951</v>
      </c>
      <c r="O152" s="22">
        <f t="shared" si="6"/>
        <v>245</v>
      </c>
      <c r="P152" s="311">
        <f t="shared" si="8"/>
        <v>0.66438356164383561</v>
      </c>
    </row>
    <row r="153" spans="1:16" ht="18.75" customHeight="1">
      <c r="A153" s="286">
        <f t="shared" si="9"/>
        <v>117</v>
      </c>
      <c r="B153" s="313" t="s">
        <v>1566</v>
      </c>
      <c r="C153" s="312" t="s">
        <v>2940</v>
      </c>
      <c r="D153" s="66">
        <v>43466</v>
      </c>
      <c r="E153" s="67">
        <v>44196</v>
      </c>
      <c r="F153" s="70">
        <v>0.66438356164383561</v>
      </c>
      <c r="G153" s="312">
        <v>288420</v>
      </c>
      <c r="H153" s="312">
        <v>452873.55809999991</v>
      </c>
      <c r="I153" s="314">
        <v>407640.92549999995</v>
      </c>
      <c r="J153" s="310">
        <f t="shared" si="7"/>
        <v>0.90012083551583277</v>
      </c>
      <c r="M153" s="22">
        <f t="shared" si="5"/>
        <v>730</v>
      </c>
      <c r="N153" s="67">
        <v>43951</v>
      </c>
      <c r="O153" s="22">
        <f t="shared" si="6"/>
        <v>245</v>
      </c>
      <c r="P153" s="311">
        <f t="shared" si="8"/>
        <v>0.66438356164383561</v>
      </c>
    </row>
    <row r="154" spans="1:16" ht="18.75" customHeight="1">
      <c r="A154" s="286">
        <f t="shared" si="9"/>
        <v>118</v>
      </c>
      <c r="B154" s="313" t="s">
        <v>2941</v>
      </c>
      <c r="C154" s="312" t="s">
        <v>2942</v>
      </c>
      <c r="D154" s="66">
        <v>43831</v>
      </c>
      <c r="E154" s="67">
        <v>44196</v>
      </c>
      <c r="F154" s="70">
        <v>0.32876712328767121</v>
      </c>
      <c r="G154" s="312">
        <v>265477.47239999997</v>
      </c>
      <c r="H154" s="312">
        <v>255644.99999999997</v>
      </c>
      <c r="I154" s="314">
        <v>218867.99999999997</v>
      </c>
      <c r="J154" s="310">
        <f t="shared" si="7"/>
        <v>0.85614035087719298</v>
      </c>
      <c r="M154" s="22">
        <f t="shared" si="5"/>
        <v>365</v>
      </c>
      <c r="N154" s="67">
        <v>43951</v>
      </c>
      <c r="O154" s="22">
        <f t="shared" si="6"/>
        <v>245</v>
      </c>
      <c r="P154" s="311">
        <f t="shared" si="8"/>
        <v>0.32876712328767121</v>
      </c>
    </row>
    <row r="155" spans="1:16" ht="18.75" customHeight="1">
      <c r="A155" s="286">
        <f t="shared" si="9"/>
        <v>119</v>
      </c>
      <c r="B155" s="313" t="s">
        <v>2943</v>
      </c>
      <c r="C155" s="312" t="s">
        <v>2944</v>
      </c>
      <c r="D155" s="66">
        <v>43831</v>
      </c>
      <c r="E155" s="67">
        <v>44196</v>
      </c>
      <c r="F155" s="70">
        <v>0.32876712328767121</v>
      </c>
      <c r="G155" s="312">
        <v>353969.83439999999</v>
      </c>
      <c r="H155" s="312">
        <v>340860</v>
      </c>
      <c r="I155" s="314">
        <v>290628</v>
      </c>
      <c r="J155" s="310">
        <f t="shared" si="7"/>
        <v>0.85263157894736841</v>
      </c>
      <c r="M155" s="22">
        <f t="shared" si="5"/>
        <v>365</v>
      </c>
      <c r="N155" s="67">
        <v>43951</v>
      </c>
      <c r="O155" s="22">
        <f t="shared" si="6"/>
        <v>245</v>
      </c>
      <c r="P155" s="311">
        <f t="shared" si="8"/>
        <v>0.32876712328767121</v>
      </c>
    </row>
    <row r="156" spans="1:16" ht="18.75" customHeight="1">
      <c r="A156" s="286">
        <f t="shared" si="9"/>
        <v>120</v>
      </c>
      <c r="B156" s="313" t="s">
        <v>2945</v>
      </c>
      <c r="C156" s="312" t="s">
        <v>2946</v>
      </c>
      <c r="D156" s="66">
        <v>43831</v>
      </c>
      <c r="E156" s="67">
        <v>44196</v>
      </c>
      <c r="F156" s="70">
        <v>0.32876712328767121</v>
      </c>
      <c r="G156" s="312">
        <v>60719.999999999993</v>
      </c>
      <c r="H156" s="312">
        <v>60719.999999999993</v>
      </c>
      <c r="I156" s="314">
        <v>22770</v>
      </c>
      <c r="J156" s="310">
        <f t="shared" si="7"/>
        <v>0.37500000000000006</v>
      </c>
      <c r="M156" s="22">
        <f t="shared" si="5"/>
        <v>365</v>
      </c>
      <c r="N156" s="67">
        <v>43951</v>
      </c>
      <c r="O156" s="22">
        <f t="shared" si="6"/>
        <v>245</v>
      </c>
      <c r="P156" s="311">
        <f t="shared" si="8"/>
        <v>0.32876712328767121</v>
      </c>
    </row>
    <row r="157" spans="1:16" ht="18.75" customHeight="1">
      <c r="A157" s="286">
        <f t="shared" si="9"/>
        <v>121</v>
      </c>
      <c r="B157" s="313" t="s">
        <v>2947</v>
      </c>
      <c r="C157" s="312" t="s">
        <v>2948</v>
      </c>
      <c r="D157" s="66">
        <v>43466</v>
      </c>
      <c r="E157" s="67">
        <v>44196</v>
      </c>
      <c r="F157" s="70">
        <v>0.66438356164383561</v>
      </c>
      <c r="G157" s="312">
        <v>93150</v>
      </c>
      <c r="H157" s="312">
        <v>53820</v>
      </c>
      <c r="I157" s="314">
        <v>32291.999999999996</v>
      </c>
      <c r="J157" s="310">
        <f t="shared" si="7"/>
        <v>0.6</v>
      </c>
      <c r="M157" s="22">
        <f t="shared" si="5"/>
        <v>730</v>
      </c>
      <c r="N157" s="67">
        <v>43951</v>
      </c>
      <c r="O157" s="22">
        <f t="shared" si="6"/>
        <v>245</v>
      </c>
      <c r="P157" s="311">
        <f t="shared" si="8"/>
        <v>0.66438356164383561</v>
      </c>
    </row>
    <row r="158" spans="1:16" ht="18.75" customHeight="1">
      <c r="A158" s="286">
        <f t="shared" si="9"/>
        <v>122</v>
      </c>
      <c r="B158" s="313" t="s">
        <v>2949</v>
      </c>
      <c r="C158" s="312" t="s">
        <v>2950</v>
      </c>
      <c r="D158" s="66">
        <v>43831</v>
      </c>
      <c r="E158" s="67">
        <v>44196</v>
      </c>
      <c r="F158" s="70">
        <v>0.32876712328767121</v>
      </c>
      <c r="G158" s="312">
        <v>151799.98619999998</v>
      </c>
      <c r="H158" s="312">
        <v>151800</v>
      </c>
      <c r="I158" s="314">
        <v>30359.999999999996</v>
      </c>
      <c r="J158" s="310">
        <f t="shared" si="7"/>
        <v>0.19999999999999998</v>
      </c>
      <c r="M158" s="22">
        <f t="shared" si="5"/>
        <v>365</v>
      </c>
      <c r="N158" s="67">
        <v>43951</v>
      </c>
      <c r="O158" s="22">
        <f t="shared" si="6"/>
        <v>245</v>
      </c>
      <c r="P158" s="311">
        <f t="shared" si="8"/>
        <v>0.32876712328767121</v>
      </c>
    </row>
    <row r="159" spans="1:16" ht="18.75" customHeight="1">
      <c r="A159" s="286">
        <f t="shared" si="9"/>
        <v>123</v>
      </c>
      <c r="B159" s="313" t="s">
        <v>2951</v>
      </c>
      <c r="C159" s="312" t="s">
        <v>2952</v>
      </c>
      <c r="D159" s="66">
        <v>43466</v>
      </c>
      <c r="E159" s="67">
        <v>44196</v>
      </c>
      <c r="F159" s="70">
        <v>0.66438356164383561</v>
      </c>
      <c r="G159" s="312">
        <v>372599.97239999997</v>
      </c>
      <c r="H159" s="312">
        <v>1016012.9043000001</v>
      </c>
      <c r="I159" s="314">
        <v>819687.78389999992</v>
      </c>
      <c r="J159" s="310">
        <f t="shared" si="7"/>
        <v>0.80676906802157033</v>
      </c>
      <c r="M159" s="22">
        <f t="shared" si="5"/>
        <v>730</v>
      </c>
      <c r="N159" s="67">
        <v>43951</v>
      </c>
      <c r="O159" s="22">
        <f t="shared" si="6"/>
        <v>245</v>
      </c>
      <c r="P159" s="311">
        <f t="shared" si="8"/>
        <v>0.66438356164383561</v>
      </c>
    </row>
    <row r="160" spans="1:16" ht="18.75" customHeight="1">
      <c r="A160" s="286">
        <f t="shared" si="9"/>
        <v>124</v>
      </c>
      <c r="B160" s="313" t="s">
        <v>2953</v>
      </c>
      <c r="C160" s="312" t="s">
        <v>2954</v>
      </c>
      <c r="D160" s="66">
        <v>43466</v>
      </c>
      <c r="E160" s="67">
        <v>44561</v>
      </c>
      <c r="F160" s="70">
        <v>0.44292237442922372</v>
      </c>
      <c r="G160" s="312">
        <v>558899.78609999991</v>
      </c>
      <c r="H160" s="312">
        <v>1084049.7608999999</v>
      </c>
      <c r="I160" s="314">
        <v>448260.48029999988</v>
      </c>
      <c r="J160" s="310">
        <f t="shared" si="7"/>
        <v>0.41350544639929171</v>
      </c>
      <c r="M160" s="22">
        <f t="shared" si="5"/>
        <v>1095</v>
      </c>
      <c r="N160" s="67">
        <v>43951</v>
      </c>
      <c r="O160" s="22">
        <f t="shared" si="6"/>
        <v>610</v>
      </c>
      <c r="P160" s="311">
        <f t="shared" si="8"/>
        <v>0.44292237442922372</v>
      </c>
    </row>
    <row r="161" spans="1:16" ht="18.75" customHeight="1">
      <c r="A161" s="286">
        <f t="shared" si="9"/>
        <v>125</v>
      </c>
      <c r="B161" s="313" t="s">
        <v>2955</v>
      </c>
      <c r="C161" s="312" t="s">
        <v>2956</v>
      </c>
      <c r="D161" s="66">
        <v>43466</v>
      </c>
      <c r="E161" s="67">
        <v>44196</v>
      </c>
      <c r="F161" s="70">
        <v>0.66438356164383561</v>
      </c>
      <c r="G161" s="312">
        <v>349139.93790000008</v>
      </c>
      <c r="H161" s="312">
        <v>347732.42070000002</v>
      </c>
      <c r="I161" s="314">
        <v>211580.55119999996</v>
      </c>
      <c r="J161" s="310">
        <f t="shared" si="7"/>
        <v>0.60845793663437941</v>
      </c>
      <c r="M161" s="22">
        <f t="shared" si="5"/>
        <v>730</v>
      </c>
      <c r="N161" s="67">
        <v>43951</v>
      </c>
      <c r="O161" s="22">
        <f t="shared" si="6"/>
        <v>245</v>
      </c>
      <c r="P161" s="311">
        <f t="shared" si="8"/>
        <v>0.66438356164383561</v>
      </c>
    </row>
    <row r="162" spans="1:16" ht="18.75" customHeight="1">
      <c r="A162" s="286">
        <f t="shared" si="9"/>
        <v>126</v>
      </c>
      <c r="B162" s="313" t="s">
        <v>2957</v>
      </c>
      <c r="C162" s="312" t="s">
        <v>2958</v>
      </c>
      <c r="D162" s="66">
        <v>43831</v>
      </c>
      <c r="E162" s="67">
        <v>44196</v>
      </c>
      <c r="F162" s="70">
        <v>0.32876712328767121</v>
      </c>
      <c r="G162" s="312">
        <v>143520</v>
      </c>
      <c r="H162" s="312">
        <v>143520</v>
      </c>
      <c r="I162" s="314">
        <v>28703.999999999996</v>
      </c>
      <c r="J162" s="310">
        <f t="shared" si="7"/>
        <v>0.19999999999999998</v>
      </c>
      <c r="M162" s="22">
        <f t="shared" si="5"/>
        <v>365</v>
      </c>
      <c r="N162" s="67">
        <v>43951</v>
      </c>
      <c r="O162" s="22">
        <f t="shared" si="6"/>
        <v>245</v>
      </c>
      <c r="P162" s="311">
        <f t="shared" si="8"/>
        <v>0.32876712328767121</v>
      </c>
    </row>
    <row r="163" spans="1:16" ht="18.75" customHeight="1">
      <c r="A163" s="286">
        <f t="shared" si="9"/>
        <v>127</v>
      </c>
      <c r="B163" s="313" t="s">
        <v>2959</v>
      </c>
      <c r="C163" s="312" t="s">
        <v>2960</v>
      </c>
      <c r="D163" s="66">
        <v>43466</v>
      </c>
      <c r="E163" s="67">
        <v>44196</v>
      </c>
      <c r="F163" s="70">
        <v>0.66438356164383561</v>
      </c>
      <c r="G163" s="312">
        <v>91080</v>
      </c>
      <c r="H163" s="312">
        <v>91080</v>
      </c>
      <c r="I163" s="314">
        <v>75900</v>
      </c>
      <c r="J163" s="310">
        <f t="shared" si="7"/>
        <v>0.83333333333333337</v>
      </c>
      <c r="M163" s="22">
        <f t="shared" si="5"/>
        <v>730</v>
      </c>
      <c r="N163" s="67">
        <v>43951</v>
      </c>
      <c r="O163" s="22">
        <f t="shared" si="6"/>
        <v>245</v>
      </c>
      <c r="P163" s="311">
        <f t="shared" si="8"/>
        <v>0.66438356164383561</v>
      </c>
    </row>
    <row r="164" spans="1:16" ht="18.75" customHeight="1">
      <c r="A164" s="286">
        <f t="shared" si="9"/>
        <v>128</v>
      </c>
      <c r="B164" s="313" t="s">
        <v>2961</v>
      </c>
      <c r="C164" s="312" t="s">
        <v>2962</v>
      </c>
      <c r="D164" s="66">
        <v>43466</v>
      </c>
      <c r="E164" s="67">
        <v>44196</v>
      </c>
      <c r="F164" s="70">
        <v>0.66438356164383561</v>
      </c>
      <c r="G164" s="312">
        <v>243947.36099999998</v>
      </c>
      <c r="H164" s="312">
        <v>243947.36099999998</v>
      </c>
      <c r="I164" s="314">
        <v>170442.98579999999</v>
      </c>
      <c r="J164" s="310">
        <f t="shared" si="7"/>
        <v>0.6986875574358028</v>
      </c>
      <c r="M164" s="22">
        <f t="shared" si="5"/>
        <v>730</v>
      </c>
      <c r="N164" s="67">
        <v>43951</v>
      </c>
      <c r="O164" s="22">
        <f t="shared" si="6"/>
        <v>245</v>
      </c>
      <c r="P164" s="311">
        <f t="shared" si="8"/>
        <v>0.66438356164383561</v>
      </c>
    </row>
    <row r="165" spans="1:16" ht="18.75" customHeight="1">
      <c r="A165" s="286">
        <f t="shared" si="9"/>
        <v>129</v>
      </c>
      <c r="B165" s="313" t="s">
        <v>2963</v>
      </c>
      <c r="C165" s="312" t="s">
        <v>2964</v>
      </c>
      <c r="D165" s="66">
        <v>43466</v>
      </c>
      <c r="E165" s="67">
        <v>44196</v>
      </c>
      <c r="F165" s="70">
        <v>0.66438356164383561</v>
      </c>
      <c r="G165" s="312">
        <v>75900</v>
      </c>
      <c r="H165" s="312">
        <v>75900</v>
      </c>
      <c r="I165" s="314">
        <v>48575.999999999993</v>
      </c>
      <c r="J165" s="310">
        <f t="shared" si="7"/>
        <v>0.6399999999999999</v>
      </c>
      <c r="M165" s="22">
        <f t="shared" ref="M165:M246" si="10">E165-D165</f>
        <v>730</v>
      </c>
      <c r="N165" s="67">
        <v>43951</v>
      </c>
      <c r="O165" s="22">
        <f t="shared" ref="O165:O246" si="11">E165-N165</f>
        <v>245</v>
      </c>
      <c r="P165" s="311">
        <f t="shared" si="8"/>
        <v>0.66438356164383561</v>
      </c>
    </row>
    <row r="166" spans="1:16" ht="18.75" customHeight="1">
      <c r="A166" s="286">
        <f t="shared" si="9"/>
        <v>130</v>
      </c>
      <c r="B166" s="313" t="s">
        <v>2965</v>
      </c>
      <c r="C166" s="312" t="s">
        <v>2966</v>
      </c>
      <c r="D166" s="66">
        <v>43466</v>
      </c>
      <c r="E166" s="67">
        <v>44196</v>
      </c>
      <c r="F166" s="70">
        <v>0.66438356164383561</v>
      </c>
      <c r="G166" s="312">
        <v>687268.1105999999</v>
      </c>
      <c r="H166" s="312">
        <v>687268.1105999999</v>
      </c>
      <c r="I166" s="314">
        <v>446385.6813</v>
      </c>
      <c r="J166" s="310">
        <f t="shared" ref="J166:J224" si="12">I166/H166</f>
        <v>0.64950733842473163</v>
      </c>
      <c r="M166" s="22">
        <f t="shared" si="10"/>
        <v>730</v>
      </c>
      <c r="N166" s="67">
        <v>43951</v>
      </c>
      <c r="O166" s="22">
        <f t="shared" si="11"/>
        <v>245</v>
      </c>
      <c r="P166" s="311">
        <f t="shared" ref="P166:P246" si="13">(M166-O166)/M166</f>
        <v>0.66438356164383561</v>
      </c>
    </row>
    <row r="167" spans="1:16" ht="18.75" customHeight="1">
      <c r="A167" s="286">
        <f t="shared" ref="A167:A248" si="14">A166+1</f>
        <v>131</v>
      </c>
      <c r="B167" s="313" t="s">
        <v>2967</v>
      </c>
      <c r="C167" s="305" t="s">
        <v>2968</v>
      </c>
      <c r="D167" s="66">
        <v>43466</v>
      </c>
      <c r="E167" s="67">
        <v>44196</v>
      </c>
      <c r="F167" s="70">
        <v>0.66438356164383561</v>
      </c>
      <c r="G167" s="312">
        <v>1032509.0654999999</v>
      </c>
      <c r="H167" s="312">
        <v>1032509.0654999999</v>
      </c>
      <c r="I167" s="314">
        <v>877950.61109999986</v>
      </c>
      <c r="J167" s="310">
        <f t="shared" si="12"/>
        <v>0.85030789601333523</v>
      </c>
      <c r="M167" s="22">
        <f t="shared" si="10"/>
        <v>730</v>
      </c>
      <c r="N167" s="67">
        <v>43951</v>
      </c>
      <c r="O167" s="22">
        <f t="shared" si="11"/>
        <v>245</v>
      </c>
      <c r="P167" s="311">
        <f t="shared" si="13"/>
        <v>0.66438356164383561</v>
      </c>
    </row>
    <row r="168" spans="1:16" ht="18.75" customHeight="1">
      <c r="A168" s="286">
        <f t="shared" si="14"/>
        <v>132</v>
      </c>
      <c r="B168" s="313" t="s">
        <v>2969</v>
      </c>
      <c r="C168" s="312" t="s">
        <v>2970</v>
      </c>
      <c r="D168" s="66">
        <v>43831</v>
      </c>
      <c r="E168" s="67">
        <v>44561</v>
      </c>
      <c r="F168" s="70">
        <v>0.16438356164383561</v>
      </c>
      <c r="G168" s="312">
        <v>5626755.4682999998</v>
      </c>
      <c r="H168" s="312">
        <v>5626755.4682999998</v>
      </c>
      <c r="I168" s="314">
        <v>594413.21669999987</v>
      </c>
      <c r="J168" s="310">
        <f t="shared" si="12"/>
        <v>0.10564049211820266</v>
      </c>
      <c r="M168" s="22">
        <f t="shared" si="10"/>
        <v>730</v>
      </c>
      <c r="N168" s="67">
        <v>43951</v>
      </c>
      <c r="O168" s="22">
        <f t="shared" si="11"/>
        <v>610</v>
      </c>
      <c r="P168" s="311">
        <f t="shared" si="13"/>
        <v>0.16438356164383561</v>
      </c>
    </row>
    <row r="169" spans="1:16" s="291" customFormat="1" ht="20.100000000000001" customHeight="1">
      <c r="A169" s="831" t="str">
        <f>$A$1</f>
        <v>LOUISVILLE GAS AND ELECTRIC COMPANY</v>
      </c>
      <c r="B169" s="831"/>
      <c r="C169" s="831"/>
      <c r="D169" s="831"/>
      <c r="E169" s="831"/>
      <c r="F169" s="831"/>
      <c r="G169" s="831"/>
      <c r="H169" s="831"/>
      <c r="I169" s="831"/>
      <c r="J169" s="831"/>
    </row>
    <row r="170" spans="1:16" s="291" customFormat="1" ht="20.100000000000001" customHeight="1">
      <c r="A170" s="831" t="str">
        <f>$A$2</f>
        <v>CASE NO. 2018-00295 - ELECTRIC OPERATIONS</v>
      </c>
      <c r="B170" s="831"/>
      <c r="C170" s="831"/>
      <c r="D170" s="831"/>
      <c r="E170" s="831"/>
      <c r="F170" s="831"/>
      <c r="G170" s="831"/>
      <c r="H170" s="831"/>
      <c r="I170" s="831"/>
      <c r="J170" s="831"/>
    </row>
    <row r="171" spans="1:16" s="291" customFormat="1" ht="20.100000000000001" customHeight="1">
      <c r="A171" s="831" t="s">
        <v>252</v>
      </c>
      <c r="B171" s="831"/>
      <c r="C171" s="831"/>
      <c r="D171" s="831"/>
      <c r="E171" s="831"/>
      <c r="F171" s="831"/>
      <c r="G171" s="831"/>
      <c r="H171" s="831"/>
      <c r="I171" s="831"/>
      <c r="J171" s="831"/>
    </row>
    <row r="172" spans="1:16" s="291" customFormat="1" ht="20.100000000000001" customHeight="1">
      <c r="A172" s="831" t="str">
        <f>$A$4</f>
        <v>AS OF APRIL 30, 2020</v>
      </c>
      <c r="B172" s="831"/>
      <c r="C172" s="831"/>
      <c r="D172" s="831"/>
      <c r="E172" s="831"/>
      <c r="F172" s="831"/>
      <c r="G172" s="831"/>
      <c r="H172" s="831"/>
      <c r="I172" s="831"/>
      <c r="J172" s="831"/>
    </row>
    <row r="173" spans="1:16" s="291" customFormat="1" ht="20.100000000000001" customHeight="1">
      <c r="A173" s="284"/>
      <c r="B173" s="284"/>
      <c r="C173" s="284"/>
      <c r="D173" s="284"/>
      <c r="E173" s="284"/>
      <c r="F173" s="284"/>
      <c r="G173" s="284"/>
      <c r="H173" s="284"/>
      <c r="I173" s="284"/>
      <c r="J173" s="284"/>
    </row>
    <row r="174" spans="1:16" s="291" customFormat="1" ht="20.100000000000001" customHeight="1">
      <c r="A174" s="15" t="str">
        <f>$A$6</f>
        <v>DATA:____BASE  PERIOD__X__FORECASTED  PERIOD</v>
      </c>
      <c r="B174" s="285"/>
      <c r="C174" s="16"/>
      <c r="D174" s="65"/>
      <c r="E174" s="65"/>
      <c r="F174" s="16"/>
      <c r="G174" s="22"/>
      <c r="H174" s="22"/>
      <c r="I174" s="22"/>
      <c r="J174" s="22" t="s">
        <v>981</v>
      </c>
    </row>
    <row r="175" spans="1:16" s="291" customFormat="1" ht="20.100000000000001" customHeight="1">
      <c r="A175" s="15" t="str">
        <f>$A$7</f>
        <v>TYPE OF FILING: _____ ORIGINAL  _____ UPDATED  __X__ REVISED</v>
      </c>
      <c r="B175" s="286"/>
      <c r="C175" s="16"/>
      <c r="D175" s="65"/>
      <c r="E175" s="65"/>
      <c r="F175" s="16"/>
      <c r="G175" s="22"/>
      <c r="H175" s="22"/>
      <c r="I175" s="22"/>
      <c r="J175" s="22" t="s">
        <v>1588</v>
      </c>
    </row>
    <row r="176" spans="1:16" s="291" customFormat="1" ht="20.100000000000001" customHeight="1">
      <c r="A176" s="15" t="str">
        <f>$A$8</f>
        <v>WORKPAPER REFERENCE NO(S).:</v>
      </c>
      <c r="B176" s="285"/>
      <c r="C176" s="16"/>
      <c r="D176" s="65"/>
      <c r="E176" s="65"/>
      <c r="F176" s="15"/>
      <c r="G176" s="23"/>
      <c r="H176" s="23"/>
      <c r="I176" s="23"/>
      <c r="J176" s="23" t="str">
        <f>$J$8</f>
        <v>WITNESS:   C. M. GARRETT</v>
      </c>
    </row>
    <row r="177" spans="1:16" s="291" customFormat="1" ht="20.100000000000001" customHeight="1">
      <c r="A177" s="16"/>
      <c r="B177" s="286"/>
      <c r="C177" s="16"/>
      <c r="D177" s="65"/>
      <c r="E177" s="65"/>
      <c r="F177" s="16"/>
      <c r="G177" s="16"/>
      <c r="H177" s="16"/>
      <c r="I177" s="16"/>
      <c r="J177" s="16"/>
    </row>
    <row r="178" spans="1:16" s="291" customFormat="1" ht="65.099999999999994" customHeight="1">
      <c r="A178" s="24" t="s">
        <v>92</v>
      </c>
      <c r="B178" s="24" t="s">
        <v>255</v>
      </c>
      <c r="C178" s="24" t="s">
        <v>256</v>
      </c>
      <c r="D178" s="63" t="s">
        <v>258</v>
      </c>
      <c r="E178" s="63" t="s">
        <v>259</v>
      </c>
      <c r="F178" s="24" t="s">
        <v>260</v>
      </c>
      <c r="G178" s="24" t="s">
        <v>261</v>
      </c>
      <c r="H178" s="24" t="s">
        <v>262</v>
      </c>
      <c r="I178" s="24" t="s">
        <v>263</v>
      </c>
      <c r="J178" s="24" t="s">
        <v>264</v>
      </c>
      <c r="M178" s="295" t="s">
        <v>272</v>
      </c>
      <c r="N178" s="295" t="s">
        <v>273</v>
      </c>
      <c r="O178" s="295" t="s">
        <v>274</v>
      </c>
      <c r="P178" s="295" t="s">
        <v>260</v>
      </c>
    </row>
    <row r="179" spans="1:16" s="291" customFormat="1" ht="23.1" customHeight="1">
      <c r="A179" s="28" t="s">
        <v>253</v>
      </c>
      <c r="B179" s="28" t="s">
        <v>254</v>
      </c>
      <c r="C179" s="28" t="s">
        <v>257</v>
      </c>
      <c r="D179" s="302" t="s">
        <v>265</v>
      </c>
      <c r="E179" s="302" t="s">
        <v>266</v>
      </c>
      <c r="F179" s="303" t="s">
        <v>267</v>
      </c>
      <c r="G179" s="303" t="s">
        <v>268</v>
      </c>
      <c r="H179" s="303" t="s">
        <v>269</v>
      </c>
      <c r="I179" s="303" t="s">
        <v>270</v>
      </c>
      <c r="J179" s="303" t="s">
        <v>271</v>
      </c>
    </row>
    <row r="180" spans="1:16" s="291" customFormat="1" ht="18.95" customHeight="1">
      <c r="A180" s="21"/>
      <c r="B180" s="21"/>
      <c r="C180" s="21"/>
      <c r="D180" s="308"/>
      <c r="E180" s="308"/>
      <c r="F180" s="309"/>
      <c r="G180" s="309"/>
      <c r="H180" s="309"/>
      <c r="I180" s="309"/>
      <c r="J180" s="309"/>
    </row>
    <row r="181" spans="1:16" ht="18.75" customHeight="1">
      <c r="A181" s="286">
        <f>A168+1</f>
        <v>133</v>
      </c>
      <c r="B181" s="313" t="s">
        <v>2971</v>
      </c>
      <c r="C181" s="312" t="s">
        <v>2972</v>
      </c>
      <c r="D181" s="66">
        <v>43466</v>
      </c>
      <c r="E181" s="67">
        <v>44196</v>
      </c>
      <c r="F181" s="70">
        <v>0.66438356164383561</v>
      </c>
      <c r="G181" s="312">
        <v>303600</v>
      </c>
      <c r="H181" s="312">
        <v>421628.13630000001</v>
      </c>
      <c r="I181" s="314">
        <v>283058.3481</v>
      </c>
      <c r="J181" s="310">
        <f t="shared" si="12"/>
        <v>0.67134596515303757</v>
      </c>
      <c r="M181" s="22">
        <f t="shared" si="10"/>
        <v>730</v>
      </c>
      <c r="N181" s="67">
        <v>43951</v>
      </c>
      <c r="O181" s="22">
        <f t="shared" si="11"/>
        <v>245</v>
      </c>
      <c r="P181" s="311">
        <f t="shared" si="13"/>
        <v>0.66438356164383561</v>
      </c>
    </row>
    <row r="182" spans="1:16" ht="18.75" customHeight="1">
      <c r="A182" s="286">
        <f t="shared" si="14"/>
        <v>134</v>
      </c>
      <c r="B182" s="313" t="s">
        <v>2973</v>
      </c>
      <c r="C182" s="312" t="s">
        <v>2974</v>
      </c>
      <c r="D182" s="66">
        <v>43831</v>
      </c>
      <c r="E182" s="67">
        <v>44196</v>
      </c>
      <c r="F182" s="70">
        <v>0.32876712328767121</v>
      </c>
      <c r="G182" s="312">
        <v>46574.46869999999</v>
      </c>
      <c r="H182" s="312">
        <v>71760</v>
      </c>
      <c r="I182" s="314">
        <v>10764</v>
      </c>
      <c r="J182" s="310">
        <f t="shared" si="12"/>
        <v>0.15</v>
      </c>
      <c r="M182" s="22">
        <f t="shared" si="10"/>
        <v>365</v>
      </c>
      <c r="N182" s="67">
        <v>43951</v>
      </c>
      <c r="O182" s="22">
        <f t="shared" si="11"/>
        <v>245</v>
      </c>
      <c r="P182" s="311">
        <f t="shared" si="13"/>
        <v>0.32876712328767121</v>
      </c>
    </row>
    <row r="183" spans="1:16" ht="18.75" customHeight="1">
      <c r="A183" s="286">
        <f t="shared" si="14"/>
        <v>135</v>
      </c>
      <c r="B183" s="313" t="s">
        <v>2975</v>
      </c>
      <c r="C183" s="312" t="s">
        <v>2976</v>
      </c>
      <c r="D183" s="66">
        <v>43831</v>
      </c>
      <c r="E183" s="67">
        <v>44561</v>
      </c>
      <c r="F183" s="70">
        <v>0.16438356164383561</v>
      </c>
      <c r="G183" s="312">
        <v>394679.9585999999</v>
      </c>
      <c r="H183" s="312">
        <v>393278.18909999996</v>
      </c>
      <c r="I183" s="314">
        <v>90820.456499999971</v>
      </c>
      <c r="J183" s="310">
        <f t="shared" si="12"/>
        <v>0.23093184167634273</v>
      </c>
      <c r="M183" s="22">
        <f t="shared" si="10"/>
        <v>730</v>
      </c>
      <c r="N183" s="67">
        <v>43951</v>
      </c>
      <c r="O183" s="22">
        <f t="shared" si="11"/>
        <v>610</v>
      </c>
      <c r="P183" s="311">
        <f t="shared" si="13"/>
        <v>0.16438356164383561</v>
      </c>
    </row>
    <row r="184" spans="1:16" ht="18.75" customHeight="1">
      <c r="A184" s="286">
        <f t="shared" si="14"/>
        <v>136</v>
      </c>
      <c r="B184" s="313" t="s">
        <v>2977</v>
      </c>
      <c r="C184" s="312" t="s">
        <v>2978</v>
      </c>
      <c r="D184" s="66">
        <v>43831</v>
      </c>
      <c r="E184" s="67">
        <v>44196</v>
      </c>
      <c r="F184" s="70">
        <v>0.32876712328767121</v>
      </c>
      <c r="G184" s="312">
        <v>93149.993099999992</v>
      </c>
      <c r="H184" s="312">
        <v>89700</v>
      </c>
      <c r="I184" s="314">
        <v>31574.399999999998</v>
      </c>
      <c r="J184" s="310">
        <f t="shared" si="12"/>
        <v>0.35199999999999998</v>
      </c>
      <c r="M184" s="22">
        <f t="shared" si="10"/>
        <v>365</v>
      </c>
      <c r="N184" s="67">
        <v>43951</v>
      </c>
      <c r="O184" s="22">
        <f t="shared" si="11"/>
        <v>245</v>
      </c>
      <c r="P184" s="311">
        <f t="shared" si="13"/>
        <v>0.32876712328767121</v>
      </c>
    </row>
    <row r="185" spans="1:16" ht="18.75" customHeight="1">
      <c r="A185" s="286">
        <f t="shared" si="14"/>
        <v>137</v>
      </c>
      <c r="B185" s="313" t="s">
        <v>2979</v>
      </c>
      <c r="C185" s="312" t="s">
        <v>2980</v>
      </c>
      <c r="D185" s="66">
        <v>43831</v>
      </c>
      <c r="E185" s="67">
        <v>44196</v>
      </c>
      <c r="F185" s="70">
        <v>0.32876712328767121</v>
      </c>
      <c r="G185" s="312">
        <v>48437.786099999998</v>
      </c>
      <c r="H185" s="312">
        <v>100822.79999999999</v>
      </c>
      <c r="I185" s="314">
        <v>30246.839999999997</v>
      </c>
      <c r="J185" s="310">
        <f t="shared" si="12"/>
        <v>0.3</v>
      </c>
      <c r="M185" s="22">
        <f t="shared" si="10"/>
        <v>365</v>
      </c>
      <c r="N185" s="67">
        <v>43951</v>
      </c>
      <c r="O185" s="22">
        <f t="shared" si="11"/>
        <v>245</v>
      </c>
      <c r="P185" s="311">
        <f t="shared" si="13"/>
        <v>0.32876712328767121</v>
      </c>
    </row>
    <row r="186" spans="1:16" ht="18.75" customHeight="1">
      <c r="A186" s="286">
        <f t="shared" si="14"/>
        <v>138</v>
      </c>
      <c r="B186" s="313" t="s">
        <v>2981</v>
      </c>
      <c r="C186" s="312" t="s">
        <v>2982</v>
      </c>
      <c r="D186" s="66">
        <v>43831</v>
      </c>
      <c r="E186" s="67">
        <v>44196</v>
      </c>
      <c r="F186" s="70">
        <v>0.32876712328767121</v>
      </c>
      <c r="G186" s="312">
        <v>61851.606899999992</v>
      </c>
      <c r="H186" s="312">
        <v>25475.158799999997</v>
      </c>
      <c r="I186" s="314">
        <v>10917.925199999998</v>
      </c>
      <c r="J186" s="310">
        <f t="shared" si="12"/>
        <v>0.42857142857142855</v>
      </c>
      <c r="M186" s="22">
        <f t="shared" si="10"/>
        <v>365</v>
      </c>
      <c r="N186" s="67">
        <v>43951</v>
      </c>
      <c r="O186" s="22">
        <f t="shared" si="11"/>
        <v>245</v>
      </c>
      <c r="P186" s="311">
        <f t="shared" si="13"/>
        <v>0.32876712328767121</v>
      </c>
    </row>
    <row r="187" spans="1:16" ht="18.75" customHeight="1">
      <c r="A187" s="286">
        <f t="shared" si="14"/>
        <v>139</v>
      </c>
      <c r="B187" s="313" t="s">
        <v>2983</v>
      </c>
      <c r="C187" s="312" t="s">
        <v>2984</v>
      </c>
      <c r="D187" s="66">
        <v>43831</v>
      </c>
      <c r="E187" s="67">
        <v>44196</v>
      </c>
      <c r="F187" s="70">
        <v>0.32876712328767121</v>
      </c>
      <c r="G187" s="312">
        <v>167670</v>
      </c>
      <c r="H187" s="312">
        <v>178467.7548</v>
      </c>
      <c r="I187" s="314">
        <v>58537.419599999994</v>
      </c>
      <c r="J187" s="310">
        <f t="shared" si="12"/>
        <v>0.32799997773043088</v>
      </c>
      <c r="M187" s="22">
        <f t="shared" si="10"/>
        <v>365</v>
      </c>
      <c r="N187" s="67">
        <v>43951</v>
      </c>
      <c r="O187" s="22">
        <f t="shared" si="11"/>
        <v>245</v>
      </c>
      <c r="P187" s="311">
        <f t="shared" si="13"/>
        <v>0.32876712328767121</v>
      </c>
    </row>
    <row r="188" spans="1:16" ht="18.75" customHeight="1">
      <c r="A188" s="286">
        <f t="shared" si="14"/>
        <v>140</v>
      </c>
      <c r="B188" s="313" t="s">
        <v>2985</v>
      </c>
      <c r="C188" s="312" t="s">
        <v>2986</v>
      </c>
      <c r="D188" s="66">
        <v>43831</v>
      </c>
      <c r="E188" s="67">
        <v>44196</v>
      </c>
      <c r="F188" s="70">
        <v>0.32876712328767121</v>
      </c>
      <c r="G188" s="312">
        <v>149039.5515</v>
      </c>
      <c r="H188" s="312">
        <v>161460</v>
      </c>
      <c r="I188" s="314">
        <v>32291.999999999996</v>
      </c>
      <c r="J188" s="310">
        <f t="shared" si="12"/>
        <v>0.19999999999999998</v>
      </c>
      <c r="M188" s="22">
        <f t="shared" si="10"/>
        <v>365</v>
      </c>
      <c r="N188" s="67">
        <v>43951</v>
      </c>
      <c r="O188" s="22">
        <f t="shared" si="11"/>
        <v>245</v>
      </c>
      <c r="P188" s="311">
        <f t="shared" si="13"/>
        <v>0.32876712328767121</v>
      </c>
    </row>
    <row r="189" spans="1:16" ht="18.75" customHeight="1">
      <c r="A189" s="286">
        <f t="shared" si="14"/>
        <v>141</v>
      </c>
      <c r="B189" s="313" t="s">
        <v>2987</v>
      </c>
      <c r="C189" s="312" t="s">
        <v>2988</v>
      </c>
      <c r="D189" s="66">
        <v>43831</v>
      </c>
      <c r="E189" s="67">
        <v>44196</v>
      </c>
      <c r="F189" s="70">
        <v>0.32876712328767121</v>
      </c>
      <c r="G189" s="312">
        <v>27944.999999999996</v>
      </c>
      <c r="H189" s="312">
        <v>26825.461200000002</v>
      </c>
      <c r="I189" s="314">
        <v>8941.8203999999987</v>
      </c>
      <c r="J189" s="310">
        <f t="shared" si="12"/>
        <v>0.33333333333333326</v>
      </c>
      <c r="M189" s="22">
        <f t="shared" si="10"/>
        <v>365</v>
      </c>
      <c r="N189" s="67">
        <v>43951</v>
      </c>
      <c r="O189" s="22">
        <f t="shared" si="11"/>
        <v>245</v>
      </c>
      <c r="P189" s="311">
        <f t="shared" si="13"/>
        <v>0.32876712328767121</v>
      </c>
    </row>
    <row r="190" spans="1:16" ht="18.75" customHeight="1">
      <c r="A190" s="286">
        <f t="shared" si="14"/>
        <v>142</v>
      </c>
      <c r="B190" s="313" t="s">
        <v>2989</v>
      </c>
      <c r="C190" s="312" t="s">
        <v>2990</v>
      </c>
      <c r="D190" s="66">
        <v>43831</v>
      </c>
      <c r="E190" s="67">
        <v>44196</v>
      </c>
      <c r="F190" s="70">
        <v>0.32876712328767121</v>
      </c>
      <c r="G190" s="312">
        <v>111780.03449999998</v>
      </c>
      <c r="H190" s="312">
        <v>107639.99309999999</v>
      </c>
      <c r="I190" s="314">
        <v>8970</v>
      </c>
      <c r="J190" s="310">
        <f t="shared" si="12"/>
        <v>8.333333867521403E-2</v>
      </c>
      <c r="M190" s="22">
        <f t="shared" si="10"/>
        <v>365</v>
      </c>
      <c r="N190" s="67">
        <v>43951</v>
      </c>
      <c r="O190" s="22">
        <f t="shared" si="11"/>
        <v>245</v>
      </c>
      <c r="P190" s="311">
        <f t="shared" si="13"/>
        <v>0.32876712328767121</v>
      </c>
    </row>
    <row r="191" spans="1:16" ht="18.75" customHeight="1">
      <c r="A191" s="286">
        <f t="shared" si="14"/>
        <v>143</v>
      </c>
      <c r="B191" s="313" t="s">
        <v>2991</v>
      </c>
      <c r="C191" s="312" t="s">
        <v>2992</v>
      </c>
      <c r="D191" s="66">
        <v>43831</v>
      </c>
      <c r="E191" s="67">
        <v>44196</v>
      </c>
      <c r="F191" s="70">
        <v>0.32876712328767121</v>
      </c>
      <c r="G191" s="312">
        <v>55889.999999999993</v>
      </c>
      <c r="H191" s="312">
        <v>53819.999999999993</v>
      </c>
      <c r="I191" s="314">
        <v>17940</v>
      </c>
      <c r="J191" s="310">
        <f t="shared" si="12"/>
        <v>0.33333333333333337</v>
      </c>
      <c r="M191" s="22">
        <f t="shared" si="10"/>
        <v>365</v>
      </c>
      <c r="N191" s="67">
        <v>43951</v>
      </c>
      <c r="O191" s="22">
        <f t="shared" si="11"/>
        <v>245</v>
      </c>
      <c r="P191" s="311">
        <f t="shared" si="13"/>
        <v>0.32876712328767121</v>
      </c>
    </row>
    <row r="192" spans="1:16" ht="18.75" customHeight="1">
      <c r="A192" s="286">
        <f t="shared" si="14"/>
        <v>144</v>
      </c>
      <c r="B192" s="313" t="s">
        <v>2993</v>
      </c>
      <c r="C192" s="312" t="s">
        <v>2994</v>
      </c>
      <c r="D192" s="66">
        <v>43831</v>
      </c>
      <c r="E192" s="67">
        <v>44196</v>
      </c>
      <c r="F192" s="70">
        <v>0.32876712328767121</v>
      </c>
      <c r="G192" s="312">
        <v>27944.999999999996</v>
      </c>
      <c r="H192" s="312">
        <v>26909.999999999996</v>
      </c>
      <c r="I192" s="314">
        <v>4305.5999999999995</v>
      </c>
      <c r="J192" s="310">
        <f t="shared" si="12"/>
        <v>0.16</v>
      </c>
      <c r="M192" s="22">
        <f t="shared" si="10"/>
        <v>365</v>
      </c>
      <c r="N192" s="67">
        <v>43951</v>
      </c>
      <c r="O192" s="22">
        <f t="shared" si="11"/>
        <v>245</v>
      </c>
      <c r="P192" s="311">
        <f t="shared" si="13"/>
        <v>0.32876712328767121</v>
      </c>
    </row>
    <row r="193" spans="1:16" ht="18.75" customHeight="1">
      <c r="A193" s="286">
        <f t="shared" si="14"/>
        <v>145</v>
      </c>
      <c r="B193" s="313" t="s">
        <v>2995</v>
      </c>
      <c r="C193" s="312" t="s">
        <v>2996</v>
      </c>
      <c r="D193" s="66">
        <v>43831</v>
      </c>
      <c r="E193" s="67">
        <v>44196</v>
      </c>
      <c r="F193" s="70">
        <v>0.32876712328767121</v>
      </c>
      <c r="G193" s="312">
        <v>74519.758499999996</v>
      </c>
      <c r="H193" s="312">
        <v>71760</v>
      </c>
      <c r="I193" s="314">
        <v>19734</v>
      </c>
      <c r="J193" s="310">
        <f t="shared" si="12"/>
        <v>0.27500000000000002</v>
      </c>
      <c r="M193" s="22">
        <f t="shared" si="10"/>
        <v>365</v>
      </c>
      <c r="N193" s="67">
        <v>43951</v>
      </c>
      <c r="O193" s="22">
        <f t="shared" si="11"/>
        <v>245</v>
      </c>
      <c r="P193" s="311">
        <f t="shared" si="13"/>
        <v>0.32876712328767121</v>
      </c>
    </row>
    <row r="194" spans="1:16" ht="18.75" customHeight="1">
      <c r="A194" s="286">
        <f t="shared" si="14"/>
        <v>146</v>
      </c>
      <c r="B194" s="313" t="s">
        <v>2997</v>
      </c>
      <c r="C194" s="312" t="s">
        <v>2998</v>
      </c>
      <c r="D194" s="66">
        <v>43831</v>
      </c>
      <c r="E194" s="67">
        <v>44196</v>
      </c>
      <c r="F194" s="70">
        <v>0.32876712328767121</v>
      </c>
      <c r="G194" s="312">
        <v>39495.599999999999</v>
      </c>
      <c r="H194" s="312">
        <v>38032.799999999996</v>
      </c>
      <c r="I194" s="314">
        <v>6099.5999999999995</v>
      </c>
      <c r="J194" s="310">
        <f t="shared" si="12"/>
        <v>0.16037735849056603</v>
      </c>
      <c r="M194" s="22">
        <f t="shared" si="10"/>
        <v>365</v>
      </c>
      <c r="N194" s="67">
        <v>43951</v>
      </c>
      <c r="O194" s="22">
        <f t="shared" si="11"/>
        <v>245</v>
      </c>
      <c r="P194" s="311">
        <f t="shared" si="13"/>
        <v>0.32876712328767121</v>
      </c>
    </row>
    <row r="195" spans="1:16" ht="18.75" customHeight="1">
      <c r="A195" s="286">
        <f t="shared" si="14"/>
        <v>147</v>
      </c>
      <c r="B195" s="313" t="s">
        <v>2999</v>
      </c>
      <c r="C195" s="312" t="s">
        <v>3000</v>
      </c>
      <c r="D195" s="66">
        <v>43831</v>
      </c>
      <c r="E195" s="67">
        <v>44196</v>
      </c>
      <c r="F195" s="70">
        <v>0.32876712328767121</v>
      </c>
      <c r="G195" s="312">
        <v>55889.3652</v>
      </c>
      <c r="H195" s="312">
        <v>53819.999999999993</v>
      </c>
      <c r="I195" s="314">
        <v>9149.4</v>
      </c>
      <c r="J195" s="310">
        <f t="shared" si="12"/>
        <v>0.17</v>
      </c>
      <c r="M195" s="22">
        <f t="shared" si="10"/>
        <v>365</v>
      </c>
      <c r="N195" s="67">
        <v>43951</v>
      </c>
      <c r="O195" s="22">
        <f t="shared" si="11"/>
        <v>245</v>
      </c>
      <c r="P195" s="311">
        <f t="shared" si="13"/>
        <v>0.32876712328767121</v>
      </c>
    </row>
    <row r="196" spans="1:16" ht="18.75" customHeight="1">
      <c r="A196" s="286">
        <f>A195+1</f>
        <v>148</v>
      </c>
      <c r="B196" s="313" t="s">
        <v>3001</v>
      </c>
      <c r="C196" s="312" t="s">
        <v>3002</v>
      </c>
      <c r="D196" s="66">
        <v>43831</v>
      </c>
      <c r="E196" s="67">
        <v>44196</v>
      </c>
      <c r="F196" s="70">
        <v>0.32876712328767121</v>
      </c>
      <c r="G196" s="312">
        <v>46575</v>
      </c>
      <c r="H196" s="312">
        <v>44850</v>
      </c>
      <c r="I196" s="314">
        <v>12916.8</v>
      </c>
      <c r="J196" s="310">
        <f t="shared" si="12"/>
        <v>0.28799999999999998</v>
      </c>
      <c r="M196" s="22">
        <f t="shared" si="10"/>
        <v>365</v>
      </c>
      <c r="N196" s="67">
        <v>43951</v>
      </c>
      <c r="O196" s="22">
        <f t="shared" si="11"/>
        <v>245</v>
      </c>
      <c r="P196" s="311">
        <f t="shared" si="13"/>
        <v>0.32876712328767121</v>
      </c>
    </row>
    <row r="197" spans="1:16" ht="18.75" customHeight="1">
      <c r="A197" s="286">
        <f t="shared" si="14"/>
        <v>149</v>
      </c>
      <c r="B197" s="313" t="s">
        <v>3003</v>
      </c>
      <c r="C197" s="312" t="s">
        <v>3004</v>
      </c>
      <c r="D197" s="66">
        <v>43831</v>
      </c>
      <c r="E197" s="67">
        <v>44196</v>
      </c>
      <c r="F197" s="70">
        <v>0.32876712328767121</v>
      </c>
      <c r="G197" s="312">
        <v>74519.537700000001</v>
      </c>
      <c r="H197" s="312">
        <v>107639.99999999999</v>
      </c>
      <c r="I197" s="314">
        <v>21528</v>
      </c>
      <c r="J197" s="310">
        <f t="shared" si="12"/>
        <v>0.20000000000000004</v>
      </c>
      <c r="M197" s="22">
        <f t="shared" si="10"/>
        <v>365</v>
      </c>
      <c r="N197" s="67">
        <v>43951</v>
      </c>
      <c r="O197" s="22">
        <f t="shared" si="11"/>
        <v>245</v>
      </c>
      <c r="P197" s="311">
        <f t="shared" si="13"/>
        <v>0.32876712328767121</v>
      </c>
    </row>
    <row r="198" spans="1:16" ht="18.75" customHeight="1">
      <c r="A198" s="286">
        <f t="shared" si="14"/>
        <v>150</v>
      </c>
      <c r="B198" s="313" t="s">
        <v>3005</v>
      </c>
      <c r="C198" s="312" t="s">
        <v>3006</v>
      </c>
      <c r="D198" s="66">
        <v>43831</v>
      </c>
      <c r="E198" s="67">
        <v>44196</v>
      </c>
      <c r="F198" s="70">
        <v>0.32876712328767121</v>
      </c>
      <c r="G198" s="312">
        <v>37260</v>
      </c>
      <c r="H198" s="312">
        <v>35880</v>
      </c>
      <c r="I198" s="314">
        <v>14351.999999999998</v>
      </c>
      <c r="J198" s="310">
        <f t="shared" si="12"/>
        <v>0.39999999999999997</v>
      </c>
      <c r="M198" s="22">
        <f t="shared" si="10"/>
        <v>365</v>
      </c>
      <c r="N198" s="67">
        <v>43951</v>
      </c>
      <c r="O198" s="22">
        <f t="shared" si="11"/>
        <v>245</v>
      </c>
      <c r="P198" s="311">
        <f t="shared" si="13"/>
        <v>0.32876712328767121</v>
      </c>
    </row>
    <row r="199" spans="1:16" ht="18.75" customHeight="1">
      <c r="A199" s="286">
        <f t="shared" si="14"/>
        <v>151</v>
      </c>
      <c r="B199" s="313" t="s">
        <v>3007</v>
      </c>
      <c r="C199" s="312" t="s">
        <v>3008</v>
      </c>
      <c r="D199" s="66">
        <v>43831</v>
      </c>
      <c r="E199" s="67">
        <v>44196</v>
      </c>
      <c r="F199" s="70">
        <v>0.32876712328767121</v>
      </c>
      <c r="G199" s="312">
        <v>298080</v>
      </c>
      <c r="H199" s="312">
        <v>215279.99999999997</v>
      </c>
      <c r="I199" s="314">
        <v>71760</v>
      </c>
      <c r="J199" s="310">
        <f t="shared" si="12"/>
        <v>0.33333333333333337</v>
      </c>
      <c r="M199" s="22">
        <f t="shared" si="10"/>
        <v>365</v>
      </c>
      <c r="N199" s="67">
        <v>43951</v>
      </c>
      <c r="O199" s="22">
        <f t="shared" si="11"/>
        <v>245</v>
      </c>
      <c r="P199" s="311">
        <f t="shared" si="13"/>
        <v>0.32876712328767121</v>
      </c>
    </row>
    <row r="200" spans="1:16" ht="18.75" customHeight="1">
      <c r="A200" s="286">
        <f t="shared" si="14"/>
        <v>152</v>
      </c>
      <c r="B200" s="313" t="s">
        <v>3009</v>
      </c>
      <c r="C200" s="312" t="s">
        <v>3010</v>
      </c>
      <c r="D200" s="66">
        <v>43831</v>
      </c>
      <c r="E200" s="67">
        <v>44196</v>
      </c>
      <c r="F200" s="70">
        <v>0.32876712328767121</v>
      </c>
      <c r="G200" s="312">
        <v>31670.993099999996</v>
      </c>
      <c r="H200" s="312">
        <v>30498.7176</v>
      </c>
      <c r="I200" s="314">
        <v>7911.8987999999999</v>
      </c>
      <c r="J200" s="310">
        <f t="shared" si="12"/>
        <v>0.25941742547234181</v>
      </c>
      <c r="M200" s="22">
        <f t="shared" si="10"/>
        <v>365</v>
      </c>
      <c r="N200" s="67">
        <v>43951</v>
      </c>
      <c r="O200" s="22">
        <f t="shared" si="11"/>
        <v>245</v>
      </c>
      <c r="P200" s="311">
        <f t="shared" si="13"/>
        <v>0.32876712328767121</v>
      </c>
    </row>
    <row r="201" spans="1:16" ht="18.75" customHeight="1">
      <c r="A201" s="286">
        <f t="shared" si="14"/>
        <v>153</v>
      </c>
      <c r="B201" s="313" t="s">
        <v>3011</v>
      </c>
      <c r="C201" s="312" t="s">
        <v>3012</v>
      </c>
      <c r="D201" s="66">
        <v>43831</v>
      </c>
      <c r="E201" s="67">
        <v>44196</v>
      </c>
      <c r="F201" s="70">
        <v>0.32876712328767121</v>
      </c>
      <c r="G201" s="312">
        <v>18629.834399999996</v>
      </c>
      <c r="H201" s="312">
        <v>17940</v>
      </c>
      <c r="I201" s="314">
        <v>2511.6</v>
      </c>
      <c r="J201" s="310">
        <f t="shared" si="12"/>
        <v>0.13999999999999999</v>
      </c>
      <c r="M201" s="22">
        <f t="shared" si="10"/>
        <v>365</v>
      </c>
      <c r="N201" s="67">
        <v>43951</v>
      </c>
      <c r="O201" s="22">
        <f t="shared" si="11"/>
        <v>245</v>
      </c>
      <c r="P201" s="311">
        <f t="shared" si="13"/>
        <v>0.32876712328767121</v>
      </c>
    </row>
    <row r="202" spans="1:16" ht="18.75" customHeight="1">
      <c r="A202" s="286">
        <f t="shared" si="14"/>
        <v>154</v>
      </c>
      <c r="B202" s="313" t="s">
        <v>3013</v>
      </c>
      <c r="C202" s="312" t="s">
        <v>3014</v>
      </c>
      <c r="D202" s="66">
        <v>43831</v>
      </c>
      <c r="E202" s="67">
        <v>44196</v>
      </c>
      <c r="F202" s="70">
        <v>0.32876712328767121</v>
      </c>
      <c r="G202" s="312">
        <v>1190161.2728999997</v>
      </c>
      <c r="H202" s="312">
        <v>1112190.4172999999</v>
      </c>
      <c r="I202" s="314">
        <v>404432.87399999995</v>
      </c>
      <c r="J202" s="310">
        <f t="shared" si="12"/>
        <v>0.36363635912438286</v>
      </c>
      <c r="M202" s="22">
        <f t="shared" si="10"/>
        <v>365</v>
      </c>
      <c r="N202" s="67">
        <v>43951</v>
      </c>
      <c r="O202" s="22">
        <f t="shared" si="11"/>
        <v>245</v>
      </c>
      <c r="P202" s="311">
        <f t="shared" si="13"/>
        <v>0.32876712328767121</v>
      </c>
    </row>
    <row r="203" spans="1:16" ht="18.75" customHeight="1">
      <c r="A203" s="286">
        <f t="shared" si="14"/>
        <v>155</v>
      </c>
      <c r="B203" s="313" t="s">
        <v>3015</v>
      </c>
      <c r="C203" s="312" t="s">
        <v>3016</v>
      </c>
      <c r="D203" s="66">
        <v>43831</v>
      </c>
      <c r="E203" s="67">
        <v>44196</v>
      </c>
      <c r="F203" s="70">
        <v>0.32876712328767121</v>
      </c>
      <c r="G203" s="312">
        <v>37259.475599999998</v>
      </c>
      <c r="H203" s="312">
        <v>35880</v>
      </c>
      <c r="I203" s="314">
        <v>6099.5999999999995</v>
      </c>
      <c r="J203" s="310">
        <f t="shared" si="12"/>
        <v>0.16999999999999998</v>
      </c>
      <c r="M203" s="22">
        <f t="shared" si="10"/>
        <v>365</v>
      </c>
      <c r="N203" s="67">
        <v>43951</v>
      </c>
      <c r="O203" s="22">
        <f t="shared" si="11"/>
        <v>245</v>
      </c>
      <c r="P203" s="311">
        <f t="shared" si="13"/>
        <v>0.32876712328767121</v>
      </c>
    </row>
    <row r="204" spans="1:16" ht="18.75" customHeight="1">
      <c r="A204" s="286">
        <f t="shared" si="14"/>
        <v>156</v>
      </c>
      <c r="B204" s="313" t="s">
        <v>3017</v>
      </c>
      <c r="C204" s="312" t="s">
        <v>3018</v>
      </c>
      <c r="D204" s="66">
        <v>43831</v>
      </c>
      <c r="E204" s="67">
        <v>44196</v>
      </c>
      <c r="F204" s="70">
        <v>0.32876712328767121</v>
      </c>
      <c r="G204" s="312">
        <v>60720.062099999996</v>
      </c>
      <c r="H204" s="312">
        <v>60719.999999999993</v>
      </c>
      <c r="I204" s="314">
        <v>3035.9999999999995</v>
      </c>
      <c r="J204" s="310">
        <f t="shared" si="12"/>
        <v>4.9999999999999996E-2</v>
      </c>
      <c r="M204" s="22">
        <f t="shared" si="10"/>
        <v>365</v>
      </c>
      <c r="N204" s="67">
        <v>43951</v>
      </c>
      <c r="O204" s="22">
        <f t="shared" si="11"/>
        <v>245</v>
      </c>
      <c r="P204" s="311">
        <f t="shared" si="13"/>
        <v>0.32876712328767121</v>
      </c>
    </row>
    <row r="205" spans="1:16" ht="18.75" customHeight="1">
      <c r="A205" s="286">
        <f t="shared" si="14"/>
        <v>157</v>
      </c>
      <c r="B205" s="313" t="s">
        <v>3019</v>
      </c>
      <c r="C205" s="312" t="s">
        <v>3020</v>
      </c>
      <c r="D205" s="66">
        <v>43831</v>
      </c>
      <c r="E205" s="67">
        <v>44196</v>
      </c>
      <c r="F205" s="70">
        <v>0.32876712328767121</v>
      </c>
      <c r="G205" s="312">
        <v>45540.055199999995</v>
      </c>
      <c r="H205" s="312">
        <v>40986</v>
      </c>
      <c r="I205" s="314">
        <v>8197.1999999999989</v>
      </c>
      <c r="J205" s="310">
        <f t="shared" si="12"/>
        <v>0.19999999999999998</v>
      </c>
      <c r="M205" s="22">
        <f t="shared" si="10"/>
        <v>365</v>
      </c>
      <c r="N205" s="67">
        <v>43951</v>
      </c>
      <c r="O205" s="22">
        <f t="shared" si="11"/>
        <v>245</v>
      </c>
      <c r="P205" s="311">
        <f t="shared" si="13"/>
        <v>0.32876712328767121</v>
      </c>
    </row>
    <row r="206" spans="1:16" ht="18.75" customHeight="1">
      <c r="A206" s="286">
        <f t="shared" si="14"/>
        <v>158</v>
      </c>
      <c r="B206" s="313" t="s">
        <v>3021</v>
      </c>
      <c r="C206" s="312" t="s">
        <v>3022</v>
      </c>
      <c r="D206" s="66">
        <v>43831</v>
      </c>
      <c r="E206" s="67">
        <v>44196</v>
      </c>
      <c r="F206" s="70">
        <v>0.32876712328767121</v>
      </c>
      <c r="G206" s="312">
        <v>111779.5791</v>
      </c>
      <c r="H206" s="312">
        <v>143520</v>
      </c>
      <c r="I206" s="314">
        <v>21528</v>
      </c>
      <c r="J206" s="310">
        <f t="shared" si="12"/>
        <v>0.15</v>
      </c>
      <c r="M206" s="22">
        <f t="shared" si="10"/>
        <v>365</v>
      </c>
      <c r="N206" s="67">
        <v>43951</v>
      </c>
      <c r="O206" s="22">
        <f t="shared" si="11"/>
        <v>245</v>
      </c>
      <c r="P206" s="311">
        <f t="shared" si="13"/>
        <v>0.32876712328767121</v>
      </c>
    </row>
    <row r="207" spans="1:16" ht="18.75" customHeight="1">
      <c r="A207" s="286">
        <f t="shared" si="14"/>
        <v>159</v>
      </c>
      <c r="B207" s="313" t="s">
        <v>3023</v>
      </c>
      <c r="C207" s="312" t="s">
        <v>3024</v>
      </c>
      <c r="D207" s="66">
        <v>43831</v>
      </c>
      <c r="E207" s="67">
        <v>44196</v>
      </c>
      <c r="F207" s="70">
        <v>0.32876712328767121</v>
      </c>
      <c r="G207" s="312">
        <v>55889.986199999992</v>
      </c>
      <c r="H207" s="312">
        <v>55385.54099999999</v>
      </c>
      <c r="I207" s="314">
        <v>21413.121899999998</v>
      </c>
      <c r="J207" s="310">
        <f t="shared" si="12"/>
        <v>0.38661935070743469</v>
      </c>
      <c r="M207" s="22">
        <f t="shared" si="10"/>
        <v>365</v>
      </c>
      <c r="N207" s="67">
        <v>43951</v>
      </c>
      <c r="O207" s="22">
        <f t="shared" si="11"/>
        <v>245</v>
      </c>
      <c r="P207" s="311">
        <f t="shared" si="13"/>
        <v>0.32876712328767121</v>
      </c>
    </row>
    <row r="208" spans="1:16" ht="18.75" customHeight="1">
      <c r="A208" s="286">
        <f t="shared" si="14"/>
        <v>160</v>
      </c>
      <c r="B208" s="313" t="s">
        <v>3025</v>
      </c>
      <c r="C208" s="312" t="s">
        <v>3026</v>
      </c>
      <c r="D208" s="66">
        <v>43831</v>
      </c>
      <c r="E208" s="67">
        <v>44196</v>
      </c>
      <c r="F208" s="70">
        <v>0.32876712328767121</v>
      </c>
      <c r="G208" s="312">
        <v>18630</v>
      </c>
      <c r="H208" s="312">
        <v>71760</v>
      </c>
      <c r="I208" s="314">
        <v>35880</v>
      </c>
      <c r="J208" s="310">
        <f t="shared" si="12"/>
        <v>0.5</v>
      </c>
      <c r="M208" s="22">
        <f t="shared" si="10"/>
        <v>365</v>
      </c>
      <c r="N208" s="67">
        <v>43951</v>
      </c>
      <c r="O208" s="22">
        <f t="shared" si="11"/>
        <v>245</v>
      </c>
      <c r="P208" s="311">
        <f t="shared" si="13"/>
        <v>0.32876712328767121</v>
      </c>
    </row>
    <row r="209" spans="1:16" ht="18.75" customHeight="1">
      <c r="A209" s="286">
        <f t="shared" si="14"/>
        <v>161</v>
      </c>
      <c r="B209" s="313" t="s">
        <v>3027</v>
      </c>
      <c r="C209" s="312" t="s">
        <v>3028</v>
      </c>
      <c r="D209" s="66">
        <v>43831</v>
      </c>
      <c r="E209" s="67">
        <v>44196</v>
      </c>
      <c r="F209" s="70">
        <v>0.32876712328767121</v>
      </c>
      <c r="G209" s="312">
        <v>53095.072200000002</v>
      </c>
      <c r="H209" s="312">
        <v>51128.999999999993</v>
      </c>
      <c r="I209" s="314">
        <v>3587.9999999999995</v>
      </c>
      <c r="J209" s="310">
        <f t="shared" si="12"/>
        <v>7.0175438596491224E-2</v>
      </c>
      <c r="M209" s="22">
        <f t="shared" si="10"/>
        <v>365</v>
      </c>
      <c r="N209" s="67">
        <v>43951</v>
      </c>
      <c r="O209" s="22">
        <f t="shared" si="11"/>
        <v>245</v>
      </c>
      <c r="P209" s="311">
        <f t="shared" si="13"/>
        <v>0.32876712328767121</v>
      </c>
    </row>
    <row r="210" spans="1:16" ht="18.75" customHeight="1">
      <c r="A210" s="286">
        <f t="shared" si="14"/>
        <v>162</v>
      </c>
      <c r="B210" s="313" t="s">
        <v>3029</v>
      </c>
      <c r="C210" s="312" t="s">
        <v>3030</v>
      </c>
      <c r="D210" s="66">
        <v>43831</v>
      </c>
      <c r="E210" s="67">
        <v>44196</v>
      </c>
      <c r="F210" s="70">
        <v>0.32876712328767121</v>
      </c>
      <c r="G210" s="312">
        <v>22770</v>
      </c>
      <c r="H210" s="312">
        <v>22770</v>
      </c>
      <c r="I210" s="314">
        <v>13661.999999999998</v>
      </c>
      <c r="J210" s="310">
        <f t="shared" si="12"/>
        <v>0.59999999999999987</v>
      </c>
      <c r="M210" s="22">
        <f t="shared" si="10"/>
        <v>365</v>
      </c>
      <c r="N210" s="67">
        <v>43951</v>
      </c>
      <c r="O210" s="22">
        <f t="shared" si="11"/>
        <v>245</v>
      </c>
      <c r="P210" s="311">
        <f t="shared" si="13"/>
        <v>0.32876712328767121</v>
      </c>
    </row>
    <row r="211" spans="1:16" ht="18.75" customHeight="1">
      <c r="A211" s="286">
        <f t="shared" si="14"/>
        <v>163</v>
      </c>
      <c r="B211" s="313" t="s">
        <v>3031</v>
      </c>
      <c r="C211" s="312" t="s">
        <v>3032</v>
      </c>
      <c r="D211" s="66">
        <v>43831</v>
      </c>
      <c r="E211" s="67">
        <v>44196</v>
      </c>
      <c r="F211" s="70">
        <v>0.32876712328767121</v>
      </c>
      <c r="G211" s="312">
        <v>60719.999999999993</v>
      </c>
      <c r="H211" s="312">
        <v>91080</v>
      </c>
      <c r="I211" s="314">
        <v>27323.999999999996</v>
      </c>
      <c r="J211" s="310">
        <f t="shared" si="12"/>
        <v>0.29999999999999993</v>
      </c>
      <c r="M211" s="22">
        <f t="shared" si="10"/>
        <v>365</v>
      </c>
      <c r="N211" s="67">
        <v>43951</v>
      </c>
      <c r="O211" s="22">
        <f t="shared" si="11"/>
        <v>245</v>
      </c>
      <c r="P211" s="311">
        <f t="shared" si="13"/>
        <v>0.32876712328767121</v>
      </c>
    </row>
    <row r="212" spans="1:16" ht="18.75" customHeight="1">
      <c r="A212" s="286">
        <f t="shared" si="14"/>
        <v>164</v>
      </c>
      <c r="B212" s="313" t="s">
        <v>3033</v>
      </c>
      <c r="C212" s="312" t="s">
        <v>3034</v>
      </c>
      <c r="D212" s="66">
        <v>43831</v>
      </c>
      <c r="E212" s="67">
        <v>44196</v>
      </c>
      <c r="F212" s="70">
        <v>0.32876712328767121</v>
      </c>
      <c r="G212" s="312">
        <v>53819.999999999993</v>
      </c>
      <c r="H212" s="312">
        <v>53819.999999999993</v>
      </c>
      <c r="I212" s="314">
        <v>17940</v>
      </c>
      <c r="J212" s="310">
        <f t="shared" si="12"/>
        <v>0.33333333333333337</v>
      </c>
      <c r="M212" s="22">
        <f t="shared" si="10"/>
        <v>365</v>
      </c>
      <c r="N212" s="67">
        <v>43951</v>
      </c>
      <c r="O212" s="22">
        <f t="shared" si="11"/>
        <v>245</v>
      </c>
      <c r="P212" s="311">
        <f t="shared" si="13"/>
        <v>0.32876712328767121</v>
      </c>
    </row>
    <row r="213" spans="1:16" ht="18.75" customHeight="1">
      <c r="A213" s="286">
        <f t="shared" si="14"/>
        <v>165</v>
      </c>
      <c r="B213" s="313" t="s">
        <v>3035</v>
      </c>
      <c r="C213" s="312" t="s">
        <v>3036</v>
      </c>
      <c r="D213" s="66">
        <v>43831</v>
      </c>
      <c r="E213" s="67">
        <v>44196</v>
      </c>
      <c r="F213" s="70">
        <v>0.32876712328767121</v>
      </c>
      <c r="G213" s="312">
        <v>143520.7176</v>
      </c>
      <c r="H213" s="312">
        <v>141537.49199999997</v>
      </c>
      <c r="I213" s="314">
        <v>47179.163999999997</v>
      </c>
      <c r="J213" s="310">
        <f t="shared" si="12"/>
        <v>0.33333333333333337</v>
      </c>
      <c r="M213" s="22">
        <f t="shared" si="10"/>
        <v>365</v>
      </c>
      <c r="N213" s="67">
        <v>43951</v>
      </c>
      <c r="O213" s="22">
        <f t="shared" si="11"/>
        <v>245</v>
      </c>
      <c r="P213" s="311">
        <f t="shared" si="13"/>
        <v>0.32876712328767121</v>
      </c>
    </row>
    <row r="214" spans="1:16" ht="18.75" customHeight="1">
      <c r="A214" s="286">
        <f t="shared" si="14"/>
        <v>166</v>
      </c>
      <c r="B214" s="313" t="s">
        <v>3037</v>
      </c>
      <c r="C214" s="312" t="s">
        <v>3038</v>
      </c>
      <c r="D214" s="66">
        <v>43831</v>
      </c>
      <c r="E214" s="67">
        <v>44196</v>
      </c>
      <c r="F214" s="70">
        <v>0.32876712328767121</v>
      </c>
      <c r="G214" s="312">
        <v>56439.24</v>
      </c>
      <c r="H214" s="312">
        <v>28703.999999999996</v>
      </c>
      <c r="I214" s="314">
        <v>8611.1999999999989</v>
      </c>
      <c r="J214" s="310">
        <f t="shared" si="12"/>
        <v>0.3</v>
      </c>
      <c r="M214" s="22">
        <f t="shared" si="10"/>
        <v>365</v>
      </c>
      <c r="N214" s="67">
        <v>43951</v>
      </c>
      <c r="O214" s="22">
        <f t="shared" si="11"/>
        <v>245</v>
      </c>
      <c r="P214" s="311">
        <f t="shared" si="13"/>
        <v>0.32876712328767121</v>
      </c>
    </row>
    <row r="215" spans="1:16" ht="18.75" customHeight="1">
      <c r="A215" s="286">
        <f t="shared" si="14"/>
        <v>167</v>
      </c>
      <c r="B215" s="313" t="s">
        <v>3039</v>
      </c>
      <c r="C215" s="312" t="s">
        <v>3040</v>
      </c>
      <c r="D215" s="66">
        <v>43831</v>
      </c>
      <c r="E215" s="67">
        <v>44196</v>
      </c>
      <c r="F215" s="70">
        <v>0.32876712328767121</v>
      </c>
      <c r="G215" s="312">
        <v>75900.275999999983</v>
      </c>
      <c r="H215" s="312">
        <v>75900</v>
      </c>
      <c r="I215" s="314">
        <v>22770</v>
      </c>
      <c r="J215" s="310">
        <f t="shared" si="12"/>
        <v>0.3</v>
      </c>
      <c r="M215" s="22">
        <f t="shared" si="10"/>
        <v>365</v>
      </c>
      <c r="N215" s="67">
        <v>43951</v>
      </c>
      <c r="O215" s="22">
        <f t="shared" si="11"/>
        <v>245</v>
      </c>
      <c r="P215" s="311">
        <f t="shared" si="13"/>
        <v>0.32876712328767121</v>
      </c>
    </row>
    <row r="216" spans="1:16" ht="18.75" customHeight="1">
      <c r="A216" s="286">
        <f t="shared" si="14"/>
        <v>168</v>
      </c>
      <c r="B216" s="313" t="s">
        <v>3041</v>
      </c>
      <c r="C216" s="312" t="s">
        <v>3042</v>
      </c>
      <c r="D216" s="66">
        <v>43831</v>
      </c>
      <c r="E216" s="67">
        <v>44196</v>
      </c>
      <c r="F216" s="70">
        <v>0.32876712328767121</v>
      </c>
      <c r="G216" s="312">
        <v>45092.189999999995</v>
      </c>
      <c r="H216" s="312">
        <v>53730.831299999998</v>
      </c>
      <c r="I216" s="314">
        <v>17910.274799999999</v>
      </c>
      <c r="J216" s="310">
        <f t="shared" si="12"/>
        <v>0.33333329052736987</v>
      </c>
      <c r="M216" s="22">
        <f t="shared" si="10"/>
        <v>365</v>
      </c>
      <c r="N216" s="67">
        <v>43951</v>
      </c>
      <c r="O216" s="22">
        <f t="shared" si="11"/>
        <v>245</v>
      </c>
      <c r="P216" s="311">
        <f t="shared" si="13"/>
        <v>0.32876712328767121</v>
      </c>
    </row>
    <row r="217" spans="1:16" ht="18.75" customHeight="1">
      <c r="A217" s="286">
        <f t="shared" si="14"/>
        <v>169</v>
      </c>
      <c r="B217" s="313" t="s">
        <v>3043</v>
      </c>
      <c r="C217" s="312" t="s">
        <v>3044</v>
      </c>
      <c r="D217" s="66">
        <v>43466</v>
      </c>
      <c r="E217" s="67">
        <v>44196</v>
      </c>
      <c r="F217" s="70">
        <v>0.66438356164383561</v>
      </c>
      <c r="G217" s="312">
        <v>364320.40019999992</v>
      </c>
      <c r="H217" s="312">
        <v>361101.72959999996</v>
      </c>
      <c r="I217" s="314">
        <v>240552.5955</v>
      </c>
      <c r="J217" s="310">
        <f t="shared" si="12"/>
        <v>0.66616295570354978</v>
      </c>
      <c r="M217" s="22">
        <f t="shared" si="10"/>
        <v>730</v>
      </c>
      <c r="N217" s="67">
        <v>43951</v>
      </c>
      <c r="O217" s="22">
        <f t="shared" si="11"/>
        <v>245</v>
      </c>
      <c r="P217" s="311">
        <f t="shared" si="13"/>
        <v>0.66438356164383561</v>
      </c>
    </row>
    <row r="218" spans="1:16" ht="18.75" customHeight="1">
      <c r="A218" s="286">
        <f t="shared" si="14"/>
        <v>170</v>
      </c>
      <c r="B218" s="313" t="s">
        <v>3045</v>
      </c>
      <c r="C218" s="312" t="s">
        <v>3046</v>
      </c>
      <c r="D218" s="66">
        <v>43831</v>
      </c>
      <c r="E218" s="67">
        <v>44196</v>
      </c>
      <c r="F218" s="70">
        <v>0.32876712328767121</v>
      </c>
      <c r="G218" s="312">
        <v>53819.999999999993</v>
      </c>
      <c r="H218" s="312">
        <v>53819.999999999993</v>
      </c>
      <c r="I218" s="314">
        <v>7175.9999999999991</v>
      </c>
      <c r="J218" s="310">
        <f t="shared" si="12"/>
        <v>0.13333333333333333</v>
      </c>
      <c r="M218" s="22">
        <f t="shared" si="10"/>
        <v>365</v>
      </c>
      <c r="N218" s="67">
        <v>43951</v>
      </c>
      <c r="O218" s="22">
        <f t="shared" si="11"/>
        <v>245</v>
      </c>
      <c r="P218" s="311">
        <f t="shared" si="13"/>
        <v>0.32876712328767121</v>
      </c>
    </row>
    <row r="219" spans="1:16" ht="18.75" customHeight="1">
      <c r="A219" s="286">
        <f t="shared" si="14"/>
        <v>171</v>
      </c>
      <c r="B219" s="313" t="s">
        <v>3047</v>
      </c>
      <c r="C219" s="312" t="s">
        <v>3048</v>
      </c>
      <c r="D219" s="66">
        <v>43831</v>
      </c>
      <c r="E219" s="67">
        <v>44196</v>
      </c>
      <c r="F219" s="70">
        <v>0.32876712328767121</v>
      </c>
      <c r="G219" s="312">
        <v>89700</v>
      </c>
      <c r="H219" s="312">
        <v>89700</v>
      </c>
      <c r="I219" s="314">
        <v>26909.999999999996</v>
      </c>
      <c r="J219" s="310">
        <f t="shared" si="12"/>
        <v>0.29999999999999993</v>
      </c>
      <c r="M219" s="22">
        <f t="shared" si="10"/>
        <v>365</v>
      </c>
      <c r="N219" s="67">
        <v>43951</v>
      </c>
      <c r="O219" s="22">
        <f t="shared" si="11"/>
        <v>245</v>
      </c>
      <c r="P219" s="311">
        <f t="shared" si="13"/>
        <v>0.32876712328767121</v>
      </c>
    </row>
    <row r="220" spans="1:16" ht="18.75" customHeight="1">
      <c r="A220" s="286">
        <f t="shared" si="14"/>
        <v>172</v>
      </c>
      <c r="B220" s="313" t="s">
        <v>3049</v>
      </c>
      <c r="C220" s="312" t="s">
        <v>3050</v>
      </c>
      <c r="D220" s="66">
        <v>43831</v>
      </c>
      <c r="E220" s="67">
        <v>44196</v>
      </c>
      <c r="F220" s="70">
        <v>0.32876712328767121</v>
      </c>
      <c r="G220" s="312">
        <v>30359.999999999996</v>
      </c>
      <c r="H220" s="312">
        <v>30359.999999999996</v>
      </c>
      <c r="I220" s="314">
        <v>9108</v>
      </c>
      <c r="J220" s="310">
        <f t="shared" si="12"/>
        <v>0.30000000000000004</v>
      </c>
      <c r="M220" s="22">
        <f t="shared" si="10"/>
        <v>365</v>
      </c>
      <c r="N220" s="67">
        <v>43951</v>
      </c>
      <c r="O220" s="22">
        <f t="shared" si="11"/>
        <v>245</v>
      </c>
      <c r="P220" s="311">
        <f t="shared" si="13"/>
        <v>0.32876712328767121</v>
      </c>
    </row>
    <row r="221" spans="1:16" ht="18.75" customHeight="1">
      <c r="A221" s="286">
        <f t="shared" si="14"/>
        <v>173</v>
      </c>
      <c r="B221" s="313" t="s">
        <v>3051</v>
      </c>
      <c r="C221" s="312" t="s">
        <v>3052</v>
      </c>
      <c r="D221" s="66">
        <v>43831</v>
      </c>
      <c r="E221" s="67">
        <v>44196</v>
      </c>
      <c r="F221" s="70">
        <v>0.32876712328767121</v>
      </c>
      <c r="G221" s="312">
        <v>121439.99999999999</v>
      </c>
      <c r="H221" s="312">
        <v>121439.99999999999</v>
      </c>
      <c r="I221" s="314">
        <v>6071.9999999999991</v>
      </c>
      <c r="J221" s="310">
        <f t="shared" si="12"/>
        <v>4.9999999999999996E-2</v>
      </c>
      <c r="M221" s="22">
        <f t="shared" si="10"/>
        <v>365</v>
      </c>
      <c r="N221" s="67">
        <v>43951</v>
      </c>
      <c r="O221" s="22">
        <f t="shared" si="11"/>
        <v>245</v>
      </c>
      <c r="P221" s="311">
        <f t="shared" si="13"/>
        <v>0.32876712328767121</v>
      </c>
    </row>
    <row r="222" spans="1:16" ht="18.75" customHeight="1">
      <c r="A222" s="286">
        <f t="shared" si="14"/>
        <v>174</v>
      </c>
      <c r="B222" s="313" t="s">
        <v>3053</v>
      </c>
      <c r="C222" s="312" t="s">
        <v>3054</v>
      </c>
      <c r="D222" s="66">
        <v>43831</v>
      </c>
      <c r="E222" s="67">
        <v>44196</v>
      </c>
      <c r="F222" s="70">
        <v>0.32876712328767121</v>
      </c>
      <c r="G222" s="312">
        <v>45540</v>
      </c>
      <c r="H222" s="312">
        <v>45540</v>
      </c>
      <c r="I222" s="314">
        <v>15179.999999999998</v>
      </c>
      <c r="J222" s="310">
        <f t="shared" si="12"/>
        <v>0.33333333333333331</v>
      </c>
      <c r="M222" s="22">
        <f t="shared" si="10"/>
        <v>365</v>
      </c>
      <c r="N222" s="67">
        <v>43951</v>
      </c>
      <c r="O222" s="22">
        <f t="shared" si="11"/>
        <v>245</v>
      </c>
      <c r="P222" s="311">
        <f t="shared" si="13"/>
        <v>0.32876712328767121</v>
      </c>
    </row>
    <row r="223" spans="1:16" ht="18.75" customHeight="1">
      <c r="A223" s="286">
        <f t="shared" si="14"/>
        <v>175</v>
      </c>
      <c r="B223" s="313" t="s">
        <v>3055</v>
      </c>
      <c r="C223" s="312" t="s">
        <v>3056</v>
      </c>
      <c r="D223" s="66">
        <v>43831</v>
      </c>
      <c r="E223" s="67">
        <v>44196</v>
      </c>
      <c r="F223" s="70">
        <v>0.32876712328767121</v>
      </c>
      <c r="G223" s="312">
        <v>35880</v>
      </c>
      <c r="H223" s="312">
        <v>35880</v>
      </c>
      <c r="I223" s="314">
        <v>7175.9999999999991</v>
      </c>
      <c r="J223" s="310">
        <f t="shared" si="12"/>
        <v>0.19999999999999998</v>
      </c>
      <c r="M223" s="22">
        <f t="shared" si="10"/>
        <v>365</v>
      </c>
      <c r="N223" s="67">
        <v>43951</v>
      </c>
      <c r="O223" s="22">
        <f t="shared" si="11"/>
        <v>245</v>
      </c>
      <c r="P223" s="311">
        <f t="shared" si="13"/>
        <v>0.32876712328767121</v>
      </c>
    </row>
    <row r="224" spans="1:16" ht="18.75" customHeight="1">
      <c r="A224" s="286">
        <f t="shared" si="14"/>
        <v>176</v>
      </c>
      <c r="B224" s="313" t="s">
        <v>3057</v>
      </c>
      <c r="C224" s="312" t="s">
        <v>3058</v>
      </c>
      <c r="D224" s="66">
        <v>43831</v>
      </c>
      <c r="E224" s="67">
        <v>44196</v>
      </c>
      <c r="F224" s="70">
        <v>0.32876712328767121</v>
      </c>
      <c r="G224" s="312">
        <v>91080</v>
      </c>
      <c r="H224" s="312">
        <v>91080</v>
      </c>
      <c r="I224" s="314">
        <v>75900</v>
      </c>
      <c r="J224" s="310">
        <f t="shared" si="12"/>
        <v>0.83333333333333337</v>
      </c>
      <c r="M224" s="22">
        <f t="shared" si="10"/>
        <v>365</v>
      </c>
      <c r="N224" s="67">
        <v>43951</v>
      </c>
      <c r="O224" s="22">
        <f t="shared" si="11"/>
        <v>245</v>
      </c>
      <c r="P224" s="311">
        <f t="shared" si="13"/>
        <v>0.32876712328767121</v>
      </c>
    </row>
    <row r="225" spans="1:16" s="291" customFormat="1" ht="20.100000000000001" customHeight="1">
      <c r="A225" s="831" t="str">
        <f>$A$1</f>
        <v>LOUISVILLE GAS AND ELECTRIC COMPANY</v>
      </c>
      <c r="B225" s="831"/>
      <c r="C225" s="831"/>
      <c r="D225" s="831"/>
      <c r="E225" s="831"/>
      <c r="F225" s="831"/>
      <c r="G225" s="831"/>
      <c r="H225" s="831"/>
      <c r="I225" s="831"/>
      <c r="J225" s="831"/>
    </row>
    <row r="226" spans="1:16" s="291" customFormat="1" ht="20.100000000000001" customHeight="1">
      <c r="A226" s="831" t="str">
        <f>$A$2</f>
        <v>CASE NO. 2018-00295 - ELECTRIC OPERATIONS</v>
      </c>
      <c r="B226" s="831"/>
      <c r="C226" s="831"/>
      <c r="D226" s="831"/>
      <c r="E226" s="831"/>
      <c r="F226" s="831"/>
      <c r="G226" s="831"/>
      <c r="H226" s="831"/>
      <c r="I226" s="831"/>
      <c r="J226" s="831"/>
    </row>
    <row r="227" spans="1:16" s="291" customFormat="1" ht="20.100000000000001" customHeight="1">
      <c r="A227" s="831" t="s">
        <v>252</v>
      </c>
      <c r="B227" s="831"/>
      <c r="C227" s="831"/>
      <c r="D227" s="831"/>
      <c r="E227" s="831"/>
      <c r="F227" s="831"/>
      <c r="G227" s="831"/>
      <c r="H227" s="831"/>
      <c r="I227" s="831"/>
      <c r="J227" s="831"/>
    </row>
    <row r="228" spans="1:16" s="291" customFormat="1" ht="20.100000000000001" customHeight="1">
      <c r="A228" s="831" t="str">
        <f>$A$4</f>
        <v>AS OF APRIL 30, 2020</v>
      </c>
      <c r="B228" s="831"/>
      <c r="C228" s="831"/>
      <c r="D228" s="831"/>
      <c r="E228" s="831"/>
      <c r="F228" s="831"/>
      <c r="G228" s="831"/>
      <c r="H228" s="831"/>
      <c r="I228" s="831"/>
      <c r="J228" s="831"/>
    </row>
    <row r="229" spans="1:16" s="291" customFormat="1" ht="20.100000000000001" customHeight="1">
      <c r="A229" s="284"/>
      <c r="B229" s="284"/>
      <c r="C229" s="284"/>
      <c r="D229" s="284"/>
      <c r="E229" s="284"/>
      <c r="F229" s="284"/>
      <c r="G229" s="284"/>
      <c r="H229" s="284"/>
      <c r="I229" s="284"/>
      <c r="J229" s="284"/>
    </row>
    <row r="230" spans="1:16" s="291" customFormat="1" ht="20.100000000000001" customHeight="1">
      <c r="A230" s="15" t="str">
        <f>$A$6</f>
        <v>DATA:____BASE  PERIOD__X__FORECASTED  PERIOD</v>
      </c>
      <c r="B230" s="285"/>
      <c r="C230" s="16"/>
      <c r="D230" s="65"/>
      <c r="E230" s="65"/>
      <c r="F230" s="16"/>
      <c r="G230" s="22"/>
      <c r="H230" s="22"/>
      <c r="I230" s="22"/>
      <c r="J230" s="22" t="s">
        <v>981</v>
      </c>
    </row>
    <row r="231" spans="1:16" s="291" customFormat="1" ht="20.100000000000001" customHeight="1">
      <c r="A231" s="15" t="str">
        <f>$A$7</f>
        <v>TYPE OF FILING: _____ ORIGINAL  _____ UPDATED  __X__ REVISED</v>
      </c>
      <c r="B231" s="286"/>
      <c r="C231" s="16"/>
      <c r="D231" s="65"/>
      <c r="E231" s="65"/>
      <c r="F231" s="16"/>
      <c r="G231" s="22"/>
      <c r="H231" s="22"/>
      <c r="I231" s="22"/>
      <c r="J231" s="22" t="s">
        <v>1589</v>
      </c>
    </row>
    <row r="232" spans="1:16" s="291" customFormat="1" ht="20.100000000000001" customHeight="1">
      <c r="A232" s="15" t="str">
        <f>$A$8</f>
        <v>WORKPAPER REFERENCE NO(S).:</v>
      </c>
      <c r="B232" s="285"/>
      <c r="C232" s="16"/>
      <c r="D232" s="65"/>
      <c r="E232" s="65"/>
      <c r="F232" s="15"/>
      <c r="G232" s="23"/>
      <c r="H232" s="23"/>
      <c r="I232" s="23"/>
      <c r="J232" s="23" t="str">
        <f>$J$8</f>
        <v>WITNESS:   C. M. GARRETT</v>
      </c>
    </row>
    <row r="233" spans="1:16" s="291" customFormat="1" ht="20.100000000000001" customHeight="1">
      <c r="A233" s="16"/>
      <c r="B233" s="286"/>
      <c r="C233" s="16"/>
      <c r="D233" s="65"/>
      <c r="E233" s="65"/>
      <c r="F233" s="16"/>
      <c r="G233" s="16"/>
      <c r="H233" s="16"/>
      <c r="I233" s="16"/>
      <c r="J233" s="16"/>
    </row>
    <row r="234" spans="1:16" s="291" customFormat="1" ht="65.099999999999994" customHeight="1">
      <c r="A234" s="24" t="s">
        <v>92</v>
      </c>
      <c r="B234" s="24" t="s">
        <v>255</v>
      </c>
      <c r="C234" s="24" t="s">
        <v>256</v>
      </c>
      <c r="D234" s="63" t="s">
        <v>258</v>
      </c>
      <c r="E234" s="63" t="s">
        <v>259</v>
      </c>
      <c r="F234" s="24" t="s">
        <v>260</v>
      </c>
      <c r="G234" s="24" t="s">
        <v>261</v>
      </c>
      <c r="H234" s="24" t="s">
        <v>262</v>
      </c>
      <c r="I234" s="24" t="s">
        <v>263</v>
      </c>
      <c r="J234" s="24" t="s">
        <v>264</v>
      </c>
      <c r="M234" s="295" t="s">
        <v>272</v>
      </c>
      <c r="N234" s="295" t="s">
        <v>273</v>
      </c>
      <c r="O234" s="295" t="s">
        <v>274</v>
      </c>
      <c r="P234" s="295" t="s">
        <v>260</v>
      </c>
    </row>
    <row r="235" spans="1:16" s="291" customFormat="1" ht="23.1" customHeight="1">
      <c r="A235" s="28" t="s">
        <v>253</v>
      </c>
      <c r="B235" s="28" t="s">
        <v>254</v>
      </c>
      <c r="C235" s="28" t="s">
        <v>257</v>
      </c>
      <c r="D235" s="302" t="s">
        <v>265</v>
      </c>
      <c r="E235" s="302" t="s">
        <v>266</v>
      </c>
      <c r="F235" s="303" t="s">
        <v>267</v>
      </c>
      <c r="G235" s="303" t="s">
        <v>268</v>
      </c>
      <c r="H235" s="303" t="s">
        <v>269</v>
      </c>
      <c r="I235" s="303" t="s">
        <v>270</v>
      </c>
      <c r="J235" s="303" t="s">
        <v>271</v>
      </c>
    </row>
    <row r="236" spans="1:16" s="291" customFormat="1" ht="18.95" customHeight="1">
      <c r="A236" s="21"/>
      <c r="B236" s="21"/>
      <c r="C236" s="21"/>
      <c r="D236" s="308"/>
      <c r="E236" s="308"/>
      <c r="F236" s="309"/>
      <c r="G236" s="309"/>
      <c r="H236" s="309"/>
      <c r="I236" s="309"/>
      <c r="J236" s="309"/>
    </row>
    <row r="237" spans="1:16" ht="18.75" customHeight="1">
      <c r="A237" s="286">
        <f>A224+1</f>
        <v>177</v>
      </c>
      <c r="B237" s="313" t="s">
        <v>3059</v>
      </c>
      <c r="C237" s="312" t="s">
        <v>3060</v>
      </c>
      <c r="D237" s="66">
        <v>43831</v>
      </c>
      <c r="E237" s="67">
        <v>44196</v>
      </c>
      <c r="F237" s="70">
        <v>0.32876712328767121</v>
      </c>
      <c r="G237" s="312">
        <v>208728.50519999999</v>
      </c>
      <c r="H237" s="312">
        <v>208728.50519999999</v>
      </c>
      <c r="I237" s="314">
        <v>91628.246399999989</v>
      </c>
      <c r="J237" s="310">
        <f t="shared" ref="J237:J248" si="15">IFERROR(I237/H237,0)</f>
        <v>0.43898290898123099</v>
      </c>
      <c r="M237" s="22">
        <f t="shared" si="10"/>
        <v>365</v>
      </c>
      <c r="N237" s="67">
        <v>43951</v>
      </c>
      <c r="O237" s="22">
        <f t="shared" si="11"/>
        <v>245</v>
      </c>
      <c r="P237" s="311">
        <f t="shared" si="13"/>
        <v>0.32876712328767121</v>
      </c>
    </row>
    <row r="238" spans="1:16" ht="18.75" customHeight="1">
      <c r="A238" s="286">
        <f t="shared" si="14"/>
        <v>178</v>
      </c>
      <c r="B238" s="313" t="s">
        <v>3061</v>
      </c>
      <c r="C238" s="312" t="s">
        <v>3062</v>
      </c>
      <c r="D238" s="66">
        <v>43831</v>
      </c>
      <c r="E238" s="67">
        <v>44196</v>
      </c>
      <c r="F238" s="70">
        <v>0.32876712328767121</v>
      </c>
      <c r="G238" s="312">
        <v>71760</v>
      </c>
      <c r="H238" s="312">
        <v>71760</v>
      </c>
      <c r="I238" s="314">
        <v>21528</v>
      </c>
      <c r="J238" s="310">
        <f t="shared" si="15"/>
        <v>0.3</v>
      </c>
      <c r="M238" s="22">
        <f t="shared" si="10"/>
        <v>365</v>
      </c>
      <c r="N238" s="67">
        <v>43951</v>
      </c>
      <c r="O238" s="22">
        <f t="shared" si="11"/>
        <v>245</v>
      </c>
      <c r="P238" s="311">
        <f t="shared" si="13"/>
        <v>0.32876712328767121</v>
      </c>
    </row>
    <row r="239" spans="1:16" ht="18.75" customHeight="1">
      <c r="A239" s="286">
        <f t="shared" si="14"/>
        <v>179</v>
      </c>
      <c r="B239" s="313" t="s">
        <v>3063</v>
      </c>
      <c r="C239" s="312" t="s">
        <v>3064</v>
      </c>
      <c r="D239" s="66">
        <v>43831</v>
      </c>
      <c r="E239" s="67">
        <v>44196</v>
      </c>
      <c r="F239" s="70">
        <v>0.32876712328767121</v>
      </c>
      <c r="G239" s="312">
        <v>179400</v>
      </c>
      <c r="H239" s="312">
        <v>179400</v>
      </c>
      <c r="I239" s="314">
        <v>35880</v>
      </c>
      <c r="J239" s="310">
        <f t="shared" si="15"/>
        <v>0.2</v>
      </c>
      <c r="M239" s="22">
        <f t="shared" si="10"/>
        <v>365</v>
      </c>
      <c r="N239" s="67">
        <v>43951</v>
      </c>
      <c r="O239" s="22">
        <f t="shared" si="11"/>
        <v>245</v>
      </c>
      <c r="P239" s="311">
        <f t="shared" si="13"/>
        <v>0.32876712328767121</v>
      </c>
    </row>
    <row r="240" spans="1:16" ht="18.75" customHeight="1">
      <c r="A240" s="286">
        <f t="shared" si="14"/>
        <v>180</v>
      </c>
      <c r="B240" s="313" t="s">
        <v>3065</v>
      </c>
      <c r="C240" s="312" t="s">
        <v>3066</v>
      </c>
      <c r="D240" s="66">
        <v>43831</v>
      </c>
      <c r="E240" s="67">
        <v>44561</v>
      </c>
      <c r="F240" s="70">
        <v>0.16438356164383561</v>
      </c>
      <c r="G240" s="312">
        <v>75918.78869999999</v>
      </c>
      <c r="H240" s="312">
        <v>75918.78869999999</v>
      </c>
      <c r="I240" s="314">
        <v>2674.7919000000002</v>
      </c>
      <c r="J240" s="310">
        <f t="shared" si="15"/>
        <v>3.5232278409626422E-2</v>
      </c>
      <c r="M240" s="22">
        <f t="shared" si="10"/>
        <v>730</v>
      </c>
      <c r="N240" s="67">
        <v>43951</v>
      </c>
      <c r="O240" s="22">
        <f t="shared" si="11"/>
        <v>610</v>
      </c>
      <c r="P240" s="311">
        <f t="shared" si="13"/>
        <v>0.16438356164383561</v>
      </c>
    </row>
    <row r="241" spans="1:16" ht="18.75" customHeight="1">
      <c r="A241" s="286">
        <f t="shared" si="14"/>
        <v>181</v>
      </c>
      <c r="B241" s="313" t="s">
        <v>3067</v>
      </c>
      <c r="C241" s="312" t="s">
        <v>3068</v>
      </c>
      <c r="D241" s="66">
        <v>43831</v>
      </c>
      <c r="E241" s="67">
        <v>44196</v>
      </c>
      <c r="F241" s="70">
        <v>0.32876712328767121</v>
      </c>
      <c r="G241" s="312">
        <v>251159.99999999997</v>
      </c>
      <c r="H241" s="312">
        <v>251159.99999999997</v>
      </c>
      <c r="I241" s="314">
        <v>50231.999999999993</v>
      </c>
      <c r="J241" s="310">
        <f t="shared" si="15"/>
        <v>0.19999999999999998</v>
      </c>
      <c r="M241" s="22">
        <f t="shared" si="10"/>
        <v>365</v>
      </c>
      <c r="N241" s="67">
        <v>43951</v>
      </c>
      <c r="O241" s="22">
        <f t="shared" si="11"/>
        <v>245</v>
      </c>
      <c r="P241" s="311">
        <f t="shared" si="13"/>
        <v>0.32876712328767121</v>
      </c>
    </row>
    <row r="242" spans="1:16" ht="18.75" customHeight="1">
      <c r="A242" s="286">
        <f t="shared" si="14"/>
        <v>182</v>
      </c>
      <c r="B242" s="313" t="s">
        <v>3069</v>
      </c>
      <c r="C242" s="312" t="s">
        <v>3070</v>
      </c>
      <c r="D242" s="66">
        <v>43831</v>
      </c>
      <c r="E242" s="67">
        <v>44196</v>
      </c>
      <c r="F242" s="70">
        <v>0.32876712328767121</v>
      </c>
      <c r="G242" s="312">
        <v>269100</v>
      </c>
      <c r="H242" s="312">
        <v>266161.48320000002</v>
      </c>
      <c r="I242" s="314">
        <v>53232.32699999999</v>
      </c>
      <c r="J242" s="310">
        <f t="shared" si="15"/>
        <v>0.20000011406609108</v>
      </c>
      <c r="M242" s="22">
        <f t="shared" si="10"/>
        <v>365</v>
      </c>
      <c r="N242" s="67">
        <v>43951</v>
      </c>
      <c r="O242" s="22">
        <f t="shared" si="11"/>
        <v>245</v>
      </c>
      <c r="P242" s="311">
        <f t="shared" si="13"/>
        <v>0.32876712328767121</v>
      </c>
    </row>
    <row r="243" spans="1:16" ht="18.75" customHeight="1">
      <c r="A243" s="286">
        <f t="shared" si="14"/>
        <v>183</v>
      </c>
      <c r="B243" s="313" t="s">
        <v>1580</v>
      </c>
      <c r="C243" s="312" t="s">
        <v>1496</v>
      </c>
      <c r="D243" s="66">
        <v>42005</v>
      </c>
      <c r="E243" s="67">
        <v>45291</v>
      </c>
      <c r="F243" s="70">
        <v>0.59220937309799149</v>
      </c>
      <c r="G243" s="312">
        <v>126000</v>
      </c>
      <c r="H243" s="312">
        <v>60374.999999999993</v>
      </c>
      <c r="I243" s="314">
        <v>12074.999999999998</v>
      </c>
      <c r="J243" s="310">
        <f t="shared" si="15"/>
        <v>0.19999999999999998</v>
      </c>
      <c r="M243" s="22">
        <f t="shared" si="10"/>
        <v>3286</v>
      </c>
      <c r="N243" s="67">
        <v>43951</v>
      </c>
      <c r="O243" s="22">
        <f t="shared" si="11"/>
        <v>1340</v>
      </c>
      <c r="P243" s="311">
        <f t="shared" si="13"/>
        <v>0.59220937309799149</v>
      </c>
    </row>
    <row r="244" spans="1:16" ht="18.75" customHeight="1">
      <c r="A244" s="286">
        <f t="shared" si="14"/>
        <v>184</v>
      </c>
      <c r="B244" s="313" t="s">
        <v>1550</v>
      </c>
      <c r="C244" s="312" t="s">
        <v>1500</v>
      </c>
      <c r="D244" s="66">
        <v>42005</v>
      </c>
      <c r="E244" s="67">
        <v>45291</v>
      </c>
      <c r="F244" s="70">
        <v>0.59220937309799149</v>
      </c>
      <c r="G244" s="312">
        <v>34300</v>
      </c>
      <c r="H244" s="312">
        <v>41399.999999999993</v>
      </c>
      <c r="I244" s="314">
        <v>13799.999999999998</v>
      </c>
      <c r="J244" s="310">
        <f t="shared" si="15"/>
        <v>0.33333333333333337</v>
      </c>
      <c r="M244" s="22">
        <f t="shared" si="10"/>
        <v>3286</v>
      </c>
      <c r="N244" s="67">
        <v>43951</v>
      </c>
      <c r="O244" s="22">
        <f t="shared" si="11"/>
        <v>1340</v>
      </c>
      <c r="P244" s="311">
        <f t="shared" si="13"/>
        <v>0.59220937309799149</v>
      </c>
    </row>
    <row r="245" spans="1:16" ht="18.75" customHeight="1">
      <c r="A245" s="286">
        <f t="shared" si="14"/>
        <v>185</v>
      </c>
      <c r="B245" s="313" t="s">
        <v>1545</v>
      </c>
      <c r="C245" s="312" t="s">
        <v>1546</v>
      </c>
      <c r="D245" s="66">
        <v>42370</v>
      </c>
      <c r="E245" s="67">
        <v>45291</v>
      </c>
      <c r="F245" s="70">
        <v>0.54125299554946937</v>
      </c>
      <c r="G245" s="312">
        <v>83650</v>
      </c>
      <c r="H245" s="312">
        <v>775137.16800000006</v>
      </c>
      <c r="I245" s="314">
        <v>188637.16800000001</v>
      </c>
      <c r="J245" s="310">
        <f t="shared" si="15"/>
        <v>0.2433597249461272</v>
      </c>
      <c r="M245" s="22">
        <f t="shared" si="10"/>
        <v>2921</v>
      </c>
      <c r="N245" s="67">
        <v>43951</v>
      </c>
      <c r="O245" s="22">
        <f t="shared" si="11"/>
        <v>1340</v>
      </c>
      <c r="P245" s="311">
        <f t="shared" si="13"/>
        <v>0.54125299554946937</v>
      </c>
    </row>
    <row r="246" spans="1:16" ht="18.75" customHeight="1">
      <c r="A246" s="286">
        <f t="shared" si="14"/>
        <v>186</v>
      </c>
      <c r="B246" s="313" t="s">
        <v>2748</v>
      </c>
      <c r="C246" s="312" t="s">
        <v>2749</v>
      </c>
      <c r="D246" s="66">
        <v>38504</v>
      </c>
      <c r="E246" s="67">
        <v>46022</v>
      </c>
      <c r="F246" s="70">
        <v>0.72452779994679439</v>
      </c>
      <c r="G246" s="312">
        <v>2788.8350000000664</v>
      </c>
      <c r="H246" s="312">
        <v>0</v>
      </c>
      <c r="I246" s="314">
        <v>134525.32559999998</v>
      </c>
      <c r="J246" s="310">
        <f t="shared" si="15"/>
        <v>0</v>
      </c>
      <c r="M246" s="22">
        <f t="shared" si="10"/>
        <v>7518</v>
      </c>
      <c r="N246" s="67">
        <v>43951</v>
      </c>
      <c r="O246" s="22">
        <f t="shared" si="11"/>
        <v>2071</v>
      </c>
      <c r="P246" s="311">
        <f t="shared" si="13"/>
        <v>0.72452779994679439</v>
      </c>
    </row>
    <row r="247" spans="1:16" ht="18.75" customHeight="1">
      <c r="A247" s="493">
        <f t="shared" si="14"/>
        <v>187</v>
      </c>
      <c r="B247" s="313" t="s">
        <v>2750</v>
      </c>
      <c r="C247" s="312" t="s">
        <v>2751</v>
      </c>
      <c r="D247" s="66">
        <v>42736</v>
      </c>
      <c r="E247" s="67">
        <v>45291</v>
      </c>
      <c r="F247" s="70">
        <v>0.47553816046966729</v>
      </c>
      <c r="G247" s="312">
        <v>87500</v>
      </c>
      <c r="H247" s="312">
        <v>8235150</v>
      </c>
      <c r="I247" s="314">
        <v>2745049.9907999998</v>
      </c>
      <c r="J247" s="310">
        <f t="shared" si="15"/>
        <v>0.3333333322161709</v>
      </c>
      <c r="M247" s="22">
        <f>E247-D247</f>
        <v>2555</v>
      </c>
      <c r="N247" s="67">
        <v>43951</v>
      </c>
      <c r="O247" s="22">
        <f>E247-N247</f>
        <v>1340</v>
      </c>
      <c r="P247" s="311">
        <f>(M247-O247)/M247</f>
        <v>0.47553816046966729</v>
      </c>
    </row>
    <row r="248" spans="1:16" ht="18.75" customHeight="1">
      <c r="A248" s="771">
        <f t="shared" si="14"/>
        <v>188</v>
      </c>
      <c r="B248" s="313" t="s">
        <v>1548</v>
      </c>
      <c r="C248" s="312" t="s">
        <v>1549</v>
      </c>
      <c r="D248" s="66">
        <v>42164</v>
      </c>
      <c r="E248" s="67">
        <v>46022</v>
      </c>
      <c r="F248" s="70">
        <v>0.4631933644375324</v>
      </c>
      <c r="G248" s="312">
        <v>455080.45799999998</v>
      </c>
      <c r="H248" s="312">
        <v>4395932.6500000004</v>
      </c>
      <c r="I248" s="314">
        <v>641855.16999999993</v>
      </c>
      <c r="J248" s="310">
        <f t="shared" si="15"/>
        <v>0.14601114737278786</v>
      </c>
      <c r="M248" s="22">
        <f>E248-D248</f>
        <v>3858</v>
      </c>
      <c r="N248" s="67">
        <v>43951</v>
      </c>
      <c r="O248" s="22">
        <f>E248-N248</f>
        <v>2071</v>
      </c>
      <c r="P248" s="311">
        <f>(M248-O248)/M248</f>
        <v>0.4631933644375324</v>
      </c>
    </row>
  </sheetData>
  <mergeCells count="20">
    <mergeCell ref="A227:J227"/>
    <mergeCell ref="A228:J228"/>
    <mergeCell ref="A169:J169"/>
    <mergeCell ref="A170:J170"/>
    <mergeCell ref="A171:J171"/>
    <mergeCell ref="A172:J172"/>
    <mergeCell ref="A225:J225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rintOptions horizontalCentered="1"/>
  <pageMargins left="0.95" right="0.5" top="0.75" bottom="0.7" header="0.3" footer="0.3"/>
  <pageSetup scale="57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activeCell="E49" sqref="E49"/>
    </sheetView>
  </sheetViews>
  <sheetFormatPr defaultColWidth="9" defaultRowHeight="12.75"/>
  <cols>
    <col min="1" max="1" width="6" style="17" customWidth="1"/>
    <col min="2" max="2" width="40.77734375" style="17" customWidth="1"/>
    <col min="3" max="3" width="32.77734375" style="17" customWidth="1"/>
    <col min="4" max="5" width="15.77734375" style="17" customWidth="1"/>
    <col min="6" max="6" width="13.6640625" style="17" customWidth="1"/>
    <col min="7" max="7" width="15.7773437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367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2" t="str">
        <f>'Rate Case Constants'!C14</f>
        <v>FROM JANUARY 1, 2018 TO DECEMBER 31, 2018</v>
      </c>
      <c r="B4" s="831"/>
      <c r="C4" s="831"/>
      <c r="D4" s="831"/>
      <c r="E4" s="831"/>
      <c r="F4" s="831"/>
      <c r="G4" s="831"/>
    </row>
    <row r="5" spans="1:7" s="16" customFormat="1" ht="20.100000000000001" customHeight="1">
      <c r="A5" s="59"/>
      <c r="B5" s="59"/>
      <c r="C5" s="59"/>
      <c r="D5" s="59"/>
      <c r="E5" s="59"/>
      <c r="F5" s="59"/>
      <c r="G5" s="59"/>
    </row>
    <row r="6" spans="1:7" s="16" customFormat="1" ht="20.100000000000001" customHeight="1">
      <c r="A6" s="15" t="s">
        <v>94</v>
      </c>
      <c r="D6" s="22"/>
      <c r="E6" s="22"/>
      <c r="G6" s="22" t="s">
        <v>368</v>
      </c>
    </row>
    <row r="7" spans="1:7" s="16" customFormat="1" ht="20.100000000000001" customHeight="1">
      <c r="A7" s="16" t="str">
        <f>'Rate Case Constants'!C29</f>
        <v>TYPE OF FILING: _____ ORIGINAL  _____ UPDATED  __X__ REVISED</v>
      </c>
      <c r="D7" s="22"/>
      <c r="E7" s="22"/>
      <c r="G7" s="22" t="s">
        <v>137</v>
      </c>
    </row>
    <row r="8" spans="1:7" s="16" customFormat="1" ht="20.100000000000001" customHeight="1">
      <c r="A8" s="15" t="s">
        <v>231</v>
      </c>
      <c r="D8" s="23"/>
      <c r="E8" s="23"/>
      <c r="G8" s="23" t="str">
        <f>'Rate Case Constants'!C36</f>
        <v>WITNESS:   C. M. GARRETT</v>
      </c>
    </row>
    <row r="9" spans="1:7" s="16" customFormat="1" ht="20.100000000000001" customHeight="1"/>
    <row r="10" spans="1:7" ht="47.25" customHeight="1">
      <c r="A10" s="80" t="s">
        <v>92</v>
      </c>
      <c r="B10" s="81" t="s">
        <v>369</v>
      </c>
      <c r="C10" s="80" t="s">
        <v>370</v>
      </c>
      <c r="D10" s="80" t="s">
        <v>179</v>
      </c>
      <c r="E10" s="80" t="s">
        <v>235</v>
      </c>
      <c r="F10" s="80" t="s">
        <v>184</v>
      </c>
      <c r="G10" s="80" t="s">
        <v>371</v>
      </c>
    </row>
    <row r="11" spans="1:7" ht="23.1" customHeight="1">
      <c r="A11" s="28"/>
      <c r="B11" s="29"/>
      <c r="C11" s="30"/>
      <c r="D11" s="30"/>
      <c r="E11" s="30" t="s">
        <v>103</v>
      </c>
      <c r="F11" s="30"/>
      <c r="G11" s="30" t="s">
        <v>103</v>
      </c>
    </row>
    <row r="12" spans="1:7" ht="23.1" customHeight="1">
      <c r="A12" s="21"/>
      <c r="B12" s="26" t="s">
        <v>205</v>
      </c>
      <c r="C12" s="26"/>
      <c r="D12" s="26"/>
      <c r="E12" s="43"/>
      <c r="F12" s="43"/>
      <c r="G12" s="43"/>
    </row>
    <row r="13" spans="1:7" ht="18.95" customHeight="1">
      <c r="A13" s="18">
        <v>1</v>
      </c>
      <c r="B13" s="26" t="s">
        <v>1437</v>
      </c>
      <c r="C13" s="26" t="s">
        <v>374</v>
      </c>
      <c r="D13" s="19" t="s">
        <v>375</v>
      </c>
      <c r="E13" s="34">
        <f>'SCH B-5.1'!C14</f>
        <v>37117515.05970329</v>
      </c>
      <c r="F13" s="51">
        <v>1</v>
      </c>
      <c r="G13" s="34">
        <f>E13*F13</f>
        <v>37117515.05970329</v>
      </c>
    </row>
    <row r="14" spans="1:7" ht="18.95" customHeight="1">
      <c r="A14" s="18"/>
      <c r="B14" s="26"/>
      <c r="C14" s="26"/>
      <c r="D14" s="26"/>
      <c r="E14" s="34"/>
      <c r="F14" s="51"/>
      <c r="G14" s="34"/>
    </row>
    <row r="15" spans="1:7" ht="18.95" customHeight="1">
      <c r="A15" s="18">
        <v>2</v>
      </c>
      <c r="B15" s="26" t="s">
        <v>1435</v>
      </c>
      <c r="C15" s="26" t="s">
        <v>374</v>
      </c>
      <c r="D15" s="19" t="s">
        <v>375</v>
      </c>
      <c r="E15" s="34">
        <f>'SCH B-5.1'!C16</f>
        <v>40226760.52528926</v>
      </c>
      <c r="F15" s="51">
        <v>1</v>
      </c>
      <c r="G15" s="34">
        <f>E15*F15</f>
        <v>40226760.52528926</v>
      </c>
    </row>
    <row r="16" spans="1:7" ht="18.95" customHeight="1">
      <c r="A16" s="18"/>
      <c r="B16" s="26"/>
      <c r="C16" s="26"/>
      <c r="D16" s="26"/>
      <c r="E16" s="34"/>
      <c r="F16" s="34"/>
      <c r="G16" s="34"/>
    </row>
    <row r="17" spans="1:7" ht="18.95" customHeight="1">
      <c r="A17" s="18">
        <v>3</v>
      </c>
      <c r="B17" s="26" t="s">
        <v>1436</v>
      </c>
      <c r="C17" s="26" t="s">
        <v>374</v>
      </c>
      <c r="D17" s="19" t="s">
        <v>375</v>
      </c>
      <c r="E17" s="34">
        <f>'SCH B-5.1'!C18</f>
        <v>13413067.252335452</v>
      </c>
      <c r="F17" s="51">
        <v>1</v>
      </c>
      <c r="G17" s="34">
        <f>E17*F17</f>
        <v>13413067.252335452</v>
      </c>
    </row>
    <row r="18" spans="1:7" ht="18.95" customHeight="1">
      <c r="A18" s="18"/>
      <c r="B18" s="26"/>
      <c r="C18" s="26"/>
      <c r="D18" s="26"/>
      <c r="E18" s="34"/>
      <c r="F18" s="34"/>
      <c r="G18" s="34"/>
    </row>
    <row r="19" spans="1:7" ht="18.95" customHeight="1">
      <c r="A19" s="18">
        <v>4</v>
      </c>
      <c r="B19" s="26" t="s">
        <v>1027</v>
      </c>
      <c r="C19" s="26" t="s">
        <v>374</v>
      </c>
      <c r="D19" s="19" t="s">
        <v>375</v>
      </c>
      <c r="E19" s="34">
        <f>'SCH B-5.1'!C20</f>
        <v>0</v>
      </c>
      <c r="F19" s="51">
        <v>1</v>
      </c>
      <c r="G19" s="34">
        <f>E19*F19</f>
        <v>0</v>
      </c>
    </row>
    <row r="20" spans="1:7" ht="18.95" customHeight="1">
      <c r="A20" s="18"/>
      <c r="B20" s="26"/>
      <c r="C20" s="26"/>
      <c r="D20" s="26"/>
      <c r="E20" s="34"/>
      <c r="F20" s="34"/>
      <c r="G20" s="34"/>
    </row>
    <row r="21" spans="1:7" ht="31.5" customHeight="1">
      <c r="A21" s="18">
        <v>5</v>
      </c>
      <c r="B21" s="26" t="s">
        <v>372</v>
      </c>
      <c r="C21" s="26" t="s">
        <v>2540</v>
      </c>
      <c r="D21" s="19" t="s">
        <v>376</v>
      </c>
      <c r="E21" s="52">
        <f ca="1">'SCH B-5.2 B (1)'!Q$82</f>
        <v>73971526.35046944</v>
      </c>
      <c r="F21" s="51">
        <f ca="1">G21/E21</f>
        <v>1</v>
      </c>
      <c r="G21" s="52">
        <f ca="1">'SCH B-5.2 B (1)'!Q$82</f>
        <v>73971526.35046944</v>
      </c>
    </row>
    <row r="22" spans="1:7" ht="18.95" customHeight="1">
      <c r="A22" s="18"/>
      <c r="B22" s="26"/>
      <c r="C22" s="26"/>
      <c r="D22" s="26"/>
      <c r="E22" s="34"/>
      <c r="F22" s="34"/>
      <c r="G22" s="34"/>
    </row>
    <row r="23" spans="1:7" ht="18.95" customHeight="1" thickBot="1">
      <c r="A23" s="18">
        <v>6</v>
      </c>
      <c r="B23" s="26" t="s">
        <v>373</v>
      </c>
      <c r="C23" s="26"/>
      <c r="D23" s="26"/>
      <c r="E23" s="42">
        <f ca="1">SUM(E13:E21)</f>
        <v>164728869.18779746</v>
      </c>
      <c r="F23" s="34"/>
      <c r="G23" s="42">
        <f ca="1">SUM(G13:G21)</f>
        <v>164728869.18779746</v>
      </c>
    </row>
    <row r="24" spans="1:7" ht="18.95" customHeight="1" thickTop="1">
      <c r="A24" s="18"/>
      <c r="B24" s="26"/>
      <c r="C24" s="26"/>
      <c r="D24" s="26"/>
      <c r="E24" s="34"/>
      <c r="F24" s="34"/>
      <c r="G24" s="34"/>
    </row>
    <row r="25" spans="1:7" ht="18.95" customHeight="1">
      <c r="A25" s="18"/>
      <c r="B25" s="15" t="s">
        <v>1438</v>
      </c>
      <c r="C25" s="26"/>
      <c r="D25" s="26"/>
      <c r="E25" s="34"/>
      <c r="F25" s="34"/>
      <c r="G25" s="34"/>
    </row>
    <row r="26" spans="1:7" ht="18.95" customHeight="1">
      <c r="A26" s="18"/>
      <c r="B26" s="15" t="s">
        <v>1501</v>
      </c>
      <c r="C26" s="26"/>
      <c r="D26" s="26"/>
      <c r="E26" s="34"/>
      <c r="F26" s="34"/>
      <c r="G26" s="34"/>
    </row>
    <row r="27" spans="1:7" ht="18.95" customHeight="1">
      <c r="A27" s="18"/>
      <c r="B27" s="15" t="s">
        <v>1439</v>
      </c>
      <c r="C27" s="26"/>
      <c r="D27" s="26"/>
      <c r="E27" s="34"/>
      <c r="F27" s="34"/>
      <c r="G27" s="34"/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s="16" customFormat="1" ht="20.100000000000001" customHeight="1">
      <c r="A29" s="831" t="str">
        <f>$A$1</f>
        <v>LOUISVILLE GAS AND ELECTRIC COMPANY</v>
      </c>
      <c r="B29" s="831"/>
      <c r="C29" s="831"/>
      <c r="D29" s="831"/>
      <c r="E29" s="831"/>
      <c r="F29" s="831"/>
      <c r="G29" s="831"/>
    </row>
    <row r="30" spans="1:7" s="16" customFormat="1" ht="20.100000000000001" customHeight="1">
      <c r="A30" s="831" t="str">
        <f>$A$2</f>
        <v>CASE NO. 2018-00295 - ELECTRIC OPERATIONS</v>
      </c>
      <c r="B30" s="831"/>
      <c r="C30" s="831"/>
      <c r="D30" s="831"/>
      <c r="E30" s="831"/>
      <c r="F30" s="831"/>
      <c r="G30" s="831"/>
    </row>
    <row r="31" spans="1:7" s="16" customFormat="1" ht="20.100000000000001" customHeight="1">
      <c r="A31" s="831" t="str">
        <f>$A$3</f>
        <v>ALLOWANCE FOR WORKING CAPITAL</v>
      </c>
      <c r="B31" s="831"/>
      <c r="C31" s="831"/>
      <c r="D31" s="831"/>
      <c r="E31" s="831"/>
      <c r="F31" s="831"/>
      <c r="G31" s="831"/>
    </row>
    <row r="32" spans="1:7" s="16" customFormat="1" ht="20.100000000000001" customHeight="1">
      <c r="A32" s="832" t="str">
        <f>'Rate Case Constants'!C20</f>
        <v>FROM MAY 1, 2019 TO APRIL 30, 2020</v>
      </c>
      <c r="B32" s="840"/>
      <c r="C32" s="840"/>
      <c r="D32" s="840"/>
      <c r="E32" s="840"/>
      <c r="F32" s="840"/>
      <c r="G32" s="840"/>
    </row>
    <row r="33" spans="1:7" s="16" customFormat="1" ht="20.100000000000001" customHeight="1">
      <c r="A33" s="59"/>
      <c r="B33" s="59"/>
      <c r="C33" s="59"/>
      <c r="D33" s="59"/>
      <c r="E33" s="59"/>
      <c r="F33" s="59"/>
      <c r="G33" s="59"/>
    </row>
    <row r="34" spans="1:7" s="16" customFormat="1" ht="20.100000000000001" customHeight="1">
      <c r="A34" s="15" t="s">
        <v>122</v>
      </c>
      <c r="D34" s="22"/>
      <c r="E34" s="22"/>
      <c r="G34" s="22" t="s">
        <v>368</v>
      </c>
    </row>
    <row r="35" spans="1:7" s="16" customFormat="1" ht="20.100000000000001" customHeight="1">
      <c r="A35" s="15" t="str">
        <f>$A$7</f>
        <v>TYPE OF FILING: _____ ORIGINAL  _____ UPDATED  __X__ REVISED</v>
      </c>
      <c r="D35" s="22"/>
      <c r="E35" s="22"/>
      <c r="G35" s="22" t="s">
        <v>145</v>
      </c>
    </row>
    <row r="36" spans="1:7" s="16" customFormat="1" ht="20.100000000000001" customHeight="1">
      <c r="A36" s="15" t="str">
        <f>$A$8</f>
        <v>WORKPAPER REFERENCE NO(S).:</v>
      </c>
      <c r="D36" s="23"/>
      <c r="E36" s="23"/>
      <c r="G36" s="23" t="str">
        <f>$G$8</f>
        <v>WITNESS:   C. M. GARRETT</v>
      </c>
    </row>
    <row r="37" spans="1:7" s="16" customFormat="1" ht="20.100000000000001" customHeight="1"/>
    <row r="38" spans="1:7" ht="47.25" customHeight="1">
      <c r="A38" s="80" t="s">
        <v>92</v>
      </c>
      <c r="B38" s="81" t="s">
        <v>369</v>
      </c>
      <c r="C38" s="80" t="s">
        <v>370</v>
      </c>
      <c r="D38" s="80" t="s">
        <v>179</v>
      </c>
      <c r="E38" s="80" t="s">
        <v>235</v>
      </c>
      <c r="F38" s="80" t="s">
        <v>184</v>
      </c>
      <c r="G38" s="80" t="s">
        <v>371</v>
      </c>
    </row>
    <row r="39" spans="1:7" ht="23.1" customHeight="1">
      <c r="A39" s="28"/>
      <c r="B39" s="29"/>
      <c r="C39" s="30"/>
      <c r="D39" s="30"/>
      <c r="E39" s="30" t="s">
        <v>103</v>
      </c>
      <c r="F39" s="30"/>
      <c r="G39" s="30" t="s">
        <v>103</v>
      </c>
    </row>
    <row r="40" spans="1:7" ht="23.1" customHeight="1">
      <c r="A40" s="21"/>
      <c r="B40" s="26" t="s">
        <v>205</v>
      </c>
      <c r="C40" s="26"/>
      <c r="D40" s="26"/>
      <c r="E40" s="43"/>
      <c r="F40" s="43"/>
      <c r="G40" s="43"/>
    </row>
    <row r="41" spans="1:7" ht="18.95" customHeight="1">
      <c r="A41" s="18">
        <v>1</v>
      </c>
      <c r="B41" s="26" t="s">
        <v>1437</v>
      </c>
      <c r="C41" s="26" t="s">
        <v>374</v>
      </c>
      <c r="D41" s="19" t="s">
        <v>375</v>
      </c>
      <c r="E41" s="34">
        <f>'SCH B-5.1'!C41</f>
        <v>33134736.987005077</v>
      </c>
      <c r="F41" s="51">
        <v>1</v>
      </c>
      <c r="G41" s="34">
        <f>E41*F41</f>
        <v>33134736.987005077</v>
      </c>
    </row>
    <row r="42" spans="1:7" ht="18.95" customHeight="1">
      <c r="A42" s="18"/>
      <c r="B42" s="26"/>
      <c r="C42" s="26"/>
      <c r="D42" s="26"/>
      <c r="E42" s="34"/>
      <c r="F42" s="51"/>
      <c r="G42" s="34"/>
    </row>
    <row r="43" spans="1:7" ht="18.95" customHeight="1">
      <c r="A43" s="18">
        <v>2</v>
      </c>
      <c r="B43" s="26" t="s">
        <v>1435</v>
      </c>
      <c r="C43" s="26" t="s">
        <v>374</v>
      </c>
      <c r="D43" s="19" t="s">
        <v>375</v>
      </c>
      <c r="E43" s="34">
        <f>'SCH B-5.1'!C43</f>
        <v>39959218.92481038</v>
      </c>
      <c r="F43" s="51">
        <v>1</v>
      </c>
      <c r="G43" s="34">
        <f>E43*F43</f>
        <v>39959218.92481038</v>
      </c>
    </row>
    <row r="44" spans="1:7" ht="18.95" customHeight="1">
      <c r="A44" s="18"/>
      <c r="B44" s="26"/>
      <c r="C44" s="26"/>
      <c r="D44" s="26"/>
      <c r="E44" s="34"/>
      <c r="F44" s="34"/>
      <c r="G44" s="34"/>
    </row>
    <row r="45" spans="1:7" ht="18.95" customHeight="1">
      <c r="A45" s="18">
        <v>3</v>
      </c>
      <c r="B45" s="26" t="s">
        <v>1436</v>
      </c>
      <c r="C45" s="26" t="s">
        <v>374</v>
      </c>
      <c r="D45" s="19" t="s">
        <v>375</v>
      </c>
      <c r="E45" s="34">
        <f>'SCH B-5.1'!C45</f>
        <v>13197914.906508759</v>
      </c>
      <c r="F45" s="51">
        <v>1</v>
      </c>
      <c r="G45" s="34">
        <f>E45*F45</f>
        <v>13197914.906508759</v>
      </c>
    </row>
    <row r="46" spans="1:7" ht="18.95" customHeight="1">
      <c r="A46" s="18"/>
      <c r="B46" s="26"/>
      <c r="C46" s="26"/>
      <c r="D46" s="26"/>
      <c r="E46" s="34"/>
      <c r="F46" s="34"/>
      <c r="G46" s="34"/>
    </row>
    <row r="47" spans="1:7" ht="18.95" customHeight="1">
      <c r="A47" s="18">
        <v>4</v>
      </c>
      <c r="B47" s="26" t="s">
        <v>1027</v>
      </c>
      <c r="C47" s="26" t="s">
        <v>374</v>
      </c>
      <c r="D47" s="19" t="s">
        <v>375</v>
      </c>
      <c r="E47" s="34">
        <f>'SCH B-5.1'!C47</f>
        <v>0</v>
      </c>
      <c r="F47" s="51">
        <v>1</v>
      </c>
      <c r="G47" s="34">
        <f>E47*F47</f>
        <v>0</v>
      </c>
    </row>
    <row r="48" spans="1:7" ht="18.95" customHeight="1">
      <c r="A48" s="18"/>
      <c r="B48" s="26"/>
      <c r="C48" s="26"/>
      <c r="D48" s="26"/>
      <c r="E48" s="34"/>
      <c r="F48" s="34"/>
      <c r="G48" s="34"/>
    </row>
    <row r="49" spans="1:7" ht="31.5" customHeight="1">
      <c r="A49" s="18">
        <v>5</v>
      </c>
      <c r="B49" s="26" t="s">
        <v>372</v>
      </c>
      <c r="C49" s="26" t="s">
        <v>2540</v>
      </c>
      <c r="D49" s="19" t="s">
        <v>376</v>
      </c>
      <c r="E49" s="52">
        <f>'SCH B-5.2 F (1)'!Q$82</f>
        <v>116280797.77808094</v>
      </c>
      <c r="F49" s="51">
        <f>G49/E49</f>
        <v>1</v>
      </c>
      <c r="G49" s="52">
        <f>'SCH B-5.2 F (1)'!Q$82</f>
        <v>116280797.77808094</v>
      </c>
    </row>
    <row r="50" spans="1:7" ht="18.95" customHeight="1">
      <c r="A50" s="18"/>
      <c r="B50" s="26"/>
      <c r="C50" s="26"/>
      <c r="D50" s="26"/>
      <c r="E50" s="34"/>
      <c r="F50" s="34"/>
      <c r="G50" s="34"/>
    </row>
    <row r="51" spans="1:7" ht="18.95" customHeight="1" thickBot="1">
      <c r="A51" s="18">
        <v>6</v>
      </c>
      <c r="B51" s="26" t="s">
        <v>373</v>
      </c>
      <c r="C51" s="26"/>
      <c r="D51" s="26"/>
      <c r="E51" s="42">
        <f>SUM(E41:E49)</f>
        <v>202572668.59640515</v>
      </c>
      <c r="F51" s="34"/>
      <c r="G51" s="42">
        <f>SUM(G41:G49)</f>
        <v>202572668.59640515</v>
      </c>
    </row>
    <row r="52" spans="1:7" ht="18.95" customHeight="1" thickTop="1">
      <c r="A52" s="18"/>
      <c r="B52" s="26"/>
      <c r="C52" s="26"/>
      <c r="D52" s="26"/>
      <c r="E52" s="34"/>
      <c r="F52" s="34"/>
      <c r="G52" s="34"/>
    </row>
    <row r="53" spans="1:7" ht="18.95" customHeight="1">
      <c r="A53" s="18"/>
      <c r="B53" s="15" t="s">
        <v>1438</v>
      </c>
      <c r="C53" s="26"/>
      <c r="D53" s="26"/>
      <c r="E53" s="34"/>
      <c r="F53" s="34"/>
      <c r="G53" s="34"/>
    </row>
    <row r="54" spans="1:7" ht="18.95" customHeight="1">
      <c r="B54" s="15" t="s">
        <v>1501</v>
      </c>
    </row>
    <row r="55" spans="1:7" ht="18.95" customHeight="1">
      <c r="B55" s="15" t="s">
        <v>1439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54"/>
  <sheetViews>
    <sheetView zoomScaleNormal="100" workbookViewId="0">
      <selection activeCell="C47" sqref="C47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4.21875" style="17" customWidth="1"/>
    <col min="4" max="4" width="13.6640625" style="17" customWidth="1"/>
    <col min="5" max="5" width="15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380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Constants'!C14</f>
        <v>FROM JANUARY 1, 2018 TO DECEMBER 31, 2018</v>
      </c>
      <c r="B4" s="831"/>
      <c r="C4" s="831"/>
      <c r="D4" s="831"/>
      <c r="E4" s="831"/>
    </row>
    <row r="5" spans="1:5" s="16" customFormat="1" ht="20.100000000000001" customHeight="1">
      <c r="A5" s="59"/>
      <c r="B5" s="59"/>
      <c r="C5" s="59"/>
      <c r="D5" s="59"/>
      <c r="E5" s="59"/>
    </row>
    <row r="6" spans="1:5" s="16" customFormat="1" ht="20.100000000000001" customHeight="1">
      <c r="A6" s="15" t="s">
        <v>94</v>
      </c>
      <c r="C6" s="22"/>
      <c r="E6" s="22" t="s">
        <v>377</v>
      </c>
    </row>
    <row r="7" spans="1:5" s="16" customFormat="1" ht="20.100000000000001" customHeight="1">
      <c r="A7" s="16" t="str">
        <f>'Rate Case Constants'!C29</f>
        <v>TYPE OF FILING: _____ ORIGINAL  _____ UPDATED  __X__ REVISED</v>
      </c>
      <c r="C7" s="22"/>
      <c r="E7" s="22" t="s">
        <v>137</v>
      </c>
    </row>
    <row r="8" spans="1:5" s="16" customFormat="1" ht="20.100000000000001" customHeight="1">
      <c r="A8" s="15" t="s">
        <v>231</v>
      </c>
      <c r="C8" s="23"/>
      <c r="E8" s="23" t="str">
        <f>'Rate Case Constants'!C36</f>
        <v>WITNESS:   C. M. GARRETT</v>
      </c>
    </row>
    <row r="9" spans="1:5" s="16" customFormat="1" ht="20.100000000000001" customHeight="1"/>
    <row r="10" spans="1:5" s="16" customFormat="1" ht="20.100000000000001" customHeight="1">
      <c r="A10" s="48"/>
      <c r="B10" s="48"/>
      <c r="C10" s="839" t="s">
        <v>378</v>
      </c>
      <c r="D10" s="839"/>
      <c r="E10" s="839"/>
    </row>
    <row r="11" spans="1:5" ht="39.75" customHeight="1">
      <c r="A11" s="50" t="s">
        <v>92</v>
      </c>
      <c r="B11" s="82" t="s">
        <v>165</v>
      </c>
      <c r="C11" s="50" t="s">
        <v>235</v>
      </c>
      <c r="D11" s="50" t="s">
        <v>184</v>
      </c>
      <c r="E11" s="50" t="s">
        <v>371</v>
      </c>
    </row>
    <row r="12" spans="1:5" ht="23.1" customHeight="1">
      <c r="A12" s="28"/>
      <c r="B12" s="29"/>
      <c r="C12" s="30" t="s">
        <v>103</v>
      </c>
      <c r="D12" s="30"/>
      <c r="E12" s="30" t="s">
        <v>103</v>
      </c>
    </row>
    <row r="13" spans="1:5" ht="23.1" customHeight="1">
      <c r="A13" s="21"/>
      <c r="B13" s="26" t="s">
        <v>205</v>
      </c>
      <c r="C13" s="43"/>
      <c r="D13" s="43"/>
      <c r="E13" s="43"/>
    </row>
    <row r="14" spans="1:5" ht="18.95" customHeight="1">
      <c r="A14" s="18">
        <v>1</v>
      </c>
      <c r="B14" s="26" t="s">
        <v>1437</v>
      </c>
      <c r="C14" s="34">
        <f>INV!O$23*1000-SUM('TC1 Disallowance'!I5:I17)/13-SUM('TC1 Disallowance'!M5:M17)/13</f>
        <v>37117515.05970329</v>
      </c>
      <c r="D14" s="51">
        <v>1</v>
      </c>
      <c r="E14" s="34">
        <f>C14*D14</f>
        <v>37117515.05970329</v>
      </c>
    </row>
    <row r="15" spans="1:5" ht="18.95" customHeight="1">
      <c r="A15" s="18"/>
      <c r="B15" s="26"/>
      <c r="C15" s="34"/>
      <c r="D15" s="51"/>
      <c r="E15" s="34"/>
    </row>
    <row r="16" spans="1:5" ht="18.95" customHeight="1">
      <c r="A16" s="18">
        <v>2</v>
      </c>
      <c r="B16" s="26" t="s">
        <v>1435</v>
      </c>
      <c r="C16" s="34">
        <f>SUM(INV!O$24:O$26)*1000-INV!O48-SUM('TC1 Disallowance'!J5:J17)/13-SUM('TC1 Disallowance'!K5:K17)/13-SUM('TC1 Disallowance'!L5:L17)/13-SUM('TC1 Disallowance'!N5:N17)/13</f>
        <v>40226760.52528926</v>
      </c>
      <c r="D16" s="51">
        <v>1</v>
      </c>
      <c r="E16" s="34">
        <f>C16*D16</f>
        <v>40226760.52528926</v>
      </c>
    </row>
    <row r="17" spans="1:5" ht="18.95" customHeight="1">
      <c r="A17" s="18"/>
      <c r="B17" s="26"/>
      <c r="C17" s="34"/>
      <c r="D17" s="34"/>
      <c r="E17" s="34"/>
    </row>
    <row r="18" spans="1:5" ht="18.95" customHeight="1">
      <c r="A18" s="18">
        <v>3</v>
      </c>
      <c r="B18" s="26" t="s">
        <v>1436</v>
      </c>
      <c r="C18" s="34">
        <f>SUM(INV!O$28:O$29)*1000</f>
        <v>13413067.252335452</v>
      </c>
      <c r="D18" s="51">
        <v>1</v>
      </c>
      <c r="E18" s="34">
        <f>C18*D18</f>
        <v>13413067.252335452</v>
      </c>
    </row>
    <row r="19" spans="1:5" ht="18.95" customHeight="1">
      <c r="A19" s="18"/>
      <c r="B19" s="26"/>
      <c r="C19" s="34"/>
      <c r="D19" s="34"/>
      <c r="E19" s="34"/>
    </row>
    <row r="20" spans="1:5" ht="18.95" customHeight="1">
      <c r="A20" s="18">
        <v>4</v>
      </c>
      <c r="B20" s="26" t="s">
        <v>1027</v>
      </c>
      <c r="C20" s="52">
        <v>0</v>
      </c>
      <c r="D20" s="51">
        <v>1</v>
      </c>
      <c r="E20" s="52">
        <f>C20*D20</f>
        <v>0</v>
      </c>
    </row>
    <row r="21" spans="1:5" ht="18.95" customHeight="1">
      <c r="A21" s="18"/>
      <c r="B21" s="26"/>
      <c r="C21" s="34"/>
      <c r="D21" s="34"/>
      <c r="E21" s="34"/>
    </row>
    <row r="22" spans="1:5" ht="18.95" customHeight="1" thickBot="1">
      <c r="A22" s="18">
        <v>5</v>
      </c>
      <c r="B22" s="26" t="s">
        <v>379</v>
      </c>
      <c r="C22" s="42">
        <f>SUM(C14:C20)</f>
        <v>90757342.837328017</v>
      </c>
      <c r="D22" s="34"/>
      <c r="E22" s="42">
        <f>SUM(E14:E20)</f>
        <v>90757342.837328017</v>
      </c>
    </row>
    <row r="23" spans="1:5" ht="18.95" customHeight="1" thickTop="1">
      <c r="A23" s="18"/>
      <c r="B23" s="26"/>
      <c r="C23" s="34"/>
      <c r="D23" s="34"/>
      <c r="E23" s="34"/>
    </row>
    <row r="24" spans="1:5" ht="18.95" customHeight="1">
      <c r="A24" s="18"/>
      <c r="B24" s="15" t="s">
        <v>1438</v>
      </c>
      <c r="C24" s="34"/>
      <c r="D24" s="34"/>
      <c r="E24" s="34"/>
    </row>
    <row r="25" spans="1:5" ht="18.95" customHeight="1">
      <c r="A25" s="18"/>
      <c r="B25" s="15" t="s">
        <v>1793</v>
      </c>
      <c r="C25" s="34"/>
      <c r="D25" s="34"/>
      <c r="E25" s="34"/>
    </row>
    <row r="26" spans="1:5" ht="18.95" customHeight="1">
      <c r="A26" s="18"/>
      <c r="B26" s="15" t="s">
        <v>1439</v>
      </c>
      <c r="C26" s="34"/>
      <c r="D26" s="34"/>
      <c r="E26" s="34"/>
    </row>
    <row r="27" spans="1:5" ht="18.95" customHeight="1">
      <c r="A27" s="18"/>
      <c r="B27" s="26"/>
      <c r="C27" s="34"/>
      <c r="D27" s="34"/>
      <c r="E27" s="34"/>
    </row>
    <row r="28" spans="1:5" s="16" customFormat="1" ht="20.100000000000001" customHeight="1">
      <c r="A28" s="831" t="str">
        <f>$A$1</f>
        <v>LOUISVILLE GAS AND ELECTRIC COMPANY</v>
      </c>
      <c r="B28" s="831"/>
      <c r="C28" s="831"/>
      <c r="D28" s="831"/>
      <c r="E28" s="831"/>
    </row>
    <row r="29" spans="1:5" s="16" customFormat="1" ht="20.100000000000001" customHeight="1">
      <c r="A29" s="831" t="str">
        <f>$A$2</f>
        <v>CASE NO. 2018-00295 - ELECTRIC OPERATIONS</v>
      </c>
      <c r="B29" s="831"/>
      <c r="C29" s="831"/>
      <c r="D29" s="831"/>
      <c r="E29" s="831"/>
    </row>
    <row r="30" spans="1:5" s="16" customFormat="1" ht="20.100000000000001" customHeight="1">
      <c r="A30" s="831" t="str">
        <f>$A$3</f>
        <v>OTHER WORKING CAPITAL COMPONENTS</v>
      </c>
      <c r="B30" s="831"/>
      <c r="C30" s="831"/>
      <c r="D30" s="831"/>
      <c r="E30" s="831"/>
    </row>
    <row r="31" spans="1:5" s="16" customFormat="1" ht="20.100000000000001" customHeight="1">
      <c r="A31" s="832" t="str">
        <f>'Rate Case Constants'!C20</f>
        <v>FROM MAY 1, 2019 TO APRIL 30, 2020</v>
      </c>
      <c r="B31" s="840"/>
      <c r="C31" s="840"/>
      <c r="D31" s="840"/>
      <c r="E31" s="840"/>
    </row>
    <row r="32" spans="1:5" s="16" customFormat="1" ht="20.100000000000001" customHeight="1">
      <c r="A32" s="59"/>
      <c r="B32" s="59"/>
      <c r="C32" s="59"/>
      <c r="D32" s="59"/>
      <c r="E32" s="59"/>
    </row>
    <row r="33" spans="1:5" s="16" customFormat="1" ht="20.100000000000001" customHeight="1">
      <c r="A33" s="15" t="s">
        <v>122</v>
      </c>
      <c r="C33" s="22"/>
      <c r="E33" s="22" t="s">
        <v>377</v>
      </c>
    </row>
    <row r="34" spans="1:5" s="16" customFormat="1" ht="20.100000000000001" customHeight="1">
      <c r="A34" s="15" t="str">
        <f>$A$7</f>
        <v>TYPE OF FILING: _____ ORIGINAL  _____ UPDATED  __X__ REVISED</v>
      </c>
      <c r="C34" s="22"/>
      <c r="E34" s="22" t="s">
        <v>145</v>
      </c>
    </row>
    <row r="35" spans="1:5" s="16" customFormat="1" ht="20.100000000000001" customHeight="1">
      <c r="A35" s="15" t="str">
        <f>$A$8</f>
        <v>WORKPAPER REFERENCE NO(S).:</v>
      </c>
      <c r="C35" s="23"/>
      <c r="E35" s="23" t="str">
        <f>$E$8</f>
        <v>WITNESS:   C. M. GARRETT</v>
      </c>
    </row>
    <row r="36" spans="1:5" s="16" customFormat="1" ht="20.100000000000001" customHeight="1"/>
    <row r="37" spans="1:5" s="16" customFormat="1" ht="20.100000000000001" customHeight="1">
      <c r="A37" s="48"/>
      <c r="B37" s="48"/>
      <c r="C37" s="839" t="s">
        <v>378</v>
      </c>
      <c r="D37" s="839"/>
      <c r="E37" s="839"/>
    </row>
    <row r="38" spans="1:5" ht="39.75" customHeight="1">
      <c r="A38" s="50" t="s">
        <v>92</v>
      </c>
      <c r="B38" s="82" t="s">
        <v>165</v>
      </c>
      <c r="C38" s="50" t="s">
        <v>235</v>
      </c>
      <c r="D38" s="50" t="s">
        <v>184</v>
      </c>
      <c r="E38" s="50" t="s">
        <v>371</v>
      </c>
    </row>
    <row r="39" spans="1:5" ht="23.1" customHeight="1">
      <c r="A39" s="28"/>
      <c r="B39" s="29"/>
      <c r="C39" s="30" t="s">
        <v>103</v>
      </c>
      <c r="D39" s="30"/>
      <c r="E39" s="30" t="s">
        <v>103</v>
      </c>
    </row>
    <row r="40" spans="1:5" ht="23.1" customHeight="1">
      <c r="A40" s="21"/>
      <c r="B40" s="26" t="s">
        <v>205</v>
      </c>
      <c r="C40" s="43"/>
      <c r="D40" s="43"/>
      <c r="E40" s="43"/>
    </row>
    <row r="41" spans="1:5" ht="18.95" customHeight="1">
      <c r="A41" s="18">
        <v>1</v>
      </c>
      <c r="B41" s="26" t="s">
        <v>1437</v>
      </c>
      <c r="C41" s="34">
        <f>INV!$AC$23*1000-SUM('TC1 Disallowance'!$I$22:$I$34)/13-SUM('TC1 Disallowance'!$M$22:$M$34)/13</f>
        <v>33134736.987005077</v>
      </c>
      <c r="D41" s="51">
        <v>1</v>
      </c>
      <c r="E41" s="34">
        <f>C41*D41</f>
        <v>33134736.987005077</v>
      </c>
    </row>
    <row r="42" spans="1:5" ht="18.95" customHeight="1">
      <c r="A42" s="18"/>
      <c r="B42" s="26"/>
      <c r="C42" s="34"/>
      <c r="D42" s="51"/>
      <c r="E42" s="34"/>
    </row>
    <row r="43" spans="1:5" ht="18.95" customHeight="1">
      <c r="A43" s="18">
        <v>2</v>
      </c>
      <c r="B43" s="26" t="s">
        <v>1435</v>
      </c>
      <c r="C43" s="34">
        <f>SUM(INV!$AC$24:AC$26)*1000-INV!AC48-SUM('TC1 Disallowance'!$J$22:$J$34)/13-SUM('TC1 Disallowance'!$K$22:$K$34)/13-SUM('TC1 Disallowance'!$L$22:$L$34)/13-SUM('TC1 Disallowance'!$N$22:$N$34)/13</f>
        <v>39959218.92481038</v>
      </c>
      <c r="D43" s="51">
        <v>1</v>
      </c>
      <c r="E43" s="34">
        <f>C43*D43</f>
        <v>39959218.92481038</v>
      </c>
    </row>
    <row r="44" spans="1:5" ht="18.95" customHeight="1">
      <c r="A44" s="18"/>
      <c r="B44" s="26"/>
      <c r="C44" s="34"/>
      <c r="D44" s="34"/>
      <c r="E44" s="34"/>
    </row>
    <row r="45" spans="1:5" ht="18.95" customHeight="1">
      <c r="A45" s="18">
        <v>3</v>
      </c>
      <c r="B45" s="26" t="s">
        <v>1436</v>
      </c>
      <c r="C45" s="34">
        <f>SUM(INV!$AC$28:$AC$29)*1000</f>
        <v>13197914.906508759</v>
      </c>
      <c r="D45" s="51">
        <v>1</v>
      </c>
      <c r="E45" s="34">
        <f>C45*D45</f>
        <v>13197914.906508759</v>
      </c>
    </row>
    <row r="46" spans="1:5" ht="18.95" customHeight="1">
      <c r="A46" s="18"/>
      <c r="B46" s="26"/>
      <c r="C46" s="34"/>
      <c r="D46" s="34"/>
      <c r="E46" s="34"/>
    </row>
    <row r="47" spans="1:5" ht="18.95" customHeight="1">
      <c r="A47" s="18">
        <v>4</v>
      </c>
      <c r="B47" s="26" t="s">
        <v>1027</v>
      </c>
      <c r="C47" s="52">
        <v>0</v>
      </c>
      <c r="D47" s="51">
        <v>1</v>
      </c>
      <c r="E47" s="52">
        <f>C47*D47</f>
        <v>0</v>
      </c>
    </row>
    <row r="48" spans="1:5" ht="18.95" customHeight="1">
      <c r="A48" s="18"/>
      <c r="B48" s="26"/>
      <c r="C48" s="34"/>
      <c r="D48" s="34"/>
      <c r="E48" s="34"/>
    </row>
    <row r="49" spans="1:5" ht="18.95" customHeight="1" thickBot="1">
      <c r="A49" s="18">
        <v>5</v>
      </c>
      <c r="B49" s="26" t="s">
        <v>379</v>
      </c>
      <c r="C49" s="42">
        <f>SUM(C41:C47)</f>
        <v>86291870.818324223</v>
      </c>
      <c r="D49" s="34"/>
      <c r="E49" s="42">
        <f>SUM(E41:E47)</f>
        <v>86291870.818324223</v>
      </c>
    </row>
    <row r="50" spans="1:5" ht="18.95" customHeight="1" thickTop="1">
      <c r="A50" s="18"/>
      <c r="B50" s="26"/>
      <c r="C50" s="34"/>
      <c r="D50" s="34"/>
      <c r="E50" s="34"/>
    </row>
    <row r="51" spans="1:5" ht="18.95" customHeight="1">
      <c r="A51" s="18"/>
      <c r="B51" s="15" t="s">
        <v>1438</v>
      </c>
      <c r="C51" s="34"/>
      <c r="D51" s="34"/>
      <c r="E51" s="34"/>
    </row>
    <row r="52" spans="1:5" ht="18.95" customHeight="1">
      <c r="A52" s="18"/>
      <c r="B52" s="15" t="s">
        <v>1793</v>
      </c>
      <c r="C52" s="34"/>
      <c r="D52" s="34"/>
      <c r="E52" s="34"/>
    </row>
    <row r="53" spans="1:5" ht="18.95" customHeight="1">
      <c r="B53" s="15" t="s">
        <v>1439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32" activePane="bottomRight" state="frozen"/>
      <selection activeCell="G11" sqref="G11"/>
      <selection pane="topRight" activeCell="G11" sqref="G11"/>
      <selection pane="bottomLeft" activeCell="G11" sqref="G11"/>
      <selection pane="bottomRight" activeCell="C41" sqref="C41"/>
    </sheetView>
  </sheetViews>
  <sheetFormatPr defaultRowHeight="12.75"/>
  <cols>
    <col min="1" max="1" width="5.44140625" style="773" customWidth="1"/>
    <col min="2" max="2" width="42.109375" style="680" bestFit="1" customWidth="1"/>
    <col min="3" max="3" width="14.77734375" style="684" customWidth="1"/>
    <col min="4" max="4" width="2.109375" style="684" customWidth="1"/>
    <col min="5" max="5" width="9.21875" style="708" customWidth="1"/>
    <col min="6" max="6" width="2" style="708" customWidth="1"/>
    <col min="7" max="7" width="14.77734375" style="684" customWidth="1"/>
    <col min="8" max="8" width="2.21875" style="684" customWidth="1"/>
    <col min="9" max="9" width="10.33203125" style="684" customWidth="1"/>
    <col min="10" max="10" width="2.44140625" style="684" customWidth="1"/>
    <col min="11" max="11" width="8.77734375" style="684" customWidth="1"/>
    <col min="12" max="12" width="2" style="684" customWidth="1"/>
    <col min="13" max="13" width="9.77734375" style="685" customWidth="1"/>
    <col min="14" max="14" width="2.109375" style="685" customWidth="1"/>
    <col min="15" max="15" width="9.77734375" style="684" customWidth="1"/>
    <col min="16" max="16" width="2.5546875" style="684" customWidth="1"/>
    <col min="17" max="17" width="13.77734375" style="684" customWidth="1"/>
    <col min="18" max="18" width="10.88671875" style="680" customWidth="1"/>
    <col min="19" max="19" width="8.88671875" style="680"/>
    <col min="20" max="20" width="14" style="680" customWidth="1"/>
    <col min="21" max="16384" width="8.88671875" style="680"/>
  </cols>
  <sheetData>
    <row r="1" spans="1:18" ht="15.95" customHeight="1">
      <c r="A1" s="841" t="str">
        <f>'Rate Case Constants'!C9</f>
        <v>LOUISVILLE GAS AND ELECTRIC COMPANY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38"/>
    </row>
    <row r="2" spans="1:18" ht="15.95" customHeight="1">
      <c r="A2" s="841" t="str">
        <f>'Rate Case Constants'!C10</f>
        <v>CASE NO. 2018-00295 - ELECTRIC OPERATIONS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738"/>
    </row>
    <row r="3" spans="1:18" ht="15.95" customHeight="1">
      <c r="A3" s="841" t="s">
        <v>381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738"/>
    </row>
    <row r="4" spans="1:18" ht="15.95" customHeight="1">
      <c r="A4" s="841" t="str">
        <f>'Rate Case Constants'!C15</f>
        <v>BASE YEAR FOR THE 12 MONTHS ENDED DECEMBER 31, 2018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738"/>
    </row>
    <row r="5" spans="1:18" ht="15.95" customHeight="1">
      <c r="A5" s="772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38"/>
    </row>
    <row r="6" spans="1:18" ht="15.95" customHeight="1">
      <c r="A6" s="15" t="s">
        <v>94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23" t="s">
        <v>382</v>
      </c>
      <c r="R6" s="738"/>
    </row>
    <row r="7" spans="1:18" ht="15.95" customHeight="1">
      <c r="A7" s="15" t="str">
        <f>'Rate Case Constants'!C29</f>
        <v>TYPE OF FILING: _____ ORIGINAL  _____ UPDATED  __X__ REVISED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23" t="s">
        <v>133</v>
      </c>
      <c r="R7" s="738"/>
    </row>
    <row r="8" spans="1:18" ht="15.95" customHeight="1">
      <c r="A8" s="15" t="s">
        <v>231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2566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3">
        <v>1</v>
      </c>
      <c r="B12" s="686" t="s">
        <v>2079</v>
      </c>
      <c r="C12" s="690">
        <v>240536798.45136625</v>
      </c>
      <c r="D12" s="687"/>
      <c r="E12" s="688">
        <v>1</v>
      </c>
      <c r="F12" s="689"/>
      <c r="G12" s="690">
        <f>C12*E12</f>
        <v>240536798.45136625</v>
      </c>
      <c r="H12" s="691"/>
      <c r="I12" s="691">
        <f>G12/366</f>
        <v>657204.3673534597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12676376.905635983</v>
      </c>
    </row>
    <row r="13" spans="1:18" ht="15.95" customHeight="1">
      <c r="A13" s="773">
        <f>A12+1</f>
        <v>2</v>
      </c>
      <c r="B13" s="686" t="s">
        <v>2080</v>
      </c>
      <c r="C13" s="690">
        <v>59039650.982391857</v>
      </c>
      <c r="D13" s="687"/>
      <c r="E13" s="688">
        <f>E$12</f>
        <v>1</v>
      </c>
      <c r="F13" s="689"/>
      <c r="G13" s="690">
        <f>C13*E13</f>
        <v>59039650.982391857</v>
      </c>
      <c r="H13" s="691"/>
      <c r="I13" s="691">
        <f t="shared" ref="I13:I26" si="0">G13/366</f>
        <v>161310.52180981383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751438.18076404906</v>
      </c>
    </row>
    <row r="14" spans="1:18" ht="15.95" customHeight="1">
      <c r="A14" s="773">
        <f>A13+1</f>
        <v>3</v>
      </c>
      <c r="B14" s="686" t="s">
        <v>2081</v>
      </c>
      <c r="C14" s="690">
        <v>7030.95</v>
      </c>
      <c r="D14" s="687"/>
      <c r="E14" s="688">
        <f t="shared" ref="E14:E26" si="3">E$12</f>
        <v>1</v>
      </c>
      <c r="F14" s="689"/>
      <c r="G14" s="690">
        <f>C14*E14</f>
        <v>7030.95</v>
      </c>
      <c r="H14" s="691"/>
      <c r="I14" s="691">
        <f t="shared" si="0"/>
        <v>19.210245901639343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677.12915095628409</v>
      </c>
    </row>
    <row r="15" spans="1:18" ht="15.95" customHeight="1">
      <c r="A15" s="773">
        <f>A14+1</f>
        <v>4</v>
      </c>
      <c r="B15" s="686" t="s">
        <v>2082</v>
      </c>
      <c r="C15" s="690">
        <v>6513057.6700000009</v>
      </c>
      <c r="D15" s="687"/>
      <c r="E15" s="688">
        <f t="shared" si="3"/>
        <v>1</v>
      </c>
      <c r="F15" s="689"/>
      <c r="G15" s="690">
        <f t="shared" ref="G15:G26" si="5">C15*E15</f>
        <v>6513057.6700000009</v>
      </c>
      <c r="H15" s="691"/>
      <c r="I15" s="691">
        <f t="shared" si="0"/>
        <v>17795.239535519129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298574.46067345177</v>
      </c>
    </row>
    <row r="16" spans="1:18" ht="15.95" customHeight="1">
      <c r="A16" s="773">
        <f>A15+1</f>
        <v>5</v>
      </c>
      <c r="B16" s="686" t="s">
        <v>2083</v>
      </c>
      <c r="C16" s="692">
        <f>'SCH C-2.1 B'!D103</f>
        <v>59316874.772985369</v>
      </c>
      <c r="D16" s="687"/>
      <c r="E16" s="688">
        <f t="shared" si="3"/>
        <v>1</v>
      </c>
      <c r="F16" s="689"/>
      <c r="G16" s="692">
        <f t="shared" si="5"/>
        <v>59316874.772985369</v>
      </c>
      <c r="H16" s="691"/>
      <c r="I16" s="691">
        <f t="shared" si="0"/>
        <v>162067.96386061577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2476317.5316093029</v>
      </c>
    </row>
    <row r="17" spans="1:17" ht="15.95" customHeight="1">
      <c r="A17" s="773">
        <f>A16+1</f>
        <v>6</v>
      </c>
      <c r="B17" s="686" t="s">
        <v>2084</v>
      </c>
      <c r="C17" s="690">
        <v>32186822.589999981</v>
      </c>
      <c r="D17" s="687"/>
      <c r="E17" s="688">
        <f t="shared" si="3"/>
        <v>1</v>
      </c>
      <c r="F17" s="689"/>
      <c r="G17" s="690">
        <f t="shared" si="5"/>
        <v>32186822.589999981</v>
      </c>
      <c r="H17" s="691"/>
      <c r="I17" s="691">
        <f t="shared" si="0"/>
        <v>87942.138224043665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2783340.7948536412</v>
      </c>
    </row>
    <row r="18" spans="1:17" ht="15.95" customHeight="1">
      <c r="A18" s="773">
        <f t="shared" ref="A18:A24" si="6">A17+1</f>
        <v>7</v>
      </c>
      <c r="B18" s="686" t="s">
        <v>2085</v>
      </c>
      <c r="C18" s="690">
        <f>-987660+1432989</f>
        <v>445329</v>
      </c>
      <c r="D18" s="687"/>
      <c r="E18" s="688">
        <f t="shared" si="3"/>
        <v>1</v>
      </c>
      <c r="F18" s="689"/>
      <c r="G18" s="690">
        <f t="shared" si="5"/>
        <v>445329</v>
      </c>
      <c r="H18" s="691"/>
      <c r="I18" s="691">
        <f t="shared" si="0"/>
        <v>1216.7459016393443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53108.930696721312</v>
      </c>
    </row>
    <row r="19" spans="1:17" ht="15.95" customHeight="1">
      <c r="A19" s="773">
        <f t="shared" si="6"/>
        <v>8</v>
      </c>
      <c r="B19" s="686" t="s">
        <v>2086</v>
      </c>
      <c r="C19" s="690">
        <f>716100+342900-361692</f>
        <v>697308</v>
      </c>
      <c r="D19" s="687"/>
      <c r="E19" s="688">
        <f t="shared" si="3"/>
        <v>1</v>
      </c>
      <c r="F19" s="689"/>
      <c r="G19" s="690">
        <f t="shared" si="5"/>
        <v>697308</v>
      </c>
      <c r="H19" s="691"/>
      <c r="I19" s="691">
        <f t="shared" si="0"/>
        <v>1905.2131147540983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83159.377103825129</v>
      </c>
    </row>
    <row r="20" spans="1:17" ht="15.95" customHeight="1">
      <c r="A20" s="773">
        <f>A19+1</f>
        <v>9</v>
      </c>
      <c r="B20" s="686" t="s">
        <v>2087</v>
      </c>
      <c r="C20" s="690">
        <v>2829597.785090798</v>
      </c>
      <c r="D20" s="687"/>
      <c r="E20" s="688">
        <f t="shared" si="3"/>
        <v>1</v>
      </c>
      <c r="F20" s="689"/>
      <c r="G20" s="690">
        <f t="shared" si="5"/>
        <v>2829597.785090798</v>
      </c>
      <c r="H20" s="691"/>
      <c r="I20" s="691">
        <f t="shared" si="0"/>
        <v>7731.1414893191204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-1558379.0752378707</v>
      </c>
    </row>
    <row r="21" spans="1:17" ht="15.95" customHeight="1">
      <c r="A21" s="773">
        <f>A20+1</f>
        <v>10</v>
      </c>
      <c r="B21" s="686" t="s">
        <v>2088</v>
      </c>
      <c r="C21" s="690">
        <v>1588278.7600000002</v>
      </c>
      <c r="D21" s="687"/>
      <c r="E21" s="688">
        <f t="shared" si="3"/>
        <v>1</v>
      </c>
      <c r="F21" s="689"/>
      <c r="G21" s="690">
        <f t="shared" si="5"/>
        <v>1588278.7600000002</v>
      </c>
      <c r="H21" s="691"/>
      <c r="I21" s="691">
        <f t="shared" si="0"/>
        <v>4339.5594535519131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89658.142654943891</v>
      </c>
    </row>
    <row r="22" spans="1:17" ht="15.95" customHeight="1">
      <c r="A22" s="773">
        <f t="shared" si="6"/>
        <v>11</v>
      </c>
      <c r="B22" s="686" t="s">
        <v>2089</v>
      </c>
      <c r="C22" s="690">
        <v>507582.54000000004</v>
      </c>
      <c r="D22" s="687"/>
      <c r="E22" s="688">
        <f t="shared" si="3"/>
        <v>1</v>
      </c>
      <c r="F22" s="689"/>
      <c r="G22" s="690">
        <f t="shared" si="5"/>
        <v>507582.54000000004</v>
      </c>
      <c r="H22" s="691"/>
      <c r="I22" s="691">
        <f t="shared" si="0"/>
        <v>1386.8375409836067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-332635.29560081969</v>
      </c>
    </row>
    <row r="23" spans="1:17" ht="15.95" customHeight="1">
      <c r="A23" s="773">
        <f t="shared" si="6"/>
        <v>12</v>
      </c>
      <c r="B23" s="686" t="s">
        <v>2090</v>
      </c>
      <c r="C23" s="692">
        <f>'SCH C-2.1 B'!D177</f>
        <v>2515453.6099999971</v>
      </c>
      <c r="E23" s="688">
        <f t="shared" si="3"/>
        <v>1</v>
      </c>
      <c r="F23" s="689"/>
      <c r="G23" s="690">
        <f t="shared" si="5"/>
        <v>2515453.6099999971</v>
      </c>
      <c r="H23" s="691"/>
      <c r="I23" s="691">
        <f t="shared" si="0"/>
        <v>6872.8240710382433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-897225.13557628565</v>
      </c>
    </row>
    <row r="24" spans="1:17" ht="15.95" customHeight="1">
      <c r="A24" s="773">
        <f t="shared" si="6"/>
        <v>13</v>
      </c>
      <c r="B24" s="686" t="s">
        <v>2091</v>
      </c>
      <c r="C24" s="690">
        <v>5499813</v>
      </c>
      <c r="E24" s="688">
        <f t="shared" si="3"/>
        <v>1</v>
      </c>
      <c r="F24" s="689"/>
      <c r="G24" s="690">
        <f t="shared" si="5"/>
        <v>5499813</v>
      </c>
      <c r="H24" s="691"/>
      <c r="I24" s="691">
        <f t="shared" si="0"/>
        <v>15026.811475409837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125151.50966194739</v>
      </c>
    </row>
    <row r="25" spans="1:17" ht="15.95" customHeight="1">
      <c r="A25" s="773">
        <f>A24+1</f>
        <v>14</v>
      </c>
      <c r="B25" s="686" t="s">
        <v>2092</v>
      </c>
      <c r="C25" s="690">
        <f>95003855.46-3619983.17+2352784.19-25495.59</f>
        <v>93711160.889999986</v>
      </c>
      <c r="E25" s="688">
        <f t="shared" si="3"/>
        <v>1</v>
      </c>
      <c r="F25" s="689"/>
      <c r="G25" s="690">
        <f t="shared" si="5"/>
        <v>93711160.889999986</v>
      </c>
      <c r="H25" s="691"/>
      <c r="I25" s="691">
        <f t="shared" si="0"/>
        <v>256041.42319672127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4673173.2770811114</v>
      </c>
    </row>
    <row r="26" spans="1:17" ht="15.95" customHeight="1">
      <c r="A26" s="773">
        <f>A25+1</f>
        <v>15</v>
      </c>
      <c r="B26" s="686" t="s">
        <v>2093</v>
      </c>
      <c r="C26" s="703">
        <v>131796383.40482187</v>
      </c>
      <c r="D26" s="693"/>
      <c r="E26" s="688">
        <f t="shared" si="3"/>
        <v>1</v>
      </c>
      <c r="F26" s="689"/>
      <c r="G26" s="703">
        <f t="shared" si="5"/>
        <v>131796383.40482187</v>
      </c>
      <c r="H26" s="694"/>
      <c r="I26" s="691">
        <f t="shared" si="0"/>
        <v>360099.40820989583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-1996444.9867798288</v>
      </c>
    </row>
    <row r="27" spans="1:17" ht="15.95" customHeight="1">
      <c r="A27" s="773">
        <f>A26+1</f>
        <v>16</v>
      </c>
      <c r="B27" s="699" t="s">
        <v>2094</v>
      </c>
      <c r="C27" s="690">
        <f>SUM(C12:C26)</f>
        <v>637191142.40665615</v>
      </c>
      <c r="D27" s="696"/>
      <c r="E27" s="688"/>
      <c r="F27" s="689"/>
      <c r="G27" s="690">
        <f>SUM(G12:G26)</f>
        <v>637191142.40665615</v>
      </c>
      <c r="H27" s="691"/>
      <c r="I27" s="691"/>
      <c r="K27" s="685"/>
      <c r="L27" s="685"/>
      <c r="O27" s="685"/>
      <c r="P27" s="685"/>
      <c r="Q27" s="691">
        <f>SUM(Q12:Q26)</f>
        <v>19226291.74669113</v>
      </c>
    </row>
    <row r="28" spans="1:17" ht="15.95" customHeight="1">
      <c r="B28" s="699"/>
      <c r="C28" s="740">
        <f>'SCH C-2.1 B'!D224-C32-C33-C27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3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3">
        <f>A29+1</f>
        <v>18</v>
      </c>
      <c r="B30" s="686" t="s">
        <v>2096</v>
      </c>
      <c r="C30" s="690">
        <f>'SCH C-2.1 B'!D226</f>
        <v>159451257.02658349</v>
      </c>
      <c r="E30" s="688">
        <f>E$12</f>
        <v>1</v>
      </c>
      <c r="F30" s="689"/>
      <c r="G30" s="690">
        <f>C30*E30</f>
        <v>159451257.02658349</v>
      </c>
      <c r="I30" s="691">
        <f>G30/366</f>
        <v>435659.17220378004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19015796.768074658</v>
      </c>
    </row>
    <row r="31" spans="1:17" ht="15.95" customHeight="1">
      <c r="A31" s="773">
        <f>A30+1</f>
        <v>19</v>
      </c>
      <c r="B31" s="686" t="s">
        <v>2097</v>
      </c>
      <c r="C31" s="690">
        <f>'SCH C-2.1 B'!D227</f>
        <v>564492.15995498886</v>
      </c>
      <c r="E31" s="688">
        <f>E$12</f>
        <v>1</v>
      </c>
      <c r="F31" s="689"/>
      <c r="G31" s="690">
        <f>C31*E31</f>
        <v>564492.15995498886</v>
      </c>
      <c r="I31" s="691">
        <f>G31/366</f>
        <v>1542.3283058879476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67320.060004832441</v>
      </c>
    </row>
    <row r="32" spans="1:17" ht="15.95" customHeight="1">
      <c r="A32" s="773">
        <f>A31+1</f>
        <v>20</v>
      </c>
      <c r="B32" s="686" t="s">
        <v>2516</v>
      </c>
      <c r="C32" s="690">
        <v>8369681.02533333</v>
      </c>
      <c r="E32" s="688">
        <f>E$12</f>
        <v>1</v>
      </c>
      <c r="F32" s="689"/>
      <c r="G32" s="690">
        <f>C32*E32</f>
        <v>8369681.02533333</v>
      </c>
      <c r="I32" s="691">
        <f>G32/366</f>
        <v>22867.98094353369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998149.25488367304</v>
      </c>
    </row>
    <row r="33" spans="1:20" ht="15.95" customHeight="1">
      <c r="A33" s="773">
        <f>A32+1</f>
        <v>21</v>
      </c>
      <c r="B33" s="686" t="s">
        <v>2517</v>
      </c>
      <c r="C33" s="690"/>
      <c r="E33" s="688">
        <f>E$12</f>
        <v>1</v>
      </c>
      <c r="F33" s="689"/>
      <c r="G33" s="690">
        <f>C33*E33</f>
        <v>0</v>
      </c>
      <c r="I33" s="691">
        <f>G33/366</f>
        <v>0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0</v>
      </c>
    </row>
    <row r="34" spans="1:20" ht="15.95" customHeight="1">
      <c r="A34" s="773">
        <f>A33+1</f>
        <v>22</v>
      </c>
      <c r="B34" s="699" t="s">
        <v>2098</v>
      </c>
      <c r="C34" s="700">
        <f>SUM(C30:C33)</f>
        <v>168385430.2118718</v>
      </c>
      <c r="D34" s="696"/>
      <c r="E34" s="688"/>
      <c r="F34" s="689"/>
      <c r="G34" s="700">
        <f>SUM(G30:G33)</f>
        <v>168385430.2118718</v>
      </c>
      <c r="H34" s="691"/>
      <c r="I34" s="691"/>
      <c r="K34" s="685"/>
      <c r="L34" s="685"/>
      <c r="O34" s="685"/>
      <c r="P34" s="685"/>
      <c r="Q34" s="700">
        <f>SUM(Q30:Q33)</f>
        <v>20081266.082963165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3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3">
        <f>A36+1</f>
        <v>24</v>
      </c>
      <c r="B37" s="686" t="s">
        <v>2100</v>
      </c>
      <c r="C37" s="690">
        <f>-5011599.42081838</f>
        <v>-5011599.4208183801</v>
      </c>
      <c r="D37" s="687"/>
      <c r="E37" s="688">
        <f>E$12</f>
        <v>1</v>
      </c>
      <c r="F37" s="689"/>
      <c r="G37" s="690">
        <f>C37*E37</f>
        <v>-5011599.4208183801</v>
      </c>
      <c r="H37" s="691"/>
      <c r="I37" s="691">
        <f>G37/366</f>
        <v>-13692.894592399945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-84188.480252272333</v>
      </c>
      <c r="T37" s="692"/>
    </row>
    <row r="38" spans="1:20" ht="15.95" customHeight="1">
      <c r="A38" s="773">
        <f>A37+1</f>
        <v>25</v>
      </c>
      <c r="B38" s="686" t="s">
        <v>2101</v>
      </c>
      <c r="C38" s="690">
        <v>4857808.91316084</v>
      </c>
      <c r="D38" s="687"/>
      <c r="E38" s="688">
        <f>E$12</f>
        <v>1</v>
      </c>
      <c r="F38" s="689"/>
      <c r="G38" s="690">
        <f>C38*E38</f>
        <v>4857808.91316084</v>
      </c>
      <c r="H38" s="691"/>
      <c r="I38" s="691">
        <f>G38/366</f>
        <v>13272.701948526885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81604.995813526126</v>
      </c>
      <c r="T38" s="692"/>
    </row>
    <row r="39" spans="1:20" ht="15.95" customHeight="1">
      <c r="A39" s="773">
        <f>A38+1</f>
        <v>26</v>
      </c>
      <c r="B39" s="686" t="s">
        <v>2102</v>
      </c>
      <c r="C39" s="703">
        <v>53082703.488831662</v>
      </c>
      <c r="D39" s="704"/>
      <c r="E39" s="688">
        <f>E$12</f>
        <v>1</v>
      </c>
      <c r="F39" s="689"/>
      <c r="G39" s="703">
        <f>C39*E39</f>
        <v>53082703.488831662</v>
      </c>
      <c r="H39" s="694"/>
      <c r="I39" s="691">
        <f>G39/366</f>
        <v>145034.70898587885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6330523.3227186352</v>
      </c>
      <c r="T39" s="692"/>
    </row>
    <row r="40" spans="1:20" ht="15.95" customHeight="1">
      <c r="A40" s="773">
        <f>A39+1</f>
        <v>27</v>
      </c>
      <c r="B40" s="699" t="s">
        <v>2103</v>
      </c>
      <c r="C40" s="700">
        <f>SUM(C37:C39)</f>
        <v>52928912.981174119</v>
      </c>
      <c r="D40" s="696"/>
      <c r="E40" s="688"/>
      <c r="F40" s="689"/>
      <c r="G40" s="700">
        <f>SUM(G37:G39)</f>
        <v>52928912.981174119</v>
      </c>
      <c r="H40" s="691"/>
      <c r="I40" s="691"/>
      <c r="K40" s="685"/>
      <c r="L40" s="685"/>
      <c r="O40" s="685"/>
      <c r="P40" s="685"/>
      <c r="Q40" s="691">
        <f>SUM(Q37:Q39)</f>
        <v>6327939.838279889</v>
      </c>
      <c r="T40" s="705"/>
    </row>
    <row r="41" spans="1:20" ht="15.95" customHeight="1">
      <c r="B41" s="699"/>
      <c r="C41" s="696">
        <f>SUM('SCH C-2.1 B'!F229:F231)-C40</f>
        <v>-0.3263532817363739</v>
      </c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3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3">
        <f>A42+1</f>
        <v>29</v>
      </c>
      <c r="B43" s="686" t="s">
        <v>2105</v>
      </c>
      <c r="C43" s="690">
        <f>('IS E'!O285+'IS E'!O288)*1000</f>
        <v>25042216.493789442</v>
      </c>
      <c r="D43" s="687"/>
      <c r="E43" s="688">
        <f>E$12</f>
        <v>1</v>
      </c>
      <c r="F43" s="689"/>
      <c r="G43" s="690">
        <f>C43*E43</f>
        <v>25042216.493789442</v>
      </c>
      <c r="H43" s="691"/>
      <c r="I43" s="691">
        <f>G43/366</f>
        <v>68421.356540408306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-11810509.710793516</v>
      </c>
    </row>
    <row r="44" spans="1:20" ht="15.95" customHeight="1">
      <c r="A44" s="773">
        <f>A43+1</f>
        <v>30</v>
      </c>
      <c r="B44" s="686" t="s">
        <v>2106</v>
      </c>
      <c r="C44" s="690">
        <f>'IS E'!O286*1000</f>
        <v>7067094.6699999971</v>
      </c>
      <c r="D44" s="687"/>
      <c r="E44" s="688">
        <f>E$12</f>
        <v>1</v>
      </c>
      <c r="F44" s="689"/>
      <c r="G44" s="690">
        <f>C44*E44</f>
        <v>7067094.6699999971</v>
      </c>
      <c r="H44" s="691"/>
      <c r="I44" s="691">
        <f>G44/366</f>
        <v>19309.001830601086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157812.52563851472</v>
      </c>
    </row>
    <row r="45" spans="1:20" ht="15.95" customHeight="1">
      <c r="A45" s="773">
        <f>A44+1</f>
        <v>31</v>
      </c>
      <c r="B45" s="686" t="s">
        <v>2107</v>
      </c>
      <c r="C45" s="703">
        <f>'IS E'!O287*1000</f>
        <v>2244015.16</v>
      </c>
      <c r="D45" s="704"/>
      <c r="E45" s="688">
        <f>E$12</f>
        <v>1</v>
      </c>
      <c r="F45" s="689"/>
      <c r="G45" s="703">
        <f>C45*E45</f>
        <v>2244015.16</v>
      </c>
      <c r="H45" s="694"/>
      <c r="I45" s="691">
        <f>G45/366</f>
        <v>6131.188961748634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1179337.812447953</v>
      </c>
    </row>
    <row r="46" spans="1:20" ht="15.95" customHeight="1">
      <c r="A46" s="773">
        <f>A45+1</f>
        <v>32</v>
      </c>
      <c r="B46" s="699" t="s">
        <v>2108</v>
      </c>
      <c r="C46" s="690">
        <f>SUM(C43:C45)</f>
        <v>34353326.32378944</v>
      </c>
      <c r="D46" s="696"/>
      <c r="E46" s="688"/>
      <c r="F46" s="689"/>
      <c r="G46" s="700">
        <f>SUM(G43:G45)</f>
        <v>34353326.32378944</v>
      </c>
      <c r="H46" s="691"/>
      <c r="I46" s="691"/>
      <c r="K46" s="685"/>
      <c r="L46" s="685"/>
      <c r="O46" s="685"/>
      <c r="P46" s="685"/>
      <c r="Q46" s="691">
        <f>SUM(Q43:Q45)</f>
        <v>-10473359.372707047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3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3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3">
        <f>A50+1</f>
        <v>35</v>
      </c>
      <c r="B52" s="680" t="s">
        <v>2111</v>
      </c>
      <c r="C52" s="690">
        <f>'SCH C-2.1 B'!D232</f>
        <v>-17792.759999999998</v>
      </c>
      <c r="E52" s="688">
        <f>IF(C52=0,0,G52/C52)</f>
        <v>1</v>
      </c>
      <c r="F52" s="689"/>
      <c r="G52" s="690">
        <f>'SCH C-2.1 B'!F232</f>
        <v>-17792.759999999998</v>
      </c>
      <c r="H52" s="691"/>
      <c r="I52" s="706">
        <f>G52/366</f>
        <v>-48.614098360655731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3">
        <f>A52+1</f>
        <v>36</v>
      </c>
      <c r="B54" s="680" t="s">
        <v>2112</v>
      </c>
      <c r="C54" s="690">
        <f>'IS TC'!O409*1000*0.82</f>
        <v>2419831.2913999995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3">
        <f>A54+1</f>
        <v>37</v>
      </c>
      <c r="B56" s="680" t="s">
        <v>2113</v>
      </c>
      <c r="C56" s="690">
        <v>311338.40789600997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3">
        <f>A56+1</f>
        <v>38</v>
      </c>
      <c r="B58" s="680" t="s">
        <v>2114</v>
      </c>
      <c r="C58" s="690">
        <f>'IS TC'!O418*1000*0.82-C54</f>
        <v>-116442.5323103522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3">
        <f>A58+1</f>
        <v>39</v>
      </c>
      <c r="B60" s="680" t="s">
        <v>2115</v>
      </c>
      <c r="C60" s="690">
        <f>'IS TC'!O402*1000*0.82+3975</f>
        <v>-61132.196601066855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3">
        <f>A60+1</f>
        <v>40</v>
      </c>
      <c r="B62" s="680" t="s">
        <v>2116</v>
      </c>
      <c r="C62" s="690">
        <f>63330984-3975-C56</f>
        <v>63015670.592103988</v>
      </c>
      <c r="E62" s="688">
        <f>E$12</f>
        <v>1</v>
      </c>
      <c r="F62" s="689"/>
      <c r="G62" s="690">
        <f>C62*E62</f>
        <v>63015670.592103988</v>
      </c>
      <c r="H62" s="691"/>
      <c r="I62" s="691">
        <f>G62/366</f>
        <v>172173.96336640435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-7550115.2502224389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3">
        <f>A62+1</f>
        <v>41</v>
      </c>
      <c r="B64" s="680" t="s">
        <v>2117</v>
      </c>
      <c r="C64" s="703">
        <f>'SCH C-2.1 B'!$D32-C27-C34-C40-C46-SUM(C48:C62)</f>
        <v>193241781.72065133</v>
      </c>
      <c r="D64" s="693"/>
      <c r="E64" s="688"/>
      <c r="F64" s="689"/>
      <c r="G64" s="703">
        <f>'SCH C-2.1 B'!F236-G62</f>
        <v>195795377.01738927</v>
      </c>
      <c r="H64" s="694"/>
      <c r="I64" s="691">
        <f>G64/366</f>
        <v>534960.04649559909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3">
        <f>A64+1</f>
        <v>42</v>
      </c>
      <c r="B66" s="680" t="s">
        <v>869</v>
      </c>
      <c r="C66" s="691">
        <f>C27+C34+C40+C46+C48+C50+C52+C54+C56+C58+C60+C62+C64</f>
        <v>1151652066.4466314</v>
      </c>
      <c r="E66" s="688"/>
      <c r="F66" s="689"/>
      <c r="G66" s="691">
        <f>G27+G34+G40+G46+G48+G50+G52+G54+G56+G58+G60+G62+G64</f>
        <v>1151652066.7729847</v>
      </c>
      <c r="I66" s="691">
        <f>I27+I34+I40+I46+I48+I50+I52+I54+I56+I58+I60+I62+I64</f>
        <v>707085.39576364285</v>
      </c>
      <c r="O66" s="685"/>
      <c r="P66" s="685"/>
      <c r="Q66" s="691">
        <f>Q27+Q34+Q40+Q46+Q48+Q50+Q52+Q54+Q56+Q58+Q60+Q62+Q64</f>
        <v>27612023.045004696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3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3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3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3">
        <f>A72+1</f>
        <v>46</v>
      </c>
      <c r="B74" s="680" t="s">
        <v>2121</v>
      </c>
      <c r="E74" s="689"/>
      <c r="F74" s="689"/>
      <c r="Q74" s="694">
        <f>SUM(Q66:Q72)</f>
        <v>27924449.197969452</v>
      </c>
    </row>
    <row r="75" spans="1:18" ht="15.95" customHeight="1">
      <c r="E75" s="689"/>
      <c r="F75" s="689"/>
      <c r="Q75" s="691"/>
    </row>
    <row r="76" spans="1:18" ht="15.95" customHeight="1">
      <c r="A76" s="773">
        <f>A74+1</f>
        <v>47</v>
      </c>
      <c r="B76" s="680" t="s">
        <v>2537</v>
      </c>
      <c r="E76" s="689"/>
      <c r="F76" s="689"/>
      <c r="Q76" s="695">
        <f>'SCH B-5.2 B (2)'!W37</f>
        <v>46864395.889999986</v>
      </c>
    </row>
    <row r="77" spans="1:18" ht="15.95" customHeight="1">
      <c r="E77" s="689"/>
      <c r="F77" s="689"/>
      <c r="Q77" s="691"/>
    </row>
    <row r="78" spans="1:18" ht="15.95" customHeight="1" thickBot="1">
      <c r="A78" s="773">
        <f>A76+1</f>
        <v>48</v>
      </c>
      <c r="B78" s="680" t="s">
        <v>2122</v>
      </c>
      <c r="E78" s="689"/>
      <c r="F78" s="689"/>
      <c r="Q78" s="707">
        <f>SUM(Q74:Q76)</f>
        <v>74788845.087969437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3">
        <f>A78+1</f>
        <v>49</v>
      </c>
      <c r="B80" s="680" t="s">
        <v>2535</v>
      </c>
      <c r="E80" s="689"/>
      <c r="F80" s="689"/>
      <c r="Q80" s="707">
        <f ca="1">'SCH B-5.2 B (2)'!W65</f>
        <v>817318.73749999981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3">
        <f>A80+1</f>
        <v>50</v>
      </c>
      <c r="B82" s="680" t="s">
        <v>2536</v>
      </c>
      <c r="E82" s="689"/>
      <c r="F82" s="689"/>
      <c r="Q82" s="707">
        <f ca="1">Q78-Q80</f>
        <v>73971526.35046944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D12" activePane="bottomRight" state="frozen"/>
      <selection activeCell="G11" sqref="G11"/>
      <selection pane="topRight" activeCell="G11" sqref="G11"/>
      <selection pane="bottomLeft" activeCell="G11" sqref="G11"/>
      <selection pane="bottomRight" activeCell="A42" sqref="A42"/>
    </sheetView>
  </sheetViews>
  <sheetFormatPr defaultRowHeight="12.75" outlineLevelCol="2"/>
  <cols>
    <col min="1" max="1" width="6.21875" style="683" customWidth="1"/>
    <col min="2" max="2" width="9.88671875" style="680" customWidth="1"/>
    <col min="3" max="3" width="58.88671875" style="718" customWidth="1"/>
    <col min="4" max="4" width="12.77734375" style="680" hidden="1" customWidth="1" outlineLevel="1"/>
    <col min="5" max="16" width="12.77734375" style="680" hidden="1" customWidth="1" outlineLevel="2"/>
    <col min="17" max="17" width="15.77734375" style="680" customWidth="1" collapsed="1"/>
    <col min="18" max="18" width="2.88671875" style="680" customWidth="1"/>
    <col min="19" max="19" width="11" style="708" customWidth="1"/>
    <col min="20" max="20" width="2.88671875" style="719" hidden="1" customWidth="1"/>
    <col min="21" max="21" width="13.77734375" style="720" hidden="1" customWidth="1"/>
    <col min="22" max="22" width="2.88671875" style="708" customWidth="1"/>
    <col min="23" max="23" width="15.77734375" style="680" customWidth="1"/>
    <col min="24" max="24" width="16.6640625" style="680" customWidth="1"/>
    <col min="25" max="26" width="8.88671875" style="680"/>
    <col min="27" max="27" width="14" style="680" customWidth="1"/>
    <col min="28" max="28" width="12.5546875" style="680" customWidth="1"/>
    <col min="29" max="29" width="8.88671875" style="680"/>
    <col min="30" max="30" width="13" style="680" customWidth="1"/>
    <col min="31" max="31" width="12.6640625" style="680" customWidth="1"/>
    <col min="32" max="16384" width="8.88671875" style="680"/>
  </cols>
  <sheetData>
    <row r="1" spans="1:25" ht="18.95" customHeight="1">
      <c r="A1" s="842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4"/>
      <c r="U1" s="844"/>
      <c r="V1" s="843"/>
      <c r="W1" s="843"/>
      <c r="X1" s="679"/>
    </row>
    <row r="2" spans="1:25" ht="18.95" customHeight="1">
      <c r="A2" s="842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4"/>
      <c r="U2" s="844"/>
      <c r="V2" s="843"/>
      <c r="W2" s="843"/>
      <c r="X2" s="679"/>
    </row>
    <row r="3" spans="1:25" ht="18.95" customHeight="1">
      <c r="A3" s="842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4"/>
      <c r="U3" s="844"/>
      <c r="V3" s="843"/>
      <c r="W3" s="843"/>
      <c r="X3" s="681"/>
    </row>
    <row r="4" spans="1:25" ht="18.95" customHeight="1">
      <c r="A4" s="842" t="str">
        <f>'Rate Case Constants'!C15</f>
        <v>BASE YEAR FOR THE 12 MONTHS ENDED DECEMBER 31, 2018</v>
      </c>
      <c r="B4" s="845"/>
      <c r="C4" s="845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6"/>
      <c r="U4" s="846"/>
      <c r="V4" s="845"/>
      <c r="W4" s="845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94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_____ ORIGINAL  _____ UPDATED  __X__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132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>
        <v>43070</v>
      </c>
      <c r="E10" s="722">
        <v>43101</v>
      </c>
      <c r="F10" s="722">
        <v>43132</v>
      </c>
      <c r="G10" s="722">
        <v>43160</v>
      </c>
      <c r="H10" s="722">
        <v>43191</v>
      </c>
      <c r="I10" s="722">
        <v>43221</v>
      </c>
      <c r="J10" s="722">
        <v>43252</v>
      </c>
      <c r="K10" s="722">
        <v>43282</v>
      </c>
      <c r="L10" s="722">
        <v>43313</v>
      </c>
      <c r="M10" s="722">
        <v>43344</v>
      </c>
      <c r="N10" s="722">
        <v>43374</v>
      </c>
      <c r="O10" s="722">
        <v>43405</v>
      </c>
      <c r="P10" s="722">
        <v>43435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CWC'!C$6:C$27,'BS CWC'!$A$6:$A$27,$B14)*1000</f>
        <v>0</v>
      </c>
      <c r="E14" s="34">
        <f>SUMIFS('BS CWC'!D$6:D$27,'BS CWC'!$A$6:$A$27,$B14)*1000</f>
        <v>0</v>
      </c>
      <c r="F14" s="34">
        <f>SUMIFS('BS CWC'!E$6:E$27,'BS CWC'!$A$6:$A$27,$B14)*1000</f>
        <v>7536050.6399999997</v>
      </c>
      <c r="G14" s="34">
        <f>SUMIFS('BS CWC'!F$6:F$27,'BS CWC'!$A$6:$A$27,$B14)*1000</f>
        <v>7536050.6399999997</v>
      </c>
      <c r="H14" s="34">
        <f>SUMIFS('BS CWC'!G$6:G$27,'BS CWC'!$A$6:$A$27,$B14)*1000</f>
        <v>7535133.5099999998</v>
      </c>
      <c r="I14" s="34">
        <f>SUMIFS('BS CWC'!H$6:H$27,'BS CWC'!$A$6:$A$27,$B14)*1000</f>
        <v>7535133.5099999998</v>
      </c>
      <c r="J14" s="34">
        <f>SUMIFS('BS CWC'!I$6:I$27,'BS CWC'!$A$6:$A$27,$B14)*1000</f>
        <v>1597671.24</v>
      </c>
      <c r="K14" s="34">
        <f>SUMIFS('BS CWC'!J$6:J$27,'BS CWC'!$A$6:$A$27,$B14)*1000</f>
        <v>2677186.5152004338</v>
      </c>
      <c r="L14" s="34">
        <f>SUMIFS('BS CWC'!K$6:K$27,'BS CWC'!$A$6:$A$27,$B14)*1000</f>
        <v>3750592.570681971</v>
      </c>
      <c r="M14" s="34">
        <f>SUMIFS('BS CWC'!L$6:L$27,'BS CWC'!$A$6:$A$27,$B14)*1000</f>
        <v>4817601.7592533519</v>
      </c>
      <c r="N14" s="34">
        <f>SUMIFS('BS CWC'!M$6:M$27,'BS CWC'!$A$6:$A$27,$B14)*1000</f>
        <v>5880079.2063142778</v>
      </c>
      <c r="O14" s="34">
        <f>SUMIFS('BS CWC'!N$6:N$27,'BS CWC'!$A$6:$A$27,$B14)*1000</f>
        <v>6942537.4325775281</v>
      </c>
      <c r="P14" s="34">
        <f>SUMIFS('BS CWC'!O$6:O$27,'BS CWC'!$A$6:$A$27,$B14)*1000</f>
        <v>8002949.1568146059</v>
      </c>
      <c r="Q14" s="34">
        <f t="shared" ref="Q14:Q19" si="0">AVERAGE(D14:P14)</f>
        <v>4908537.3985263202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4908537.4000000004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CWC'!C$6:C$27,'BS CWC'!$A$6:$A$27,$B15)*1000</f>
        <v>191784936.20900002</v>
      </c>
      <c r="E15" s="34">
        <f>SUMIFS('BS CWC'!D$6:D$27,'BS CWC'!$A$6:$A$27,$B15)*1000</f>
        <v>192112254.15099999</v>
      </c>
      <c r="F15" s="34">
        <f>SUMIFS('BS CWC'!E$6:E$27,'BS CWC'!$A$6:$A$27,$B15)*1000</f>
        <v>192112254.15099999</v>
      </c>
      <c r="G15" s="34">
        <f>SUMIFS('BS CWC'!F$6:F$27,'BS CWC'!$A$6:$A$27,$B15)*1000</f>
        <v>188685878.55189997</v>
      </c>
      <c r="H15" s="34">
        <f>SUMIFS('BS CWC'!G$6:G$27,'BS CWC'!$A$6:$A$27,$B15)*1000</f>
        <v>188662915.6812</v>
      </c>
      <c r="I15" s="34">
        <f>SUMIFS('BS CWC'!H$6:H$27,'BS CWC'!$A$6:$A$27,$B15)*1000</f>
        <v>188662915.6812</v>
      </c>
      <c r="J15" s="34">
        <f>SUMIFS('BS CWC'!I$6:I$27,'BS CWC'!$A$6:$A$27,$B15)*1000</f>
        <v>189324371.87839997</v>
      </c>
      <c r="K15" s="34">
        <f>SUMIFS('BS CWC'!J$6:J$27,'BS CWC'!$A$6:$A$27,$B15)*1000</f>
        <v>188348774.05982998</v>
      </c>
      <c r="L15" s="34">
        <f>SUMIFS('BS CWC'!K$6:K$27,'BS CWC'!$A$6:$A$27,$B15)*1000</f>
        <v>186922324.88313037</v>
      </c>
      <c r="M15" s="34">
        <f>SUMIFS('BS CWC'!L$6:L$27,'BS CWC'!$A$6:$A$27,$B15)*1000</f>
        <v>185764393.23595759</v>
      </c>
      <c r="N15" s="34">
        <f>SUMIFS('BS CWC'!M$6:M$27,'BS CWC'!$A$6:$A$27,$B15)*1000</f>
        <v>184174916.76927596</v>
      </c>
      <c r="O15" s="34">
        <f>SUMIFS('BS CWC'!N$6:N$27,'BS CWC'!$A$6:$A$27,$B15)*1000</f>
        <v>182702417.21588755</v>
      </c>
      <c r="P15" s="34">
        <f>SUMIFS('BS CWC'!O$6:O$27,'BS CWC'!$A$6:$A$27,$B15)*1000</f>
        <v>181675128.5245896</v>
      </c>
      <c r="Q15" s="34">
        <f t="shared" si="0"/>
        <v>187764113.92249006</v>
      </c>
      <c r="R15" s="684"/>
      <c r="S15" s="726">
        <v>1</v>
      </c>
      <c r="T15" s="728"/>
      <c r="U15" s="729">
        <v>1</v>
      </c>
      <c r="W15" s="34">
        <f t="shared" si="1"/>
        <v>187764113.91999999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CWC'!C$6:C$27,'BS CWC'!$A$6:$A$27,$B16)*1000</f>
        <v>2158847.61</v>
      </c>
      <c r="E16" s="34">
        <f>SUMIFS('BS CWC'!D$6:D$27,'BS CWC'!$A$6:$A$27,$B16)*1000</f>
        <v>2136760.16</v>
      </c>
      <c r="F16" s="34">
        <f>SUMIFS('BS CWC'!E$6:E$27,'BS CWC'!$A$6:$A$27,$B16)*1000</f>
        <v>2118656.35</v>
      </c>
      <c r="G16" s="34">
        <f>SUMIFS('BS CWC'!F$6:F$27,'BS CWC'!$A$6:$A$27,$B16)*1000</f>
        <v>2164416.1800000002</v>
      </c>
      <c r="H16" s="34">
        <f>SUMIFS('BS CWC'!G$6:G$27,'BS CWC'!$A$6:$A$27,$B16)*1000</f>
        <v>2175664.77</v>
      </c>
      <c r="I16" s="34">
        <f>SUMIFS('BS CWC'!H$6:H$27,'BS CWC'!$A$6:$A$27,$B16)*1000</f>
        <v>2175684.46</v>
      </c>
      <c r="J16" s="34">
        <f>SUMIFS('BS CWC'!I$6:I$27,'BS CWC'!$A$6:$A$27,$B16)*1000</f>
        <v>2174445.9899999998</v>
      </c>
      <c r="K16" s="34">
        <f>SUMIFS('BS CWC'!J$6:J$27,'BS CWC'!$A$6:$A$27,$B16)*1000</f>
        <v>2174445.9899999923</v>
      </c>
      <c r="L16" s="34">
        <f>SUMIFS('BS CWC'!K$6:K$27,'BS CWC'!$A$6:$A$27,$B16)*1000</f>
        <v>2174445.9899999923</v>
      </c>
      <c r="M16" s="34">
        <f>SUMIFS('BS CWC'!L$6:L$27,'BS CWC'!$A$6:$A$27,$B16)*1000</f>
        <v>2174445.9899999923</v>
      </c>
      <c r="N16" s="34">
        <f>SUMIFS('BS CWC'!M$6:M$27,'BS CWC'!$A$6:$A$27,$B16)*1000</f>
        <v>2174445.9899999923</v>
      </c>
      <c r="O16" s="34">
        <f>SUMIFS('BS CWC'!N$6:N$27,'BS CWC'!$A$6:$A$27,$B16)*1000</f>
        <v>2174445.9899999923</v>
      </c>
      <c r="P16" s="34">
        <f>SUMIFS('BS CWC'!O$6:O$27,'BS CWC'!$A$6:$A$27,$B16)*1000</f>
        <v>2174445.9899999923</v>
      </c>
      <c r="Q16" s="34">
        <f t="shared" si="0"/>
        <v>2165473.1892307652</v>
      </c>
      <c r="R16" s="693"/>
      <c r="S16" s="726">
        <v>1</v>
      </c>
      <c r="T16" s="730"/>
      <c r="U16" s="729">
        <v>1</v>
      </c>
      <c r="W16" s="34">
        <f t="shared" si="1"/>
        <v>2165473.19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CWC'!C$6:C$27,'BS CWC'!$A$6:$A$27,$B17)*1000</f>
        <v>0</v>
      </c>
      <c r="E17" s="34">
        <f>SUMIFS('BS CWC'!D$6:D$27,'BS CWC'!$A$6:$A$27,$B17)*1000</f>
        <v>-492367.84341301263</v>
      </c>
      <c r="F17" s="34">
        <f>SUMIFS('BS CWC'!E$6:E$27,'BS CWC'!$A$6:$A$27,$B17)*1000</f>
        <v>-942784.33128299506</v>
      </c>
      <c r="G17" s="34">
        <f>SUMIFS('BS CWC'!F$6:F$27,'BS CWC'!$A$6:$A$27,$B17)*1000</f>
        <v>2269454.4004679965</v>
      </c>
      <c r="H17" s="34">
        <f>SUMIFS('BS CWC'!G$6:G$27,'BS CWC'!$A$6:$A$27,$B17)*1000</f>
        <v>1514719.8578729981</v>
      </c>
      <c r="I17" s="34">
        <f>SUMIFS('BS CWC'!H$6:H$27,'BS CWC'!$A$6:$A$27,$B17)*1000</f>
        <v>1276472.5294799891</v>
      </c>
      <c r="J17" s="34">
        <f>SUMIFS('BS CWC'!I$6:I$27,'BS CWC'!$A$6:$A$27,$B17)*1000</f>
        <v>4334768.9549789978</v>
      </c>
      <c r="K17" s="34">
        <f>SUMIFS('BS CWC'!J$6:J$27,'BS CWC'!$A$6:$A$27,$B17)*1000</f>
        <v>4334768.9549789997</v>
      </c>
      <c r="L17" s="34">
        <f>SUMIFS('BS CWC'!K$6:K$27,'BS CWC'!$A$6:$A$27,$B17)*1000</f>
        <v>4334768.9549789997</v>
      </c>
      <c r="M17" s="34">
        <f>SUMIFS('BS CWC'!L$6:L$27,'BS CWC'!$A$6:$A$27,$B17)*1000</f>
        <v>4334768.9549789997</v>
      </c>
      <c r="N17" s="34">
        <f>SUMIFS('BS CWC'!M$6:M$27,'BS CWC'!$A$6:$A$27,$B17)*1000</f>
        <v>4334768.9549789997</v>
      </c>
      <c r="O17" s="34">
        <f>SUMIFS('BS CWC'!N$6:N$27,'BS CWC'!$A$6:$A$27,$B17)*1000</f>
        <v>4334768.9549789997</v>
      </c>
      <c r="P17" s="34">
        <f>SUMIFS('BS CWC'!O$6:O$27,'BS CWC'!$A$6:$A$27,$B17)*1000</f>
        <v>4334768.9549789997</v>
      </c>
      <c r="Q17" s="34">
        <f t="shared" ref="Q17" si="3">AVERAGE(D17:P17)</f>
        <v>2612990.5613829205</v>
      </c>
      <c r="R17" s="693"/>
      <c r="S17" s="726">
        <v>1</v>
      </c>
      <c r="T17" s="728"/>
      <c r="U17" s="729">
        <v>1</v>
      </c>
      <c r="W17" s="34">
        <f t="shared" si="1"/>
        <v>2612990.56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CWC'!C$6:C$27,'BS CWC'!$A$6:$A$27,$B18)*1000</f>
        <v>2749824.3000000003</v>
      </c>
      <c r="E18" s="34">
        <f>SUMIFS('BS CWC'!D$6:D$27,'BS CWC'!$A$6:$A$27,$B18)*1000</f>
        <v>2895149.83</v>
      </c>
      <c r="F18" s="34">
        <f>SUMIFS('BS CWC'!E$6:E$27,'BS CWC'!$A$6:$A$27,$B18)*1000</f>
        <v>3245107.5699999994</v>
      </c>
      <c r="G18" s="34">
        <f>SUMIFS('BS CWC'!F$6:F$27,'BS CWC'!$A$6:$A$27,$B18)*1000</f>
        <v>3436773.689999999</v>
      </c>
      <c r="H18" s="34">
        <f>SUMIFS('BS CWC'!G$6:G$27,'BS CWC'!$A$6:$A$27,$B18)*1000</f>
        <v>3658562.1799999997</v>
      </c>
      <c r="I18" s="34">
        <f>SUMIFS('BS CWC'!H$6:H$27,'BS CWC'!$A$6:$A$27,$B18)*1000</f>
        <v>3986312.1600000006</v>
      </c>
      <c r="J18" s="34">
        <f>SUMIFS('BS CWC'!I$6:I$27,'BS CWC'!$A$6:$A$27,$B18)*1000</f>
        <v>4018390.5000000005</v>
      </c>
      <c r="K18" s="34">
        <f>SUMIFS('BS CWC'!J$6:J$27,'BS CWC'!$A$6:$A$27,$B18)*1000</f>
        <v>6212971.3544421215</v>
      </c>
      <c r="L18" s="34">
        <f>SUMIFS('BS CWC'!K$6:K$27,'BS CWC'!$A$6:$A$27,$B18)*1000</f>
        <v>6418377.6311770407</v>
      </c>
      <c r="M18" s="34">
        <f>SUMIFS('BS CWC'!L$6:L$27,'BS CWC'!$A$6:$A$27,$B18)*1000</f>
        <v>6570809.7879427653</v>
      </c>
      <c r="N18" s="34">
        <f>SUMIFS('BS CWC'!M$6:M$27,'BS CWC'!$A$6:$A$27,$B18)*1000</f>
        <v>6646743.379176246</v>
      </c>
      <c r="O18" s="34">
        <f>SUMIFS('BS CWC'!N$6:N$27,'BS CWC'!$A$6:$A$27,$B18)*1000</f>
        <v>6785025.6406701291</v>
      </c>
      <c r="P18" s="34">
        <f>SUMIFS('BS CWC'!O$6:O$27,'BS CWC'!$A$6:$A$27,$B18)*1000</f>
        <v>6922234.6979454383</v>
      </c>
      <c r="Q18" s="34">
        <f t="shared" si="0"/>
        <v>4888175.5939502874</v>
      </c>
      <c r="R18" s="693"/>
      <c r="S18" s="726">
        <v>1</v>
      </c>
      <c r="T18" s="728"/>
      <c r="U18" s="729">
        <v>1</v>
      </c>
      <c r="W18" s="34">
        <f t="shared" si="1"/>
        <v>4888175.59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CWC'!C$6:C$27,'BS CWC'!$A$6:$A$27,$B19)*1000</f>
        <v>753305.95</v>
      </c>
      <c r="E19" s="34">
        <f>SUMIFS('BS CWC'!D$6:D$27,'BS CWC'!$A$6:$A$27,$B19)*1000</f>
        <v>737932.36</v>
      </c>
      <c r="F19" s="34">
        <f>SUMIFS('BS CWC'!E$6:E$27,'BS CWC'!$A$6:$A$27,$B19)*1000</f>
        <v>722558.77</v>
      </c>
      <c r="G19" s="34">
        <f>SUMIFS('BS CWC'!F$6:F$27,'BS CWC'!$A$6:$A$27,$B19)*1000</f>
        <v>707185.17999999993</v>
      </c>
      <c r="H19" s="34">
        <f>SUMIFS('BS CWC'!G$6:G$27,'BS CWC'!$A$6:$A$27,$B19)*1000</f>
        <v>691811.59</v>
      </c>
      <c r="I19" s="34">
        <f>SUMIFS('BS CWC'!H$6:H$27,'BS CWC'!$A$6:$A$27,$B19)*1000</f>
        <v>676438</v>
      </c>
      <c r="J19" s="34">
        <f>SUMIFS('BS CWC'!I$6:I$27,'BS CWC'!$A$6:$A$27,$B19)*1000</f>
        <v>661064.40999999992</v>
      </c>
      <c r="K19" s="34">
        <f>SUMIFS('BS CWC'!J$6:J$27,'BS CWC'!$A$6:$A$27,$B19)*1000</f>
        <v>645669.73</v>
      </c>
      <c r="L19" s="34">
        <f>SUMIFS('BS CWC'!K$6:K$27,'BS CWC'!$A$6:$A$27,$B19)*1000</f>
        <v>630275.04999999993</v>
      </c>
      <c r="M19" s="34">
        <f>SUMIFS('BS CWC'!L$6:L$27,'BS CWC'!$A$6:$A$27,$B19)*1000</f>
        <v>614880.37</v>
      </c>
      <c r="N19" s="34">
        <f>SUMIFS('BS CWC'!M$6:M$27,'BS CWC'!$A$6:$A$27,$B19)*1000</f>
        <v>599485.68999999994</v>
      </c>
      <c r="O19" s="34">
        <f>SUMIFS('BS CWC'!N$6:N$27,'BS CWC'!$A$6:$A$27,$B19)*1000</f>
        <v>584091.01</v>
      </c>
      <c r="P19" s="34">
        <f>SUMIFS('BS CWC'!O$6:O$27,'BS CWC'!$A$6:$A$27,$B19)*1000</f>
        <v>568696.32999999996</v>
      </c>
      <c r="Q19" s="52">
        <f t="shared" si="0"/>
        <v>661030.34153846151</v>
      </c>
      <c r="R19" s="693"/>
      <c r="S19" s="726">
        <v>1</v>
      </c>
      <c r="T19" s="728"/>
      <c r="U19" s="729">
        <v>1</v>
      </c>
      <c r="W19" s="52">
        <f t="shared" si="1"/>
        <v>661030.34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203000321.00711882</v>
      </c>
      <c r="R21" s="684"/>
      <c r="T21" s="728"/>
      <c r="W21" s="42">
        <f>SUM(W14:W19)</f>
        <v>203000321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>
        <f t="shared" ref="D24:P24" si="4">D10</f>
        <v>43070</v>
      </c>
      <c r="E24" s="722">
        <f t="shared" si="4"/>
        <v>43101</v>
      </c>
      <c r="F24" s="722">
        <f t="shared" si="4"/>
        <v>43132</v>
      </c>
      <c r="G24" s="722">
        <f t="shared" si="4"/>
        <v>43160</v>
      </c>
      <c r="H24" s="722">
        <f t="shared" si="4"/>
        <v>43191</v>
      </c>
      <c r="I24" s="722">
        <f t="shared" si="4"/>
        <v>43221</v>
      </c>
      <c r="J24" s="722">
        <f t="shared" si="4"/>
        <v>43252</v>
      </c>
      <c r="K24" s="722">
        <f t="shared" si="4"/>
        <v>43282</v>
      </c>
      <c r="L24" s="722">
        <f t="shared" si="4"/>
        <v>43313</v>
      </c>
      <c r="M24" s="722">
        <f t="shared" si="4"/>
        <v>43344</v>
      </c>
      <c r="N24" s="722">
        <f t="shared" si="4"/>
        <v>43374</v>
      </c>
      <c r="O24" s="722">
        <f t="shared" si="4"/>
        <v>43405</v>
      </c>
      <c r="P24" s="722">
        <f t="shared" si="4"/>
        <v>43435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CWC'!C$6:C$27,'BS CWC'!$A$6:$A$27,$B28)*-1000</f>
        <v>-3295470.1300000004</v>
      </c>
      <c r="E28" s="34">
        <f>SUMIFS('BS CWC'!D$6:D$27,'BS CWC'!$A$6:$A$27,$B28)*-1000</f>
        <v>-3301094.48</v>
      </c>
      <c r="F28" s="34">
        <f>SUMIFS('BS CWC'!E$6:E$27,'BS CWC'!$A$6:$A$27,$B28)*-1000</f>
        <v>-3301094.48</v>
      </c>
      <c r="G28" s="34">
        <f>SUMIFS('BS CWC'!F$6:F$27,'BS CWC'!$A$6:$A$27,$B28)*-1000</f>
        <v>-2559949.6199999996</v>
      </c>
      <c r="H28" s="34">
        <f>SUMIFS('BS CWC'!G$6:G$27,'BS CWC'!$A$6:$A$27,$B28)*-1000</f>
        <v>-2559638.0699999998</v>
      </c>
      <c r="I28" s="34">
        <f>SUMIFS('BS CWC'!H$6:H$27,'BS CWC'!$A$6:$A$27,$B28)*-1000</f>
        <v>-2559638.0699999998</v>
      </c>
      <c r="J28" s="34">
        <f>SUMIFS('BS CWC'!I$6:I$27,'BS CWC'!$A$6:$A$27,$B28)*-1000</f>
        <v>-2456327.63</v>
      </c>
      <c r="K28" s="34">
        <f>SUMIFS('BS CWC'!J$6:J$27,'BS CWC'!$A$6:$A$27,$B28)*-1000</f>
        <v>-2459570.7843228932</v>
      </c>
      <c r="L28" s="34">
        <f>SUMIFS('BS CWC'!K$6:K$27,'BS CWC'!$A$6:$A$27,$B28)*-1000</f>
        <v>-2456930.3763927054</v>
      </c>
      <c r="M28" s="34">
        <f>SUMIFS('BS CWC'!L$6:L$27,'BS CWC'!$A$6:$A$27,$B28)*-1000</f>
        <v>-2452211.3928626617</v>
      </c>
      <c r="N28" s="34">
        <f>SUMIFS('BS CWC'!M$6:M$27,'BS CWC'!$A$6:$A$27,$B28)*-1000</f>
        <v>-2447327.0269537545</v>
      </c>
      <c r="O28" s="34">
        <f>SUMIFS('BS CWC'!N$6:N$27,'BS CWC'!$A$6:$A$27,$B28)*-1000</f>
        <v>-2443942.3054400049</v>
      </c>
      <c r="P28" s="34">
        <f>SUMIFS('BS CWC'!O$6:O$27,'BS CWC'!$A$6:$A$27,$B28)*-1000</f>
        <v>-2440837.8451166982</v>
      </c>
      <c r="Q28" s="34">
        <f>AVERAGE(D28:P28)</f>
        <v>-2671848.6316222092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-2671848.63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CWC'!C$6:C$27,'BS CWC'!$A$6:$A$27,$B29)*-1000</f>
        <v>-99022100.730000004</v>
      </c>
      <c r="E29" s="34">
        <f>SUMIFS('BS CWC'!D$6:D$27,'BS CWC'!$A$6:$A$27,$B29)*-1000</f>
        <v>-54778025.130000003</v>
      </c>
      <c r="F29" s="34">
        <f>SUMIFS('BS CWC'!E$6:E$27,'BS CWC'!$A$6:$A$27,$B29)*-1000</f>
        <v>-61294114.530000001</v>
      </c>
      <c r="G29" s="34">
        <f>SUMIFS('BS CWC'!F$6:F$27,'BS CWC'!$A$6:$A$27,$B29)*-1000</f>
        <v>-61267894.379999995</v>
      </c>
      <c r="H29" s="34">
        <f>SUMIFS('BS CWC'!G$6:G$27,'BS CWC'!$A$6:$A$27,$B29)*-1000</f>
        <v>-60983999.580000006</v>
      </c>
      <c r="I29" s="34">
        <f>SUMIFS('BS CWC'!H$6:H$27,'BS CWC'!$A$6:$A$27,$B29)*-1000</f>
        <v>-60939681.359999999</v>
      </c>
      <c r="J29" s="34">
        <f>SUMIFS('BS CWC'!I$6:I$27,'BS CWC'!$A$6:$A$27,$B29)*-1000</f>
        <v>-57084930.68</v>
      </c>
      <c r="K29" s="34">
        <f>SUMIFS('BS CWC'!J$6:J$27,'BS CWC'!$A$6:$A$27,$B29)*-1000</f>
        <v>-57431652.495534539</v>
      </c>
      <c r="L29" s="34">
        <f>SUMIFS('BS CWC'!K$6:K$27,'BS CWC'!$A$6:$A$27,$B29)*-1000</f>
        <v>-57594772.148986332</v>
      </c>
      <c r="M29" s="34">
        <f>SUMIFS('BS CWC'!L$6:L$27,'BS CWC'!$A$6:$A$27,$B29)*-1000</f>
        <v>-56407711.965759985</v>
      </c>
      <c r="N29" s="34">
        <f>SUMIFS('BS CWC'!M$6:M$27,'BS CWC'!$A$6:$A$27,$B29)*-1000</f>
        <v>-56519253.24014549</v>
      </c>
      <c r="O29" s="34">
        <f>SUMIFS('BS CWC'!N$6:N$27,'BS CWC'!$A$6:$A$27,$B29)*-1000</f>
        <v>-56664671.217699647</v>
      </c>
      <c r="P29" s="34">
        <f>SUMIFS('BS CWC'!O$6:O$27,'BS CWC'!$A$6:$A$27,$B29)*-1000</f>
        <v>-55521245.634750098</v>
      </c>
      <c r="Q29" s="34">
        <f t="shared" ref="Q29:Q33" si="7">AVERAGE(D29:P29)</f>
        <v>-61193081.007144317</v>
      </c>
      <c r="R29" s="684"/>
      <c r="S29" s="726">
        <v>1</v>
      </c>
      <c r="T29" s="728"/>
      <c r="U29" s="729">
        <v>1</v>
      </c>
      <c r="W29" s="34">
        <f t="shared" si="5"/>
        <v>-61193081.009999998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CWC'!C$6:C$27,'BS CWC'!$A$6:$A$27,$B30)*-1000</f>
        <v>-11959184.520000001</v>
      </c>
      <c r="E30" s="34">
        <f>SUMIFS('BS CWC'!D$6:D$27,'BS CWC'!$A$6:$A$27,$B30)*-1000</f>
        <v>-11766919.999999998</v>
      </c>
      <c r="F30" s="34">
        <f>SUMIFS('BS CWC'!E$6:E$27,'BS CWC'!$A$6:$A$27,$B30)*-1000</f>
        <v>-11730105.030000001</v>
      </c>
      <c r="G30" s="34">
        <f>SUMIFS('BS CWC'!F$6:F$27,'BS CWC'!$A$6:$A$27,$B30)*-1000</f>
        <v>-11946221.33</v>
      </c>
      <c r="H30" s="34">
        <f>SUMIFS('BS CWC'!G$6:G$27,'BS CWC'!$A$6:$A$27,$B30)*-1000</f>
        <v>-12757275.630000001</v>
      </c>
      <c r="I30" s="34">
        <f>SUMIFS('BS CWC'!H$6:H$27,'BS CWC'!$A$6:$A$27,$B30)*-1000</f>
        <v>-12392905.709999999</v>
      </c>
      <c r="J30" s="34">
        <f>SUMIFS('BS CWC'!I$6:I$27,'BS CWC'!$A$6:$A$27,$B30)*-1000</f>
        <v>-13509509.869999999</v>
      </c>
      <c r="K30" s="34">
        <f>SUMIFS('BS CWC'!J$6:J$27,'BS CWC'!$A$6:$A$27,$B30)*-1000</f>
        <v>-16062375.692212202</v>
      </c>
      <c r="L30" s="34">
        <f>SUMIFS('BS CWC'!K$6:K$27,'BS CWC'!$A$6:$A$27,$B30)*-1000</f>
        <v>-16138367.579923039</v>
      </c>
      <c r="M30" s="34">
        <f>SUMIFS('BS CWC'!L$6:L$27,'BS CWC'!$A$6:$A$27,$B30)*-1000</f>
        <v>-16274816.312620305</v>
      </c>
      <c r="N30" s="34">
        <f>SUMIFS('BS CWC'!M$6:M$27,'BS CWC'!$A$6:$A$27,$B30)*-1000</f>
        <v>-16333747.203709709</v>
      </c>
      <c r="O30" s="34">
        <f>SUMIFS('BS CWC'!N$6:N$27,'BS CWC'!$A$6:$A$27,$B30)*-1000</f>
        <v>-16389544.457395984</v>
      </c>
      <c r="P30" s="34">
        <f>SUMIFS('BS CWC'!O$6:O$27,'BS CWC'!$A$6:$A$27,$B30)*-1000</f>
        <v>-16435529.646145141</v>
      </c>
      <c r="Q30" s="34">
        <f t="shared" si="7"/>
        <v>-14130500.229385106</v>
      </c>
      <c r="R30" s="684"/>
      <c r="S30" s="726">
        <v>1</v>
      </c>
      <c r="T30" s="728"/>
      <c r="U30" s="729">
        <v>1</v>
      </c>
      <c r="W30" s="34">
        <f t="shared" si="5"/>
        <v>-14130500.23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CWC'!C$6:C$27,'BS CWC'!$A$6:$A$27,$B31)*-1000</f>
        <v>-1720217.0301290001</v>
      </c>
      <c r="E31" s="34">
        <f>SUMIFS('BS CWC'!D$6:D$27,'BS CWC'!$A$6:$A$27,$B31)*-1000</f>
        <v>-5318084.6682479996</v>
      </c>
      <c r="F31" s="34">
        <f>SUMIFS('BS CWC'!E$6:E$27,'BS CWC'!$A$6:$A$27,$B31)*-1000</f>
        <v>-6908659.0214399993</v>
      </c>
      <c r="G31" s="34">
        <f>SUMIFS('BS CWC'!F$6:F$27,'BS CWC'!$A$6:$A$27,$B31)*-1000</f>
        <v>-2368314.3727980005</v>
      </c>
      <c r="H31" s="34">
        <f>SUMIFS('BS CWC'!G$6:G$27,'BS CWC'!$A$6:$A$27,$B31)*-1000</f>
        <v>-2102268.8192480002</v>
      </c>
      <c r="I31" s="34">
        <f>SUMIFS('BS CWC'!H$6:H$27,'BS CWC'!$A$6:$A$27,$B31)*-1000</f>
        <v>-2891612.7457360001</v>
      </c>
      <c r="J31" s="34">
        <f>SUMIFS('BS CWC'!I$6:I$27,'BS CWC'!$A$6:$A$27,$B31)*-1000</f>
        <v>-14428587.612712</v>
      </c>
      <c r="K31" s="34">
        <f>SUMIFS('BS CWC'!J$6:J$27,'BS CWC'!$A$6:$A$27,$B31)*-1000</f>
        <v>-14447638.070614202</v>
      </c>
      <c r="L31" s="34">
        <f>SUMIFS('BS CWC'!K$6:K$27,'BS CWC'!$A$6:$A$27,$B31)*-1000</f>
        <v>-14432128.186378594</v>
      </c>
      <c r="M31" s="34">
        <f>SUMIFS('BS CWC'!L$6:L$27,'BS CWC'!$A$6:$A$27,$B31)*-1000</f>
        <v>-1697492.1381234485</v>
      </c>
      <c r="N31" s="34">
        <f>SUMIFS('BS CWC'!M$6:M$27,'BS CWC'!$A$6:$A$27,$B31)*-1000</f>
        <v>-1694111.0378014203</v>
      </c>
      <c r="O31" s="34">
        <f>SUMIFS('BS CWC'!N$6:N$27,'BS CWC'!$A$6:$A$27,$B31)*-1000</f>
        <v>-1691768.0350015601</v>
      </c>
      <c r="P31" s="34">
        <f>SUMIFS('BS CWC'!O$6:O$27,'BS CWC'!$A$6:$A$27,$B31)*-1000</f>
        <v>-1689619.03715934</v>
      </c>
      <c r="Q31" s="34">
        <f t="shared" si="7"/>
        <v>-5491576.982722274</v>
      </c>
      <c r="R31" s="693"/>
      <c r="S31" s="726">
        <v>1</v>
      </c>
      <c r="T31" s="730"/>
      <c r="U31" s="729">
        <v>1</v>
      </c>
      <c r="W31" s="34">
        <f t="shared" si="5"/>
        <v>-5491576.9800000004</v>
      </c>
      <c r="X31" s="691"/>
      <c r="Y31" s="115"/>
    </row>
    <row r="32" spans="1:25" ht="18.95" customHeight="1">
      <c r="A32" s="714">
        <f t="shared" si="6"/>
        <v>12</v>
      </c>
      <c r="B32" s="734" t="s">
        <v>2133</v>
      </c>
      <c r="C32" s="718" t="s">
        <v>2531</v>
      </c>
      <c r="D32" s="34">
        <f>D41</f>
        <v>-84033880.123363033</v>
      </c>
      <c r="E32" s="34">
        <f t="shared" ref="E32:P32" si="8">E41</f>
        <v>-58957274.822759695</v>
      </c>
      <c r="F32" s="34">
        <f t="shared" si="8"/>
        <v>-67146697.722325712</v>
      </c>
      <c r="G32" s="34">
        <f t="shared" si="8"/>
        <v>-72191236.98149097</v>
      </c>
      <c r="H32" s="34">
        <f t="shared" si="8"/>
        <v>-68836325.279951513</v>
      </c>
      <c r="I32" s="34">
        <f t="shared" si="8"/>
        <v>-76379710.715596065</v>
      </c>
      <c r="J32" s="34">
        <f t="shared" si="8"/>
        <v>-76239950.094871759</v>
      </c>
      <c r="K32" s="34">
        <f t="shared" si="8"/>
        <v>-60230811.83516603</v>
      </c>
      <c r="L32" s="34">
        <f t="shared" si="8"/>
        <v>-85747841.372084364</v>
      </c>
      <c r="M32" s="34">
        <f t="shared" si="8"/>
        <v>-104982636.92836578</v>
      </c>
      <c r="N32" s="34">
        <f t="shared" si="8"/>
        <v>-126093339.41881686</v>
      </c>
      <c r="O32" s="34">
        <f t="shared" si="8"/>
        <v>-86336523.84343414</v>
      </c>
      <c r="P32" s="34">
        <f t="shared" si="8"/>
        <v>-146745345.59115976</v>
      </c>
      <c r="Q32" s="34">
        <f t="shared" si="7"/>
        <v>-85686274.979183525</v>
      </c>
      <c r="R32" s="693"/>
      <c r="S32" s="726">
        <v>0.82</v>
      </c>
      <c r="T32" s="735"/>
      <c r="U32" s="727">
        <v>1</v>
      </c>
      <c r="W32" s="34">
        <f t="shared" si="5"/>
        <v>-70262745.480000004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-2344681.5357839577</v>
      </c>
      <c r="E33" s="34">
        <f t="shared" ref="E33:P33" si="9">E45</f>
        <v>-1827178.00930696</v>
      </c>
      <c r="F33" s="34">
        <f t="shared" si="9"/>
        <v>-2219156.8880391275</v>
      </c>
      <c r="G33" s="34">
        <f t="shared" si="9"/>
        <v>-2430181.8619611077</v>
      </c>
      <c r="H33" s="34">
        <f t="shared" si="9"/>
        <v>-1882612.786294942</v>
      </c>
      <c r="I33" s="34">
        <f t="shared" si="9"/>
        <v>-1514890.9109868163</v>
      </c>
      <c r="J33" s="34">
        <f t="shared" si="9"/>
        <v>-2487224.4215743621</v>
      </c>
      <c r="K33" s="34">
        <f t="shared" si="9"/>
        <v>-2220535.6047392027</v>
      </c>
      <c r="L33" s="34">
        <f t="shared" si="9"/>
        <v>-2973464.9032194992</v>
      </c>
      <c r="M33" s="34">
        <f t="shared" si="9"/>
        <v>-3585165.9797493983</v>
      </c>
      <c r="N33" s="34">
        <f t="shared" si="9"/>
        <v>-5246921.5559688192</v>
      </c>
      <c r="O33" s="34">
        <f t="shared" si="9"/>
        <v>-3806801.9721093667</v>
      </c>
      <c r="P33" s="34">
        <f t="shared" si="9"/>
        <v>-5290752.054659999</v>
      </c>
      <c r="Q33" s="52">
        <f t="shared" si="7"/>
        <v>-2909966.8064918122</v>
      </c>
      <c r="R33" s="693"/>
      <c r="S33" s="726">
        <v>0.82</v>
      </c>
      <c r="T33" s="728"/>
      <c r="U33" s="729">
        <v>1</v>
      </c>
      <c r="W33" s="52">
        <f t="shared" si="5"/>
        <v>-2386172.7799999998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-172083248.63654926</v>
      </c>
      <c r="R35" s="684"/>
      <c r="T35" s="728"/>
      <c r="W35" s="42">
        <f>SUM(W28:W33)</f>
        <v>-156135925.11000001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30917072.370569557</v>
      </c>
      <c r="R37" s="684"/>
      <c r="T37" s="728"/>
      <c r="W37" s="42">
        <f>W21+W35</f>
        <v>46864395.889999986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-45952340.420895465</v>
      </c>
      <c r="E40" s="34">
        <v>-32239672.367461301</v>
      </c>
      <c r="F40" s="34">
        <v>-36717903.628222868</v>
      </c>
      <c r="G40" s="34">
        <v>-39476414.659290761</v>
      </c>
      <c r="H40" s="34">
        <v>-37641844.550605208</v>
      </c>
      <c r="I40" s="34">
        <v>-41766802.424213991</v>
      </c>
      <c r="J40" s="34">
        <v>-41690376.968058325</v>
      </c>
      <c r="K40" s="34">
        <v>-32936082.032786701</v>
      </c>
      <c r="L40" s="34">
        <v>-46889587.762727633</v>
      </c>
      <c r="M40" s="34">
        <v>-57407772.476214811</v>
      </c>
      <c r="N40" s="34">
        <v>-68951761.47138381</v>
      </c>
      <c r="O40" s="34">
        <v>-47211497.65530391</v>
      </c>
      <c r="P40" s="34">
        <v>-80244921.047173679</v>
      </c>
      <c r="Q40" s="34">
        <v>-46855921.343410656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-84033880.123363033</v>
      </c>
      <c r="E41" s="34">
        <f t="shared" si="10"/>
        <v>-58957274.822759695</v>
      </c>
      <c r="F41" s="34">
        <f t="shared" si="10"/>
        <v>-67146697.722325712</v>
      </c>
      <c r="G41" s="34">
        <f t="shared" si="10"/>
        <v>-72191236.98149097</v>
      </c>
      <c r="H41" s="34">
        <f t="shared" si="10"/>
        <v>-68836325.279951513</v>
      </c>
      <c r="I41" s="34">
        <f t="shared" si="10"/>
        <v>-76379710.715596065</v>
      </c>
      <c r="J41" s="34">
        <f t="shared" si="10"/>
        <v>-76239950.094871759</v>
      </c>
      <c r="K41" s="34">
        <f t="shared" si="10"/>
        <v>-60230811.83516603</v>
      </c>
      <c r="L41" s="34">
        <f t="shared" si="10"/>
        <v>-85747841.372084364</v>
      </c>
      <c r="M41" s="34">
        <f t="shared" si="10"/>
        <v>-104982636.92836578</v>
      </c>
      <c r="N41" s="34">
        <f t="shared" si="10"/>
        <v>-126093339.41881686</v>
      </c>
      <c r="O41" s="34">
        <f t="shared" si="10"/>
        <v>-86336523.84343414</v>
      </c>
      <c r="P41" s="34">
        <f t="shared" si="10"/>
        <v>-146745345.59115976</v>
      </c>
      <c r="Q41" s="34">
        <f>AVERAGE(D41:P41)</f>
        <v>-85686274.979183525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2573</v>
      </c>
      <c r="AE41" s="731" t="s">
        <v>2573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-3118682.5379999992</v>
      </c>
      <c r="E44" s="34">
        <v>-2430346.324</v>
      </c>
      <c r="F44" s="34">
        <v>-2951721.0461999997</v>
      </c>
      <c r="G44" s="34">
        <v>-3232407.3104999992</v>
      </c>
      <c r="H44" s="34">
        <v>-2504080.6321999999</v>
      </c>
      <c r="I44" s="34">
        <v>-2014970.3739999996</v>
      </c>
      <c r="J44" s="34">
        <v>-3308280.1452000001</v>
      </c>
      <c r="K44" s="34">
        <v>-2953554.8900000006</v>
      </c>
      <c r="L44" s="34">
        <v>-3955033.0948999994</v>
      </c>
      <c r="M44" s="34">
        <v>-4768662.3390999995</v>
      </c>
      <c r="N44" s="34">
        <v>-6978978.7590000015</v>
      </c>
      <c r="O44" s="34">
        <v>-5063462.4168999996</v>
      </c>
      <c r="P44" s="34">
        <v>-7037278.109600001</v>
      </c>
      <c r="Q44" s="34">
        <v>-3870573.6907384619</v>
      </c>
      <c r="R44" s="684"/>
      <c r="S44" s="726"/>
      <c r="T44" s="728"/>
      <c r="U44" s="729"/>
      <c r="W44" s="691"/>
      <c r="X44" s="691"/>
      <c r="Y44" s="115"/>
      <c r="AA44" s="691">
        <v>-46855921.343410656</v>
      </c>
      <c r="AB44" s="691">
        <v>213242574.258461</v>
      </c>
      <c r="AC44" s="736">
        <f>AA44/AB44</f>
        <v>-0.21973061198660482</v>
      </c>
      <c r="AD44" s="691">
        <v>389960571.2853843</v>
      </c>
      <c r="AE44" s="691">
        <f>AC44*AD44</f>
        <v>-85686274.979183525</v>
      </c>
      <c r="AF44" s="737">
        <f>AE44/AA44</f>
        <v>1.8287181752586235</v>
      </c>
    </row>
    <row r="45" spans="1:32">
      <c r="D45" s="34">
        <f t="shared" ref="D45:P45" si="11">D44*$AF$45</f>
        <v>-2344681.5357839577</v>
      </c>
      <c r="E45" s="34">
        <f t="shared" si="11"/>
        <v>-1827178.00930696</v>
      </c>
      <c r="F45" s="34">
        <f t="shared" si="11"/>
        <v>-2219156.8880391275</v>
      </c>
      <c r="G45" s="34">
        <f t="shared" si="11"/>
        <v>-2430181.8619611077</v>
      </c>
      <c r="H45" s="34">
        <f t="shared" si="11"/>
        <v>-1882612.786294942</v>
      </c>
      <c r="I45" s="34">
        <f t="shared" si="11"/>
        <v>-1514890.9109868163</v>
      </c>
      <c r="J45" s="34">
        <f t="shared" si="11"/>
        <v>-2487224.4215743621</v>
      </c>
      <c r="K45" s="34">
        <f t="shared" si="11"/>
        <v>-2220535.6047392027</v>
      </c>
      <c r="L45" s="34">
        <f t="shared" si="11"/>
        <v>-2973464.9032194992</v>
      </c>
      <c r="M45" s="34">
        <f t="shared" si="11"/>
        <v>-3585165.9797493983</v>
      </c>
      <c r="N45" s="34">
        <f t="shared" si="11"/>
        <v>-5246921.5559688192</v>
      </c>
      <c r="O45" s="34">
        <f t="shared" si="11"/>
        <v>-3806801.9721093667</v>
      </c>
      <c r="P45" s="34">
        <f t="shared" si="11"/>
        <v>-5290752.054659999</v>
      </c>
      <c r="Q45" s="34">
        <f>AVERAGE(D45:P45)</f>
        <v>-2909966.8064918122</v>
      </c>
      <c r="AA45" s="691">
        <v>-3870573.6907384619</v>
      </c>
      <c r="AB45" s="691">
        <v>59159200.279230699</v>
      </c>
      <c r="AC45" s="736">
        <f>AA45/AB45</f>
        <v>-6.5426403204732336E-2</v>
      </c>
      <c r="AD45" s="691">
        <v>44476949.120769225</v>
      </c>
      <c r="AE45" s="691">
        <f>AC45*AD45</f>
        <v>-2909966.8064918127</v>
      </c>
      <c r="AF45" s="737">
        <f>AE45/AA45</f>
        <v>0.75181795749162539</v>
      </c>
    </row>
    <row r="48" spans="1:32" ht="18.95" customHeight="1">
      <c r="A48" s="842" t="str">
        <f>$A1</f>
        <v>LOUISVILLE GAS AND ELECTRIC COMPANY</v>
      </c>
      <c r="B48" s="845"/>
      <c r="C48" s="845"/>
      <c r="D48" s="845"/>
      <c r="E48" s="845"/>
      <c r="F48" s="845"/>
      <c r="G48" s="845"/>
      <c r="H48" s="845"/>
      <c r="I48" s="845"/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846"/>
      <c r="U48" s="846"/>
      <c r="V48" s="845"/>
      <c r="W48" s="845"/>
      <c r="X48" s="679"/>
    </row>
    <row r="49" spans="1:24" ht="18.95" customHeight="1">
      <c r="A49" s="842" t="str">
        <f>$A2</f>
        <v>CASE NO. 2018-00295 - ELECTRIC OPERATIONS</v>
      </c>
      <c r="B49" s="845"/>
      <c r="C49" s="845"/>
      <c r="D49" s="845"/>
      <c r="E49" s="845"/>
      <c r="F49" s="845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6"/>
      <c r="U49" s="846"/>
      <c r="V49" s="845"/>
      <c r="W49" s="845"/>
      <c r="X49" s="679"/>
    </row>
    <row r="50" spans="1:24" ht="18.95" customHeight="1">
      <c r="A50" s="842" t="s">
        <v>381</v>
      </c>
      <c r="B50" s="843"/>
      <c r="C50" s="843"/>
      <c r="D50" s="843"/>
      <c r="E50" s="843"/>
      <c r="F50" s="843"/>
      <c r="G50" s="843"/>
      <c r="H50" s="843"/>
      <c r="I50" s="843"/>
      <c r="J50" s="843"/>
      <c r="K50" s="843"/>
      <c r="L50" s="843"/>
      <c r="M50" s="843"/>
      <c r="N50" s="843"/>
      <c r="O50" s="843"/>
      <c r="P50" s="843"/>
      <c r="Q50" s="843"/>
      <c r="R50" s="843"/>
      <c r="S50" s="843"/>
      <c r="T50" s="844"/>
      <c r="U50" s="844"/>
      <c r="V50" s="843"/>
      <c r="W50" s="843"/>
      <c r="X50" s="681"/>
    </row>
    <row r="51" spans="1:24" ht="18.95" customHeight="1">
      <c r="A51" s="842" t="str">
        <f>$A4</f>
        <v>BASE YEAR FOR THE 12 MONTHS ENDED DECEMBER 31, 2018</v>
      </c>
      <c r="B51" s="845"/>
      <c r="C51" s="845"/>
      <c r="D51" s="845"/>
      <c r="E51" s="845"/>
      <c r="F51" s="845"/>
      <c r="G51" s="845"/>
      <c r="H51" s="845"/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6"/>
      <c r="U51" s="846"/>
      <c r="V51" s="845"/>
      <c r="W51" s="845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DATA:__X__BASE  PERIOD____FORECASTED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_____ ORIGINAL  _____ UPDATED  __X__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131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>
        <v>43070</v>
      </c>
      <c r="E57" s="722">
        <v>43101</v>
      </c>
      <c r="F57" s="722">
        <v>43132</v>
      </c>
      <c r="G57" s="722">
        <v>43160</v>
      </c>
      <c r="H57" s="722">
        <v>43191</v>
      </c>
      <c r="I57" s="722">
        <v>43221</v>
      </c>
      <c r="J57" s="722">
        <v>43252</v>
      </c>
      <c r="K57" s="722">
        <v>43282</v>
      </c>
      <c r="L57" s="722">
        <v>43313</v>
      </c>
      <c r="M57" s="722">
        <v>43344</v>
      </c>
      <c r="N57" s="722">
        <v>43374</v>
      </c>
      <c r="O57" s="722">
        <v>43405</v>
      </c>
      <c r="P57" s="722">
        <v>43435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 ca="1">'ECR EXP B'!C25*1000</f>
        <v>704247.5199999999</v>
      </c>
      <c r="F59" s="34">
        <f ca="1">'ECR EXP B'!D25*1000</f>
        <v>686786.23</v>
      </c>
      <c r="G59" s="34">
        <f ca="1">'ECR EXP B'!E25*1000</f>
        <v>712443.77</v>
      </c>
      <c r="H59" s="34">
        <f ca="1">'ECR EXP B'!F25*1000</f>
        <v>379960.76000000007</v>
      </c>
      <c r="I59" s="34">
        <f ca="1">'ECR EXP B'!G25*1000</f>
        <v>137576.37999999995</v>
      </c>
      <c r="J59" s="34">
        <f ca="1">'ECR EXP B'!H25*1000</f>
        <v>396472.24</v>
      </c>
      <c r="K59" s="34">
        <f>'ECR EXP B'!I25*1000</f>
        <v>525975.99999999988</v>
      </c>
      <c r="L59" s="34">
        <f>'ECR EXP B'!J25*1000</f>
        <v>653195.99999999895</v>
      </c>
      <c r="M59" s="34">
        <f>'ECR EXP B'!K25*1000</f>
        <v>538677</v>
      </c>
      <c r="N59" s="34">
        <f>'ECR EXP B'!L25*1000</f>
        <v>616299</v>
      </c>
      <c r="O59" s="34">
        <f>'ECR EXP B'!M25*1000</f>
        <v>600861</v>
      </c>
      <c r="P59" s="34">
        <f>'ECR EXP B'!N25*1000</f>
        <v>586053.99999999895</v>
      </c>
      <c r="Q59" s="34">
        <f ca="1">SUM(E59:P59)</f>
        <v>6538549.8999999985</v>
      </c>
      <c r="S59" s="708">
        <v>1</v>
      </c>
      <c r="W59" s="34">
        <f ca="1">Q59*S59</f>
        <v>6538549.8999999985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 ca="1">Q59-Q61</f>
        <v>6538549.8999999985</v>
      </c>
      <c r="W63" s="42">
        <f ca="1">W59-W61</f>
        <v>6538549.8999999985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 ca="1">Q63*0.125</f>
        <v>817318.73749999981</v>
      </c>
      <c r="W65" s="42">
        <f ca="1">W63*0.125</f>
        <v>817318.73749999981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50:W50"/>
    <mergeCell ref="A51:W51"/>
    <mergeCell ref="A1:W1"/>
    <mergeCell ref="A2:W2"/>
    <mergeCell ref="A3:W3"/>
    <mergeCell ref="A4:W4"/>
    <mergeCell ref="A48:W48"/>
    <mergeCell ref="A49:W49"/>
  </mergeCells>
  <printOptions horizontalCentered="1"/>
  <pageMargins left="1" right="0.5" top="1" bottom="0.5" header="0.3" footer="0.3"/>
  <pageSetup scale="7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activeCell="G11" sqref="G11"/>
      <selection pane="topRight" activeCell="G11" sqref="G11"/>
      <selection pane="bottomLeft" activeCell="G11" sqref="G11"/>
      <selection pane="bottomRight" activeCell="O76" sqref="O76"/>
    </sheetView>
  </sheetViews>
  <sheetFormatPr defaultRowHeight="12.75"/>
  <cols>
    <col min="1" max="1" width="5.44140625" style="773" customWidth="1"/>
    <col min="2" max="2" width="42.109375" style="680" bestFit="1" customWidth="1"/>
    <col min="3" max="3" width="14.77734375" style="684" customWidth="1"/>
    <col min="4" max="4" width="2.109375" style="684" customWidth="1"/>
    <col min="5" max="5" width="9.21875" style="708" customWidth="1"/>
    <col min="6" max="6" width="2" style="708" customWidth="1"/>
    <col min="7" max="7" width="14.77734375" style="684" customWidth="1"/>
    <col min="8" max="8" width="2.21875" style="684" customWidth="1"/>
    <col min="9" max="9" width="10.33203125" style="684" customWidth="1"/>
    <col min="10" max="10" width="2.44140625" style="684" customWidth="1"/>
    <col min="11" max="11" width="8.77734375" style="684" customWidth="1"/>
    <col min="12" max="12" width="2" style="684" customWidth="1"/>
    <col min="13" max="13" width="9.77734375" style="685" customWidth="1"/>
    <col min="14" max="14" width="2.109375" style="685" customWidth="1"/>
    <col min="15" max="15" width="9.77734375" style="684" customWidth="1"/>
    <col min="16" max="16" width="2.5546875" style="684" customWidth="1"/>
    <col min="17" max="17" width="13.77734375" style="684" customWidth="1"/>
    <col min="18" max="18" width="10.88671875" style="680" customWidth="1"/>
    <col min="19" max="19" width="8.88671875" style="680"/>
    <col min="20" max="20" width="14" style="680" customWidth="1"/>
    <col min="21" max="16384" width="8.88671875" style="680"/>
  </cols>
  <sheetData>
    <row r="1" spans="1:18" ht="15.95" customHeight="1">
      <c r="A1" s="841" t="str">
        <f>'Rate Case Constants'!C9</f>
        <v>LOUISVILLE GAS AND ELECTRIC COMPANY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841"/>
      <c r="R1" s="738"/>
    </row>
    <row r="2" spans="1:18" ht="15.95" customHeight="1">
      <c r="A2" s="841" t="str">
        <f>'Rate Case Constants'!C10</f>
        <v>CASE NO. 2018-00295 - ELECTRIC OPERATIONS</v>
      </c>
      <c r="B2" s="841"/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1"/>
      <c r="Q2" s="841"/>
      <c r="R2" s="738"/>
    </row>
    <row r="3" spans="1:18" ht="15.95" customHeight="1">
      <c r="A3" s="841" t="s">
        <v>381</v>
      </c>
      <c r="B3" s="841"/>
      <c r="C3" s="841"/>
      <c r="D3" s="841"/>
      <c r="E3" s="841"/>
      <c r="F3" s="841"/>
      <c r="G3" s="841"/>
      <c r="H3" s="841"/>
      <c r="I3" s="841"/>
      <c r="J3" s="841"/>
      <c r="K3" s="841"/>
      <c r="L3" s="841"/>
      <c r="M3" s="841"/>
      <c r="N3" s="841"/>
      <c r="O3" s="841"/>
      <c r="P3" s="841"/>
      <c r="Q3" s="841"/>
      <c r="R3" s="738"/>
    </row>
    <row r="4" spans="1:18" ht="15.95" customHeight="1">
      <c r="A4" s="841" t="str">
        <f>'Rate Case Constants'!C21</f>
        <v>FORECAST PERIOD FOR THE 12 MONTHS ENDED APRIL 30, 2020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738"/>
    </row>
    <row r="5" spans="1:18" ht="15.95" customHeight="1">
      <c r="A5" s="772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38"/>
    </row>
    <row r="6" spans="1:18" ht="15.95" customHeight="1">
      <c r="A6" s="15" t="s">
        <v>122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23" t="s">
        <v>382</v>
      </c>
      <c r="R6" s="738"/>
    </row>
    <row r="7" spans="1:18" ht="15.95" customHeight="1">
      <c r="A7" s="15" t="str">
        <f>'Rate Case Constants'!C29</f>
        <v>TYPE OF FILING: _____ ORIGINAL  _____ UPDATED  __X__ REVISED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23" t="s">
        <v>128</v>
      </c>
      <c r="R7" s="738"/>
    </row>
    <row r="8" spans="1:18" ht="15.95" customHeight="1">
      <c r="A8" s="15" t="s">
        <v>231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2137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3">
        <v>1</v>
      </c>
      <c r="B12" s="686" t="s">
        <v>2079</v>
      </c>
      <c r="C12" s="690">
        <v>245108928.73031506</v>
      </c>
      <c r="D12" s="687"/>
      <c r="E12" s="688">
        <v>1</v>
      </c>
      <c r="F12" s="689"/>
      <c r="G12" s="690">
        <f>C12*E12</f>
        <v>245108928.73031506</v>
      </c>
      <c r="H12" s="691"/>
      <c r="I12" s="691">
        <f>G12/366</f>
        <v>669696.52658556029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12917329.836957816</v>
      </c>
    </row>
    <row r="13" spans="1:18" ht="15.95" customHeight="1">
      <c r="A13" s="773">
        <f>A12+1</f>
        <v>2</v>
      </c>
      <c r="B13" s="686" t="s">
        <v>2080</v>
      </c>
      <c r="C13" s="690">
        <v>52691799.684963174</v>
      </c>
      <c r="D13" s="687"/>
      <c r="E13" s="688">
        <f>E$12</f>
        <v>1</v>
      </c>
      <c r="F13" s="689"/>
      <c r="G13" s="690">
        <f>C13*E13</f>
        <v>52691799.684963174</v>
      </c>
      <c r="H13" s="691"/>
      <c r="I13" s="691">
        <f t="shared" ref="I13:I26" si="0">G13/366</f>
        <v>143966.66580591031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670644.71821253188</v>
      </c>
    </row>
    <row r="14" spans="1:18" ht="15.95" customHeight="1">
      <c r="A14" s="773">
        <f>A13+1</f>
        <v>3</v>
      </c>
      <c r="B14" s="686" t="s">
        <v>2081</v>
      </c>
      <c r="C14" s="690">
        <v>0</v>
      </c>
      <c r="D14" s="687"/>
      <c r="E14" s="688">
        <f t="shared" ref="E14:E26" si="3">E$12</f>
        <v>1</v>
      </c>
      <c r="F14" s="689"/>
      <c r="G14" s="690">
        <f>C14*E14</f>
        <v>0</v>
      </c>
      <c r="H14" s="691"/>
      <c r="I14" s="691">
        <f t="shared" si="0"/>
        <v>0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0</v>
      </c>
    </row>
    <row r="15" spans="1:18" ht="15.95" customHeight="1">
      <c r="A15" s="773">
        <f>A14+1</f>
        <v>4</v>
      </c>
      <c r="B15" s="686" t="s">
        <v>2082</v>
      </c>
      <c r="C15" s="690">
        <v>6709117</v>
      </c>
      <c r="D15" s="687"/>
      <c r="E15" s="688">
        <f t="shared" si="3"/>
        <v>1</v>
      </c>
      <c r="F15" s="689"/>
      <c r="G15" s="690">
        <f t="shared" ref="G15:G26" si="5">C15*E15</f>
        <v>6709117</v>
      </c>
      <c r="H15" s="691"/>
      <c r="I15" s="691">
        <f t="shared" si="0"/>
        <v>18330.920765027324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307562.29890255007</v>
      </c>
    </row>
    <row r="16" spans="1:18" ht="15.95" customHeight="1">
      <c r="A16" s="773">
        <f>A15+1</f>
        <v>5</v>
      </c>
      <c r="B16" s="686" t="s">
        <v>2083</v>
      </c>
      <c r="C16" s="692">
        <f>'SCH C-2.1 F'!D103</f>
        <v>49827806.296580851</v>
      </c>
      <c r="D16" s="687"/>
      <c r="E16" s="688">
        <f t="shared" si="3"/>
        <v>1</v>
      </c>
      <c r="F16" s="689"/>
      <c r="G16" s="692">
        <f t="shared" si="5"/>
        <v>49827806.296580851</v>
      </c>
      <c r="H16" s="691"/>
      <c r="I16" s="691">
        <f t="shared" si="0"/>
        <v>136141.54725841762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2080174.8366899923</v>
      </c>
    </row>
    <row r="17" spans="1:17" ht="15.95" customHeight="1">
      <c r="A17" s="773">
        <f>A16+1</f>
        <v>6</v>
      </c>
      <c r="B17" s="686" t="s">
        <v>2084</v>
      </c>
      <c r="C17" s="690">
        <v>32280443.82</v>
      </c>
      <c r="D17" s="687"/>
      <c r="E17" s="688">
        <f t="shared" si="3"/>
        <v>1</v>
      </c>
      <c r="F17" s="689"/>
      <c r="G17" s="690">
        <f t="shared" si="5"/>
        <v>32280443.82</v>
      </c>
      <c r="H17" s="691"/>
      <c r="I17" s="691">
        <f t="shared" si="0"/>
        <v>88197.933934426226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2791436.6479933788</v>
      </c>
    </row>
    <row r="18" spans="1:17" ht="15.95" customHeight="1">
      <c r="A18" s="773">
        <f t="shared" ref="A18:A24" si="6">A17+1</f>
        <v>7</v>
      </c>
      <c r="B18" s="686" t="s">
        <v>2085</v>
      </c>
      <c r="C18" s="690">
        <f>-2005269+1206276</f>
        <v>-798993</v>
      </c>
      <c r="D18" s="687"/>
      <c r="E18" s="688">
        <f t="shared" si="3"/>
        <v>1</v>
      </c>
      <c r="F18" s="689"/>
      <c r="G18" s="690">
        <f t="shared" si="5"/>
        <v>-798993</v>
      </c>
      <c r="H18" s="691"/>
      <c r="I18" s="691">
        <f t="shared" si="0"/>
        <v>-2183.0409836065573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-95286.100532786877</v>
      </c>
    </row>
    <row r="19" spans="1:17" ht="15.95" customHeight="1">
      <c r="A19" s="773">
        <f t="shared" si="6"/>
        <v>8</v>
      </c>
      <c r="B19" s="686" t="s">
        <v>2086</v>
      </c>
      <c r="C19" s="690">
        <f>1133541+342868</f>
        <v>1476409</v>
      </c>
      <c r="D19" s="687"/>
      <c r="E19" s="688">
        <f t="shared" si="3"/>
        <v>1</v>
      </c>
      <c r="F19" s="689"/>
      <c r="G19" s="690">
        <f t="shared" si="5"/>
        <v>1476409</v>
      </c>
      <c r="H19" s="691"/>
      <c r="I19" s="691">
        <f t="shared" si="0"/>
        <v>4033.9043715846997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176073.20264571949</v>
      </c>
    </row>
    <row r="20" spans="1:17" ht="15.95" customHeight="1">
      <c r="A20" s="773">
        <f>A19+1</f>
        <v>9</v>
      </c>
      <c r="B20" s="686" t="s">
        <v>2087</v>
      </c>
      <c r="C20" s="690">
        <v>2780572.8258694001</v>
      </c>
      <c r="D20" s="687"/>
      <c r="E20" s="688">
        <f t="shared" si="3"/>
        <v>1</v>
      </c>
      <c r="F20" s="689"/>
      <c r="G20" s="690">
        <f t="shared" si="5"/>
        <v>2780572.8258694001</v>
      </c>
      <c r="H20" s="691"/>
      <c r="I20" s="691">
        <f t="shared" si="0"/>
        <v>7597.1935133043717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-1531378.958465951</v>
      </c>
    </row>
    <row r="21" spans="1:17" ht="15.95" customHeight="1">
      <c r="A21" s="773">
        <f>A20+1</f>
        <v>10</v>
      </c>
      <c r="B21" s="686" t="s">
        <v>2088</v>
      </c>
      <c r="C21" s="690">
        <v>1513055.92</v>
      </c>
      <c r="D21" s="687"/>
      <c r="E21" s="688">
        <f t="shared" si="3"/>
        <v>1</v>
      </c>
      <c r="F21" s="689"/>
      <c r="G21" s="690">
        <f t="shared" si="5"/>
        <v>1513055.92</v>
      </c>
      <c r="H21" s="691"/>
      <c r="I21" s="691">
        <f t="shared" si="0"/>
        <v>4134.0325683060109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85411.8224940988</v>
      </c>
    </row>
    <row r="22" spans="1:17" ht="15.95" customHeight="1">
      <c r="A22" s="773">
        <f t="shared" si="6"/>
        <v>11</v>
      </c>
      <c r="B22" s="686" t="s">
        <v>2089</v>
      </c>
      <c r="C22" s="690">
        <v>707983.56</v>
      </c>
      <c r="D22" s="687"/>
      <c r="E22" s="688">
        <f t="shared" si="3"/>
        <v>1</v>
      </c>
      <c r="F22" s="689"/>
      <c r="G22" s="690">
        <f t="shared" si="5"/>
        <v>707983.56</v>
      </c>
      <c r="H22" s="691"/>
      <c r="I22" s="691">
        <f t="shared" si="0"/>
        <v>1934.38131147541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-463964.58152622957</v>
      </c>
    </row>
    <row r="23" spans="1:17" ht="15.95" customHeight="1">
      <c r="A23" s="773">
        <f t="shared" si="6"/>
        <v>12</v>
      </c>
      <c r="B23" s="686" t="s">
        <v>2090</v>
      </c>
      <c r="C23" s="692">
        <f>'SCH C-2.1 F'!D177</f>
        <v>2034192.1499999959</v>
      </c>
      <c r="E23" s="688">
        <f t="shared" si="3"/>
        <v>1</v>
      </c>
      <c r="F23" s="689"/>
      <c r="G23" s="690">
        <f t="shared" si="5"/>
        <v>2034192.1499999959</v>
      </c>
      <c r="H23" s="691"/>
      <c r="I23" s="691">
        <f t="shared" si="0"/>
        <v>5557.9020491803167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-725566.28367794247</v>
      </c>
    </row>
    <row r="24" spans="1:17" ht="15.95" customHeight="1">
      <c r="A24" s="773">
        <f t="shared" si="6"/>
        <v>13</v>
      </c>
      <c r="B24" s="686" t="s">
        <v>2091</v>
      </c>
      <c r="C24" s="690">
        <v>3350132</v>
      </c>
      <c r="E24" s="688">
        <f t="shared" si="3"/>
        <v>1</v>
      </c>
      <c r="F24" s="689"/>
      <c r="G24" s="690">
        <f t="shared" si="5"/>
        <v>3350132</v>
      </c>
      <c r="H24" s="691"/>
      <c r="I24" s="691">
        <f t="shared" si="0"/>
        <v>9153.3661202185795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76234.24239456853</v>
      </c>
    </row>
    <row r="25" spans="1:17" ht="15.95" customHeight="1">
      <c r="A25" s="773">
        <f>A24+1</f>
        <v>14</v>
      </c>
      <c r="B25" s="686" t="s">
        <v>2092</v>
      </c>
      <c r="C25" s="690">
        <f>105172867.18-3493180.17+1204818.5</f>
        <v>102884505.51000001</v>
      </c>
      <c r="E25" s="688">
        <f t="shared" si="3"/>
        <v>1</v>
      </c>
      <c r="F25" s="689"/>
      <c r="G25" s="690">
        <f t="shared" si="5"/>
        <v>102884505.51000001</v>
      </c>
      <c r="H25" s="691"/>
      <c r="I25" s="691">
        <f t="shared" si="0"/>
        <v>281105.20631147543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5130628.1686063586</v>
      </c>
    </row>
    <row r="26" spans="1:17" ht="15.95" customHeight="1">
      <c r="A26" s="773">
        <f>A25+1</f>
        <v>15</v>
      </c>
      <c r="B26" s="686" t="s">
        <v>2093</v>
      </c>
      <c r="C26" s="703">
        <v>134540323.6008209</v>
      </c>
      <c r="D26" s="693"/>
      <c r="E26" s="688">
        <f t="shared" si="3"/>
        <v>1</v>
      </c>
      <c r="F26" s="689"/>
      <c r="G26" s="703">
        <f t="shared" si="5"/>
        <v>134540323.6008209</v>
      </c>
      <c r="H26" s="694"/>
      <c r="I26" s="691">
        <f t="shared" si="0"/>
        <v>367596.51257054892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-2038010.0548553271</v>
      </c>
    </row>
    <row r="27" spans="1:17" ht="15.95" customHeight="1">
      <c r="A27" s="773">
        <f>A26+1</f>
        <v>16</v>
      </c>
      <c r="B27" s="699" t="s">
        <v>2094</v>
      </c>
      <c r="C27" s="690">
        <f>SUM(C12:C26)</f>
        <v>635106277.09854937</v>
      </c>
      <c r="D27" s="696"/>
      <c r="E27" s="688"/>
      <c r="F27" s="689"/>
      <c r="G27" s="690">
        <f>SUM(G12:G26)</f>
        <v>635106277.09854937</v>
      </c>
      <c r="H27" s="691"/>
      <c r="I27" s="691"/>
      <c r="K27" s="685"/>
      <c r="L27" s="685"/>
      <c r="O27" s="685"/>
      <c r="P27" s="685"/>
      <c r="Q27" s="691">
        <f>SUM(Q12:Q26)</f>
        <v>19381289.795838773</v>
      </c>
    </row>
    <row r="28" spans="1:17" ht="15.95" customHeight="1">
      <c r="B28" s="699"/>
      <c r="C28" s="740">
        <f>'SCH C-2.1 F'!D224-C32-C33-C27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3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3">
        <f>A29+1</f>
        <v>18</v>
      </c>
      <c r="B30" s="686" t="s">
        <v>2096</v>
      </c>
      <c r="C30" s="690">
        <f>'SCH C-2.1 F'!D226</f>
        <v>221495054.5439004</v>
      </c>
      <c r="E30" s="688">
        <f>E$12</f>
        <v>1</v>
      </c>
      <c r="F30" s="689"/>
      <c r="G30" s="690">
        <f>C30*E30</f>
        <v>221495054.5439004</v>
      </c>
      <c r="I30" s="691">
        <f>G30/366</f>
        <v>605177.74465546559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26414999.924636647</v>
      </c>
    </row>
    <row r="31" spans="1:17" ht="15.95" customHeight="1">
      <c r="A31" s="773">
        <f>A30+1</f>
        <v>19</v>
      </c>
      <c r="B31" s="686" t="s">
        <v>2097</v>
      </c>
      <c r="C31" s="690">
        <f>'SCH C-2.1 F'!D227</f>
        <v>1546256.5516944402</v>
      </c>
      <c r="E31" s="688">
        <f>E$12</f>
        <v>1</v>
      </c>
      <c r="F31" s="689"/>
      <c r="G31" s="690">
        <f>C31*E31</f>
        <v>1546256.5516944402</v>
      </c>
      <c r="I31" s="691">
        <f>G31/366</f>
        <v>4224.7446767607653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184403.06389947946</v>
      </c>
    </row>
    <row r="32" spans="1:17" ht="15.95" customHeight="1">
      <c r="A32" s="773">
        <f>A31+1</f>
        <v>20</v>
      </c>
      <c r="B32" s="686" t="s">
        <v>2516</v>
      </c>
      <c r="C32" s="690">
        <v>6155772.0064040907</v>
      </c>
      <c r="E32" s="688">
        <f>E$12</f>
        <v>1</v>
      </c>
      <c r="F32" s="689"/>
      <c r="G32" s="690">
        <f>C32*E32</f>
        <v>6155772.0064040907</v>
      </c>
      <c r="I32" s="691">
        <f>G32/366</f>
        <v>16819.049197825385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734123.465736415</v>
      </c>
    </row>
    <row r="33" spans="1:20" ht="15.95" customHeight="1">
      <c r="A33" s="773">
        <f>A32+1</f>
        <v>21</v>
      </c>
      <c r="B33" s="686" t="s">
        <v>2517</v>
      </c>
      <c r="C33" s="690">
        <v>-309697.07999999996</v>
      </c>
      <c r="E33" s="688">
        <f>E$12</f>
        <v>1</v>
      </c>
      <c r="F33" s="689"/>
      <c r="G33" s="690">
        <f>C33*E33</f>
        <v>-309697.07999999996</v>
      </c>
      <c r="I33" s="691">
        <f>G33/366</f>
        <v>-846.16688524590154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-36933.774262841529</v>
      </c>
    </row>
    <row r="34" spans="1:20" ht="15.95" customHeight="1">
      <c r="A34" s="773">
        <f>A33+1</f>
        <v>22</v>
      </c>
      <c r="B34" s="699" t="s">
        <v>2098</v>
      </c>
      <c r="C34" s="700">
        <f>SUM(C30:C33)</f>
        <v>228887386.02199894</v>
      </c>
      <c r="D34" s="696"/>
      <c r="E34" s="688"/>
      <c r="F34" s="689"/>
      <c r="G34" s="700">
        <f>SUM(G30:G33)</f>
        <v>228887386.02199894</v>
      </c>
      <c r="H34" s="691"/>
      <c r="I34" s="691"/>
      <c r="K34" s="685"/>
      <c r="L34" s="685"/>
      <c r="O34" s="685"/>
      <c r="P34" s="685"/>
      <c r="Q34" s="700">
        <f>SUM(Q30:Q33)</f>
        <v>27296592.6800097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3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3">
        <f>A36+1</f>
        <v>24</v>
      </c>
      <c r="B37" s="686" t="s">
        <v>2100</v>
      </c>
      <c r="C37" s="690">
        <f>8524548.767273</f>
        <v>8524548.7672729995</v>
      </c>
      <c r="D37" s="687"/>
      <c r="E37" s="688">
        <f>E$12</f>
        <v>1</v>
      </c>
      <c r="F37" s="689"/>
      <c r="G37" s="690">
        <f>C37*E37</f>
        <v>8524548.7672729995</v>
      </c>
      <c r="H37" s="691"/>
      <c r="I37" s="691">
        <f>G37/366</f>
        <v>23291.116850472677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143201.55010232286</v>
      </c>
      <c r="T37" s="692"/>
    </row>
    <row r="38" spans="1:20" ht="15.95" customHeight="1">
      <c r="A38" s="773">
        <f>A37+1</f>
        <v>25</v>
      </c>
      <c r="B38" s="686" t="s">
        <v>2101</v>
      </c>
      <c r="C38" s="690">
        <v>2192074.116922617</v>
      </c>
      <c r="D38" s="687"/>
      <c r="E38" s="688">
        <f>E$12</f>
        <v>1</v>
      </c>
      <c r="F38" s="689"/>
      <c r="G38" s="690">
        <f>C38*E38</f>
        <v>2192074.116922617</v>
      </c>
      <c r="H38" s="691"/>
      <c r="I38" s="691">
        <f>G38/366</f>
        <v>5989.2735435044178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36824.050169979666</v>
      </c>
      <c r="T38" s="692"/>
    </row>
    <row r="39" spans="1:20" ht="15.95" customHeight="1">
      <c r="A39" s="773">
        <f>A38+1</f>
        <v>26</v>
      </c>
      <c r="B39" s="686" t="s">
        <v>2102</v>
      </c>
      <c r="C39" s="703">
        <v>34246775.477665946</v>
      </c>
      <c r="D39" s="704"/>
      <c r="E39" s="688">
        <f>E$12</f>
        <v>1</v>
      </c>
      <c r="F39" s="689"/>
      <c r="G39" s="703">
        <f>C39*E39</f>
        <v>34246775.477665946</v>
      </c>
      <c r="H39" s="694"/>
      <c r="I39" s="691">
        <f>G39/366</f>
        <v>93570.424802365975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4084193.0919152708</v>
      </c>
      <c r="T39" s="692"/>
    </row>
    <row r="40" spans="1:20" ht="15.95" customHeight="1">
      <c r="A40" s="773">
        <f>A39+1</f>
        <v>27</v>
      </c>
      <c r="B40" s="699" t="s">
        <v>2103</v>
      </c>
      <c r="C40" s="700">
        <f>SUM(C37:C39)</f>
        <v>44963398.361861564</v>
      </c>
      <c r="D40" s="696"/>
      <c r="E40" s="688"/>
      <c r="F40" s="689"/>
      <c r="G40" s="700">
        <f>SUM(G37:G39)</f>
        <v>44963398.361861564</v>
      </c>
      <c r="H40" s="691"/>
      <c r="I40" s="691"/>
      <c r="K40" s="685"/>
      <c r="L40" s="685"/>
      <c r="O40" s="685"/>
      <c r="P40" s="685"/>
      <c r="Q40" s="691">
        <f>SUM(Q37:Q39)</f>
        <v>4264218.6921875738</v>
      </c>
      <c r="T40" s="705"/>
    </row>
    <row r="41" spans="1:20" ht="15.95" customHeight="1">
      <c r="B41" s="699"/>
      <c r="C41" s="696">
        <f>SUM('SCH C-2.1 F'!F229:F231)-C40</f>
        <v>-3.3333376049995422E-3</v>
      </c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3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3">
        <f>A42+1</f>
        <v>29</v>
      </c>
      <c r="B43" s="686" t="s">
        <v>2105</v>
      </c>
      <c r="C43" s="690">
        <f>('IS E'!AF285+'IS E'!AF288)*1000</f>
        <v>27675001.209581356</v>
      </c>
      <c r="D43" s="687"/>
      <c r="E43" s="688">
        <f>E$12</f>
        <v>1</v>
      </c>
      <c r="F43" s="689"/>
      <c r="G43" s="690">
        <f>C43*E43</f>
        <v>27675001.209581356</v>
      </c>
      <c r="H43" s="691"/>
      <c r="I43" s="691">
        <f>G43/366</f>
        <v>75614.757403227748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-13052194.106422024</v>
      </c>
    </row>
    <row r="44" spans="1:20" ht="15.95" customHeight="1">
      <c r="A44" s="773">
        <f>A43+1</f>
        <v>30</v>
      </c>
      <c r="B44" s="686" t="s">
        <v>2106</v>
      </c>
      <c r="C44" s="690">
        <f>'IS E'!AF286*1000</f>
        <v>6794885.8399999924</v>
      </c>
      <c r="D44" s="687"/>
      <c r="E44" s="688">
        <f>E$12</f>
        <v>1</v>
      </c>
      <c r="F44" s="689"/>
      <c r="G44" s="690">
        <f>C44*E44</f>
        <v>6794885.8399999924</v>
      </c>
      <c r="H44" s="691"/>
      <c r="I44" s="691">
        <f>G44/366</f>
        <v>18565.261857923477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151733.93677430105</v>
      </c>
    </row>
    <row r="45" spans="1:20" ht="15.95" customHeight="1">
      <c r="A45" s="773">
        <f>A44+1</f>
        <v>31</v>
      </c>
      <c r="B45" s="686" t="s">
        <v>2107</v>
      </c>
      <c r="C45" s="703">
        <f>'IS E'!AF287*1000</f>
        <v>2304005.9999999902</v>
      </c>
      <c r="D45" s="704"/>
      <c r="E45" s="688">
        <f>E$12</f>
        <v>1</v>
      </c>
      <c r="F45" s="689"/>
      <c r="G45" s="703">
        <f>C45*E45</f>
        <v>2304005.9999999902</v>
      </c>
      <c r="H45" s="694"/>
      <c r="I45" s="691">
        <f>G45/366</f>
        <v>6295.0983606557111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1210865.8819876006</v>
      </c>
    </row>
    <row r="46" spans="1:20" ht="15.95" customHeight="1">
      <c r="A46" s="773">
        <f>A45+1</f>
        <v>32</v>
      </c>
      <c r="B46" s="699" t="s">
        <v>2108</v>
      </c>
      <c r="C46" s="690">
        <f>SUM(C43:C45)</f>
        <v>36773893.049581341</v>
      </c>
      <c r="D46" s="696"/>
      <c r="E46" s="688"/>
      <c r="F46" s="689"/>
      <c r="G46" s="700">
        <f>SUM(G43:G45)</f>
        <v>36773893.049581341</v>
      </c>
      <c r="H46" s="691"/>
      <c r="I46" s="691"/>
      <c r="K46" s="685"/>
      <c r="L46" s="685"/>
      <c r="O46" s="685"/>
      <c r="P46" s="685"/>
      <c r="Q46" s="691">
        <f>SUM(Q43:Q45)</f>
        <v>-11689594.287660122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3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3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3">
        <f>A50+1</f>
        <v>35</v>
      </c>
      <c r="B52" s="680" t="s">
        <v>2111</v>
      </c>
      <c r="C52" s="690">
        <f>'SCH C-2.1 F'!D232</f>
        <v>0</v>
      </c>
      <c r="E52" s="688">
        <f>IF(C52=0,0,G52/C52)</f>
        <v>0</v>
      </c>
      <c r="F52" s="689"/>
      <c r="G52" s="690">
        <f>C52*E52</f>
        <v>0</v>
      </c>
      <c r="H52" s="691"/>
      <c r="I52" s="706">
        <f>G52/366</f>
        <v>0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3">
        <f>A52+1</f>
        <v>36</v>
      </c>
      <c r="B54" s="680" t="s">
        <v>2112</v>
      </c>
      <c r="C54" s="690">
        <f>'IS TC'!AF409*1000*0.82</f>
        <v>2367258.8199999989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3">
        <f>A54+1</f>
        <v>37</v>
      </c>
      <c r="B56" s="680" t="s">
        <v>2113</v>
      </c>
      <c r="C56" s="690">
        <v>329164.61579201999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3">
        <f>A56+1</f>
        <v>38</v>
      </c>
      <c r="B58" s="680" t="s">
        <v>2114</v>
      </c>
      <c r="C58" s="690">
        <f>'IS TC'!AF418*1000*0.82-C54</f>
        <v>-436898.76180563052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3">
        <f>A58+1</f>
        <v>39</v>
      </c>
      <c r="B60" s="680" t="s">
        <v>2115</v>
      </c>
      <c r="C60" s="690">
        <f>'IS TC'!AF402*1000*0.82</f>
        <v>-121078.1591674175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3">
        <f>A60+1</f>
        <v>40</v>
      </c>
      <c r="B62" s="680" t="s">
        <v>2116</v>
      </c>
      <c r="C62" s="690">
        <f>81155584.5169375-C56</f>
        <v>80826419.901145473</v>
      </c>
      <c r="E62" s="688">
        <f>E$12</f>
        <v>1</v>
      </c>
      <c r="F62" s="689"/>
      <c r="G62" s="690">
        <f>C62*E62</f>
        <v>80826419.901145473</v>
      </c>
      <c r="H62" s="691"/>
      <c r="I62" s="691">
        <f>G62/366</f>
        <v>220837.21284465975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-9684079.8452597354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3">
        <f>A62+1</f>
        <v>41</v>
      </c>
      <c r="B64" s="680" t="s">
        <v>2117</v>
      </c>
      <c r="C64" s="703">
        <f>'SCH C-2.1 F'!$D32-C27-C34-C40-C46-SUM(C48:C62)</f>
        <v>176092973.87597913</v>
      </c>
      <c r="D64" s="693"/>
      <c r="E64" s="688"/>
      <c r="F64" s="689"/>
      <c r="G64" s="703">
        <f>'SCH C-2.1 F'!F236-G62</f>
        <v>178231420.39413154</v>
      </c>
      <c r="H64" s="694"/>
      <c r="I64" s="691">
        <f>G64/366</f>
        <v>486971.09397303697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3">
        <f>A64+1</f>
        <v>42</v>
      </c>
      <c r="B66" s="680" t="s">
        <v>869</v>
      </c>
      <c r="C66" s="691">
        <f>C27+C34+C40+C46+C48+C50+C52+C54+C56+C58+C60+C62+C64</f>
        <v>1204788794.8239348</v>
      </c>
      <c r="E66" s="688"/>
      <c r="F66" s="689"/>
      <c r="G66" s="691">
        <f>G27+G34+G40+G46+G48+G50+G52+G54+G56+G58+G60+G62+G64</f>
        <v>1204788794.8272681</v>
      </c>
      <c r="I66" s="691">
        <f>I27+I34+I40+I46+I48+I50+I52+I54+I56+I58+I60+I62+I64</f>
        <v>707808.30681769666</v>
      </c>
      <c r="O66" s="685"/>
      <c r="P66" s="685"/>
      <c r="Q66" s="691">
        <f>Q27+Q34+Q40+Q46+Q48+Q50+Q52+Q54+Q56+Q58+Q60+Q62+Q64</f>
        <v>29568427.035116188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3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3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3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3">
        <f>A72+1</f>
        <v>46</v>
      </c>
      <c r="B74" s="680" t="s">
        <v>2121</v>
      </c>
      <c r="E74" s="689"/>
      <c r="F74" s="689"/>
      <c r="Q74" s="694">
        <f>SUM(Q66:Q72)</f>
        <v>29880853.188080944</v>
      </c>
    </row>
    <row r="75" spans="1:18" ht="15.95" customHeight="1">
      <c r="E75" s="689"/>
      <c r="F75" s="689"/>
      <c r="Q75" s="691"/>
    </row>
    <row r="76" spans="1:18" ht="15.95" customHeight="1">
      <c r="A76" s="773">
        <f>A74+1</f>
        <v>47</v>
      </c>
      <c r="B76" s="680" t="s">
        <v>3073</v>
      </c>
      <c r="E76" s="689"/>
      <c r="F76" s="689"/>
      <c r="Q76" s="695">
        <f>'SCH B-5.2 F (2)'!W37</f>
        <v>87262950.090000004</v>
      </c>
    </row>
    <row r="77" spans="1:18" ht="15.95" customHeight="1">
      <c r="E77" s="689"/>
      <c r="F77" s="689"/>
      <c r="Q77" s="691"/>
    </row>
    <row r="78" spans="1:18" ht="15.95" customHeight="1" thickBot="1">
      <c r="A78" s="773">
        <f>A76+1</f>
        <v>48</v>
      </c>
      <c r="B78" s="680" t="s">
        <v>2122</v>
      </c>
      <c r="E78" s="689"/>
      <c r="F78" s="689"/>
      <c r="Q78" s="707">
        <f>SUM(Q74:Q76)</f>
        <v>117143803.27808094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3">
        <f>A78+1</f>
        <v>49</v>
      </c>
      <c r="B80" s="680" t="s">
        <v>3071</v>
      </c>
      <c r="E80" s="689"/>
      <c r="F80" s="689"/>
      <c r="Q80" s="707">
        <f>'SCH B-5.2 F (2)'!W65</f>
        <v>863005.4999999993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3">
        <f>A80+1</f>
        <v>50</v>
      </c>
      <c r="B82" s="680" t="s">
        <v>2536</v>
      </c>
      <c r="E82" s="689"/>
      <c r="F82" s="689"/>
      <c r="Q82" s="707">
        <f>Q78-Q80</f>
        <v>116280797.77808094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D12" activePane="bottomRight" state="frozen"/>
      <selection activeCell="G11" sqref="G11"/>
      <selection pane="topRight" activeCell="G11" sqref="G11"/>
      <selection pane="bottomLeft" activeCell="G11" sqref="G11"/>
      <selection pane="bottomRight" activeCell="A30" sqref="A30"/>
    </sheetView>
  </sheetViews>
  <sheetFormatPr defaultRowHeight="12.75" outlineLevelCol="2"/>
  <cols>
    <col min="1" max="1" width="6.21875" style="683" customWidth="1"/>
    <col min="2" max="2" width="9.88671875" style="680" customWidth="1"/>
    <col min="3" max="3" width="58.88671875" style="718" customWidth="1"/>
    <col min="4" max="4" width="12.77734375" style="680" hidden="1" customWidth="1" outlineLevel="1"/>
    <col min="5" max="16" width="12.77734375" style="680" hidden="1" customWidth="1" outlineLevel="2"/>
    <col min="17" max="17" width="15.77734375" style="680" customWidth="1" collapsed="1"/>
    <col min="18" max="18" width="2.88671875" style="680" customWidth="1"/>
    <col min="19" max="19" width="11" style="708" customWidth="1"/>
    <col min="20" max="20" width="2.88671875" style="719" hidden="1" customWidth="1"/>
    <col min="21" max="21" width="13.77734375" style="720" hidden="1" customWidth="1"/>
    <col min="22" max="22" width="2.88671875" style="708" customWidth="1"/>
    <col min="23" max="23" width="15.77734375" style="680" customWidth="1"/>
    <col min="24" max="24" width="16.6640625" style="680" customWidth="1"/>
    <col min="25" max="26" width="8.88671875" style="680"/>
    <col min="27" max="27" width="14" style="680" customWidth="1"/>
    <col min="28" max="28" width="12.5546875" style="680" customWidth="1"/>
    <col min="29" max="29" width="8.88671875" style="680"/>
    <col min="30" max="30" width="13" style="680" customWidth="1"/>
    <col min="31" max="31" width="12.6640625" style="680" customWidth="1"/>
    <col min="32" max="16384" width="8.88671875" style="680"/>
  </cols>
  <sheetData>
    <row r="1" spans="1:25" ht="18.95" customHeight="1">
      <c r="A1" s="842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843"/>
      <c r="S1" s="843"/>
      <c r="T1" s="844"/>
      <c r="U1" s="844"/>
      <c r="V1" s="843"/>
      <c r="W1" s="843"/>
      <c r="X1" s="679"/>
    </row>
    <row r="2" spans="1:25" ht="18.95" customHeight="1">
      <c r="A2" s="842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843"/>
      <c r="S2" s="843"/>
      <c r="T2" s="844"/>
      <c r="U2" s="844"/>
      <c r="V2" s="843"/>
      <c r="W2" s="843"/>
      <c r="X2" s="679"/>
    </row>
    <row r="3" spans="1:25" ht="18.95" customHeight="1">
      <c r="A3" s="842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  <c r="S3" s="843"/>
      <c r="T3" s="844"/>
      <c r="U3" s="844"/>
      <c r="V3" s="843"/>
      <c r="W3" s="843"/>
      <c r="X3" s="681"/>
    </row>
    <row r="4" spans="1:25" ht="18.95" customHeight="1">
      <c r="A4" s="842" t="str">
        <f>'Rate Case Constants'!C21</f>
        <v>FORECAST PERIOD FOR THE 12 MONTHS ENDED APRIL 30, 2020</v>
      </c>
      <c r="B4" s="845"/>
      <c r="C4" s="845"/>
      <c r="D4" s="845"/>
      <c r="E4" s="845"/>
      <c r="F4" s="845"/>
      <c r="G4" s="845"/>
      <c r="H4" s="845"/>
      <c r="I4" s="845"/>
      <c r="J4" s="845"/>
      <c r="K4" s="845"/>
      <c r="L4" s="845"/>
      <c r="M4" s="845"/>
      <c r="N4" s="845"/>
      <c r="O4" s="845"/>
      <c r="P4" s="845"/>
      <c r="Q4" s="845"/>
      <c r="R4" s="845"/>
      <c r="S4" s="845"/>
      <c r="T4" s="846"/>
      <c r="U4" s="846"/>
      <c r="V4" s="845"/>
      <c r="W4" s="845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122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_____ ORIGINAL  _____ UPDATED  __X__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129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 t="s">
        <v>1831</v>
      </c>
      <c r="E10" s="722" t="s">
        <v>1832</v>
      </c>
      <c r="F10" s="722" t="s">
        <v>1833</v>
      </c>
      <c r="G10" s="722" t="s">
        <v>1834</v>
      </c>
      <c r="H10" s="722" t="s">
        <v>1835</v>
      </c>
      <c r="I10" s="722" t="s">
        <v>1836</v>
      </c>
      <c r="J10" s="722" t="s">
        <v>1837</v>
      </c>
      <c r="K10" s="722" t="s">
        <v>1838</v>
      </c>
      <c r="L10" s="722" t="s">
        <v>1839</v>
      </c>
      <c r="M10" s="722" t="s">
        <v>1840</v>
      </c>
      <c r="N10" s="722" t="s">
        <v>1841</v>
      </c>
      <c r="O10" s="722" t="s">
        <v>1842</v>
      </c>
      <c r="P10" s="722" t="s">
        <v>1843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CWC'!S$6:S$27,'BS CWC'!$A$6:$A$27,$B14)*1000</f>
        <v>12601398.846322497</v>
      </c>
      <c r="E14" s="34">
        <f>SUMIFS('BS CWC'!T$6:T$27,'BS CWC'!$A$6:$A$27,$B14)*1000</f>
        <v>13589916.986182323</v>
      </c>
      <c r="F14" s="34">
        <f>SUMIFS('BS CWC'!U$6:U$27,'BS CWC'!$A$6:$A$27,$B14)*1000</f>
        <v>14563603.985888585</v>
      </c>
      <c r="G14" s="34">
        <f>SUMIFS('BS CWC'!V$6:V$27,'BS CWC'!$A$6:$A$27,$B14)*1000</f>
        <v>15513662.716890626</v>
      </c>
      <c r="H14" s="34">
        <f>SUMIFS('BS CWC'!W$6:W$27,'BS CWC'!$A$6:$A$27,$B14)*1000</f>
        <v>16485599.042647114</v>
      </c>
      <c r="I14" s="34">
        <f>SUMIFS('BS CWC'!X$6:X$27,'BS CWC'!$A$6:$A$27,$B14)*1000</f>
        <v>17446054.929498158</v>
      </c>
      <c r="J14" s="34">
        <f>SUMIFS('BS CWC'!Y$6:Y$27,'BS CWC'!$A$6:$A$27,$B14)*1000</f>
        <v>18430554.457634732</v>
      </c>
      <c r="K14" s="34">
        <f>SUMIFS('BS CWC'!Z$6:Z$27,'BS CWC'!$A$6:$A$27,$B14)*1000</f>
        <v>19414446.946541332</v>
      </c>
      <c r="L14" s="34">
        <f>SUMIFS('BS CWC'!AA$6:AA$27,'BS CWC'!$A$6:$A$27,$B14)*1000</f>
        <v>20420203.453300137</v>
      </c>
      <c r="M14" s="34">
        <f>SUMIFS('BS CWC'!AB$6:AB$27,'BS CWC'!$A$6:$A$27,$B14)*1000</f>
        <v>21469073.83282188</v>
      </c>
      <c r="N14" s="34">
        <f>SUMIFS('BS CWC'!AC$6:AC$27,'BS CWC'!$A$6:$A$27,$B14)*1000</f>
        <v>22513291.381140891</v>
      </c>
      <c r="O14" s="34">
        <f>SUMIFS('BS CWC'!AD$6:AD$27,'BS CWC'!$A$6:$A$27,$B14)*1000</f>
        <v>23556178.969988547</v>
      </c>
      <c r="P14" s="34">
        <f>SUMIFS('BS CWC'!AE$6:AE$27,'BS CWC'!$A$6:$A$27,$B14)*1000</f>
        <v>24579906.942373626</v>
      </c>
      <c r="Q14" s="34">
        <f t="shared" ref="Q14:Q19" si="0">AVERAGE(D14:P14)</f>
        <v>18506453.268556189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18506453.27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CWC'!S$6:S$27,'BS CWC'!$A$6:$A$27,$B15)*1000</f>
        <v>177130025.93704942</v>
      </c>
      <c r="E15" s="34">
        <f>SUMIFS('BS CWC'!T$6:T$27,'BS CWC'!$A$6:$A$27,$B15)*1000</f>
        <v>175670761.24194413</v>
      </c>
      <c r="F15" s="34">
        <f>SUMIFS('BS CWC'!U$6:U$27,'BS CWC'!$A$6:$A$27,$B15)*1000</f>
        <v>174236811.31448779</v>
      </c>
      <c r="G15" s="34">
        <f>SUMIFS('BS CWC'!V$6:V$27,'BS CWC'!$A$6:$A$27,$B15)*1000</f>
        <v>172493485.9906469</v>
      </c>
      <c r="H15" s="34">
        <f>SUMIFS('BS CWC'!W$6:W$27,'BS CWC'!$A$6:$A$27,$B15)*1000</f>
        <v>171080430.61316606</v>
      </c>
      <c r="I15" s="34">
        <f>SUMIFS('BS CWC'!X$6:X$27,'BS CWC'!$A$6:$A$27,$B15)*1000</f>
        <v>169740920.03439498</v>
      </c>
      <c r="J15" s="34">
        <f>SUMIFS('BS CWC'!Y$6:Y$27,'BS CWC'!$A$6:$A$27,$B15)*1000</f>
        <v>168553173.6994096</v>
      </c>
      <c r="K15" s="34">
        <f>SUMIFS('BS CWC'!Z$6:Z$27,'BS CWC'!$A$6:$A$27,$B15)*1000</f>
        <v>167386345.32704854</v>
      </c>
      <c r="L15" s="34">
        <f>SUMIFS('BS CWC'!AA$6:AA$27,'BS CWC'!$A$6:$A$27,$B15)*1000</f>
        <v>166548745.26386723</v>
      </c>
      <c r="M15" s="34">
        <f>SUMIFS('BS CWC'!AB$6:AB$27,'BS CWC'!$A$6:$A$27,$B15)*1000</f>
        <v>165526642.94405922</v>
      </c>
      <c r="N15" s="34">
        <f>SUMIFS('BS CWC'!AC$6:AC$27,'BS CWC'!$A$6:$A$27,$B15)*1000</f>
        <v>164479634.92992586</v>
      </c>
      <c r="O15" s="34">
        <f>SUMIFS('BS CWC'!AD$6:AD$27,'BS CWC'!$A$6:$A$27,$B15)*1000</f>
        <v>163502446.31820178</v>
      </c>
      <c r="P15" s="34">
        <f>SUMIFS('BS CWC'!AE$6:AE$27,'BS CWC'!$A$6:$A$27,$B15)*1000</f>
        <v>162341636.26999807</v>
      </c>
      <c r="Q15" s="34">
        <f t="shared" si="0"/>
        <v>169130081.52955383</v>
      </c>
      <c r="R15" s="684"/>
      <c r="S15" s="726">
        <v>1</v>
      </c>
      <c r="T15" s="728"/>
      <c r="U15" s="729">
        <v>1</v>
      </c>
      <c r="W15" s="34">
        <f t="shared" si="1"/>
        <v>169130081.53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CWC'!S$6:S$27,'BS CWC'!$A$6:$A$27,$B16)*1000</f>
        <v>2174445.9899999923</v>
      </c>
      <c r="E16" s="34">
        <f>SUMIFS('BS CWC'!T$6:T$27,'BS CWC'!$A$6:$A$27,$B16)*1000</f>
        <v>2174445.9899999923</v>
      </c>
      <c r="F16" s="34">
        <f>SUMIFS('BS CWC'!U$6:U$27,'BS CWC'!$A$6:$A$27,$B16)*1000</f>
        <v>2174445.9899999923</v>
      </c>
      <c r="G16" s="34">
        <f>SUMIFS('BS CWC'!V$6:V$27,'BS CWC'!$A$6:$A$27,$B16)*1000</f>
        <v>2174445.9899999923</v>
      </c>
      <c r="H16" s="34">
        <f>SUMIFS('BS CWC'!W$6:W$27,'BS CWC'!$A$6:$A$27,$B16)*1000</f>
        <v>2174445.9899999923</v>
      </c>
      <c r="I16" s="34">
        <f>SUMIFS('BS CWC'!X$6:X$27,'BS CWC'!$A$6:$A$27,$B16)*1000</f>
        <v>2174445.9899999923</v>
      </c>
      <c r="J16" s="34">
        <f>SUMIFS('BS CWC'!Y$6:Y$27,'BS CWC'!$A$6:$A$27,$B16)*1000</f>
        <v>2174445.9899999923</v>
      </c>
      <c r="K16" s="34">
        <f>SUMIFS('BS CWC'!Z$6:Z$27,'BS CWC'!$A$6:$A$27,$B16)*1000</f>
        <v>2174445.9899999923</v>
      </c>
      <c r="L16" s="34">
        <f>SUMIFS('BS CWC'!AA$6:AA$27,'BS CWC'!$A$6:$A$27,$B16)*1000</f>
        <v>2174445.9899999923</v>
      </c>
      <c r="M16" s="34">
        <f>SUMIFS('BS CWC'!AB$6:AB$27,'BS CWC'!$A$6:$A$27,$B16)*1000</f>
        <v>2174445.9899999923</v>
      </c>
      <c r="N16" s="34">
        <f>SUMIFS('BS CWC'!AC$6:AC$27,'BS CWC'!$A$6:$A$27,$B16)*1000</f>
        <v>2174445.9899999923</v>
      </c>
      <c r="O16" s="34">
        <f>SUMIFS('BS CWC'!AD$6:AD$27,'BS CWC'!$A$6:$A$27,$B16)*1000</f>
        <v>2174445.9899999923</v>
      </c>
      <c r="P16" s="34">
        <f>SUMIFS('BS CWC'!AE$6:AE$27,'BS CWC'!$A$6:$A$27,$B16)*1000</f>
        <v>2174445.9899999923</v>
      </c>
      <c r="Q16" s="34">
        <f t="shared" si="0"/>
        <v>2174445.9899999918</v>
      </c>
      <c r="R16" s="693"/>
      <c r="S16" s="726">
        <v>1</v>
      </c>
      <c r="T16" s="730"/>
      <c r="U16" s="729">
        <v>1</v>
      </c>
      <c r="W16" s="34">
        <f t="shared" si="1"/>
        <v>2174445.9900000002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CWC'!S$6:S$27,'BS CWC'!$A$6:$A$27,$B17)*1000</f>
        <v>4334768.9549789997</v>
      </c>
      <c r="E17" s="34">
        <f>SUMIFS('BS CWC'!T$6:T$27,'BS CWC'!$A$6:$A$27,$B17)*1000</f>
        <v>4334768.9549789997</v>
      </c>
      <c r="F17" s="34">
        <f>SUMIFS('BS CWC'!U$6:U$27,'BS CWC'!$A$6:$A$27,$B17)*1000</f>
        <v>4334768.9549789997</v>
      </c>
      <c r="G17" s="34">
        <f>SUMIFS('BS CWC'!V$6:V$27,'BS CWC'!$A$6:$A$27,$B17)*1000</f>
        <v>4334768.9549789997</v>
      </c>
      <c r="H17" s="34">
        <f>SUMIFS('BS CWC'!W$6:W$27,'BS CWC'!$A$6:$A$27,$B17)*1000</f>
        <v>4334768.9549789997</v>
      </c>
      <c r="I17" s="34">
        <f>SUMIFS('BS CWC'!X$6:X$27,'BS CWC'!$A$6:$A$27,$B17)*1000</f>
        <v>4334768.9549789997</v>
      </c>
      <c r="J17" s="34">
        <f>SUMIFS('BS CWC'!Y$6:Y$27,'BS CWC'!$A$6:$A$27,$B17)*1000</f>
        <v>4334768.9549789997</v>
      </c>
      <c r="K17" s="34">
        <f>SUMIFS('BS CWC'!Z$6:Z$27,'BS CWC'!$A$6:$A$27,$B17)*1000</f>
        <v>4334768.9549789997</v>
      </c>
      <c r="L17" s="34">
        <f>SUMIFS('BS CWC'!AA$6:AA$27,'BS CWC'!$A$6:$A$27,$B17)*1000</f>
        <v>4334768.9549789997</v>
      </c>
      <c r="M17" s="34">
        <f>SUMIFS('BS CWC'!AB$6:AB$27,'BS CWC'!$A$6:$A$27,$B17)*1000</f>
        <v>4334768.9549789997</v>
      </c>
      <c r="N17" s="34">
        <f>SUMIFS('BS CWC'!AC$6:AC$27,'BS CWC'!$A$6:$A$27,$B17)*1000</f>
        <v>4334768.9549789997</v>
      </c>
      <c r="O17" s="34">
        <f>SUMIFS('BS CWC'!AD$6:AD$27,'BS CWC'!$A$6:$A$27,$B17)*1000</f>
        <v>4334768.9549789997</v>
      </c>
      <c r="P17" s="34">
        <f>SUMIFS('BS CWC'!AE$6:AE$27,'BS CWC'!$A$6:$A$27,$B17)*1000</f>
        <v>4334768.9549789997</v>
      </c>
      <c r="Q17" s="34">
        <f t="shared" ref="Q17" si="3">AVERAGE(D17:P17)</f>
        <v>4334768.9549790006</v>
      </c>
      <c r="R17" s="693"/>
      <c r="S17" s="726">
        <v>1</v>
      </c>
      <c r="T17" s="728"/>
      <c r="U17" s="729">
        <v>1</v>
      </c>
      <c r="W17" s="34">
        <f t="shared" si="1"/>
        <v>4334768.95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CWC'!S$6:S$27,'BS CWC'!$A$6:$A$27,$B18)*1000</f>
        <v>6856755.2534041004</v>
      </c>
      <c r="E18" s="34">
        <f>SUMIFS('BS CWC'!T$6:T$27,'BS CWC'!$A$6:$A$27,$B18)*1000</f>
        <v>6173024.4985567192</v>
      </c>
      <c r="F18" s="34">
        <f>SUMIFS('BS CWC'!U$6:U$27,'BS CWC'!$A$6:$A$27,$B18)*1000</f>
        <v>6319638.574153333</v>
      </c>
      <c r="G18" s="34">
        <f>SUMIFS('BS CWC'!V$6:V$27,'BS CWC'!$A$6:$A$27,$B18)*1000</f>
        <v>6480375.824527733</v>
      </c>
      <c r="H18" s="34">
        <f>SUMIFS('BS CWC'!W$6:W$27,'BS CWC'!$A$6:$A$27,$B18)*1000</f>
        <v>6648391.5067202765</v>
      </c>
      <c r="I18" s="34">
        <f>SUMIFS('BS CWC'!X$6:X$27,'BS CWC'!$A$6:$A$27,$B18)*1000</f>
        <v>6775857.8796076812</v>
      </c>
      <c r="J18" s="34">
        <f>SUMIFS('BS CWC'!Y$6:Y$27,'BS CWC'!$A$6:$A$27,$B18)*1000</f>
        <v>6906362.9265067335</v>
      </c>
      <c r="K18" s="34">
        <f>SUMIFS('BS CWC'!Z$6:Z$27,'BS CWC'!$A$6:$A$27,$B18)*1000</f>
        <v>7093404.6217421917</v>
      </c>
      <c r="L18" s="34">
        <f>SUMIFS('BS CWC'!AA$6:AA$27,'BS CWC'!$A$6:$A$27,$B18)*1000</f>
        <v>7236319.4452865589</v>
      </c>
      <c r="M18" s="34">
        <f>SUMIFS('BS CWC'!AB$6:AB$27,'BS CWC'!$A$6:$A$27,$B18)*1000</f>
        <v>7459396.0281027555</v>
      </c>
      <c r="N18" s="34">
        <f>SUMIFS('BS CWC'!AC$6:AC$27,'BS CWC'!$A$6:$A$27,$B18)*1000</f>
        <v>7556302.7734902278</v>
      </c>
      <c r="O18" s="34">
        <f>SUMIFS('BS CWC'!AD$6:AD$27,'BS CWC'!$A$6:$A$27,$B18)*1000</f>
        <v>3476358.5740197888</v>
      </c>
      <c r="P18" s="34">
        <f>SUMIFS('BS CWC'!AE$6:AE$27,'BS CWC'!$A$6:$A$27,$B18)*1000</f>
        <v>2495720.9218941862</v>
      </c>
      <c r="Q18" s="34">
        <f t="shared" si="0"/>
        <v>6267531.4483086374</v>
      </c>
      <c r="R18" s="693"/>
      <c r="S18" s="726">
        <v>1</v>
      </c>
      <c r="T18" s="728"/>
      <c r="U18" s="729">
        <v>1</v>
      </c>
      <c r="W18" s="34">
        <f t="shared" si="1"/>
        <v>6267531.4500000002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CWC'!S$6:S$27,'BS CWC'!$A$6:$A$27,$B19)*1000</f>
        <v>507117.61</v>
      </c>
      <c r="E19" s="34">
        <f>SUMIFS('BS CWC'!T$6:T$27,'BS CWC'!$A$6:$A$27,$B19)*1000</f>
        <v>491722.93</v>
      </c>
      <c r="F19" s="34">
        <f>SUMIFS('BS CWC'!U$6:U$27,'BS CWC'!$A$6:$A$27,$B19)*1000</f>
        <v>476328.25</v>
      </c>
      <c r="G19" s="34">
        <f>SUMIFS('BS CWC'!V$6:V$27,'BS CWC'!$A$6:$A$27,$B19)*1000</f>
        <v>460933.56999999995</v>
      </c>
      <c r="H19" s="34">
        <f>SUMIFS('BS CWC'!W$6:W$27,'BS CWC'!$A$6:$A$27,$B19)*1000</f>
        <v>445538.88999999996</v>
      </c>
      <c r="I19" s="34">
        <f>SUMIFS('BS CWC'!X$6:X$27,'BS CWC'!$A$6:$A$27,$B19)*1000</f>
        <v>430144.20999999996</v>
      </c>
      <c r="J19" s="34">
        <f>SUMIFS('BS CWC'!Y$6:Y$27,'BS CWC'!$A$6:$A$27,$B19)*1000</f>
        <v>414749.52999999997</v>
      </c>
      <c r="K19" s="34">
        <f>SUMIFS('BS CWC'!Z$6:Z$27,'BS CWC'!$A$6:$A$27,$B19)*1000</f>
        <v>399354.85</v>
      </c>
      <c r="L19" s="34">
        <f>SUMIFS('BS CWC'!AA$6:AA$27,'BS CWC'!$A$6:$A$27,$B19)*1000</f>
        <v>383960.17</v>
      </c>
      <c r="M19" s="34">
        <f>SUMIFS('BS CWC'!AB$6:AB$27,'BS CWC'!$A$6:$A$27,$B19)*1000</f>
        <v>368565.49</v>
      </c>
      <c r="N19" s="34">
        <f>SUMIFS('BS CWC'!AC$6:AC$27,'BS CWC'!$A$6:$A$27,$B19)*1000</f>
        <v>353170.81</v>
      </c>
      <c r="O19" s="34">
        <f>SUMIFS('BS CWC'!AD$6:AD$27,'BS CWC'!$A$6:$A$27,$B19)*1000</f>
        <v>337776.13</v>
      </c>
      <c r="P19" s="34">
        <f>SUMIFS('BS CWC'!AE$6:AE$27,'BS CWC'!$A$6:$A$27,$B19)*1000</f>
        <v>322381.44999999995</v>
      </c>
      <c r="Q19" s="52">
        <f t="shared" si="0"/>
        <v>414749.52999999997</v>
      </c>
      <c r="R19" s="693"/>
      <c r="S19" s="726">
        <v>1</v>
      </c>
      <c r="T19" s="728"/>
      <c r="U19" s="729">
        <v>1</v>
      </c>
      <c r="W19" s="52">
        <f t="shared" si="1"/>
        <v>414749.53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200828030.72139764</v>
      </c>
      <c r="R21" s="684"/>
      <c r="T21" s="728"/>
      <c r="W21" s="42">
        <f>SUM(W14:W19)</f>
        <v>200828030.72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 t="str">
        <f t="shared" ref="D24:P24" si="4">D10</f>
        <v>Apr 2019</v>
      </c>
      <c r="E24" s="722" t="str">
        <f t="shared" si="4"/>
        <v>May 2019</v>
      </c>
      <c r="F24" s="722" t="str">
        <f t="shared" si="4"/>
        <v>Jun 2019</v>
      </c>
      <c r="G24" s="722" t="str">
        <f t="shared" si="4"/>
        <v>Jul 2019</v>
      </c>
      <c r="H24" s="722" t="str">
        <f t="shared" si="4"/>
        <v>Aug 2019</v>
      </c>
      <c r="I24" s="722" t="str">
        <f t="shared" si="4"/>
        <v>Sep 2019</v>
      </c>
      <c r="J24" s="722" t="str">
        <f t="shared" si="4"/>
        <v>Oct 2019</v>
      </c>
      <c r="K24" s="722" t="str">
        <f t="shared" si="4"/>
        <v>Nov 2019</v>
      </c>
      <c r="L24" s="722" t="str">
        <f t="shared" si="4"/>
        <v>Dec 2019</v>
      </c>
      <c r="M24" s="722" t="str">
        <f t="shared" si="4"/>
        <v>Jan 2020</v>
      </c>
      <c r="N24" s="722" t="str">
        <f t="shared" si="4"/>
        <v>Feb 2020</v>
      </c>
      <c r="O24" s="722" t="str">
        <f t="shared" si="4"/>
        <v>Mar 2020</v>
      </c>
      <c r="P24" s="722" t="str">
        <f t="shared" si="4"/>
        <v>Apr 2020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CWC'!S$6:S$27,'BS CWC'!$A$6:$A$27,$B28)*-1000</f>
        <v>-2430417.5487274136</v>
      </c>
      <c r="E28" s="34">
        <f>SUMIFS('BS CWC'!T$6:T$27,'BS CWC'!$A$6:$A$27,$B28)*-1000</f>
        <v>-2423736.5815562108</v>
      </c>
      <c r="F28" s="34">
        <f>SUMIFS('BS CWC'!U$6:U$27,'BS CWC'!$A$6:$A$27,$B28)*-1000</f>
        <v>-2415531.2667945568</v>
      </c>
      <c r="G28" s="34">
        <f>SUMIFS('BS CWC'!V$6:V$27,'BS CWC'!$A$6:$A$27,$B28)*-1000</f>
        <v>-2404737.2191505404</v>
      </c>
      <c r="H28" s="34">
        <f>SUMIFS('BS CWC'!W$6:W$27,'BS CWC'!$A$6:$A$27,$B28)*-1000</f>
        <v>-2398451.9533625888</v>
      </c>
      <c r="I28" s="34">
        <f>SUMIFS('BS CWC'!X$6:X$27,'BS CWC'!$A$6:$A$27,$B28)*-1000</f>
        <v>-2391320.4341047741</v>
      </c>
      <c r="J28" s="34">
        <f>SUMIFS('BS CWC'!Y$6:Y$27,'BS CWC'!$A$6:$A$27,$B28)*-1000</f>
        <v>-2388084.452957687</v>
      </c>
      <c r="K28" s="34">
        <f>SUMIFS('BS CWC'!Z$6:Z$27,'BS CWC'!$A$6:$A$27,$B28)*-1000</f>
        <v>-2385109.5378796495</v>
      </c>
      <c r="L28" s="34">
        <f>SUMIFS('BS CWC'!AA$6:AA$27,'BS CWC'!$A$6:$A$27,$B28)*-1000</f>
        <v>-2384981.5854834584</v>
      </c>
      <c r="M28" s="34">
        <f>SUMIFS('BS CWC'!AB$6:AB$27,'BS CWC'!$A$6:$A$27,$B28)*-1000</f>
        <v>-2383733.1979042655</v>
      </c>
      <c r="N28" s="34">
        <f>SUMIFS('BS CWC'!AC$6:AC$27,'BS CWC'!$A$6:$A$27,$B28)*-1000</f>
        <v>-2382109.9261731696</v>
      </c>
      <c r="O28" s="34">
        <f>SUMIFS('BS CWC'!AD$6:AD$27,'BS CWC'!$A$6:$A$27,$B28)*-1000</f>
        <v>-2380498.0854167645</v>
      </c>
      <c r="P28" s="34">
        <f>SUMIFS('BS CWC'!AE$6:AE$27,'BS CWC'!$A$6:$A$27,$B28)*-1000</f>
        <v>-2377171.8597346377</v>
      </c>
      <c r="Q28" s="34">
        <f>AVERAGE(D28:P28)</f>
        <v>-2395837.2037881319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-2395837.2000000002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CWC'!S$6:S$27,'BS CWC'!$A$6:$A$27,$B29)*-1000</f>
        <v>-54771982.698956661</v>
      </c>
      <c r="E29" s="34">
        <f>SUMIFS('BS CWC'!T$6:T$27,'BS CWC'!$A$6:$A$27,$B29)*-1000</f>
        <v>-54824123.591590092</v>
      </c>
      <c r="F29" s="34">
        <f>SUMIFS('BS CWC'!U$6:U$27,'BS CWC'!$A$6:$A$27,$B29)*-1000</f>
        <v>-53523373.370203421</v>
      </c>
      <c r="G29" s="34">
        <f>SUMIFS('BS CWC'!V$6:V$27,'BS CWC'!$A$6:$A$27,$B29)*-1000</f>
        <v>-53485313.179107666</v>
      </c>
      <c r="H29" s="34">
        <f>SUMIFS('BS CWC'!W$6:W$27,'BS CWC'!$A$6:$A$27,$B29)*-1000</f>
        <v>-53546107.328884237</v>
      </c>
      <c r="I29" s="34">
        <f>SUMIFS('BS CWC'!X$6:X$27,'BS CWC'!$A$6:$A$27,$B29)*-1000</f>
        <v>-52282922.592451714</v>
      </c>
      <c r="J29" s="34">
        <f>SUMIFS('BS CWC'!Y$6:Y$27,'BS CWC'!$A$6:$A$27,$B29)*-1000</f>
        <v>-52411894.071813107</v>
      </c>
      <c r="K29" s="34">
        <f>SUMIFS('BS CWC'!Z$6:Z$27,'BS CWC'!$A$6:$A$27,$B29)*-1000</f>
        <v>-52546075.800803639</v>
      </c>
      <c r="L29" s="34">
        <f>SUMIFS('BS CWC'!AA$6:AA$27,'BS CWC'!$A$6:$A$27,$B29)*-1000</f>
        <v>-51442211.690342218</v>
      </c>
      <c r="M29" s="34">
        <f>SUMIFS('BS CWC'!AB$6:AB$27,'BS CWC'!$A$6:$A$27,$B29)*-1000</f>
        <v>-51609373.691815473</v>
      </c>
      <c r="N29" s="34">
        <f>SUMIFS('BS CWC'!AC$6:AC$27,'BS CWC'!$A$6:$A$27,$B29)*-1000</f>
        <v>-51768185.390875392</v>
      </c>
      <c r="O29" s="34">
        <f>SUMIFS('BS CWC'!AD$6:AD$27,'BS CWC'!$A$6:$A$27,$B29)*-1000</f>
        <v>-50611847.357366733</v>
      </c>
      <c r="P29" s="34">
        <f>SUMIFS('BS CWC'!AE$6:AE$27,'BS CWC'!$A$6:$A$27,$B29)*-1000</f>
        <v>-50734682.884143956</v>
      </c>
      <c r="Q29" s="34">
        <f t="shared" ref="Q29:Q33" si="7">AVERAGE(D29:P29)</f>
        <v>-52581391.819104165</v>
      </c>
      <c r="R29" s="684"/>
      <c r="S29" s="726">
        <v>1</v>
      </c>
      <c r="T29" s="728"/>
      <c r="U29" s="729">
        <v>1</v>
      </c>
      <c r="W29" s="34">
        <f t="shared" si="5"/>
        <v>-52581391.82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CWC'!S$6:S$27,'BS CWC'!$A$6:$A$27,$B30)*-1000</f>
        <v>-15453932.614839213</v>
      </c>
      <c r="E30" s="34">
        <f>SUMIFS('BS CWC'!T$6:T$27,'BS CWC'!$A$6:$A$27,$B30)*-1000</f>
        <v>-15508863.480923088</v>
      </c>
      <c r="F30" s="34">
        <f>SUMIFS('BS CWC'!U$6:U$27,'BS CWC'!$A$6:$A$27,$B30)*-1000</f>
        <v>-15533727.33398246</v>
      </c>
      <c r="G30" s="34">
        <f>SUMIFS('BS CWC'!V$6:V$27,'BS CWC'!$A$6:$A$27,$B30)*-1000</f>
        <v>-15558972.746818606</v>
      </c>
      <c r="H30" s="34">
        <f>SUMIFS('BS CWC'!W$6:W$27,'BS CWC'!$A$6:$A$27,$B30)*-1000</f>
        <v>-15616220.343233088</v>
      </c>
      <c r="I30" s="34">
        <f>SUMIFS('BS CWC'!X$6:X$27,'BS CWC'!$A$6:$A$27,$B30)*-1000</f>
        <v>-15655865.810317598</v>
      </c>
      <c r="J30" s="34">
        <f>SUMIFS('BS CWC'!Y$6:Y$27,'BS CWC'!$A$6:$A$27,$B30)*-1000</f>
        <v>-15737715.694848452</v>
      </c>
      <c r="K30" s="34">
        <f>SUMIFS('BS CWC'!Z$6:Z$27,'BS CWC'!$A$6:$A$27,$B30)*-1000</f>
        <v>-15797376.697704157</v>
      </c>
      <c r="L30" s="34">
        <f>SUMIFS('BS CWC'!AA$6:AA$27,'BS CWC'!$A$6:$A$27,$B30)*-1000</f>
        <v>-15875022.999753896</v>
      </c>
      <c r="M30" s="34">
        <f>SUMIFS('BS CWC'!AB$6:AB$27,'BS CWC'!$A$6:$A$27,$B30)*-1000</f>
        <v>-15977398.690880377</v>
      </c>
      <c r="N30" s="34">
        <f>SUMIFS('BS CWC'!AC$6:AC$27,'BS CWC'!$A$6:$A$27,$B30)*-1000</f>
        <v>-16058546.906656692</v>
      </c>
      <c r="O30" s="34">
        <f>SUMIFS('BS CWC'!AD$6:AD$27,'BS CWC'!$A$6:$A$27,$B30)*-1000</f>
        <v>-14793178.709805386</v>
      </c>
      <c r="P30" s="34">
        <f>SUMIFS('BS CWC'!AE$6:AE$27,'BS CWC'!$A$6:$A$27,$B30)*-1000</f>
        <v>-14870675.574905403</v>
      </c>
      <c r="Q30" s="34">
        <f t="shared" si="7"/>
        <v>-15572115.20035911</v>
      </c>
      <c r="R30" s="684"/>
      <c r="S30" s="726">
        <v>1</v>
      </c>
      <c r="T30" s="728"/>
      <c r="U30" s="729">
        <v>1</v>
      </c>
      <c r="W30" s="34">
        <f t="shared" si="5"/>
        <v>-15572115.199999999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CWC'!S$6:S$27,'BS CWC'!$A$6:$A$27,$B31)*-1000</f>
        <v>-1682405.8045443993</v>
      </c>
      <c r="E31" s="34">
        <f>SUMIFS('BS CWC'!T$6:T$27,'BS CWC'!$A$6:$A$27,$B31)*-1000</f>
        <v>-1677781.0445089524</v>
      </c>
      <c r="F31" s="34">
        <f>SUMIFS('BS CWC'!U$6:U$27,'BS CWC'!$A$6:$A$27,$B31)*-1000</f>
        <v>-1672101.0866801634</v>
      </c>
      <c r="G31" s="34">
        <f>SUMIFS('BS CWC'!V$6:V$27,'BS CWC'!$A$6:$A$27,$B31)*-1000</f>
        <v>-1664629.1325625139</v>
      </c>
      <c r="H31" s="34">
        <f>SUMIFS('BS CWC'!W$6:W$27,'BS CWC'!$A$6:$A$27,$B31)*-1000</f>
        <v>-1660278.2885479569</v>
      </c>
      <c r="I31" s="34">
        <f>SUMIFS('BS CWC'!X$6:X$27,'BS CWC'!$A$6:$A$27,$B31)*-1000</f>
        <v>-1655341.6432374218</v>
      </c>
      <c r="J31" s="34">
        <f>SUMIFS('BS CWC'!Y$6:Y$27,'BS CWC'!$A$6:$A$27,$B31)*-1000</f>
        <v>-1653101.6028509021</v>
      </c>
      <c r="K31" s="34">
        <f>SUMIFS('BS CWC'!Z$6:Z$27,'BS CWC'!$A$6:$A$27,$B31)*-1000</f>
        <v>-1651042.2800000045</v>
      </c>
      <c r="L31" s="34">
        <f>SUMIFS('BS CWC'!AA$6:AA$27,'BS CWC'!$A$6:$A$27,$B31)*-1000</f>
        <v>-1650953.7076252</v>
      </c>
      <c r="M31" s="34">
        <f>SUMIFS('BS CWC'!AB$6:AB$27,'BS CWC'!$A$6:$A$27,$B31)*-1000</f>
        <v>-1650089.5373880097</v>
      </c>
      <c r="N31" s="34">
        <f>SUMIFS('BS CWC'!AC$6:AC$27,'BS CWC'!$A$6:$A$27,$B31)*-1000</f>
        <v>-1648965.8614236973</v>
      </c>
      <c r="O31" s="34">
        <f>SUMIFS('BS CWC'!AD$6:AD$27,'BS CWC'!$A$6:$A$27,$B31)*-1000</f>
        <v>-1647850.0983129521</v>
      </c>
      <c r="P31" s="34">
        <f>SUMIFS('BS CWC'!AE$6:AE$27,'BS CWC'!$A$6:$A$27,$B31)*-1000</f>
        <v>-1645547.5880312251</v>
      </c>
      <c r="Q31" s="34">
        <f t="shared" si="7"/>
        <v>-1658468.2827471844</v>
      </c>
      <c r="R31" s="693"/>
      <c r="S31" s="726">
        <v>1</v>
      </c>
      <c r="T31" s="730"/>
      <c r="U31" s="729">
        <v>1</v>
      </c>
      <c r="W31" s="34">
        <f t="shared" si="5"/>
        <v>-1658468.28</v>
      </c>
      <c r="X31" s="691"/>
      <c r="Y31" s="115"/>
    </row>
    <row r="32" spans="1:25" ht="18.95" customHeight="1">
      <c r="A32" s="683">
        <f>A31+1</f>
        <v>12</v>
      </c>
      <c r="B32" s="734" t="s">
        <v>2133</v>
      </c>
      <c r="C32" s="718" t="s">
        <v>2531</v>
      </c>
      <c r="D32" s="34">
        <f>D41</f>
        <v>-49538247.414601475</v>
      </c>
      <c r="E32" s="34">
        <f t="shared" ref="E32:P32" si="8">E41</f>
        <v>-34755506.502531826</v>
      </c>
      <c r="F32" s="34">
        <f t="shared" si="8"/>
        <v>-39583198.109606802</v>
      </c>
      <c r="G32" s="34">
        <f t="shared" si="8"/>
        <v>-42556970.516002238</v>
      </c>
      <c r="H32" s="34">
        <f t="shared" si="8"/>
        <v>-40579239.085762151</v>
      </c>
      <c r="I32" s="34">
        <f t="shared" si="8"/>
        <v>-45026089.49307505</v>
      </c>
      <c r="J32" s="34">
        <f t="shared" si="8"/>
        <v>-44943700.14965672</v>
      </c>
      <c r="K32" s="34">
        <f t="shared" si="8"/>
        <v>-35506260.740222886</v>
      </c>
      <c r="L32" s="34">
        <f t="shared" si="8"/>
        <v>-50548633.18131309</v>
      </c>
      <c r="M32" s="34">
        <f t="shared" si="8"/>
        <v>-61887608.126151234</v>
      </c>
      <c r="N32" s="34">
        <f t="shared" si="8"/>
        <v>-74332436.349396169</v>
      </c>
      <c r="O32" s="34">
        <f t="shared" si="8"/>
        <v>-50895663.42520465</v>
      </c>
      <c r="P32" s="34">
        <f t="shared" si="8"/>
        <v>-86506861.591590449</v>
      </c>
      <c r="Q32" s="34">
        <f t="shared" si="7"/>
        <v>-50512339.591162674</v>
      </c>
      <c r="R32" s="693"/>
      <c r="S32" s="726">
        <v>0.8</v>
      </c>
      <c r="T32" s="735"/>
      <c r="U32" s="727">
        <v>1</v>
      </c>
      <c r="W32" s="34">
        <f t="shared" si="5"/>
        <v>-40409871.670000002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-954196.01901927881</v>
      </c>
      <c r="E33" s="34">
        <f t="shared" ref="E33:P33" si="9">E45</f>
        <v>-743591.80806075968</v>
      </c>
      <c r="F33" s="34">
        <f t="shared" si="9"/>
        <v>-903112.27167920908</v>
      </c>
      <c r="G33" s="34">
        <f t="shared" si="9"/>
        <v>-988991.39298285125</v>
      </c>
      <c r="H33" s="34">
        <f t="shared" si="9"/>
        <v>-766151.64943361713</v>
      </c>
      <c r="I33" s="34">
        <f t="shared" si="9"/>
        <v>-616502.86166850221</v>
      </c>
      <c r="J33" s="34">
        <f t="shared" si="9"/>
        <v>-1012205.5406045829</v>
      </c>
      <c r="K33" s="34">
        <f t="shared" si="9"/>
        <v>-903673.35682722996</v>
      </c>
      <c r="L33" s="34">
        <f t="shared" si="9"/>
        <v>-1210086.8838875955</v>
      </c>
      <c r="M33" s="34">
        <f t="shared" si="9"/>
        <v>-1459025.9074379641</v>
      </c>
      <c r="N33" s="34">
        <f t="shared" si="9"/>
        <v>-2135297.0902028726</v>
      </c>
      <c r="O33" s="34">
        <f t="shared" si="9"/>
        <v>-1549223.3088136516</v>
      </c>
      <c r="P33" s="34">
        <f t="shared" si="9"/>
        <v>-2153134.4325986151</v>
      </c>
      <c r="Q33" s="52">
        <f t="shared" si="7"/>
        <v>-1184245.5787089793</v>
      </c>
      <c r="R33" s="693"/>
      <c r="S33" s="726">
        <v>0.8</v>
      </c>
      <c r="T33" s="728"/>
      <c r="U33" s="729">
        <v>1</v>
      </c>
      <c r="W33" s="52">
        <f t="shared" si="5"/>
        <v>-947396.46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-123904397.67587024</v>
      </c>
      <c r="R35" s="684"/>
      <c r="T35" s="728"/>
      <c r="W35" s="42">
        <f>SUM(W28:W33)</f>
        <v>-113565080.63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76923633.045527399</v>
      </c>
      <c r="R37" s="684"/>
      <c r="T37" s="728"/>
      <c r="W37" s="42">
        <f>W21+W35</f>
        <v>87262950.090000004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-45952340.420895465</v>
      </c>
      <c r="E40" s="34">
        <v>-32239672.367461301</v>
      </c>
      <c r="F40" s="34">
        <v>-36717903.628222868</v>
      </c>
      <c r="G40" s="34">
        <v>-39476414.659290761</v>
      </c>
      <c r="H40" s="34">
        <v>-37641844.550605208</v>
      </c>
      <c r="I40" s="34">
        <v>-41766802.424213991</v>
      </c>
      <c r="J40" s="34">
        <v>-41690376.968058325</v>
      </c>
      <c r="K40" s="34">
        <v>-32936082.032786701</v>
      </c>
      <c r="L40" s="34">
        <v>-46889587.762727633</v>
      </c>
      <c r="M40" s="34">
        <v>-57407772.476214811</v>
      </c>
      <c r="N40" s="34">
        <v>-68951761.47138381</v>
      </c>
      <c r="O40" s="34">
        <v>-47211497.65530391</v>
      </c>
      <c r="P40" s="34">
        <v>-80244921.047173679</v>
      </c>
      <c r="Q40" s="34">
        <v>-46855921.343410656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-49538247.414601475</v>
      </c>
      <c r="E41" s="34">
        <f t="shared" si="10"/>
        <v>-34755506.502531826</v>
      </c>
      <c r="F41" s="34">
        <f t="shared" si="10"/>
        <v>-39583198.109606802</v>
      </c>
      <c r="G41" s="34">
        <f t="shared" si="10"/>
        <v>-42556970.516002238</v>
      </c>
      <c r="H41" s="34">
        <f t="shared" si="10"/>
        <v>-40579239.085762151</v>
      </c>
      <c r="I41" s="34">
        <f t="shared" si="10"/>
        <v>-45026089.49307505</v>
      </c>
      <c r="J41" s="34">
        <f t="shared" si="10"/>
        <v>-44943700.14965672</v>
      </c>
      <c r="K41" s="34">
        <f t="shared" si="10"/>
        <v>-35506260.740222886</v>
      </c>
      <c r="L41" s="34">
        <f t="shared" si="10"/>
        <v>-50548633.18131309</v>
      </c>
      <c r="M41" s="34">
        <f t="shared" si="10"/>
        <v>-61887608.126151234</v>
      </c>
      <c r="N41" s="34">
        <f t="shared" si="10"/>
        <v>-74332436.349396169</v>
      </c>
      <c r="O41" s="34">
        <f t="shared" si="10"/>
        <v>-50895663.42520465</v>
      </c>
      <c r="P41" s="34">
        <f t="shared" si="10"/>
        <v>-86506861.591590449</v>
      </c>
      <c r="Q41" s="34">
        <f>AVERAGE(D41:P41)</f>
        <v>-50512339.591162674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2520</v>
      </c>
      <c r="AE41" s="731" t="s">
        <v>2520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-3118682.5379999992</v>
      </c>
      <c r="E44" s="34">
        <v>-2430346.324</v>
      </c>
      <c r="F44" s="34">
        <v>-2951721.0461999997</v>
      </c>
      <c r="G44" s="34">
        <v>-3232407.3104999992</v>
      </c>
      <c r="H44" s="34">
        <v>-2504080.6321999999</v>
      </c>
      <c r="I44" s="34">
        <v>-2014970.3739999996</v>
      </c>
      <c r="J44" s="34">
        <v>-3308280.1452000001</v>
      </c>
      <c r="K44" s="34">
        <v>-2953554.8900000006</v>
      </c>
      <c r="L44" s="34">
        <v>-3955033.0948999994</v>
      </c>
      <c r="M44" s="34">
        <v>-4768662.3390999995</v>
      </c>
      <c r="N44" s="34">
        <v>-6978978.7590000015</v>
      </c>
      <c r="O44" s="34">
        <v>-5063462.4168999996</v>
      </c>
      <c r="P44" s="34">
        <v>-7037278.109600001</v>
      </c>
      <c r="Q44" s="34">
        <v>-3870573.6907384619</v>
      </c>
      <c r="R44" s="684"/>
      <c r="S44" s="726"/>
      <c r="T44" s="728"/>
      <c r="U44" s="729"/>
      <c r="W44" s="691"/>
      <c r="X44" s="691"/>
      <c r="Y44" s="115"/>
      <c r="AA44" s="691">
        <v>-46855921.343410656</v>
      </c>
      <c r="AB44" s="691">
        <v>213242574.258461</v>
      </c>
      <c r="AC44" s="736">
        <f>AA44/AB44</f>
        <v>-0.21973061198660482</v>
      </c>
      <c r="AD44" s="691">
        <v>229883033.2946144</v>
      </c>
      <c r="AE44" s="691">
        <f>AC44*AD44</f>
        <v>-50512339.591162674</v>
      </c>
      <c r="AF44" s="737">
        <f>AE44/AA44</f>
        <v>1.0780353505580191</v>
      </c>
    </row>
    <row r="45" spans="1:32">
      <c r="D45" s="34">
        <f t="shared" ref="D45:P45" si="11">D44*$AF$45</f>
        <v>-954196.01901927881</v>
      </c>
      <c r="E45" s="34">
        <f t="shared" si="11"/>
        <v>-743591.80806075968</v>
      </c>
      <c r="F45" s="34">
        <f t="shared" si="11"/>
        <v>-903112.27167920908</v>
      </c>
      <c r="G45" s="34">
        <f t="shared" si="11"/>
        <v>-988991.39298285125</v>
      </c>
      <c r="H45" s="34">
        <f t="shared" si="11"/>
        <v>-766151.64943361713</v>
      </c>
      <c r="I45" s="34">
        <f t="shared" si="11"/>
        <v>-616502.86166850221</v>
      </c>
      <c r="J45" s="34">
        <f t="shared" si="11"/>
        <v>-1012205.5406045829</v>
      </c>
      <c r="K45" s="34">
        <f t="shared" si="11"/>
        <v>-903673.35682722996</v>
      </c>
      <c r="L45" s="34">
        <f t="shared" si="11"/>
        <v>-1210086.8838875955</v>
      </c>
      <c r="M45" s="34">
        <f t="shared" si="11"/>
        <v>-1459025.9074379641</v>
      </c>
      <c r="N45" s="34">
        <f t="shared" si="11"/>
        <v>-2135297.0902028726</v>
      </c>
      <c r="O45" s="34">
        <f t="shared" si="11"/>
        <v>-1549223.3088136516</v>
      </c>
      <c r="P45" s="34">
        <f t="shared" si="11"/>
        <v>-2153134.4325986151</v>
      </c>
      <c r="Q45" s="34">
        <f>AVERAGE(D45:P45)</f>
        <v>-1184245.5787089793</v>
      </c>
      <c r="AA45" s="691">
        <v>-3870573.6907384619</v>
      </c>
      <c r="AB45" s="691">
        <v>59159200.279230699</v>
      </c>
      <c r="AC45" s="736">
        <f>AA45/AB45</f>
        <v>-6.5426403204732336E-2</v>
      </c>
      <c r="AD45" s="691">
        <v>18100423.081538465</v>
      </c>
      <c r="AE45" s="691">
        <f>AC45*AD45</f>
        <v>-1184245.5787089793</v>
      </c>
      <c r="AF45" s="737">
        <f>AE45/AA45</f>
        <v>0.30596125363603105</v>
      </c>
    </row>
    <row r="46" spans="1:32"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8" spans="1:32" ht="18.95" customHeight="1">
      <c r="A48" s="842" t="str">
        <f>$A1</f>
        <v>LOUISVILLE GAS AND ELECTRIC COMPANY</v>
      </c>
      <c r="B48" s="845"/>
      <c r="C48" s="845"/>
      <c r="D48" s="845"/>
      <c r="E48" s="845"/>
      <c r="F48" s="845"/>
      <c r="G48" s="845"/>
      <c r="H48" s="845"/>
      <c r="I48" s="845"/>
      <c r="J48" s="845"/>
      <c r="K48" s="845"/>
      <c r="L48" s="845"/>
      <c r="M48" s="845"/>
      <c r="N48" s="845"/>
      <c r="O48" s="845"/>
      <c r="P48" s="845"/>
      <c r="Q48" s="845"/>
      <c r="R48" s="845"/>
      <c r="S48" s="845"/>
      <c r="T48" s="846"/>
      <c r="U48" s="846"/>
      <c r="V48" s="845"/>
      <c r="W48" s="845"/>
      <c r="X48" s="679"/>
    </row>
    <row r="49" spans="1:24" ht="18.95" customHeight="1">
      <c r="A49" s="842" t="str">
        <f>$A2</f>
        <v>CASE NO. 2018-00295 - ELECTRIC OPERATIONS</v>
      </c>
      <c r="B49" s="845"/>
      <c r="C49" s="845"/>
      <c r="D49" s="845"/>
      <c r="E49" s="845"/>
      <c r="F49" s="845"/>
      <c r="G49" s="845"/>
      <c r="H49" s="845"/>
      <c r="I49" s="845"/>
      <c r="J49" s="845"/>
      <c r="K49" s="845"/>
      <c r="L49" s="845"/>
      <c r="M49" s="845"/>
      <c r="N49" s="845"/>
      <c r="O49" s="845"/>
      <c r="P49" s="845"/>
      <c r="Q49" s="845"/>
      <c r="R49" s="845"/>
      <c r="S49" s="845"/>
      <c r="T49" s="846"/>
      <c r="U49" s="846"/>
      <c r="V49" s="845"/>
      <c r="W49" s="845"/>
      <c r="X49" s="679"/>
    </row>
    <row r="50" spans="1:24" ht="18.95" customHeight="1">
      <c r="A50" s="842" t="s">
        <v>381</v>
      </c>
      <c r="B50" s="843"/>
      <c r="C50" s="843"/>
      <c r="D50" s="843"/>
      <c r="E50" s="843"/>
      <c r="F50" s="843"/>
      <c r="G50" s="843"/>
      <c r="H50" s="843"/>
      <c r="I50" s="843"/>
      <c r="J50" s="843"/>
      <c r="K50" s="843"/>
      <c r="L50" s="843"/>
      <c r="M50" s="843"/>
      <c r="N50" s="843"/>
      <c r="O50" s="843"/>
      <c r="P50" s="843"/>
      <c r="Q50" s="843"/>
      <c r="R50" s="843"/>
      <c r="S50" s="843"/>
      <c r="T50" s="844"/>
      <c r="U50" s="844"/>
      <c r="V50" s="843"/>
      <c r="W50" s="843"/>
      <c r="X50" s="681"/>
    </row>
    <row r="51" spans="1:24" ht="18.95" customHeight="1">
      <c r="A51" s="842" t="str">
        <f>$A4</f>
        <v>FORECAST PERIOD FOR THE 12 MONTHS ENDED APRIL 30, 2020</v>
      </c>
      <c r="B51" s="845"/>
      <c r="C51" s="845"/>
      <c r="D51" s="845"/>
      <c r="E51" s="845"/>
      <c r="F51" s="845"/>
      <c r="G51" s="845"/>
      <c r="H51" s="845"/>
      <c r="I51" s="845"/>
      <c r="J51" s="845"/>
      <c r="K51" s="845"/>
      <c r="L51" s="845"/>
      <c r="M51" s="845"/>
      <c r="N51" s="845"/>
      <c r="O51" s="845"/>
      <c r="P51" s="845"/>
      <c r="Q51" s="845"/>
      <c r="R51" s="845"/>
      <c r="S51" s="845"/>
      <c r="T51" s="846"/>
      <c r="U51" s="846"/>
      <c r="V51" s="845"/>
      <c r="W51" s="845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DATA:____BASE  PERIOD__X__FORECASTED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_____ ORIGINAL  _____ UPDATED  __X__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130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 t="s">
        <v>1831</v>
      </c>
      <c r="E57" s="722" t="s">
        <v>1832</v>
      </c>
      <c r="F57" s="722" t="s">
        <v>1833</v>
      </c>
      <c r="G57" s="722" t="s">
        <v>1834</v>
      </c>
      <c r="H57" s="722" t="s">
        <v>1835</v>
      </c>
      <c r="I57" s="722" t="s">
        <v>1836</v>
      </c>
      <c r="J57" s="722" t="s">
        <v>1837</v>
      </c>
      <c r="K57" s="722" t="s">
        <v>1838</v>
      </c>
      <c r="L57" s="722" t="s">
        <v>1839</v>
      </c>
      <c r="M57" s="722" t="s">
        <v>1840</v>
      </c>
      <c r="N57" s="722" t="s">
        <v>1841</v>
      </c>
      <c r="O57" s="722" t="s">
        <v>1842</v>
      </c>
      <c r="P57" s="722" t="s">
        <v>1843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>'ECR EXP F'!B24*1000</f>
        <v>414755.99999999796</v>
      </c>
      <c r="F59" s="34">
        <f>'ECR EXP F'!C24*1000</f>
        <v>434510.99999999994</v>
      </c>
      <c r="G59" s="34">
        <f>'ECR EXP F'!D24*1000</f>
        <v>533535.00000000012</v>
      </c>
      <c r="H59" s="34">
        <f>'ECR EXP F'!E24*1000</f>
        <v>475795.99999999895</v>
      </c>
      <c r="I59" s="34">
        <f>'ECR EXP F'!F24*1000</f>
        <v>559296</v>
      </c>
      <c r="J59" s="34">
        <f>'ECR EXP F'!G24*1000</f>
        <v>487904.99999999901</v>
      </c>
      <c r="K59" s="34">
        <f>'ECR EXP F'!H24*1000</f>
        <v>448506.99999999901</v>
      </c>
      <c r="L59" s="34">
        <f>'ECR EXP F'!I24*1000</f>
        <v>592624</v>
      </c>
      <c r="M59" s="34">
        <f>'ECR EXP F'!J24*1000</f>
        <v>784911.99999999988</v>
      </c>
      <c r="N59" s="34">
        <f>'ECR EXP F'!K24*1000</f>
        <v>618309</v>
      </c>
      <c r="O59" s="34">
        <f>'ECR EXP F'!L24*1000</f>
        <v>764555</v>
      </c>
      <c r="P59" s="34">
        <f>'ECR EXP F'!M24*1000</f>
        <v>789337.99999999907</v>
      </c>
      <c r="Q59" s="34">
        <f>SUM(E59:P59)</f>
        <v>6904043.9999999944</v>
      </c>
      <c r="S59" s="708">
        <v>1</v>
      </c>
      <c r="W59" s="34">
        <f>Q59*S59</f>
        <v>6904043.9999999944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>Q59-Q61</f>
        <v>6904043.9999999944</v>
      </c>
      <c r="W63" s="42">
        <f>W59-W61</f>
        <v>6904043.9999999944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>Q63*0.125</f>
        <v>863005.4999999993</v>
      </c>
      <c r="W65" s="42">
        <f>W63*0.125</f>
        <v>863005.4999999993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49:W49"/>
    <mergeCell ref="A50:W50"/>
    <mergeCell ref="A51:W51"/>
    <mergeCell ref="A1:W1"/>
    <mergeCell ref="A2:W2"/>
    <mergeCell ref="A3:W3"/>
    <mergeCell ref="A4:W4"/>
    <mergeCell ref="A48:W48"/>
  </mergeCells>
  <printOptions horizontalCentered="1"/>
  <pageMargins left="1" right="0.5" top="1" bottom="0.5" header="0.3" footer="0.3"/>
  <pageSetup scale="73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zoomScaleNormal="100" workbookViewId="0">
      <selection activeCell="C35" sqref="C35"/>
    </sheetView>
  </sheetViews>
  <sheetFormatPr defaultColWidth="9" defaultRowHeight="12.75"/>
  <cols>
    <col min="1" max="1" width="6" style="17" customWidth="1"/>
    <col min="2" max="2" width="15.33203125" style="17" customWidth="1"/>
    <col min="3" max="3" width="34.21875" style="17" customWidth="1"/>
    <col min="4" max="4" width="16.77734375" style="17" customWidth="1"/>
    <col min="5" max="5" width="13.6640625" style="17" customWidth="1"/>
    <col min="6" max="7" width="15.77734375" style="17" customWidth="1"/>
    <col min="8" max="8" width="14.7773437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  <c r="H1" s="831"/>
    </row>
    <row r="2" spans="1:8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  <c r="H2" s="831"/>
    </row>
    <row r="3" spans="1:8" s="16" customFormat="1" ht="20.100000000000001" customHeight="1">
      <c r="A3" s="831" t="s">
        <v>386</v>
      </c>
      <c r="B3" s="831"/>
      <c r="C3" s="831"/>
      <c r="D3" s="831"/>
      <c r="E3" s="831"/>
      <c r="F3" s="831"/>
      <c r="G3" s="831"/>
      <c r="H3" s="831"/>
    </row>
    <row r="4" spans="1:8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  <c r="G4" s="831"/>
      <c r="H4" s="831"/>
    </row>
    <row r="5" spans="1:8" s="16" customFormat="1" ht="20.100000000000001" customHeight="1">
      <c r="A5" s="59"/>
      <c r="B5" s="59"/>
      <c r="C5" s="59"/>
      <c r="D5" s="59"/>
      <c r="E5" s="59"/>
      <c r="F5" s="59"/>
      <c r="G5" s="59"/>
      <c r="H5" s="59"/>
    </row>
    <row r="6" spans="1:8" s="16" customFormat="1" ht="20.100000000000001" customHeight="1">
      <c r="A6" s="15" t="s">
        <v>94</v>
      </c>
      <c r="B6" s="15"/>
      <c r="G6" s="22"/>
      <c r="H6" s="22" t="s">
        <v>385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165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30"/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>
        <v>252</v>
      </c>
      <c r="C12" s="26" t="s">
        <v>224</v>
      </c>
      <c r="D12" s="34">
        <f>SUM(INV!N$31:N$32)*1000</f>
        <v>6462454.9470801083</v>
      </c>
      <c r="E12" s="51">
        <v>1</v>
      </c>
      <c r="F12" s="34">
        <f>D12*E12</f>
        <v>6462454.9470801083</v>
      </c>
      <c r="G12" s="34">
        <v>0</v>
      </c>
      <c r="H12" s="34">
        <f>SUM(F12:G12)</f>
        <v>6462454.9470801083</v>
      </c>
    </row>
    <row r="13" spans="1:8" ht="18.95" customHeight="1">
      <c r="A13" s="18"/>
      <c r="B13" s="19"/>
      <c r="C13" s="26"/>
      <c r="D13" s="34"/>
      <c r="E13" s="51"/>
      <c r="F13" s="34"/>
      <c r="G13" s="34"/>
      <c r="H13" s="34"/>
    </row>
    <row r="14" spans="1:8" ht="18.95" customHeight="1">
      <c r="A14" s="18">
        <v>2</v>
      </c>
      <c r="B14" s="19">
        <v>255</v>
      </c>
      <c r="C14" s="26" t="s">
        <v>387</v>
      </c>
      <c r="D14" s="34">
        <v>0</v>
      </c>
      <c r="E14" s="51">
        <v>1</v>
      </c>
      <c r="F14" s="34">
        <f>D14*E14</f>
        <v>0</v>
      </c>
      <c r="G14" s="34">
        <v>0</v>
      </c>
      <c r="H14" s="34">
        <f>SUM(F14:G14)</f>
        <v>0</v>
      </c>
    </row>
    <row r="15" spans="1:8" ht="18.95" customHeight="1">
      <c r="A15" s="18"/>
      <c r="B15" s="19"/>
      <c r="C15" s="26"/>
      <c r="D15" s="34"/>
      <c r="E15" s="51"/>
      <c r="F15" s="34"/>
      <c r="G15" s="34"/>
      <c r="H15" s="34"/>
    </row>
    <row r="16" spans="1:8" ht="18.95" customHeight="1">
      <c r="A16" s="18">
        <v>3</v>
      </c>
      <c r="B16" s="18" t="s">
        <v>568</v>
      </c>
      <c r="C16" s="26" t="s">
        <v>1426</v>
      </c>
      <c r="D16" s="34">
        <f>'DEFTAX B'!B8</f>
        <v>954474887.85043621</v>
      </c>
      <c r="E16" s="51">
        <v>1</v>
      </c>
      <c r="F16" s="34">
        <f>D16*E16</f>
        <v>954474887.85043621</v>
      </c>
      <c r="G16" s="34">
        <f>'ECR DEFTAX'!M2*1000+'DSM DEFTAX'!M10</f>
        <v>-279995787.02499241</v>
      </c>
      <c r="H16" s="34">
        <f>SUM(F16:G16)</f>
        <v>674479100.82544374</v>
      </c>
    </row>
    <row r="17" spans="1:8" ht="18.95" customHeight="1">
      <c r="A17" s="18"/>
      <c r="B17" s="19"/>
      <c r="C17" s="26"/>
      <c r="D17" s="34"/>
      <c r="E17" s="51"/>
      <c r="F17" s="34"/>
      <c r="G17" s="34"/>
      <c r="H17" s="34"/>
    </row>
    <row r="18" spans="1:8" ht="18.95" customHeight="1">
      <c r="A18" s="18">
        <v>4</v>
      </c>
      <c r="B18" s="18" t="s">
        <v>1602</v>
      </c>
      <c r="C18" s="26" t="s">
        <v>1597</v>
      </c>
      <c r="D18" s="34">
        <f>-'ECR CCR'!N13*1000</f>
        <v>-17896505.194329631</v>
      </c>
      <c r="E18" s="51">
        <v>1</v>
      </c>
      <c r="F18" s="34">
        <f>D18*E18</f>
        <v>-17896505.194329631</v>
      </c>
      <c r="G18" s="34">
        <f>-F18</f>
        <v>17896505.194329631</v>
      </c>
      <c r="H18" s="34">
        <f>SUM(F18:G18)</f>
        <v>0</v>
      </c>
    </row>
    <row r="19" spans="1:8" ht="18.95" customHeight="1">
      <c r="A19" s="18"/>
      <c r="B19" s="18"/>
      <c r="C19" s="26"/>
      <c r="D19" s="34"/>
      <c r="E19" s="51"/>
      <c r="F19" s="34"/>
      <c r="G19" s="34"/>
      <c r="H19" s="34"/>
    </row>
    <row r="20" spans="1:8" ht="18.95" customHeight="1">
      <c r="A20" s="18"/>
      <c r="B20" s="18"/>
      <c r="C20" s="15" t="s">
        <v>1598</v>
      </c>
      <c r="D20" s="34"/>
      <c r="E20" s="51"/>
      <c r="F20" s="34"/>
      <c r="G20" s="34"/>
      <c r="H20" s="34"/>
    </row>
    <row r="21" spans="1:8" ht="18.95" customHeight="1">
      <c r="A21" s="18"/>
      <c r="B21" s="18"/>
      <c r="C21" s="26"/>
      <c r="D21" s="34"/>
      <c r="E21" s="34"/>
      <c r="F21" s="34"/>
      <c r="G21" s="34"/>
      <c r="H21" s="34"/>
    </row>
    <row r="22" spans="1:8" s="16" customFormat="1" ht="20.100000000000001" customHeight="1">
      <c r="A22" s="831" t="str">
        <f>$A$1</f>
        <v>LOUISVILLE GAS AND ELECTRIC COMPANY</v>
      </c>
      <c r="B22" s="831"/>
      <c r="C22" s="831"/>
      <c r="D22" s="831"/>
      <c r="E22" s="831"/>
      <c r="F22" s="831"/>
      <c r="G22" s="831"/>
      <c r="H22" s="831"/>
    </row>
    <row r="23" spans="1:8" s="16" customFormat="1" ht="20.100000000000001" customHeight="1">
      <c r="A23" s="831" t="str">
        <f>$A$2</f>
        <v>CASE NO. 2018-00295 - ELECTRIC OPERATIONS</v>
      </c>
      <c r="B23" s="831"/>
      <c r="C23" s="831"/>
      <c r="D23" s="831"/>
      <c r="E23" s="831"/>
      <c r="F23" s="831"/>
      <c r="G23" s="831"/>
      <c r="H23" s="831"/>
    </row>
    <row r="24" spans="1:8" s="16" customFormat="1" ht="20.100000000000001" customHeight="1">
      <c r="A24" s="831" t="str">
        <f>A3</f>
        <v>CERTAIN DEFERRED CREDITS AND ACCUMULATED DEFERRED INCOME TAXES</v>
      </c>
      <c r="B24" s="831"/>
      <c r="C24" s="831"/>
      <c r="D24" s="831"/>
      <c r="E24" s="831"/>
      <c r="F24" s="831"/>
      <c r="G24" s="831"/>
      <c r="H24" s="831"/>
    </row>
    <row r="25" spans="1:8" s="16" customFormat="1" ht="20.100000000000001" customHeight="1">
      <c r="A25" s="832" t="str">
        <f>'Rate Case Constants'!C20</f>
        <v>FROM MAY 1, 2019 TO APRIL 30, 2020</v>
      </c>
      <c r="B25" s="840"/>
      <c r="C25" s="840"/>
      <c r="D25" s="840"/>
      <c r="E25" s="840"/>
      <c r="F25" s="840"/>
      <c r="G25" s="840"/>
      <c r="H25" s="840"/>
    </row>
    <row r="26" spans="1:8" s="16" customFormat="1" ht="20.100000000000001" customHeight="1">
      <c r="A26" s="59"/>
      <c r="B26" s="59"/>
      <c r="C26" s="59"/>
      <c r="D26" s="59"/>
      <c r="E26" s="59"/>
      <c r="F26" s="59"/>
      <c r="G26" s="59"/>
      <c r="H26" s="59"/>
    </row>
    <row r="27" spans="1:8" s="16" customFormat="1" ht="20.100000000000001" customHeight="1">
      <c r="A27" s="15" t="s">
        <v>122</v>
      </c>
      <c r="B27" s="15"/>
      <c r="G27" s="22"/>
      <c r="H27" s="22" t="s">
        <v>385</v>
      </c>
    </row>
    <row r="28" spans="1:8" s="16" customFormat="1" ht="20.100000000000001" customHeight="1">
      <c r="A28" s="16" t="str">
        <f>$A$7</f>
        <v>TYPE OF FILING: _____ ORIGINAL  _____ UPDATED  __X__ REVISED</v>
      </c>
      <c r="G28" s="22"/>
      <c r="H28" s="22" t="s">
        <v>145</v>
      </c>
    </row>
    <row r="29" spans="1:8" s="16" customFormat="1" ht="20.100000000000001" customHeight="1">
      <c r="A29" s="15" t="s">
        <v>365</v>
      </c>
      <c r="B29" s="15"/>
      <c r="F29" s="15"/>
      <c r="G29" s="23"/>
      <c r="H29" s="23" t="str">
        <f>$H$8</f>
        <v>WITNESS:   C. M. GARRETT</v>
      </c>
    </row>
    <row r="30" spans="1:8" s="16" customFormat="1" ht="20.100000000000001" customHeight="1"/>
    <row r="31" spans="1:8" s="16" customFormat="1" ht="21.75" customHeight="1">
      <c r="A31" s="48"/>
      <c r="B31" s="48"/>
      <c r="C31" s="48"/>
      <c r="D31" s="839" t="s">
        <v>1712</v>
      </c>
      <c r="E31" s="839"/>
      <c r="F31" s="839"/>
      <c r="G31" s="839"/>
      <c r="H31" s="839"/>
    </row>
    <row r="32" spans="1:8" ht="51.75" customHeight="1">
      <c r="A32" s="50" t="s">
        <v>92</v>
      </c>
      <c r="B32" s="50" t="s">
        <v>95</v>
      </c>
      <c r="C32" s="82" t="s">
        <v>165</v>
      </c>
      <c r="D32" s="50" t="s">
        <v>3074</v>
      </c>
      <c r="E32" s="50" t="s">
        <v>184</v>
      </c>
      <c r="F32" s="50" t="s">
        <v>185</v>
      </c>
      <c r="G32" s="50" t="s">
        <v>186</v>
      </c>
      <c r="H32" s="50" t="s">
        <v>187</v>
      </c>
    </row>
    <row r="33" spans="1:8" ht="23.1" customHeight="1">
      <c r="A33" s="28"/>
      <c r="B33" s="28"/>
      <c r="C33" s="29"/>
      <c r="D33" s="30" t="s">
        <v>103</v>
      </c>
      <c r="E33" s="30"/>
      <c r="F33" s="30" t="s">
        <v>103</v>
      </c>
      <c r="G33" s="30" t="s">
        <v>103</v>
      </c>
      <c r="H33" s="30" t="s">
        <v>103</v>
      </c>
    </row>
    <row r="34" spans="1:8" ht="23.1" customHeight="1">
      <c r="A34" s="21">
        <v>1</v>
      </c>
      <c r="B34" s="21">
        <v>252</v>
      </c>
      <c r="C34" s="26" t="s">
        <v>224</v>
      </c>
      <c r="D34" s="34">
        <f>SUM(INV!AC$31:AC$32)*1000</f>
        <v>6462454.9470801074</v>
      </c>
      <c r="E34" s="51">
        <v>1</v>
      </c>
      <c r="F34" s="34">
        <f>D34*E34</f>
        <v>6462454.9470801074</v>
      </c>
      <c r="G34" s="34">
        <v>0</v>
      </c>
      <c r="H34" s="34">
        <f>SUM(F34:G34)</f>
        <v>6462454.9470801074</v>
      </c>
    </row>
    <row r="35" spans="1:8" ht="18.95" customHeight="1">
      <c r="A35" s="18"/>
      <c r="B35" s="19"/>
      <c r="C35" s="26"/>
      <c r="D35" s="34"/>
      <c r="E35" s="51"/>
      <c r="F35" s="34"/>
      <c r="G35" s="34"/>
      <c r="H35" s="34"/>
    </row>
    <row r="36" spans="1:8" ht="18.95" customHeight="1">
      <c r="A36" s="18">
        <v>2</v>
      </c>
      <c r="B36" s="19">
        <v>255</v>
      </c>
      <c r="C36" s="26" t="s">
        <v>387</v>
      </c>
      <c r="D36" s="34">
        <v>0</v>
      </c>
      <c r="E36" s="51">
        <v>1</v>
      </c>
      <c r="F36" s="34">
        <f>D36*E36</f>
        <v>0</v>
      </c>
      <c r="G36" s="34">
        <v>0</v>
      </c>
      <c r="H36" s="34">
        <f>SUM(F36:G36)</f>
        <v>0</v>
      </c>
    </row>
    <row r="37" spans="1:8" ht="18.95" customHeight="1">
      <c r="A37" s="18"/>
      <c r="B37" s="19"/>
      <c r="C37" s="26"/>
      <c r="D37" s="34"/>
      <c r="E37" s="51"/>
      <c r="F37" s="34"/>
      <c r="G37" s="34"/>
      <c r="H37" s="34"/>
    </row>
    <row r="38" spans="1:8" ht="18.95" customHeight="1">
      <c r="A38" s="18">
        <v>3</v>
      </c>
      <c r="B38" s="18" t="s">
        <v>568</v>
      </c>
      <c r="C38" s="26" t="s">
        <v>1426</v>
      </c>
      <c r="D38" s="34">
        <f>'DEFTAX F'!O8</f>
        <v>980229172.48843169</v>
      </c>
      <c r="E38" s="51">
        <v>1</v>
      </c>
      <c r="F38" s="34">
        <f>D38*E38</f>
        <v>980229172.48843169</v>
      </c>
      <c r="G38" s="34">
        <f>'ECR DEFTAX'!AD2*1000+'DSM DEFTAX'!AD10</f>
        <v>-308104645.50575995</v>
      </c>
      <c r="H38" s="34">
        <f>SUM(F38:G38)</f>
        <v>672124526.98267174</v>
      </c>
    </row>
    <row r="39" spans="1:8" ht="18.95" customHeight="1">
      <c r="A39" s="18"/>
      <c r="B39" s="19"/>
      <c r="C39" s="26"/>
      <c r="D39" s="34"/>
      <c r="E39" s="51"/>
      <c r="F39" s="34"/>
      <c r="G39" s="34"/>
      <c r="H39" s="34"/>
    </row>
    <row r="40" spans="1:8" ht="18.95" customHeight="1">
      <c r="A40" s="18">
        <v>4</v>
      </c>
      <c r="B40" s="18" t="s">
        <v>1602</v>
      </c>
      <c r="C40" s="26" t="s">
        <v>1597</v>
      </c>
      <c r="D40" s="34">
        <f>-'ECR CCR'!AE13*1000</f>
        <v>-32284755.456976477</v>
      </c>
      <c r="E40" s="51">
        <v>1</v>
      </c>
      <c r="F40" s="34">
        <f>D40*E40</f>
        <v>-32284755.456976477</v>
      </c>
      <c r="G40" s="34">
        <f>-F40</f>
        <v>32284755.456976477</v>
      </c>
      <c r="H40" s="34">
        <f>SUM(F40:G40)</f>
        <v>0</v>
      </c>
    </row>
    <row r="41" spans="1:8" ht="18.95" customHeight="1">
      <c r="A41" s="18"/>
      <c r="B41" s="18"/>
      <c r="C41" s="26"/>
      <c r="D41" s="34"/>
      <c r="E41" s="34"/>
      <c r="F41" s="34"/>
      <c r="G41" s="34"/>
      <c r="H41" s="34"/>
    </row>
    <row r="42" spans="1:8" ht="18.95" customHeight="1">
      <c r="C42" s="15" t="s">
        <v>1598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8" fitToHeight="0" orientation="portrait" r:id="rId1"/>
  <rowBreaks count="1" manualBreakCount="1">
    <brk id="2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activeCell="E28" sqref="E28"/>
    </sheetView>
  </sheetViews>
  <sheetFormatPr defaultColWidth="9" defaultRowHeight="12.75"/>
  <cols>
    <col min="1" max="1" width="6" style="17" customWidth="1"/>
    <col min="2" max="2" width="8" style="17" customWidth="1"/>
    <col min="3" max="3" width="34.21875" style="17" customWidth="1"/>
    <col min="4" max="4" width="13.6640625" style="17" customWidth="1"/>
    <col min="5" max="5" width="58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571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</row>
    <row r="5" spans="1:5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</row>
    <row r="6" spans="1:5" s="16" customFormat="1" ht="20.100000000000001" customHeight="1">
      <c r="A6" s="59"/>
      <c r="B6" s="59"/>
      <c r="C6" s="59"/>
      <c r="D6" s="59"/>
      <c r="E6" s="59"/>
    </row>
    <row r="7" spans="1:5" s="16" customFormat="1" ht="20.100000000000001" customHeight="1">
      <c r="A7" s="15" t="s">
        <v>134</v>
      </c>
      <c r="B7" s="15"/>
      <c r="E7" s="22" t="s">
        <v>570</v>
      </c>
    </row>
    <row r="8" spans="1:5" s="16" customFormat="1" ht="20.100000000000001" customHeight="1">
      <c r="A8" s="16" t="str">
        <f>'Rate Case Constants'!C29</f>
        <v>TYPE OF FILING: _____ ORIGINAL  _____ UPDATED  __X__ REVISED</v>
      </c>
      <c r="E8" s="22" t="s">
        <v>136</v>
      </c>
    </row>
    <row r="9" spans="1:5" s="16" customFormat="1" ht="20.100000000000001" customHeight="1">
      <c r="A9" s="15" t="s">
        <v>365</v>
      </c>
      <c r="B9" s="15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96</v>
      </c>
      <c r="D11" s="24" t="s">
        <v>184</v>
      </c>
      <c r="E11" s="24" t="s">
        <v>569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1" t="s">
        <v>949</v>
      </c>
      <c r="B13" s="831"/>
      <c r="C13" s="831"/>
      <c r="D13" s="831"/>
      <c r="E13" s="831"/>
    </row>
    <row r="14" spans="1:5" ht="18.95" customHeight="1">
      <c r="A14" s="18"/>
      <c r="B14" s="19"/>
      <c r="C14" s="26"/>
      <c r="D14" s="51"/>
      <c r="E14" s="34"/>
    </row>
    <row r="15" spans="1:5" ht="18.95" customHeight="1">
      <c r="A15" s="18"/>
      <c r="B15" s="19"/>
      <c r="C15" s="26"/>
      <c r="D15" s="51"/>
      <c r="E15" s="34"/>
    </row>
    <row r="16" spans="1:5" ht="18.95" customHeight="1">
      <c r="A16" s="18"/>
      <c r="B16" s="19"/>
      <c r="C16" s="26"/>
      <c r="D16" s="51"/>
      <c r="E16" s="34"/>
    </row>
    <row r="17" spans="1:5" ht="18.95" customHeight="1">
      <c r="A17" s="18"/>
      <c r="B17" s="18"/>
      <c r="C17" s="26"/>
      <c r="D17" s="51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4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E21" sqref="E21"/>
    </sheetView>
  </sheetViews>
  <sheetFormatPr defaultColWidth="9" defaultRowHeight="12.75"/>
  <cols>
    <col min="1" max="1" width="6" style="17" customWidth="1"/>
    <col min="2" max="2" width="33.77734375" style="17" customWidth="1"/>
    <col min="3" max="3" width="14.77734375" style="17" customWidth="1"/>
    <col min="4" max="5" width="16.77734375" style="17" customWidth="1"/>
    <col min="6" max="6" width="14.77734375" style="17" customWidth="1"/>
    <col min="7" max="7" width="15.2187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  <c r="G1" s="831"/>
    </row>
    <row r="2" spans="1:7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  <c r="G2" s="831"/>
    </row>
    <row r="3" spans="1:7" s="16" customFormat="1" ht="20.100000000000001" customHeight="1">
      <c r="A3" s="831" t="s">
        <v>585</v>
      </c>
      <c r="B3" s="831"/>
      <c r="C3" s="831"/>
      <c r="D3" s="831"/>
      <c r="E3" s="831"/>
      <c r="F3" s="831"/>
      <c r="G3" s="831"/>
    </row>
    <row r="4" spans="1:7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  <c r="F4" s="832"/>
      <c r="G4" s="832"/>
    </row>
    <row r="5" spans="1:7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  <c r="F5" s="832"/>
      <c r="G5" s="832"/>
    </row>
    <row r="6" spans="1:7" s="16" customFormat="1" ht="20.100000000000001" customHeight="1">
      <c r="A6" s="79"/>
      <c r="B6" s="79"/>
      <c r="C6" s="79"/>
      <c r="D6" s="79"/>
      <c r="E6" s="79"/>
      <c r="F6" s="79"/>
      <c r="G6" s="79"/>
    </row>
    <row r="7" spans="1:7" s="16" customFormat="1" ht="20.100000000000001" customHeight="1">
      <c r="A7" s="15" t="s">
        <v>134</v>
      </c>
      <c r="G7" s="22" t="s">
        <v>584</v>
      </c>
    </row>
    <row r="8" spans="1:7" s="16" customFormat="1" ht="20.100000000000001" customHeight="1">
      <c r="A8" s="16" t="str">
        <f>'Rate Case Constants'!C29</f>
        <v>TYPE OF FILING: _____ ORIGINAL  _____ UPDATED  __X__ REVISED</v>
      </c>
      <c r="G8" s="22" t="s">
        <v>136</v>
      </c>
    </row>
    <row r="9" spans="1:7" s="16" customFormat="1" ht="20.100000000000001" customHeight="1">
      <c r="A9" s="15" t="s">
        <v>365</v>
      </c>
      <c r="G9" s="23" t="str">
        <f>'Rate Case Constants'!C36</f>
        <v>WITNESS:   C. M. GARRETT</v>
      </c>
    </row>
    <row r="10" spans="1:7" s="16" customFormat="1" ht="20.100000000000001" customHeight="1"/>
    <row r="11" spans="1:7" ht="58.5" customHeight="1">
      <c r="A11" s="24" t="s">
        <v>92</v>
      </c>
      <c r="B11" s="27" t="s">
        <v>586</v>
      </c>
      <c r="C11" s="24" t="s">
        <v>587</v>
      </c>
      <c r="D11" s="24" t="s">
        <v>588</v>
      </c>
      <c r="E11" s="24" t="s">
        <v>589</v>
      </c>
      <c r="F11" s="24" t="s">
        <v>591</v>
      </c>
      <c r="G11" s="24" t="s">
        <v>592</v>
      </c>
    </row>
    <row r="12" spans="1:7" ht="23.1" customHeight="1">
      <c r="A12" s="28" t="s">
        <v>253</v>
      </c>
      <c r="B12" s="28" t="s">
        <v>254</v>
      </c>
      <c r="C12" s="28" t="s">
        <v>257</v>
      </c>
      <c r="D12" s="28" t="s">
        <v>265</v>
      </c>
      <c r="E12" s="28" t="s">
        <v>590</v>
      </c>
      <c r="F12" s="28" t="s">
        <v>267</v>
      </c>
      <c r="G12" s="28" t="s">
        <v>593</v>
      </c>
    </row>
    <row r="13" spans="1:7" ht="23.1" customHeight="1">
      <c r="A13" s="21"/>
      <c r="B13" s="21"/>
      <c r="C13" s="21"/>
      <c r="D13" s="21"/>
      <c r="E13" s="21"/>
      <c r="F13" s="21"/>
      <c r="G13" s="21"/>
    </row>
    <row r="14" spans="1:7" s="16" customFormat="1" ht="20.100000000000001" customHeight="1">
      <c r="A14" s="831" t="s">
        <v>949</v>
      </c>
      <c r="B14" s="831"/>
      <c r="C14" s="831"/>
      <c r="D14" s="831"/>
      <c r="E14" s="831"/>
      <c r="F14" s="831"/>
      <c r="G14" s="831"/>
    </row>
    <row r="15" spans="1:7" ht="18.95" customHeight="1">
      <c r="A15" s="18"/>
      <c r="B15" s="26"/>
      <c r="C15" s="34"/>
      <c r="D15" s="34"/>
      <c r="E15" s="34"/>
      <c r="F15" s="34"/>
      <c r="G15" s="51"/>
    </row>
    <row r="16" spans="1:7" ht="18.95" customHeight="1">
      <c r="A16" s="18"/>
      <c r="B16" s="26"/>
      <c r="C16" s="34"/>
      <c r="D16" s="34"/>
      <c r="E16" s="34"/>
      <c r="F16" s="34"/>
      <c r="G16" s="51"/>
    </row>
    <row r="17" spans="1:7" ht="18.95" customHeight="1">
      <c r="A17" s="18"/>
      <c r="B17" s="26"/>
      <c r="C17" s="34"/>
      <c r="D17" s="34"/>
      <c r="E17" s="34"/>
      <c r="F17" s="34"/>
      <c r="G17" s="51"/>
    </row>
    <row r="18" spans="1:7" ht="18.95" customHeight="1">
      <c r="A18" s="18"/>
      <c r="B18" s="26"/>
      <c r="C18" s="34"/>
      <c r="D18" s="34"/>
      <c r="E18" s="34"/>
      <c r="F18" s="34"/>
      <c r="G18" s="51"/>
    </row>
    <row r="19" spans="1:7" ht="18.95" customHeight="1">
      <c r="A19" s="18"/>
      <c r="B19" s="26"/>
      <c r="C19" s="34"/>
      <c r="D19" s="34"/>
      <c r="E19" s="34"/>
      <c r="F19" s="34"/>
      <c r="G19" s="34"/>
    </row>
    <row r="20" spans="1:7">
      <c r="C20" s="34"/>
      <c r="D20" s="34"/>
      <c r="E20" s="34"/>
      <c r="F20" s="34"/>
    </row>
    <row r="21" spans="1:7">
      <c r="C21" s="34"/>
      <c r="D21" s="34"/>
      <c r="E21" s="34"/>
      <c r="F21" s="34"/>
    </row>
    <row r="22" spans="1:7">
      <c r="C22" s="34"/>
      <c r="D22" s="34"/>
      <c r="E22" s="34"/>
      <c r="F22" s="34"/>
    </row>
    <row r="23" spans="1:7">
      <c r="C23" s="34"/>
      <c r="D23" s="34"/>
      <c r="E23" s="34"/>
      <c r="F23" s="34"/>
    </row>
    <row r="24" spans="1:7">
      <c r="C24" s="34"/>
      <c r="D24" s="34"/>
      <c r="E24" s="34"/>
      <c r="F24" s="34"/>
    </row>
    <row r="25" spans="1:7">
      <c r="C25" s="34"/>
      <c r="D25" s="34"/>
      <c r="E25" s="34"/>
      <c r="F25" s="34"/>
    </row>
    <row r="26" spans="1:7">
      <c r="C26" s="34"/>
      <c r="D26" s="34"/>
      <c r="E26" s="34"/>
      <c r="F26" s="34"/>
    </row>
    <row r="27" spans="1:7">
      <c r="C27" s="34"/>
      <c r="D27" s="34"/>
      <c r="E27" s="34"/>
      <c r="F27" s="34"/>
    </row>
    <row r="28" spans="1:7">
      <c r="C28" s="34"/>
      <c r="D28" s="34"/>
      <c r="E28" s="34"/>
      <c r="F28" s="34"/>
    </row>
    <row r="29" spans="1:7">
      <c r="C29" s="34"/>
      <c r="D29" s="34"/>
      <c r="E29" s="34"/>
      <c r="F29" s="34"/>
    </row>
    <row r="30" spans="1:7">
      <c r="C30" s="34"/>
      <c r="D30" s="34"/>
      <c r="E30" s="34"/>
      <c r="F30" s="34"/>
    </row>
    <row r="31" spans="1:7">
      <c r="C31" s="34"/>
      <c r="D31" s="34"/>
      <c r="E31" s="34"/>
      <c r="F31" s="34"/>
    </row>
    <row r="32" spans="1:7">
      <c r="C32" s="34"/>
      <c r="D32" s="34"/>
      <c r="E32" s="34"/>
      <c r="F32" s="34"/>
    </row>
    <row r="33" spans="3:6">
      <c r="C33" s="34"/>
      <c r="D33" s="34"/>
      <c r="E33" s="34"/>
      <c r="F33" s="34"/>
    </row>
    <row r="34" spans="3:6">
      <c r="C34" s="34"/>
      <c r="D34" s="34"/>
      <c r="E34" s="34"/>
      <c r="F34" s="34"/>
    </row>
    <row r="35" spans="3:6">
      <c r="C35" s="34"/>
      <c r="D35" s="34"/>
      <c r="E35" s="34"/>
      <c r="F35" s="34"/>
    </row>
    <row r="36" spans="3:6">
      <c r="C36" s="34"/>
      <c r="D36" s="34"/>
      <c r="E36" s="34"/>
      <c r="F36" s="34"/>
    </row>
    <row r="37" spans="3:6">
      <c r="C37" s="34"/>
      <c r="D37" s="34"/>
      <c r="E37" s="34"/>
      <c r="F37" s="34"/>
    </row>
    <row r="38" spans="3:6">
      <c r="C38" s="34"/>
      <c r="D38" s="34"/>
      <c r="E38" s="34"/>
      <c r="F38" s="34"/>
    </row>
    <row r="39" spans="3:6">
      <c r="C39" s="34"/>
      <c r="D39" s="34"/>
      <c r="E39" s="34"/>
      <c r="F39" s="34"/>
    </row>
    <row r="40" spans="3:6">
      <c r="C40" s="34"/>
      <c r="D40" s="34"/>
      <c r="E40" s="34"/>
      <c r="F40" s="34"/>
    </row>
    <row r="41" spans="3:6">
      <c r="C41" s="34"/>
      <c r="D41" s="34"/>
      <c r="E41" s="34"/>
      <c r="F41" s="34"/>
    </row>
    <row r="42" spans="3:6">
      <c r="C42" s="34"/>
      <c r="D42" s="34"/>
      <c r="E42" s="34"/>
      <c r="F42" s="34"/>
    </row>
    <row r="43" spans="3:6">
      <c r="C43" s="34"/>
      <c r="D43" s="34"/>
      <c r="E43" s="34"/>
      <c r="F43" s="3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6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D21" sqref="D21"/>
    </sheetView>
  </sheetViews>
  <sheetFormatPr defaultColWidth="9" defaultRowHeight="12.75"/>
  <cols>
    <col min="1" max="1" width="6" style="17" customWidth="1"/>
    <col min="2" max="2" width="8" style="17" customWidth="1"/>
    <col min="3" max="3" width="28" style="17" customWidth="1"/>
    <col min="4" max="5" width="38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</row>
    <row r="2" spans="1:5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</row>
    <row r="3" spans="1:5" s="16" customFormat="1" ht="20.100000000000001" customHeight="1">
      <c r="A3" s="831" t="s">
        <v>596</v>
      </c>
      <c r="B3" s="831"/>
      <c r="C3" s="831"/>
      <c r="D3" s="831"/>
      <c r="E3" s="831"/>
    </row>
    <row r="4" spans="1:5" s="16" customFormat="1" ht="20.100000000000001" customHeight="1">
      <c r="A4" s="832" t="str">
        <f>'Rate Case Constants'!C15</f>
        <v>BASE YEAR FOR THE 12 MONTHS ENDED DECEMBER 31, 2018</v>
      </c>
      <c r="B4" s="832"/>
      <c r="C4" s="832"/>
      <c r="D4" s="832"/>
      <c r="E4" s="832"/>
    </row>
    <row r="5" spans="1:5" s="16" customFormat="1" ht="20.100000000000001" customHeight="1">
      <c r="A5" s="832" t="str">
        <f>'Rate Case Constants'!C21</f>
        <v>FORECAST PERIOD FOR THE 12 MONTHS ENDED APRIL 30, 2020</v>
      </c>
      <c r="B5" s="832"/>
      <c r="C5" s="832"/>
      <c r="D5" s="832"/>
      <c r="E5" s="832"/>
    </row>
    <row r="6" spans="1:5" s="16" customFormat="1" ht="20.100000000000001" customHeight="1">
      <c r="A6" s="79"/>
      <c r="B6" s="79"/>
      <c r="C6" s="79"/>
      <c r="D6" s="79"/>
      <c r="E6" s="79"/>
    </row>
    <row r="7" spans="1:5" s="16" customFormat="1" ht="20.100000000000001" customHeight="1">
      <c r="A7" s="15" t="s">
        <v>134</v>
      </c>
      <c r="B7" s="15"/>
      <c r="D7" s="22"/>
      <c r="E7" s="22" t="s">
        <v>597</v>
      </c>
    </row>
    <row r="8" spans="1:5" s="16" customFormat="1" ht="20.100000000000001" customHeight="1">
      <c r="A8" s="16" t="str">
        <f>'Rate Case Constants'!C29</f>
        <v>TYPE OF FILING: _____ ORIGINAL  _____ UPDATED  __X__ REVISED</v>
      </c>
      <c r="D8" s="22"/>
      <c r="E8" s="22" t="s">
        <v>136</v>
      </c>
    </row>
    <row r="9" spans="1:5" s="16" customFormat="1" ht="20.100000000000001" customHeight="1">
      <c r="A9" s="15" t="s">
        <v>365</v>
      </c>
      <c r="B9" s="15"/>
      <c r="D9" s="23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165</v>
      </c>
      <c r="D11" s="24" t="s">
        <v>594</v>
      </c>
      <c r="E11" s="24" t="s">
        <v>595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1" t="s">
        <v>949</v>
      </c>
      <c r="B13" s="831"/>
      <c r="C13" s="831"/>
      <c r="D13" s="831"/>
      <c r="E13" s="831"/>
    </row>
    <row r="14" spans="1:5" ht="18.95" customHeight="1">
      <c r="A14" s="18"/>
      <c r="B14" s="19"/>
      <c r="C14" s="26"/>
      <c r="D14" s="34"/>
      <c r="E14" s="34"/>
    </row>
    <row r="15" spans="1:5" ht="18.95" customHeight="1">
      <c r="A15" s="18"/>
      <c r="B15" s="19"/>
      <c r="C15" s="26"/>
      <c r="D15" s="34"/>
      <c r="E15" s="34"/>
    </row>
    <row r="16" spans="1:5" ht="18.95" customHeight="1">
      <c r="A16" s="18"/>
      <c r="B16" s="19"/>
      <c r="C16" s="26"/>
      <c r="D16" s="34"/>
      <c r="E16" s="34"/>
    </row>
    <row r="17" spans="1:5" ht="18.95" customHeight="1">
      <c r="A17" s="18"/>
      <c r="B17" s="18"/>
      <c r="C17" s="26"/>
      <c r="D17" s="34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5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>
      <selection activeCell="N49" sqref="N49"/>
    </sheetView>
  </sheetViews>
  <sheetFormatPr defaultColWidth="9" defaultRowHeight="12.75"/>
  <cols>
    <col min="1" max="1" width="5.33203125" style="85" customWidth="1"/>
    <col min="2" max="2" width="17.44140625" style="85" customWidth="1"/>
    <col min="3" max="3" width="25.77734375" style="85" customWidth="1"/>
    <col min="4" max="4" width="16.77734375" style="85" customWidth="1"/>
    <col min="5" max="5" width="11.6640625" style="85" customWidth="1"/>
    <col min="6" max="6" width="15.77734375" style="85" customWidth="1"/>
    <col min="7" max="7" width="11.6640625" style="85" customWidth="1"/>
    <col min="8" max="8" width="15.6640625" style="85" customWidth="1"/>
    <col min="9" max="9" width="11.6640625" style="85" customWidth="1"/>
    <col min="10" max="10" width="15.6640625" style="85" customWidth="1"/>
    <col min="11" max="11" width="11.6640625" style="85" customWidth="1"/>
    <col min="12" max="12" width="15.6640625" style="85" customWidth="1"/>
    <col min="13" max="13" width="11.6640625" style="85" customWidth="1"/>
    <col min="14" max="14" width="14.77734375" style="85" customWidth="1"/>
    <col min="15" max="15" width="11.6640625" style="85" customWidth="1"/>
    <col min="16" max="16" width="15.6640625" style="85" customWidth="1"/>
    <col min="17" max="17" width="5.44140625" style="85" customWidth="1"/>
    <col min="18" max="19" width="16.77734375" style="85" bestFit="1" customWidth="1"/>
    <col min="20" max="20" width="12.33203125" style="85" customWidth="1"/>
    <col min="21" max="21" width="13.21875" style="85" customWidth="1"/>
    <col min="22" max="22" width="9" style="85"/>
    <col min="23" max="23" width="16.77734375" style="110" bestFit="1" customWidth="1"/>
    <col min="24" max="24" width="16.77734375" style="85" bestFit="1" customWidth="1"/>
    <col min="25" max="25" width="9" style="85"/>
    <col min="26" max="26" width="16.77734375" style="85" bestFit="1" customWidth="1"/>
    <col min="27" max="27" width="17.10937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_____ ORIGINAL  _____ UPDATED  __X__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1505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92" t="s">
        <v>582</v>
      </c>
      <c r="B11" s="85"/>
      <c r="C11" s="85"/>
      <c r="D11" s="92" t="s">
        <v>578</v>
      </c>
      <c r="E11" s="85"/>
      <c r="F11" s="92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92" t="s">
        <v>583</v>
      </c>
      <c r="B12" s="92" t="s">
        <v>165</v>
      </c>
      <c r="C12" s="85"/>
      <c r="D12" s="92" t="s">
        <v>579</v>
      </c>
      <c r="E12" s="92" t="s">
        <v>580</v>
      </c>
      <c r="F12" s="92" t="s">
        <v>579</v>
      </c>
      <c r="G12" s="92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92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92">
        <v>1</v>
      </c>
      <c r="B14" s="847" t="s">
        <v>613</v>
      </c>
      <c r="C14" s="847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06"/>
      <c r="B15" s="107"/>
      <c r="C15" s="107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3" t="s">
        <v>869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92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05">
        <f>A16+1</f>
        <v>3</v>
      </c>
      <c r="B17" s="85" t="s">
        <v>574</v>
      </c>
      <c r="C17" s="85"/>
      <c r="D17" s="121">
        <f>BS!AG19*1000-D18</f>
        <v>7738822210.1299915</v>
      </c>
      <c r="E17" s="97">
        <f>(+D17-F17)/F17</f>
        <v>5.8785823848040972E-2</v>
      </c>
      <c r="F17" s="121">
        <f>BS!O19*1000-F18</f>
        <v>7309147927.5799999</v>
      </c>
      <c r="G17" s="97">
        <f>(+F17-H17)/H17</f>
        <v>6.756398877815338E-2</v>
      </c>
      <c r="H17" s="121">
        <f>$U17+$U22</f>
        <v>6846566580</v>
      </c>
      <c r="I17" s="97">
        <f>(+H17-J17)/J17</f>
        <v>3.182904496255938E-2</v>
      </c>
      <c r="J17" s="121">
        <v>6635369118</v>
      </c>
      <c r="K17" s="97">
        <f>(+J17-L17)/L17</f>
        <v>8.1810163543739517E-2</v>
      </c>
      <c r="L17" s="121">
        <v>6133579940</v>
      </c>
      <c r="M17" s="97">
        <f>(+L17-N17)/N17</f>
        <v>7.4851886070008478E-2</v>
      </c>
      <c r="N17" s="121">
        <v>5706441994</v>
      </c>
      <c r="O17" s="97">
        <f>(+N17-P17)/P17</f>
        <v>0.12551914089713595</v>
      </c>
      <c r="P17" s="121">
        <v>5070053264</v>
      </c>
      <c r="Q17" s="99"/>
      <c r="R17" s="115" t="s">
        <v>574</v>
      </c>
      <c r="S17" s="166">
        <v>5581939046</v>
      </c>
      <c r="T17" s="166">
        <v>1262487544</v>
      </c>
      <c r="U17" s="166">
        <v>6844426590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73">
        <f>A17+1</f>
        <v>4</v>
      </c>
      <c r="B18" s="85" t="s">
        <v>215</v>
      </c>
      <c r="C18" s="85"/>
      <c r="D18" s="122">
        <f>BS!AG17*1000</f>
        <v>229883033.27461538</v>
      </c>
      <c r="E18" s="97">
        <f>(+D18-F18)/F18</f>
        <v>-0.30615663513793601</v>
      </c>
      <c r="F18" s="122">
        <f>BS!O17*1000</f>
        <v>331318342.02999997</v>
      </c>
      <c r="G18" s="97">
        <f>(+F18-H18)/H18</f>
        <v>7.2469952903857604E-2</v>
      </c>
      <c r="H18" s="122">
        <f>$U18</f>
        <v>308930186</v>
      </c>
      <c r="I18" s="97">
        <f>(+H18-J18)/J18</f>
        <v>1.3101355350236055</v>
      </c>
      <c r="J18" s="122">
        <v>133728165</v>
      </c>
      <c r="K18" s="97">
        <f>(+J18-L18)/L18</f>
        <v>-0.65697225438965534</v>
      </c>
      <c r="L18" s="122">
        <v>389846497</v>
      </c>
      <c r="M18" s="97">
        <f>(+L18-N18)/N18</f>
        <v>-0.42357688285216749</v>
      </c>
      <c r="N18" s="122">
        <v>676320025</v>
      </c>
      <c r="O18" s="97">
        <f>(+N18-P18)/P18</f>
        <v>3.8204915583253188E-2</v>
      </c>
      <c r="P18" s="122">
        <v>651432116</v>
      </c>
      <c r="Q18" s="99"/>
      <c r="R18" s="115" t="s">
        <v>215</v>
      </c>
      <c r="S18" s="167">
        <v>282465390</v>
      </c>
      <c r="T18" s="167">
        <v>26464796</v>
      </c>
      <c r="U18" s="167">
        <v>308930186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05">
        <f>A18+1</f>
        <v>5</v>
      </c>
      <c r="B19" s="85" t="s">
        <v>614</v>
      </c>
      <c r="C19" s="85"/>
      <c r="D19" s="177">
        <f>D17+D18</f>
        <v>7968705243.4046068</v>
      </c>
      <c r="E19" s="97">
        <f>(+D19-F19)/F19</f>
        <v>4.2960594577870152E-2</v>
      </c>
      <c r="F19" s="177">
        <f>F17+F18</f>
        <v>7640466269.6099997</v>
      </c>
      <c r="G19" s="97">
        <f>(+F19-H19)/H19</f>
        <v>6.7775798029058837E-2</v>
      </c>
      <c r="H19" s="113">
        <f>H17+H18</f>
        <v>7155496766</v>
      </c>
      <c r="I19" s="97">
        <f>(+H19-J19)/J19</f>
        <v>5.708286745566632E-2</v>
      </c>
      <c r="J19" s="113">
        <v>6769097283</v>
      </c>
      <c r="K19" s="97">
        <f>(+J19-L19)/L19</f>
        <v>3.7659786367266732E-2</v>
      </c>
      <c r="L19" s="113">
        <v>6523426437</v>
      </c>
      <c r="M19" s="97">
        <f>(+L19-N19)/N19</f>
        <v>2.2038173690523744E-2</v>
      </c>
      <c r="N19" s="113">
        <f>N17+N18</f>
        <v>6382762019</v>
      </c>
      <c r="O19" s="97">
        <f>(+N19-P19)/P19</f>
        <v>0.11557779057018232</v>
      </c>
      <c r="P19" s="113">
        <f>P17+P18</f>
        <v>5721485380</v>
      </c>
      <c r="Q19" s="99"/>
      <c r="R19" s="115" t="s">
        <v>985</v>
      </c>
      <c r="S19" s="167">
        <v>5864404436</v>
      </c>
      <c r="T19" s="167">
        <v>1288952340</v>
      </c>
      <c r="U19" s="167">
        <v>7153356776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73">
        <f>A19+1</f>
        <v>6</v>
      </c>
      <c r="B20" s="85" t="s">
        <v>615</v>
      </c>
      <c r="C20" s="85"/>
      <c r="D20" s="123">
        <f>-BS!AG31*1000</f>
        <v>2370899674.7806678</v>
      </c>
      <c r="E20" s="97">
        <f>(+D20-F20)/F20</f>
        <v>4.1072773378503138E-2</v>
      </c>
      <c r="F20" s="123">
        <f>-BS!O31*1000</f>
        <v>2277362097.4512596</v>
      </c>
      <c r="G20" s="97">
        <f>(+F20-H20)/H20</f>
        <v>6.1971887703416058E-2</v>
      </c>
      <c r="H20" s="123">
        <f>$U20</f>
        <v>2144465521</v>
      </c>
      <c r="I20" s="97">
        <f>(+H20-J20)/J20</f>
        <v>4.4537681083034721E-2</v>
      </c>
      <c r="J20" s="123">
        <v>2053028397</v>
      </c>
      <c r="K20" s="97">
        <f>(+J20-L20)/L20</f>
        <v>1.8398852502895177E-2</v>
      </c>
      <c r="L20" s="123">
        <v>2015937461</v>
      </c>
      <c r="M20" s="97">
        <f>(+L20-N20)/N20</f>
        <v>-0.16587405237601238</v>
      </c>
      <c r="N20" s="123">
        <v>2416826220</v>
      </c>
      <c r="O20" s="97">
        <f>(+N20-P20)/P20</f>
        <v>4.8909514148057803E-2</v>
      </c>
      <c r="P20" s="123">
        <v>2304132232</v>
      </c>
      <c r="Q20" s="85"/>
      <c r="R20" s="115" t="s">
        <v>986</v>
      </c>
      <c r="S20" s="167">
        <v>1776428812</v>
      </c>
      <c r="T20" s="167">
        <v>368036709</v>
      </c>
      <c r="U20" s="167">
        <v>2144465521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05">
        <f>A20+1</f>
        <v>7</v>
      </c>
      <c r="B21" s="85" t="s">
        <v>616</v>
      </c>
      <c r="C21" s="85"/>
      <c r="D21" s="114">
        <f>D19-D20</f>
        <v>5597805568.6239395</v>
      </c>
      <c r="E21" s="97">
        <f>(+D21-F21)/F21</f>
        <v>4.3762229658635958E-2</v>
      </c>
      <c r="F21" s="114">
        <f>F19-F20</f>
        <v>5363104172.15874</v>
      </c>
      <c r="G21" s="97">
        <f>(+F21-H21)/H21</f>
        <v>7.0259575313971132E-2</v>
      </c>
      <c r="H21" s="114">
        <f>H19-H20</f>
        <v>5011031245</v>
      </c>
      <c r="I21" s="97">
        <f>(+H21-J21)/J21</f>
        <v>6.2544115900346073E-2</v>
      </c>
      <c r="J21" s="114">
        <v>4716068886</v>
      </c>
      <c r="K21" s="97">
        <f>(+J21-L21)/L21</f>
        <v>4.6274081003986466E-2</v>
      </c>
      <c r="L21" s="114">
        <v>4507488976</v>
      </c>
      <c r="M21" s="97">
        <f>(+L21-N21)/N21</f>
        <v>0.13655117088293542</v>
      </c>
      <c r="N21" s="114">
        <f>N19-N20</f>
        <v>3965935799</v>
      </c>
      <c r="O21" s="97">
        <f>(+N21-P21)/P21</f>
        <v>0.16052852229248155</v>
      </c>
      <c r="P21" s="114">
        <f>P19-P20</f>
        <v>3417353148</v>
      </c>
      <c r="Q21" s="85"/>
      <c r="R21" s="115" t="s">
        <v>616</v>
      </c>
      <c r="S21" s="167">
        <v>4087975624</v>
      </c>
      <c r="T21" s="167">
        <v>920915631</v>
      </c>
      <c r="U21" s="167">
        <v>5008891255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92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2139990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92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7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05">
        <f>A23+1</f>
        <v>9</v>
      </c>
      <c r="B24" s="85" t="s">
        <v>618</v>
      </c>
      <c r="C24" s="85"/>
      <c r="D24" s="121">
        <f>BS!AG43*1000</f>
        <v>567536.62</v>
      </c>
      <c r="E24" s="97">
        <f>(+D24-F24)/F24</f>
        <v>0</v>
      </c>
      <c r="F24" s="121">
        <f>BS!O43*1000</f>
        <v>567536.62</v>
      </c>
      <c r="G24" s="97">
        <f>(+F24-H24)/H24</f>
        <v>-6.6955987011359011E-7</v>
      </c>
      <c r="H24" s="121">
        <f>$U25</f>
        <v>567537</v>
      </c>
      <c r="I24" s="97">
        <f>(+H24-J24)/J24</f>
        <v>0</v>
      </c>
      <c r="J24" s="121">
        <v>567537</v>
      </c>
      <c r="K24" s="97">
        <f>(+J24-L24)/L24</f>
        <v>3.5240117349590773E-6</v>
      </c>
      <c r="L24" s="121">
        <v>567535</v>
      </c>
      <c r="M24" s="97">
        <f>(+L24-N24)/N24</f>
        <v>-9.1012794603310965E-4</v>
      </c>
      <c r="N24" s="121">
        <v>568052</v>
      </c>
      <c r="O24" s="97">
        <f>(+N24-P24)/P24</f>
        <v>0.16066127117553192</v>
      </c>
      <c r="P24" s="121">
        <v>489421</v>
      </c>
      <c r="Q24" s="99"/>
      <c r="R24" s="133" t="s">
        <v>617</v>
      </c>
      <c r="S24" s="164"/>
      <c r="T24" s="164"/>
      <c r="U24" s="167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05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7">
        <v>567537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05">
        <f>A25+1</f>
        <v>11</v>
      </c>
      <c r="B26" s="85" t="s">
        <v>620</v>
      </c>
      <c r="C26" s="85"/>
      <c r="D26" s="118">
        <f>BS!AG38*1000</f>
        <v>594286</v>
      </c>
      <c r="E26" s="97">
        <f>(+D26-F26)/F26</f>
        <v>0</v>
      </c>
      <c r="F26" s="118">
        <f>BS!O38*1000</f>
        <v>594286</v>
      </c>
      <c r="G26" s="97">
        <f>(+F26-H26)/H26</f>
        <v>0</v>
      </c>
      <c r="H26" s="118">
        <f>$U27</f>
        <v>594286</v>
      </c>
      <c r="I26" s="97">
        <f>(+H26-J26)/J26</f>
        <v>0</v>
      </c>
      <c r="J26" s="118">
        <v>594286</v>
      </c>
      <c r="K26" s="97">
        <f>(+J26-L26)/L26</f>
        <v>0</v>
      </c>
      <c r="L26" s="118">
        <v>594286</v>
      </c>
      <c r="M26" s="97">
        <f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73">
        <f>A26+1</f>
        <v>12</v>
      </c>
      <c r="B27" s="85" t="s">
        <v>621</v>
      </c>
      <c r="C27" s="85"/>
      <c r="D27" s="123">
        <f>BS!AG48*1000</f>
        <v>23124969.513333324</v>
      </c>
      <c r="E27" s="97">
        <v>0</v>
      </c>
      <c r="F27" s="123">
        <f>BS!O48*1000</f>
        <v>9802503.1799999997</v>
      </c>
      <c r="G27" s="97">
        <v>1</v>
      </c>
      <c r="H27" s="123">
        <f>$U26</f>
        <v>0</v>
      </c>
      <c r="I27" s="97">
        <f>(+H27-J27)/J27</f>
        <v>-1</v>
      </c>
      <c r="J27" s="123">
        <v>3450337</v>
      </c>
      <c r="K27" s="97">
        <f>(+J27-L27)/L27</f>
        <v>-0.62132537660177445</v>
      </c>
      <c r="L27" s="123">
        <v>9111614</v>
      </c>
      <c r="M27" s="97">
        <f>(+L27-N27)/N27</f>
        <v>-0.56348726744005007</v>
      </c>
      <c r="N27" s="123">
        <v>20873650</v>
      </c>
      <c r="O27" s="97">
        <f>(+N27-P27)/P27</f>
        <v>-6.0824785498754766E-2</v>
      </c>
      <c r="P27" s="123">
        <v>22225512</v>
      </c>
      <c r="Q27" s="85"/>
      <c r="R27" s="125" t="s">
        <v>620</v>
      </c>
      <c r="S27" s="167">
        <v>594286</v>
      </c>
      <c r="T27" s="167">
        <v>0</v>
      </c>
      <c r="U27" s="167">
        <v>594286</v>
      </c>
      <c r="V27" s="158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05">
        <f>A27+1</f>
        <v>13</v>
      </c>
      <c r="B28" s="85" t="s">
        <v>622</v>
      </c>
      <c r="C28" s="85"/>
      <c r="D28" s="117">
        <f>SUM(D24:D27)</f>
        <v>24286792.133333325</v>
      </c>
      <c r="E28" s="97">
        <f>(+D28-F28)/F28</f>
        <v>1.2150739203073775</v>
      </c>
      <c r="F28" s="117">
        <f>SUM(F24:F27)</f>
        <v>10964325.800000001</v>
      </c>
      <c r="G28" s="97">
        <f>(+F28-H28)/H28</f>
        <v>8.437173992940405</v>
      </c>
      <c r="H28" s="117">
        <f>SUM(H24:H27)</f>
        <v>1161823</v>
      </c>
      <c r="I28" s="97">
        <f>(+H28-J28)/J28</f>
        <v>-0.74809568618608202</v>
      </c>
      <c r="J28" s="117">
        <v>4612160</v>
      </c>
      <c r="K28" s="97">
        <f>(+J28-L28)/L28</f>
        <v>-0.55105960177876245</v>
      </c>
      <c r="L28" s="117">
        <v>10273435</v>
      </c>
      <c r="M28" s="97">
        <f>(+L28-N28)/N28</f>
        <v>-0.5337883193619456</v>
      </c>
      <c r="N28" s="117">
        <f>SUM(N24:N27)</f>
        <v>22035988</v>
      </c>
      <c r="O28" s="97">
        <f>(+N28-P28)/P28</f>
        <v>-5.4623494678221522E-2</v>
      </c>
      <c r="P28" s="117">
        <f>SUM(P24:P27)</f>
        <v>23309219</v>
      </c>
      <c r="Q28" s="85"/>
      <c r="R28" s="168" t="s">
        <v>988</v>
      </c>
      <c r="S28" s="164">
        <v>986614</v>
      </c>
      <c r="T28" s="164">
        <v>175209</v>
      </c>
      <c r="U28" s="164">
        <v>1161823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92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7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05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7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05">
        <f t="shared" ref="A31:A47" si="0">A30+1</f>
        <v>15</v>
      </c>
      <c r="B31" s="85" t="s">
        <v>623</v>
      </c>
      <c r="C31" s="85"/>
      <c r="D31" s="121">
        <f>BS!AG54*1000</f>
        <v>5000000</v>
      </c>
      <c r="E31" s="97">
        <f>(+D31-F31)/F31</f>
        <v>0</v>
      </c>
      <c r="F31" s="121">
        <f>BS!O54*1000</f>
        <v>5000000</v>
      </c>
      <c r="G31" s="97">
        <f>(+F31-H31)/H31</f>
        <v>-0.37532553348136455</v>
      </c>
      <c r="H31" s="121">
        <f t="shared" ref="H31:H37" si="1">$U31</f>
        <v>8004169</v>
      </c>
      <c r="I31" s="97">
        <f>(+H31-J31)/J31</f>
        <v>0.78183827777079018</v>
      </c>
      <c r="J31" s="121">
        <v>4492085</v>
      </c>
      <c r="K31" s="97">
        <f>(+J31-L31)/L31</f>
        <v>0.63380389777789414</v>
      </c>
      <c r="L31" s="121">
        <v>2749464</v>
      </c>
      <c r="M31" s="97">
        <f>(+L31-N31)/N31</f>
        <v>-0.38513599641475588</v>
      </c>
      <c r="N31" s="121">
        <v>4471662</v>
      </c>
      <c r="O31" s="97">
        <f>(+N31-P31)/P31</f>
        <v>0.28949172249263289</v>
      </c>
      <c r="P31" s="121">
        <v>3467771</v>
      </c>
      <c r="Q31" s="85"/>
      <c r="R31" s="125" t="s">
        <v>623</v>
      </c>
      <c r="S31" s="164">
        <v>6945865</v>
      </c>
      <c r="T31" s="164">
        <v>1058304</v>
      </c>
      <c r="U31" s="167">
        <v>8004169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05">
        <f t="shared" si="0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1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05">
        <f t="shared" si="0"/>
        <v>17</v>
      </c>
      <c r="B33" s="85" t="s">
        <v>625</v>
      </c>
      <c r="C33" s="85"/>
      <c r="D33" s="118">
        <f>BS!AG55*1000</f>
        <v>19789.999999999996</v>
      </c>
      <c r="E33" s="97">
        <f>(+D33-F33)/F33</f>
        <v>-1.8382914639169848E-16</v>
      </c>
      <c r="F33" s="118">
        <f>BS!O55*1000</f>
        <v>19790</v>
      </c>
      <c r="G33" s="97">
        <v>1</v>
      </c>
      <c r="H33" s="118">
        <f t="shared" si="1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7" si="2">(+N33-P33)/P33</f>
        <v>-1</v>
      </c>
      <c r="P33" s="118">
        <v>20090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05">
        <f t="shared" si="0"/>
        <v>18</v>
      </c>
      <c r="B34" s="85" t="s">
        <v>626</v>
      </c>
      <c r="C34" s="85"/>
      <c r="D34" s="118">
        <f>BS!AG60*1000</f>
        <v>-1.7162339925282228E-10</v>
      </c>
      <c r="E34" s="97">
        <v>0</v>
      </c>
      <c r="F34" s="118">
        <f>BS!O59*1000</f>
        <v>1.96394012164091E-8</v>
      </c>
      <c r="G34" s="97">
        <f t="shared" ref="G34:I47" si="3">(+F34-H34)/H34</f>
        <v>-0.99999999999999711</v>
      </c>
      <c r="H34" s="118">
        <f t="shared" si="1"/>
        <v>6665308</v>
      </c>
      <c r="I34" s="97">
        <f t="shared" si="3"/>
        <v>21.532319623002525</v>
      </c>
      <c r="J34" s="118">
        <v>295811</v>
      </c>
      <c r="K34" s="97">
        <f t="shared" ref="K34:M47" si="4">(+J34-L34)/L34</f>
        <v>-0.98154829152764989</v>
      </c>
      <c r="L34" s="118">
        <v>16031632</v>
      </c>
      <c r="M34" s="97">
        <f t="shared" si="4"/>
        <v>1.9271105002274989</v>
      </c>
      <c r="N34" s="118">
        <v>5476948</v>
      </c>
      <c r="O34" s="97">
        <f t="shared" si="2"/>
        <v>0.20787594641187748</v>
      </c>
      <c r="P34" s="118">
        <v>4534363</v>
      </c>
      <c r="Q34" s="99"/>
      <c r="R34" s="115" t="s">
        <v>626</v>
      </c>
      <c r="S34" s="167">
        <v>5467552</v>
      </c>
      <c r="T34" s="167">
        <v>1197756</v>
      </c>
      <c r="U34" s="167">
        <v>6665308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05">
        <f t="shared" si="0"/>
        <v>19</v>
      </c>
      <c r="B35" s="85" t="s">
        <v>627</v>
      </c>
      <c r="C35" s="85"/>
      <c r="D35" s="118">
        <f>BS!AG63*1000</f>
        <v>118803774.34984425</v>
      </c>
      <c r="E35" s="97">
        <f t="shared" ref="E35:E45" si="5">(+D35-F35)/F35</f>
        <v>-6.2636391981811847E-3</v>
      </c>
      <c r="F35" s="118">
        <f>BS!O63*1000</f>
        <v>119552608.756295</v>
      </c>
      <c r="G35" s="97">
        <f t="shared" si="3"/>
        <v>2.1018610130932772E-2</v>
      </c>
      <c r="H35" s="118">
        <f t="shared" si="1"/>
        <v>117091508</v>
      </c>
      <c r="I35" s="97">
        <f t="shared" si="3"/>
        <v>6.695313018821944E-2</v>
      </c>
      <c r="J35" s="118">
        <v>109743816</v>
      </c>
      <c r="K35" s="97">
        <f t="shared" si="4"/>
        <v>0.18225952318461847</v>
      </c>
      <c r="L35" s="118">
        <v>92825487</v>
      </c>
      <c r="M35" s="97">
        <f t="shared" si="4"/>
        <v>-0.1415469993777832</v>
      </c>
      <c r="N35" s="118">
        <v>108131123</v>
      </c>
      <c r="O35" s="97">
        <f t="shared" si="2"/>
        <v>5.2890042634154942E-2</v>
      </c>
      <c r="P35" s="118">
        <v>102699350</v>
      </c>
      <c r="Q35" s="85"/>
      <c r="R35" s="115" t="s">
        <v>627</v>
      </c>
      <c r="S35" s="167">
        <v>83572997</v>
      </c>
      <c r="T35" s="167">
        <v>33518511</v>
      </c>
      <c r="U35" s="167">
        <v>117091508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05">
        <f t="shared" si="0"/>
        <v>20</v>
      </c>
      <c r="B36" s="85" t="s">
        <v>628</v>
      </c>
      <c r="C36" s="85"/>
      <c r="D36" s="118">
        <f>(BS!AG64+BS!AG66)*1000</f>
        <v>12799953.559999999</v>
      </c>
      <c r="E36" s="97">
        <f t="shared" si="5"/>
        <v>-2.9103936049451679E-16</v>
      </c>
      <c r="F36" s="118">
        <f>(BS!O64+BS!O66)*1000</f>
        <v>12799953.560000002</v>
      </c>
      <c r="G36" s="97">
        <f t="shared" si="3"/>
        <v>-3.1109039762747842E-2</v>
      </c>
      <c r="H36" s="118">
        <f t="shared" si="1"/>
        <v>13210933</v>
      </c>
      <c r="I36" s="97">
        <f t="shared" si="3"/>
        <v>0.14907314356033044</v>
      </c>
      <c r="J36" s="118">
        <v>11497034</v>
      </c>
      <c r="K36" s="97">
        <f t="shared" si="4"/>
        <v>0.68644481995857609</v>
      </c>
      <c r="L36" s="118">
        <v>6817320</v>
      </c>
      <c r="M36" s="97">
        <f t="shared" si="4"/>
        <v>-0.32730418829941166</v>
      </c>
      <c r="N36" s="118">
        <v>10134328</v>
      </c>
      <c r="O36" s="97">
        <f t="shared" si="2"/>
        <v>2.0296333435017362E-2</v>
      </c>
      <c r="P36" s="118">
        <v>9932730</v>
      </c>
      <c r="Q36" s="99"/>
      <c r="R36" s="115" t="s">
        <v>628</v>
      </c>
      <c r="S36" s="167">
        <v>12970037</v>
      </c>
      <c r="T36" s="167">
        <v>240896</v>
      </c>
      <c r="U36" s="167">
        <v>13210933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05">
        <f t="shared" si="0"/>
        <v>21</v>
      </c>
      <c r="B37" s="85" t="s">
        <v>629</v>
      </c>
      <c r="C37" s="101"/>
      <c r="D37" s="118">
        <f>-(BS!AG68+BS!AG69)*1000</f>
        <v>1194742.8000000003</v>
      </c>
      <c r="E37" s="97">
        <f t="shared" si="5"/>
        <v>1.9487930260292811E-16</v>
      </c>
      <c r="F37" s="118">
        <f>-(BS!O68+BS!O69)*1000</f>
        <v>1194742.8</v>
      </c>
      <c r="G37" s="97">
        <f t="shared" si="3"/>
        <v>6.0396877945564677E-2</v>
      </c>
      <c r="H37" s="118">
        <f t="shared" si="1"/>
        <v>1126694</v>
      </c>
      <c r="I37" s="97">
        <f t="shared" si="3"/>
        <v>-0.30536659108087677</v>
      </c>
      <c r="J37" s="118">
        <v>1621998</v>
      </c>
      <c r="K37" s="97">
        <f t="shared" si="4"/>
        <v>0.36910627299607585</v>
      </c>
      <c r="L37" s="118">
        <v>1184713</v>
      </c>
      <c r="M37" s="97">
        <f t="shared" si="4"/>
        <v>-0.25679009867325281</v>
      </c>
      <c r="N37" s="118">
        <v>1594049</v>
      </c>
      <c r="O37" s="97">
        <f t="shared" si="2"/>
        <v>-0.12838628469943922</v>
      </c>
      <c r="P37" s="118">
        <v>1828848</v>
      </c>
      <c r="Q37" s="99"/>
      <c r="R37" s="115" t="s">
        <v>1002</v>
      </c>
      <c r="S37" s="167">
        <v>889619</v>
      </c>
      <c r="T37" s="167">
        <v>237075</v>
      </c>
      <c r="U37" s="167">
        <v>1126694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05">
        <f t="shared" si="0"/>
        <v>22</v>
      </c>
      <c r="B38" s="85" t="s">
        <v>630</v>
      </c>
      <c r="C38" s="85"/>
      <c r="D38" s="118">
        <f>BS!AG78*1000</f>
        <v>22754065.964615338</v>
      </c>
      <c r="E38" s="97">
        <f t="shared" si="5"/>
        <v>-7.4489908177351433E-2</v>
      </c>
      <c r="F38" s="118">
        <f>BS!O78*1000</f>
        <v>24585432.580000002</v>
      </c>
      <c r="G38" s="97">
        <f t="shared" si="3"/>
        <v>4.0221264042637718E-3</v>
      </c>
      <c r="H38" s="118">
        <f t="shared" ref="H38:H43" si="6">$U39</f>
        <v>24486943</v>
      </c>
      <c r="I38" s="97">
        <f t="shared" si="3"/>
        <v>-0.12806440922407236</v>
      </c>
      <c r="J38" s="118">
        <v>28083431</v>
      </c>
      <c r="K38" s="97">
        <f t="shared" si="4"/>
        <v>0.71497323368650867</v>
      </c>
      <c r="L38" s="118">
        <v>16375434</v>
      </c>
      <c r="M38" s="97">
        <f t="shared" si="4"/>
        <v>-0.83154409615304847</v>
      </c>
      <c r="N38" s="118">
        <v>97209024</v>
      </c>
      <c r="O38" s="97">
        <f t="shared" si="2"/>
        <v>892.99939301972688</v>
      </c>
      <c r="P38" s="118">
        <v>108735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05">
        <f t="shared" si="0"/>
        <v>23</v>
      </c>
      <c r="B39" s="85" t="s">
        <v>631</v>
      </c>
      <c r="C39" s="85"/>
      <c r="D39" s="118">
        <f>BS!AG81*1000</f>
        <v>34888884.171428151</v>
      </c>
      <c r="E39" s="97">
        <f t="shared" si="5"/>
        <v>-8.4786678526446169E-2</v>
      </c>
      <c r="F39" s="118">
        <f>BS!O81*1000</f>
        <v>38121040.584565297</v>
      </c>
      <c r="G39" s="97">
        <f t="shared" si="3"/>
        <v>-0.14669072585660003</v>
      </c>
      <c r="H39" s="118">
        <f t="shared" si="6"/>
        <v>44674354</v>
      </c>
      <c r="I39" s="97">
        <f t="shared" si="3"/>
        <v>-0.25618617302443686</v>
      </c>
      <c r="J39" s="118">
        <v>60061204</v>
      </c>
      <c r="K39" s="97">
        <f t="shared" si="4"/>
        <v>-0.15454669507160154</v>
      </c>
      <c r="L39" s="118">
        <v>71040238</v>
      </c>
      <c r="M39" s="97">
        <f t="shared" si="4"/>
        <v>6.7196643797979086E-2</v>
      </c>
      <c r="N39" s="118">
        <v>66567149</v>
      </c>
      <c r="O39" s="97">
        <f t="shared" si="2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24486943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05">
        <f t="shared" si="0"/>
        <v>24</v>
      </c>
      <c r="B40" s="85" t="s">
        <v>632</v>
      </c>
      <c r="C40" s="85"/>
      <c r="D40" s="118">
        <f>(BS!AG82+BS!AG83)*1000</f>
        <v>36515600.286923073</v>
      </c>
      <c r="E40" s="97">
        <f t="shared" si="5"/>
        <v>-8.9769725182398032E-3</v>
      </c>
      <c r="F40" s="118">
        <f>(BS!O82+BS!O83)*1000</f>
        <v>36846369.130000003</v>
      </c>
      <c r="G40" s="97">
        <f t="shared" si="3"/>
        <v>3.8494722813665193E-2</v>
      </c>
      <c r="H40" s="118">
        <f t="shared" si="6"/>
        <v>35480555</v>
      </c>
      <c r="I40" s="97">
        <f t="shared" si="3"/>
        <v>2.2476553362686329E-2</v>
      </c>
      <c r="J40" s="118">
        <v>34700605</v>
      </c>
      <c r="K40" s="97">
        <f t="shared" si="4"/>
        <v>8.2759852451423851E-2</v>
      </c>
      <c r="L40" s="118">
        <v>32048293</v>
      </c>
      <c r="M40" s="97">
        <f t="shared" si="4"/>
        <v>-9.5458587690943203E-2</v>
      </c>
      <c r="N40" s="118">
        <v>35430432</v>
      </c>
      <c r="O40" s="97">
        <f t="shared" si="2"/>
        <v>-1.0785793370832368E-2</v>
      </c>
      <c r="P40" s="118">
        <v>35816744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05">
        <f>A40+1</f>
        <v>25</v>
      </c>
      <c r="B41" s="85" t="s">
        <v>633</v>
      </c>
      <c r="C41" s="85"/>
      <c r="D41" s="118">
        <f>BS!AG84*1000</f>
        <v>7888273.1300000008</v>
      </c>
      <c r="E41" s="97">
        <f t="shared" si="5"/>
        <v>1.1806418962263779E-16</v>
      </c>
      <c r="F41" s="118">
        <f>BS!O84*1000</f>
        <v>7888273.1299999999</v>
      </c>
      <c r="G41" s="97">
        <f t="shared" si="3"/>
        <v>3.0591776716330538E-2</v>
      </c>
      <c r="H41" s="118">
        <f t="shared" si="6"/>
        <v>7654120</v>
      </c>
      <c r="I41" s="97">
        <f t="shared" si="3"/>
        <v>0.13951568216377744</v>
      </c>
      <c r="J41" s="118">
        <v>6716994</v>
      </c>
      <c r="K41" s="97">
        <f t="shared" si="4"/>
        <v>0.21098312374430475</v>
      </c>
      <c r="L41" s="118">
        <v>5546728</v>
      </c>
      <c r="M41" s="97">
        <f t="shared" si="4"/>
        <v>-0.12689304442627591</v>
      </c>
      <c r="N41" s="118">
        <v>6352862</v>
      </c>
      <c r="O41" s="97">
        <f t="shared" si="2"/>
        <v>2.6836028519927484E-2</v>
      </c>
      <c r="P41" s="118">
        <v>6186832</v>
      </c>
      <c r="Q41" s="99"/>
      <c r="R41" s="115" t="s">
        <v>632</v>
      </c>
      <c r="S41" s="167">
        <v>35470297</v>
      </c>
      <c r="T41" s="167">
        <v>10258</v>
      </c>
      <c r="U41" s="167">
        <v>35480555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0"/>
        <v>26</v>
      </c>
      <c r="B42" s="85" t="s">
        <v>982</v>
      </c>
      <c r="C42" s="85"/>
      <c r="D42" s="118">
        <f>BS!AG85*1000</f>
        <v>21049082.404836699</v>
      </c>
      <c r="E42" s="97">
        <f t="shared" si="5"/>
        <v>-0.51321567882162467</v>
      </c>
      <c r="F42" s="118">
        <f>BS!O85*1000</f>
        <v>43241085.402838103</v>
      </c>
      <c r="G42" s="97">
        <f t="shared" si="3"/>
        <v>1.5979838683135766E-2</v>
      </c>
      <c r="H42" s="118">
        <f t="shared" si="6"/>
        <v>42560968</v>
      </c>
      <c r="I42" s="97">
        <f t="shared" si="3"/>
        <v>2.0556528757590606E-2</v>
      </c>
      <c r="J42" s="118">
        <v>41703685</v>
      </c>
      <c r="K42" s="97">
        <f t="shared" si="4"/>
        <v>-8.6733418020488468E-3</v>
      </c>
      <c r="L42" s="118">
        <v>42068560</v>
      </c>
      <c r="M42" s="97">
        <f t="shared" si="4"/>
        <v>-0.22313040264403977</v>
      </c>
      <c r="N42" s="118">
        <v>54151379</v>
      </c>
      <c r="O42" s="97">
        <f t="shared" si="2"/>
        <v>0.1389048006675011</v>
      </c>
      <c r="P42" s="118">
        <v>47546888</v>
      </c>
      <c r="Q42" s="99"/>
      <c r="R42" s="115" t="s">
        <v>633</v>
      </c>
      <c r="S42" s="167">
        <v>7137329</v>
      </c>
      <c r="T42" s="167">
        <v>516791</v>
      </c>
      <c r="U42" s="167">
        <v>7654120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0"/>
        <v>27</v>
      </c>
      <c r="B43" s="85" t="s">
        <v>634</v>
      </c>
      <c r="C43" s="85"/>
      <c r="D43" s="118">
        <f>BS!AG92*1000</f>
        <v>17651351.893322214</v>
      </c>
      <c r="E43" s="97">
        <f t="shared" si="5"/>
        <v>8.7642495847016111E-2</v>
      </c>
      <c r="F43" s="118">
        <f>BS!O92*1000</f>
        <v>16229001.6809025</v>
      </c>
      <c r="G43" s="97">
        <f t="shared" si="3"/>
        <v>8.5712956958399769E-2</v>
      </c>
      <c r="H43" s="118">
        <f t="shared" si="6"/>
        <v>14947783</v>
      </c>
      <c r="I43" s="97">
        <f t="shared" si="3"/>
        <v>-6.2075697393391147E-3</v>
      </c>
      <c r="J43" s="118">
        <v>15041152</v>
      </c>
      <c r="K43" s="97">
        <f t="shared" si="4"/>
        <v>1.3238417949561354</v>
      </c>
      <c r="L43" s="118">
        <v>6472537</v>
      </c>
      <c r="M43" s="97">
        <f t="shared" si="4"/>
        <v>-0.15246384455653783</v>
      </c>
      <c r="N43" s="118">
        <v>7636886</v>
      </c>
      <c r="O43" s="97">
        <f t="shared" si="2"/>
        <v>0.48992931655764027</v>
      </c>
      <c r="P43" s="118">
        <v>5125670</v>
      </c>
      <c r="Q43" s="99"/>
      <c r="R43" s="115" t="s">
        <v>993</v>
      </c>
      <c r="S43" s="167">
        <v>0</v>
      </c>
      <c r="T43" s="167">
        <v>42560968</v>
      </c>
      <c r="U43" s="167">
        <v>42560968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05">
        <f t="shared" si="0"/>
        <v>28</v>
      </c>
      <c r="B44" s="85" t="s">
        <v>1001</v>
      </c>
      <c r="C44" s="85"/>
      <c r="D44" s="118">
        <f>(BS!AG70+BS!AG71)*1000</f>
        <v>1344236.5800000003</v>
      </c>
      <c r="E44" s="97">
        <f t="shared" si="5"/>
        <v>1.7320659705144285E-16</v>
      </c>
      <c r="F44" s="118">
        <f>(BS!O70+BS!O71)*1000</f>
        <v>1344236.58</v>
      </c>
      <c r="G44" s="97">
        <f t="shared" si="3"/>
        <v>1.5066507417932826</v>
      </c>
      <c r="H44" s="118">
        <f>$U46+$U47</f>
        <v>536268</v>
      </c>
      <c r="I44" s="97">
        <f t="shared" si="3"/>
        <v>0.41256608216709995</v>
      </c>
      <c r="J44" s="118">
        <v>379641</v>
      </c>
      <c r="K44" s="97">
        <f t="shared" si="4"/>
        <v>-0.17273321566320193</v>
      </c>
      <c r="L44" s="118">
        <v>458910</v>
      </c>
      <c r="M44" s="97">
        <f t="shared" si="4"/>
        <v>-0.41947530009146006</v>
      </c>
      <c r="N44" s="118">
        <v>790509</v>
      </c>
      <c r="O44" s="97">
        <f t="shared" si="2"/>
        <v>0.40583168980645806</v>
      </c>
      <c r="P44" s="118">
        <v>562307</v>
      </c>
      <c r="Q44" s="85"/>
      <c r="R44" s="115" t="s">
        <v>634</v>
      </c>
      <c r="S44" s="167">
        <v>12440831</v>
      </c>
      <c r="T44" s="167">
        <v>2506952</v>
      </c>
      <c r="U44" s="167">
        <v>14947783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05">
        <f t="shared" si="0"/>
        <v>29</v>
      </c>
      <c r="B45" s="85" t="s">
        <v>636</v>
      </c>
      <c r="C45" s="85"/>
      <c r="D45" s="123">
        <f>BS!AG72*1000</f>
        <v>72786181.082578346</v>
      </c>
      <c r="E45" s="97">
        <f t="shared" si="5"/>
        <v>-0.11899407315484099</v>
      </c>
      <c r="F45" s="123">
        <f>BS!O72*1000</f>
        <v>82617129.879275903</v>
      </c>
      <c r="G45" s="97">
        <f t="shared" si="3"/>
        <v>-8.9851541947988695E-2</v>
      </c>
      <c r="H45" s="118">
        <f>$U48+$U49</f>
        <v>90773246</v>
      </c>
      <c r="I45" s="97">
        <f t="shared" si="3"/>
        <v>0.20839129519192878</v>
      </c>
      <c r="J45" s="118">
        <v>75119083</v>
      </c>
      <c r="K45" s="97">
        <f t="shared" si="4"/>
        <v>0.1204862104380531</v>
      </c>
      <c r="L45" s="118">
        <v>67041506</v>
      </c>
      <c r="M45" s="97">
        <f t="shared" si="4"/>
        <v>-0.12219871607686528</v>
      </c>
      <c r="N45" s="118">
        <v>76374354</v>
      </c>
      <c r="O45" s="97">
        <f t="shared" si="2"/>
        <v>-0.1030859120139743</v>
      </c>
      <c r="P45" s="118">
        <v>85152363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05">
        <f t="shared" si="0"/>
        <v>30</v>
      </c>
      <c r="B46" s="85" t="s">
        <v>637</v>
      </c>
      <c r="C46" s="85"/>
      <c r="D46" s="123">
        <f>BS!AG96*1000</f>
        <v>0</v>
      </c>
      <c r="E46" s="97">
        <v>0</v>
      </c>
      <c r="F46" s="123">
        <f>BS!O96*1000</f>
        <v>0</v>
      </c>
      <c r="G46" s="97">
        <f t="shared" si="3"/>
        <v>-1</v>
      </c>
      <c r="H46" s="123">
        <f>$U45</f>
        <v>147</v>
      </c>
      <c r="I46" s="97">
        <f t="shared" si="3"/>
        <v>-2.6490066225165563E-2</v>
      </c>
      <c r="J46" s="123">
        <v>151</v>
      </c>
      <c r="K46" s="97">
        <f t="shared" si="4"/>
        <v>-0.73555166374781089</v>
      </c>
      <c r="L46" s="123">
        <v>571</v>
      </c>
      <c r="M46" s="97">
        <f t="shared" si="4"/>
        <v>-0.90978037604676887</v>
      </c>
      <c r="N46" s="123">
        <v>6329</v>
      </c>
      <c r="O46" s="97">
        <f t="shared" si="2"/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732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05">
        <f t="shared" si="0"/>
        <v>31</v>
      </c>
      <c r="B47" s="85" t="s">
        <v>446</v>
      </c>
      <c r="C47" s="85"/>
      <c r="D47" s="117">
        <f>SUM(D31:D36)-D37+SUM(D38:D40)+SUM(D41:D46)</f>
        <v>350306450.62354803</v>
      </c>
      <c r="E47" s="97">
        <f>(+D47-F47)/F47</f>
        <v>-9.493272423812979E-2</v>
      </c>
      <c r="F47" s="117">
        <f>SUM(F31:F36)-F37+SUM(F38:F40)+SUM(F41:F46)</f>
        <v>387050178.48387682</v>
      </c>
      <c r="G47" s="97">
        <f t="shared" si="3"/>
        <v>-4.4225224349098972E-2</v>
      </c>
      <c r="H47" s="117">
        <f>SUM(H31:H36)-H37+SUM(H38:H40)+SUM(H41:H46)</f>
        <v>404959608</v>
      </c>
      <c r="I47" s="97">
        <f t="shared" si="3"/>
        <v>4.8540387955244166E-2</v>
      </c>
      <c r="J47" s="117">
        <v>386212694</v>
      </c>
      <c r="K47" s="97">
        <f t="shared" si="4"/>
        <v>7.7927303907430329E-2</v>
      </c>
      <c r="L47" s="117">
        <v>358291967</v>
      </c>
      <c r="M47" s="97">
        <f t="shared" si="4"/>
        <v>-0.23951951404839952</v>
      </c>
      <c r="N47" s="117">
        <f>SUM(N31:N36)-N37+SUM(N38:N40)+SUM(N41:N46)</f>
        <v>471138936</v>
      </c>
      <c r="O47" s="97">
        <f t="shared" si="2"/>
        <v>0.29590958915078786</v>
      </c>
      <c r="P47" s="117">
        <f>SUM(P31:P36)-P37+SUM(P38:P40)+SUM(P41:P46)</f>
        <v>363558492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92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90390415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73">
        <f>A47+1</f>
        <v>32</v>
      </c>
      <c r="B49" s="96" t="s">
        <v>638</v>
      </c>
      <c r="C49" s="85"/>
      <c r="D49" s="110"/>
      <c r="E49" s="109"/>
      <c r="F49" s="110"/>
      <c r="G49" s="109"/>
      <c r="H49" s="110"/>
      <c r="I49" s="109"/>
      <c r="J49" s="110"/>
      <c r="K49" s="109"/>
      <c r="L49" s="110"/>
      <c r="M49" s="109"/>
      <c r="N49" s="110"/>
      <c r="O49" s="109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85"/>
      <c r="W49" s="110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05">
        <f t="shared" ref="A50:A55" si="7">A49+1</f>
        <v>33</v>
      </c>
      <c r="B50" s="85" t="s">
        <v>639</v>
      </c>
      <c r="C50" s="85"/>
      <c r="D50" s="121">
        <f>(BS!AG102+BS!AG103)*1000</f>
        <v>17976815.554752786</v>
      </c>
      <c r="E50" s="97">
        <f t="shared" ref="E50:E55" si="8">(+D50-F50)/F50</f>
        <v>0.36453151149746049</v>
      </c>
      <c r="F50" s="121">
        <f>(BS!O102+BS!O103)*1000</f>
        <v>13174349.879999999</v>
      </c>
      <c r="G50" s="97">
        <f t="shared" ref="G50:I55" si="9">(+F50-H50)/H50</f>
        <v>-5.5227568722767503E-2</v>
      </c>
      <c r="H50" s="121">
        <f>$U53</f>
        <v>13944469</v>
      </c>
      <c r="I50" s="97">
        <f t="shared" si="9"/>
        <v>-3.5246429376450041E-2</v>
      </c>
      <c r="J50" s="121">
        <v>14453918</v>
      </c>
      <c r="K50" s="97">
        <f t="shared" ref="K50:M55" si="10">(+J50-L50)/L50</f>
        <v>-8.9914547566149847E-2</v>
      </c>
      <c r="L50" s="121">
        <v>15881935</v>
      </c>
      <c r="M50" s="97">
        <f t="shared" si="10"/>
        <v>0.22192417299353412</v>
      </c>
      <c r="N50" s="121">
        <v>12997480</v>
      </c>
      <c r="O50" s="97">
        <f t="shared" ref="O50:O55" si="11">(+N50-P50)/P50</f>
        <v>-6.9312298959332372E-2</v>
      </c>
      <c r="P50" s="121">
        <v>13965458</v>
      </c>
      <c r="Q50" s="99"/>
      <c r="R50" s="125" t="s">
        <v>996</v>
      </c>
      <c r="S50" s="164">
        <v>293591234</v>
      </c>
      <c r="T50" s="164">
        <v>111368374</v>
      </c>
      <c r="U50" s="167">
        <v>404959608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05">
        <f t="shared" si="7"/>
        <v>34</v>
      </c>
      <c r="B51" s="85" t="s">
        <v>640</v>
      </c>
      <c r="C51" s="85"/>
      <c r="D51" s="118">
        <f>BS!AG121*1000</f>
        <v>396163922.46369189</v>
      </c>
      <c r="E51" s="97">
        <f t="shared" si="8"/>
        <v>-1.7125920157906514E-2</v>
      </c>
      <c r="F51" s="118">
        <f>BS!O121*1000</f>
        <v>403066812.51309299</v>
      </c>
      <c r="G51" s="97">
        <f t="shared" si="9"/>
        <v>-2.7868956535722442E-2</v>
      </c>
      <c r="H51" s="118">
        <f>$U54</f>
        <v>414621892</v>
      </c>
      <c r="I51" s="97">
        <f t="shared" si="9"/>
        <v>-9.1446277454987374E-2</v>
      </c>
      <c r="J51" s="118">
        <v>456353743</v>
      </c>
      <c r="K51" s="97">
        <f t="shared" si="10"/>
        <v>5.0506410031187436E-2</v>
      </c>
      <c r="L51" s="118">
        <v>434413097</v>
      </c>
      <c r="M51" s="97">
        <f t="shared" si="10"/>
        <v>5.7943552999905522E-2</v>
      </c>
      <c r="N51" s="118">
        <v>410620298</v>
      </c>
      <c r="O51" s="97">
        <f t="shared" si="11"/>
        <v>0.31332600856044729</v>
      </c>
      <c r="P51" s="118">
        <v>312656793</v>
      </c>
      <c r="Q51" s="85"/>
      <c r="R51" s="125"/>
      <c r="S51" s="164"/>
      <c r="T51" s="164"/>
      <c r="U51" s="167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7"/>
        <v>35</v>
      </c>
      <c r="B52" s="85" t="s">
        <v>641</v>
      </c>
      <c r="C52" s="85"/>
      <c r="D52" s="118">
        <f>BS!AG135*1000</f>
        <v>15945451.915489636</v>
      </c>
      <c r="E52" s="97">
        <f t="shared" si="8"/>
        <v>-4.4282749175647319E-2</v>
      </c>
      <c r="F52" s="118">
        <f>BS!O135*1000</f>
        <v>16684277.595424701</v>
      </c>
      <c r="G52" s="97">
        <f t="shared" si="9"/>
        <v>0.99006054953392286</v>
      </c>
      <c r="H52" s="118">
        <f>$U55</f>
        <v>8383804</v>
      </c>
      <c r="I52" s="97">
        <f t="shared" si="9"/>
        <v>5.1033877203427322E-2</v>
      </c>
      <c r="J52" s="118">
        <v>7976721</v>
      </c>
      <c r="K52" s="97">
        <f t="shared" si="10"/>
        <v>0.21119651177780621</v>
      </c>
      <c r="L52" s="118">
        <v>6585819</v>
      </c>
      <c r="M52" s="97">
        <f t="shared" si="10"/>
        <v>0.75518026937667271</v>
      </c>
      <c r="N52" s="118">
        <v>3752218</v>
      </c>
      <c r="O52" s="97">
        <f t="shared" si="11"/>
        <v>1.5115323305860024</v>
      </c>
      <c r="P52" s="118">
        <v>1493995.5</v>
      </c>
      <c r="Q52" s="99"/>
      <c r="R52" s="160" t="s">
        <v>638</v>
      </c>
      <c r="S52" s="164"/>
      <c r="T52" s="164"/>
      <c r="U52" s="167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7"/>
        <v>36</v>
      </c>
      <c r="B53" s="85" t="s">
        <v>642</v>
      </c>
      <c r="C53" s="85"/>
      <c r="D53" s="118">
        <f>BS!AG104*1000</f>
        <v>13781615.670737375</v>
      </c>
      <c r="E53" s="97">
        <f t="shared" si="8"/>
        <v>-5.2090272987039027E-2</v>
      </c>
      <c r="F53" s="118">
        <f>BS!O104*1000</f>
        <v>14538953.739999902</v>
      </c>
      <c r="G53" s="97">
        <f t="shared" si="9"/>
        <v>-6.5495499143594094E-2</v>
      </c>
      <c r="H53" s="118">
        <f>$U56</f>
        <v>15557928</v>
      </c>
      <c r="I53" s="97">
        <f t="shared" si="9"/>
        <v>-1.9486404678789944E-3</v>
      </c>
      <c r="J53" s="118">
        <v>15588304</v>
      </c>
      <c r="K53" s="97">
        <f t="shared" si="10"/>
        <v>-7.563849109050412E-2</v>
      </c>
      <c r="L53" s="118">
        <v>16863861</v>
      </c>
      <c r="M53" s="97">
        <f t="shared" si="10"/>
        <v>-6.4743166618065895E-2</v>
      </c>
      <c r="N53" s="118">
        <v>18031262</v>
      </c>
      <c r="O53" s="97">
        <f t="shared" si="11"/>
        <v>-2.2306285826943842E-2</v>
      </c>
      <c r="P53" s="118">
        <v>18442649</v>
      </c>
      <c r="Q53" s="99"/>
      <c r="R53" s="125" t="s">
        <v>997</v>
      </c>
      <c r="S53" s="164">
        <v>11434465</v>
      </c>
      <c r="T53" s="164">
        <v>2510004</v>
      </c>
      <c r="U53" s="167">
        <v>13944469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7"/>
        <v>37</v>
      </c>
      <c r="B54" s="85" t="s">
        <v>643</v>
      </c>
      <c r="C54" s="85"/>
      <c r="D54" s="118">
        <f>BS!AG111*1000</f>
        <v>302999060.14999992</v>
      </c>
      <c r="E54" s="97">
        <f t="shared" si="8"/>
        <v>-1.9671560943417874E-16</v>
      </c>
      <c r="F54" s="118">
        <f>BS!O111*1000</f>
        <v>302999060.14999998</v>
      </c>
      <c r="G54" s="97">
        <f t="shared" si="9"/>
        <v>-5.2760618319896008E-2</v>
      </c>
      <c r="H54" s="118">
        <f>$U57</f>
        <v>319875911</v>
      </c>
      <c r="I54" s="97">
        <f t="shared" si="9"/>
        <v>0.23759695279833173</v>
      </c>
      <c r="J54" s="118">
        <v>258465335</v>
      </c>
      <c r="K54" s="97">
        <f t="shared" si="10"/>
        <v>-1.0251027416805593E-2</v>
      </c>
      <c r="L54" s="118">
        <v>261142312</v>
      </c>
      <c r="M54" s="97">
        <f t="shared" si="10"/>
        <v>0.65409120451724923</v>
      </c>
      <c r="N54" s="118">
        <v>157876610</v>
      </c>
      <c r="O54" s="97">
        <f t="shared" si="11"/>
        <v>0.20517847639070089</v>
      </c>
      <c r="P54" s="118">
        <v>130998531</v>
      </c>
      <c r="Q54" s="85"/>
      <c r="R54" s="115" t="s">
        <v>640</v>
      </c>
      <c r="S54" s="170">
        <v>349146260</v>
      </c>
      <c r="T54" s="170">
        <v>65475632</v>
      </c>
      <c r="U54" s="170">
        <v>414621892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05">
        <f t="shared" si="7"/>
        <v>38</v>
      </c>
      <c r="B55" s="85" t="s">
        <v>575</v>
      </c>
      <c r="C55" s="85"/>
      <c r="D55" s="117">
        <f>SUM(D50:D54)</f>
        <v>746866865.75467157</v>
      </c>
      <c r="E55" s="97">
        <f t="shared" si="8"/>
        <v>-4.7924893680808831E-3</v>
      </c>
      <c r="F55" s="117">
        <f>SUM(F50:F54)</f>
        <v>750463453.87851763</v>
      </c>
      <c r="G55" s="97">
        <f t="shared" si="9"/>
        <v>-2.8380378164178516E-2</v>
      </c>
      <c r="H55" s="117">
        <f>SUM(H50:H54)</f>
        <v>772384004</v>
      </c>
      <c r="I55" s="97">
        <f t="shared" si="9"/>
        <v>2.5963065699095449E-2</v>
      </c>
      <c r="J55" s="117">
        <v>752838021</v>
      </c>
      <c r="K55" s="97">
        <f t="shared" si="10"/>
        <v>2.4426879797512929E-2</v>
      </c>
      <c r="L55" s="117">
        <v>734887024</v>
      </c>
      <c r="M55" s="97">
        <f t="shared" si="10"/>
        <v>0.21815677812997442</v>
      </c>
      <c r="N55" s="117">
        <f>SUM(N50:N54)</f>
        <v>603277868</v>
      </c>
      <c r="O55" s="97">
        <f t="shared" si="11"/>
        <v>0.26325722211337027</v>
      </c>
      <c r="P55" s="117">
        <f>SUM(P50:P54)</f>
        <v>477557426.5</v>
      </c>
      <c r="Q55" s="85"/>
      <c r="R55" s="115" t="s">
        <v>641</v>
      </c>
      <c r="S55" s="167">
        <v>5627588</v>
      </c>
      <c r="T55" s="167">
        <v>2756216</v>
      </c>
      <c r="U55" s="167">
        <v>8383804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92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7">
        <v>15557928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73">
        <f>A55+1</f>
        <v>39</v>
      </c>
      <c r="B57" s="85" t="s">
        <v>576</v>
      </c>
      <c r="C57" s="85"/>
      <c r="D57" s="120">
        <f>D21+D28+D47+D55</f>
        <v>6719265677.1354923</v>
      </c>
      <c r="E57" s="97">
        <f t="shared" ref="E57" si="12">(+D57-F57)/F57</f>
        <v>3.1894483192845074E-2</v>
      </c>
      <c r="F57" s="120">
        <f>F21+F28+F47+F55</f>
        <v>6511582130.3211346</v>
      </c>
      <c r="G57" s="97">
        <f t="shared" ref="G57:I57" si="13">(+F57-H57)/H57</f>
        <v>5.2030623125919433E-2</v>
      </c>
      <c r="H57" s="120">
        <f>H21+H28+H47+H55</f>
        <v>6189536680</v>
      </c>
      <c r="I57" s="97">
        <f t="shared" si="13"/>
        <v>5.6283279244119654E-2</v>
      </c>
      <c r="J57" s="120">
        <f>J21+J28+J47+J55</f>
        <v>5859731761</v>
      </c>
      <c r="K57" s="97">
        <f t="shared" ref="K57:M57" si="14">(+J57-L57)/L57</f>
        <v>4.4340216939588707E-2</v>
      </c>
      <c r="L57" s="120">
        <f>L21+L28+L47+L55</f>
        <v>5610941402</v>
      </c>
      <c r="M57" s="97">
        <f t="shared" si="14"/>
        <v>0.10835849542945528</v>
      </c>
      <c r="N57" s="120">
        <f>N21+N28+N47+N55</f>
        <v>5062388591</v>
      </c>
      <c r="O57" s="97">
        <f t="shared" ref="O57" si="15">(+N57-P57)/P57</f>
        <v>0.18230983798098391</v>
      </c>
      <c r="P57" s="120">
        <f>P21+P28+P47+P55</f>
        <v>4281778285.5</v>
      </c>
      <c r="Q57" s="85"/>
      <c r="R57" s="115" t="s">
        <v>643</v>
      </c>
      <c r="S57" s="85">
        <v>264311392</v>
      </c>
      <c r="T57" s="85">
        <v>55564519</v>
      </c>
      <c r="U57" s="85">
        <v>319875911</v>
      </c>
      <c r="V57" s="85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92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7">
        <v>772384004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92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59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6189536680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TOTAL COMPANY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_____ ORIGINAL  _____ UPDATED  __X__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1506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92" t="s">
        <v>582</v>
      </c>
      <c r="B70" s="85"/>
      <c r="C70" s="85"/>
      <c r="D70" s="92" t="s">
        <v>578</v>
      </c>
      <c r="E70" s="85"/>
      <c r="F70" s="92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92" t="s">
        <v>583</v>
      </c>
      <c r="B71" s="92" t="s">
        <v>165</v>
      </c>
      <c r="C71" s="85"/>
      <c r="D71" s="92" t="s">
        <v>579</v>
      </c>
      <c r="E71" s="92" t="s">
        <v>580</v>
      </c>
      <c r="F71" s="92" t="s">
        <v>579</v>
      </c>
      <c r="G71" s="92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92" t="s">
        <v>580</v>
      </c>
      <c r="N71" s="93">
        <f>+N12</f>
        <v>2014</v>
      </c>
      <c r="O71" s="92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92">
        <v>1</v>
      </c>
      <c r="B73" s="847" t="s">
        <v>644</v>
      </c>
      <c r="C73" s="847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06"/>
      <c r="B74" s="107"/>
      <c r="C74" s="107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869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92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92">
        <f>A75+1</f>
        <v>3</v>
      </c>
      <c r="B76" s="85" t="s">
        <v>645</v>
      </c>
      <c r="C76" s="85"/>
      <c r="D76" s="121">
        <f>BS!AG147*1000</f>
        <v>425170424.08999991</v>
      </c>
      <c r="E76" s="97">
        <f>(+D76-F76)/F76</f>
        <v>-1.4019000710824028E-16</v>
      </c>
      <c r="F76" s="121">
        <f>BS!O147*1000</f>
        <v>425170424.08999997</v>
      </c>
      <c r="G76" s="97">
        <f>(+F76-H76)/H76</f>
        <v>2.1167976108788861E-10</v>
      </c>
      <c r="H76" s="121">
        <f>$U76</f>
        <v>425170424</v>
      </c>
      <c r="I76" s="97">
        <f>(+H76-J76)/J76</f>
        <v>0</v>
      </c>
      <c r="J76" s="121">
        <v>425170424</v>
      </c>
      <c r="K76" s="97">
        <f>(+J76-L76)/L76</f>
        <v>0</v>
      </c>
      <c r="L76" s="121">
        <v>425170424</v>
      </c>
      <c r="M76" s="97">
        <f>(+L76-N76)/N76</f>
        <v>0</v>
      </c>
      <c r="N76" s="121">
        <v>425170424</v>
      </c>
      <c r="O76" s="97">
        <f>(+N76-P76)/P76</f>
        <v>0</v>
      </c>
      <c r="P76" s="121">
        <v>425170424</v>
      </c>
      <c r="Q76" s="99"/>
      <c r="R76" s="85" t="s">
        <v>645</v>
      </c>
      <c r="S76" s="85">
        <v>348767299</v>
      </c>
      <c r="T76" s="85">
        <v>76403125</v>
      </c>
      <c r="U76" s="85">
        <v>425170424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06">
        <f t="shared" ref="A77:A82" si="16">A76+1</f>
        <v>4</v>
      </c>
      <c r="B77" s="85" t="s">
        <v>646</v>
      </c>
      <c r="C77" s="85"/>
      <c r="D77" s="112">
        <f>BS!AG155*1000</f>
        <v>700132748.19653022</v>
      </c>
      <c r="E77" s="97">
        <f>(+D77-F77)/F77</f>
        <v>8.6904720682214304E-2</v>
      </c>
      <c r="F77" s="112">
        <f>BS!O155*1000</f>
        <v>644152826.71426797</v>
      </c>
      <c r="G77" s="97">
        <f>(+F77-H77)/H77</f>
        <v>0.24334265546561809</v>
      </c>
      <c r="H77" s="112">
        <f>$U78</f>
        <v>518081499</v>
      </c>
      <c r="I77" s="97">
        <f>(+H77-J77)/J77</f>
        <v>6.146514477902798E-2</v>
      </c>
      <c r="J77" s="112">
        <v>488081499</v>
      </c>
      <c r="K77" s="97">
        <f>(+J77-L77)/L77</f>
        <v>0.17023051890393248</v>
      </c>
      <c r="L77" s="112">
        <v>417081499</v>
      </c>
      <c r="M77" s="97">
        <f>(+L77-N77)/N77</f>
        <v>0.27516077881250017</v>
      </c>
      <c r="N77" s="112">
        <v>327081499</v>
      </c>
      <c r="O77" s="97">
        <f>(+N77-P77)/P77</f>
        <v>0.92875697483957254</v>
      </c>
      <c r="P77" s="112">
        <v>169581499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06">
        <f t="shared" si="16"/>
        <v>5</v>
      </c>
      <c r="B78" s="85" t="s">
        <v>647</v>
      </c>
      <c r="C78" s="85"/>
      <c r="D78" s="112">
        <f>-BS!AG151*1000</f>
        <v>835888.63999999978</v>
      </c>
      <c r="E78" s="97">
        <f>(+D78-F78)/F78</f>
        <v>-2.7854265809123764E-16</v>
      </c>
      <c r="F78" s="112">
        <f>-BS!O151*1000</f>
        <v>835888.64000000001</v>
      </c>
      <c r="G78" s="97">
        <f>(+F78-H78)/H78</f>
        <v>-4.3067919303403942E-7</v>
      </c>
      <c r="H78" s="112">
        <f>$U80</f>
        <v>835889</v>
      </c>
      <c r="I78" s="97">
        <f>(+H78-J78)/J78</f>
        <v>0</v>
      </c>
      <c r="J78" s="112">
        <v>835889</v>
      </c>
      <c r="K78" s="97">
        <f>(+J78-L78)/L78</f>
        <v>0</v>
      </c>
      <c r="L78" s="112">
        <v>835889</v>
      </c>
      <c r="M78" s="97">
        <f>(+L78-N78)/N78</f>
        <v>0</v>
      </c>
      <c r="N78" s="112">
        <v>835889</v>
      </c>
      <c r="O78" s="97">
        <f>(+N78-P78)/P78</f>
        <v>0</v>
      </c>
      <c r="P78" s="112">
        <v>835889</v>
      </c>
      <c r="Q78" s="99"/>
      <c r="R78" s="85" t="s">
        <v>1006</v>
      </c>
      <c r="S78" s="85">
        <v>424982254</v>
      </c>
      <c r="T78" s="85">
        <v>93099245</v>
      </c>
      <c r="U78" s="85">
        <v>518081499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06">
        <f t="shared" si="16"/>
        <v>6</v>
      </c>
      <c r="B79" s="85" t="s">
        <v>648</v>
      </c>
      <c r="C79" s="85"/>
      <c r="D79" s="118">
        <f>BS!AG161*1000</f>
        <v>0</v>
      </c>
      <c r="E79" s="97">
        <v>0</v>
      </c>
      <c r="F79" s="118">
        <f>BS!O161*1000</f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06">
        <f t="shared" si="16"/>
        <v>7</v>
      </c>
      <c r="B80" s="85" t="s">
        <v>649</v>
      </c>
      <c r="C80" s="85"/>
      <c r="D80" s="112">
        <f>BS!AG159*1000</f>
        <v>1313236533.5701864</v>
      </c>
      <c r="E80" s="97">
        <f>(+D80-F80)/F80</f>
        <v>3.5861574315633429E-2</v>
      </c>
      <c r="F80" s="112">
        <f>BS!O159*1000</f>
        <v>1267772225.6835401</v>
      </c>
      <c r="G80" s="97">
        <f>(+F80-H80)/H80</f>
        <v>5.9850962699185398E-2</v>
      </c>
      <c r="H80" s="112">
        <f>$U81</f>
        <v>1196179718</v>
      </c>
      <c r="I80" s="97">
        <f>(+H80-J80)/J80</f>
        <v>1.8819580134095539E-2</v>
      </c>
      <c r="J80" s="112">
        <v>1174083951</v>
      </c>
      <c r="K80" s="97">
        <f>(+J80-L80)/L80</f>
        <v>6.8461739505170482E-2</v>
      </c>
      <c r="L80" s="112">
        <v>1098854463</v>
      </c>
      <c r="M80" s="97">
        <f>(+L80-N80)/N80</f>
        <v>6.4332941131038296E-2</v>
      </c>
      <c r="N80" s="112">
        <v>1032434890</v>
      </c>
      <c r="O80" s="97">
        <f>(+N80-P80)/P80</f>
        <v>5.7494399287063909E-2</v>
      </c>
      <c r="P80" s="112">
        <v>976302939</v>
      </c>
      <c r="Q80" s="99"/>
      <c r="R80" s="85" t="s">
        <v>647</v>
      </c>
      <c r="S80" s="85">
        <v>685680</v>
      </c>
      <c r="T80" s="85">
        <v>150209</v>
      </c>
      <c r="U80" s="85">
        <v>835889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06">
        <f t="shared" si="16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1196179718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06">
        <f t="shared" si="16"/>
        <v>9</v>
      </c>
      <c r="B82" s="85" t="s">
        <v>651</v>
      </c>
      <c r="C82" s="85"/>
      <c r="D82" s="117">
        <f>SUM(D76,D77,-D78,D79,D80,D81)</f>
        <v>2437703817.2167163</v>
      </c>
      <c r="E82" s="97">
        <f>(+D82-F82)/F82</f>
        <v>4.342164282452881E-2</v>
      </c>
      <c r="F82" s="117">
        <f>SUM(F76,F77,-F78,F79,F80,F81)</f>
        <v>2336259587.8478079</v>
      </c>
      <c r="G82" s="97">
        <f>(+F82-H82)/H82</f>
        <v>9.2426928119984347E-2</v>
      </c>
      <c r="H82" s="117">
        <f>SUM(H76,H77,-H78,H79,H80,H81)</f>
        <v>2138595752</v>
      </c>
      <c r="I82" s="97">
        <f>(+H82-J82)/J82</f>
        <v>2.4968016953999642E-2</v>
      </c>
      <c r="J82" s="117">
        <v>2086499985</v>
      </c>
      <c r="K82" s="97">
        <f>(+J82-L82)/L82</f>
        <v>7.5365516419538689E-2</v>
      </c>
      <c r="L82" s="117">
        <v>1940270497</v>
      </c>
      <c r="M82" s="97">
        <f>(+L82-N82)/N82</f>
        <v>8.7686460171937555E-2</v>
      </c>
      <c r="N82" s="117">
        <f>SUM(N76,N77,-N78,N79,N80,N81)</f>
        <v>1783850924</v>
      </c>
      <c r="O82" s="97">
        <f>(+N82-P82)/P82</f>
        <v>0.13605233070890935</v>
      </c>
      <c r="P82" s="117">
        <f>SUM(P76,P77,-P78,P79,P80,P81)</f>
        <v>1570218973</v>
      </c>
      <c r="Q82" s="85"/>
      <c r="R82" s="85" t="s">
        <v>1007</v>
      </c>
      <c r="S82" s="85">
        <v>1756557893</v>
      </c>
      <c r="T82" s="85">
        <v>382037859</v>
      </c>
      <c r="U82" s="85">
        <v>2138595752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92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06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06">
        <f>A84+1</f>
        <v>11</v>
      </c>
      <c r="B85" s="85" t="s">
        <v>652</v>
      </c>
      <c r="C85" s="85"/>
      <c r="D85" s="121">
        <f>BS!AG172*1000</f>
        <v>2097250329.9823077</v>
      </c>
      <c r="E85" s="97">
        <f>(+D85-F85)/F85</f>
        <v>0.15222453264004987</v>
      </c>
      <c r="F85" s="121">
        <f>BS!O172*1000</f>
        <v>1820175035.8299999</v>
      </c>
      <c r="G85" s="97">
        <f>(+F85-H85)/H85</f>
        <v>5.8246193674549078E-2</v>
      </c>
      <c r="H85" s="121">
        <f>$U88+$U86</f>
        <v>1719992046</v>
      </c>
      <c r="I85" s="97">
        <f>(+H85-J85)/J85</f>
        <v>5.5266163014756432E-2</v>
      </c>
      <c r="J85" s="121">
        <v>1629913008</v>
      </c>
      <c r="K85" s="97">
        <f>(+J85-L85)/L85</f>
        <v>-1.4997291388056673E-2</v>
      </c>
      <c r="L85" s="121">
        <v>1654729468</v>
      </c>
      <c r="M85" s="97">
        <f>(+L85-N85)/N85</f>
        <v>0.22143369793374315</v>
      </c>
      <c r="N85" s="121">
        <v>1354743586</v>
      </c>
      <c r="O85" s="97">
        <f>(+N85-P85)/P85</f>
        <v>2.5163637272510627E-4</v>
      </c>
      <c r="P85" s="121">
        <v>1354402769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06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06">
        <f>A86+1</f>
        <v>13</v>
      </c>
      <c r="B87" s="85" t="s">
        <v>653</v>
      </c>
      <c r="C87" s="85"/>
      <c r="D87" s="117">
        <f>SUM(D85:D86)</f>
        <v>2097250329.9823077</v>
      </c>
      <c r="E87" s="97">
        <f>(+D87-F87)/F87</f>
        <v>0.15222453264004987</v>
      </c>
      <c r="F87" s="117">
        <f>SUM(F85:F86)</f>
        <v>1820175035.8299999</v>
      </c>
      <c r="G87" s="97">
        <f>(+F87-H87)/H87</f>
        <v>5.8246193674549078E-2</v>
      </c>
      <c r="H87" s="117">
        <f>SUM(H85:H86)</f>
        <v>1719992046</v>
      </c>
      <c r="I87" s="97">
        <f>(+H87-J87)/J87</f>
        <v>5.5266163014756432E-2</v>
      </c>
      <c r="J87" s="117">
        <v>1629913008</v>
      </c>
      <c r="K87" s="97">
        <f>(+J87-L87)/L87</f>
        <v>-1.4997291388056673E-2</v>
      </c>
      <c r="L87" s="117">
        <v>1654729468</v>
      </c>
      <c r="M87" s="97">
        <f>(+L87-N87)/N87</f>
        <v>0.22143369793374315</v>
      </c>
      <c r="N87" s="117">
        <f>SUM(N85:N86)</f>
        <v>1354743586</v>
      </c>
      <c r="O87" s="97">
        <f>(+N87-P87)/P87</f>
        <v>2.5163637272510627E-4</v>
      </c>
      <c r="P87" s="117">
        <f>SUM(P85:P86)</f>
        <v>1354402769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92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1719992046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06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1719992046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06">
        <f>A89+1</f>
        <v>15</v>
      </c>
      <c r="B90" s="85" t="s">
        <v>1012</v>
      </c>
      <c r="C90" s="85"/>
      <c r="D90" s="121">
        <v>0</v>
      </c>
      <c r="E90" s="97">
        <v>0</v>
      </c>
      <c r="F90" s="121"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06">
        <f>A90+1</f>
        <v>16</v>
      </c>
      <c r="B91" s="85" t="s">
        <v>1013</v>
      </c>
      <c r="C91" s="85"/>
      <c r="D91" s="112">
        <f>BS!AG274*1000</f>
        <v>65607056.46974352</v>
      </c>
      <c r="E91" s="97">
        <f>(+D91-F91)/F91</f>
        <v>-3.5273034200137027E-2</v>
      </c>
      <c r="F91" s="112">
        <f>BS!O274*1000</f>
        <v>68005828.379999906</v>
      </c>
      <c r="G91" s="97">
        <f>(+F91-H91)/H91</f>
        <v>-0.43690415122484583</v>
      </c>
      <c r="H91" s="112">
        <f>$U93</f>
        <v>120771319</v>
      </c>
      <c r="I91" s="97">
        <f>(+H91-J91)/J91</f>
        <v>-6.3905425298263624E-2</v>
      </c>
      <c r="J91" s="112">
        <v>129016151</v>
      </c>
      <c r="K91" s="97">
        <f>(+J91-L91)/L91</f>
        <v>-2.4876739631699424E-2</v>
      </c>
      <c r="L91" s="112">
        <v>132307531</v>
      </c>
      <c r="M91" s="97">
        <f>(+L91-N91)/N91</f>
        <v>-7.070945728068373E-2</v>
      </c>
      <c r="N91" s="112">
        <v>142374774</v>
      </c>
      <c r="O91" s="97">
        <f>(+N91-P91)/P91</f>
        <v>0.49707546960006649</v>
      </c>
      <c r="P91" s="112">
        <v>95101935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06">
        <f>A91+1</f>
        <v>17</v>
      </c>
      <c r="B92" s="85" t="s">
        <v>655</v>
      </c>
      <c r="C92" s="85"/>
      <c r="D92" s="117">
        <f>SUM(D90:D91)</f>
        <v>65607056.46974352</v>
      </c>
      <c r="E92" s="97">
        <f>(+D92-F92)/F92</f>
        <v>-3.5273034200137027E-2</v>
      </c>
      <c r="F92" s="117">
        <f>SUM(F90:F91)</f>
        <v>68005828.379999906</v>
      </c>
      <c r="G92" s="97">
        <f>(+F92-H92)/H92</f>
        <v>-0.43690415122484583</v>
      </c>
      <c r="H92" s="117">
        <f>SUM(H90:H91)</f>
        <v>120771319</v>
      </c>
      <c r="I92" s="97">
        <f>(+H92-J92)/J92</f>
        <v>-6.3905425298263624E-2</v>
      </c>
      <c r="J92" s="117">
        <v>129016151</v>
      </c>
      <c r="K92" s="97">
        <f>(+J92-L92)/L92</f>
        <v>-2.4876739631699424E-2</v>
      </c>
      <c r="L92" s="117">
        <v>132307531</v>
      </c>
      <c r="M92" s="97">
        <f>(+L92-N92)/N92</f>
        <v>-7.070945728068373E-2</v>
      </c>
      <c r="N92" s="117">
        <f>SUM(N90:N91)</f>
        <v>142374774</v>
      </c>
      <c r="O92" s="97">
        <f>(+N92-P92)/P92</f>
        <v>0.49707546960006649</v>
      </c>
      <c r="P92" s="117">
        <f>SUM(P90:P91)</f>
        <v>95101935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92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120771319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06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120771319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06">
        <f>A94+1</f>
        <v>19</v>
      </c>
      <c r="B95" s="85" t="s">
        <v>669</v>
      </c>
      <c r="C95" s="85"/>
      <c r="D95" s="121">
        <f>BS!AG187*1000</f>
        <v>87367954.384389013</v>
      </c>
      <c r="E95" s="97">
        <f>(+D95-F95)/F95</f>
        <v>-0.6869744949858354</v>
      </c>
      <c r="F95" s="121">
        <f>BS!O187*1000</f>
        <v>279108101.36840302</v>
      </c>
      <c r="G95" s="97">
        <f>(+F95-H95)/H95</f>
        <v>0.403342120727195</v>
      </c>
      <c r="H95" s="121">
        <f>$U97</f>
        <v>198888138</v>
      </c>
      <c r="I95" s="97">
        <f>(+H95-J95)/J95</f>
        <v>0.17884591143586609</v>
      </c>
      <c r="J95" s="121">
        <v>168714279</v>
      </c>
      <c r="K95" s="97">
        <f>(+J95-L95)/L95</f>
        <v>0.1883866554698703</v>
      </c>
      <c r="L95" s="121">
        <v>141969180</v>
      </c>
      <c r="M95" s="97">
        <f>(+L95-N95)/N95</f>
        <v>-0.46214929678389449</v>
      </c>
      <c r="N95" s="121">
        <v>263956483</v>
      </c>
      <c r="O95" s="97">
        <f>(+N95-P95)/P95</f>
        <v>12.199950662051657</v>
      </c>
      <c r="P95" s="121">
        <v>19996778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06">
        <f>A95+1</f>
        <v>20</v>
      </c>
      <c r="B96" s="85" t="s">
        <v>656</v>
      </c>
      <c r="C96" s="85"/>
      <c r="D96" s="112">
        <f>BS!AG193*1000</f>
        <v>149671168.46192145</v>
      </c>
      <c r="E96" s="97">
        <f>(+D96-F96)/F96</f>
        <v>-8.2500057760029499E-2</v>
      </c>
      <c r="F96" s="112">
        <f>BS!O193*1000</f>
        <v>163129349.192673</v>
      </c>
      <c r="G96" s="97">
        <f>(+F96-H96)/H96</f>
        <v>-0.17173198173409643</v>
      </c>
      <c r="H96" s="112">
        <f>$U99</f>
        <v>196952370</v>
      </c>
      <c r="I96" s="97">
        <f>(+H96-J96)/J96</f>
        <v>0.23758020422322257</v>
      </c>
      <c r="J96" s="112">
        <v>159143116</v>
      </c>
      <c r="K96" s="97">
        <f>(+J96-L96)/L96</f>
        <v>-7.5570702510570464E-2</v>
      </c>
      <c r="L96" s="112">
        <v>172152826</v>
      </c>
      <c r="M96" s="97">
        <f>(+L96-N96)/N96</f>
        <v>-0.29784278575059708</v>
      </c>
      <c r="N96" s="112">
        <v>245177038</v>
      </c>
      <c r="O96" s="97">
        <f>(+N96-P96)/P96</f>
        <v>0.43504061624308021</v>
      </c>
      <c r="P96" s="112">
        <v>170850243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06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198888138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06">
        <f>A97+1</f>
        <v>22</v>
      </c>
      <c r="B98" s="85" t="s">
        <v>657</v>
      </c>
      <c r="C98" s="85"/>
      <c r="D98" s="112">
        <f>BS!AG198*1000</f>
        <v>24971526.209797993</v>
      </c>
      <c r="E98" s="97">
        <f t="shared" ref="E98:E104" si="17">(+D98-F98)/F98</f>
        <v>8.6409520380381952E-2</v>
      </c>
      <c r="F98" s="112">
        <f>BS!O198*1000</f>
        <v>22985371.299999997</v>
      </c>
      <c r="G98" s="97">
        <f>(+F98-H98)/H98</f>
        <v>2.1687531172967549E-2</v>
      </c>
      <c r="H98" s="112">
        <f>$U100</f>
        <v>22497457</v>
      </c>
      <c r="I98" s="97">
        <f>(+H98-J98)/J98</f>
        <v>-0.12951256557155741</v>
      </c>
      <c r="J98" s="112">
        <v>25844666</v>
      </c>
      <c r="K98" s="97">
        <f>(+J98-L98)/L98</f>
        <v>5.2159876629657737E-2</v>
      </c>
      <c r="L98" s="112">
        <v>24563440</v>
      </c>
      <c r="M98" s="97">
        <f>(+L98-N98)/N98</f>
        <v>0.22718932814548751</v>
      </c>
      <c r="N98" s="112">
        <v>20016015</v>
      </c>
      <c r="O98" s="97">
        <f>(+N98-P98)/P98</f>
        <v>-0.17611737453797099</v>
      </c>
      <c r="P98" s="112">
        <v>24294741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06">
        <f t="shared" ref="A99:A104" si="18">A98+1</f>
        <v>23</v>
      </c>
      <c r="B99" s="85" t="s">
        <v>658</v>
      </c>
      <c r="C99" s="85"/>
      <c r="D99" s="112">
        <f>BS!AG200*1000</f>
        <v>28469522.210000005</v>
      </c>
      <c r="E99" s="97">
        <f t="shared" si="17"/>
        <v>1.3085187278462282E-16</v>
      </c>
      <c r="F99" s="112">
        <f>BS!O200*1000</f>
        <v>28469522.210000001</v>
      </c>
      <c r="G99" s="97">
        <f>(+F99-H99)/H99</f>
        <v>3.6877330873436885E-2</v>
      </c>
      <c r="H99" s="112">
        <f>$U101</f>
        <v>27456982</v>
      </c>
      <c r="I99" s="97">
        <f>(+H99-J99)/J99</f>
        <v>2.9282365885248268E-2</v>
      </c>
      <c r="J99" s="112">
        <v>26675850</v>
      </c>
      <c r="K99" s="97">
        <f>(+J99-L99)/L99</f>
        <v>5.0003448073896471E-2</v>
      </c>
      <c r="L99" s="112">
        <v>25405488</v>
      </c>
      <c r="M99" s="97">
        <f>(+L99-N99)/N99</f>
        <v>3.703560382416933E-2</v>
      </c>
      <c r="N99" s="112">
        <v>24498183</v>
      </c>
      <c r="O99" s="97">
        <f>(+N99-P99)/P99</f>
        <v>1.7554490657720828E-2</v>
      </c>
      <c r="P99" s="112">
        <v>24075549</v>
      </c>
      <c r="Q99" s="85"/>
      <c r="R99" s="85" t="s">
        <v>656</v>
      </c>
      <c r="S99" s="85">
        <v>159284616</v>
      </c>
      <c r="T99" s="85">
        <v>37667754</v>
      </c>
      <c r="U99" s="85">
        <v>196952370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06">
        <f t="shared" si="18"/>
        <v>24</v>
      </c>
      <c r="B100" s="85" t="s">
        <v>659</v>
      </c>
      <c r="C100" s="85"/>
      <c r="D100" s="112">
        <f>BS!AG202*1000</f>
        <v>18045078.894155927</v>
      </c>
      <c r="E100" s="97">
        <f t="shared" si="17"/>
        <v>0.27344719976353332</v>
      </c>
      <c r="F100" s="112">
        <f>BS!O202*1000</f>
        <v>14170260.7673932</v>
      </c>
      <c r="G100" s="97">
        <f>(+F100-H100)/H100</f>
        <v>-0.42871632673723686</v>
      </c>
      <c r="H100" s="112">
        <f>$U102</f>
        <v>24804246</v>
      </c>
      <c r="I100" s="97">
        <f>(+H100-J100)/J100</f>
        <v>-0.38369601417972105</v>
      </c>
      <c r="J100" s="112">
        <v>40246772</v>
      </c>
      <c r="K100" s="97">
        <f>(+J100-L100)/L100</f>
        <v>1.0198606620986885</v>
      </c>
      <c r="L100" s="112">
        <v>19925519</v>
      </c>
      <c r="M100" s="97">
        <f>(+L100-N100)/N100</f>
        <v>5.596069649724305E-2</v>
      </c>
      <c r="N100" s="112">
        <v>18869565</v>
      </c>
      <c r="O100" s="97">
        <f>(+N100-P100)/P100</f>
        <v>0.64445454398886592</v>
      </c>
      <c r="P100" s="112">
        <v>11474665</v>
      </c>
      <c r="Q100" s="99"/>
      <c r="R100" s="85" t="s">
        <v>657</v>
      </c>
      <c r="S100" s="85">
        <v>18752692</v>
      </c>
      <c r="T100" s="85">
        <v>3744765</v>
      </c>
      <c r="U100" s="85">
        <v>22497457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06">
        <f t="shared" si="18"/>
        <v>25</v>
      </c>
      <c r="B101" s="85" t="s">
        <v>660</v>
      </c>
      <c r="C101" s="85"/>
      <c r="D101" s="112">
        <f>BS!AG206*1000</f>
        <v>21298158.438887231</v>
      </c>
      <c r="E101" s="97">
        <f t="shared" si="17"/>
        <v>0.95942148291317897</v>
      </c>
      <c r="F101" s="112">
        <f>BS!O206*1000</f>
        <v>10869615.6618749</v>
      </c>
      <c r="G101" s="97">
        <f>(+F101-H101)/H101</f>
        <v>2.5162997897153146E-2</v>
      </c>
      <c r="H101" s="112">
        <f>$U103</f>
        <v>10602817</v>
      </c>
      <c r="I101" s="97">
        <f>(+H101-J101)/J101</f>
        <v>-5.8760555541387321E-3</v>
      </c>
      <c r="J101" s="112">
        <v>10665488</v>
      </c>
      <c r="K101" s="97">
        <f>(+J101-L101)/L101</f>
        <v>-2.5680569579439393E-2</v>
      </c>
      <c r="L101" s="112">
        <v>10946603</v>
      </c>
      <c r="M101" s="97">
        <f>(+L101-N101)/N101</f>
        <v>0.86455184151398856</v>
      </c>
      <c r="N101" s="112">
        <v>5870903</v>
      </c>
      <c r="O101" s="97">
        <f>(+N101-P101)/P101</f>
        <v>5.2084509354226989E-2</v>
      </c>
      <c r="P101" s="112">
        <v>5580258</v>
      </c>
      <c r="Q101" s="99"/>
      <c r="R101" s="85" t="s">
        <v>658</v>
      </c>
      <c r="S101" s="85">
        <v>21579439</v>
      </c>
      <c r="T101" s="85">
        <v>5877543</v>
      </c>
      <c r="U101" s="85">
        <v>27456982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06">
        <f t="shared" si="18"/>
        <v>26</v>
      </c>
      <c r="B102" s="85" t="s">
        <v>661</v>
      </c>
      <c r="C102" s="85"/>
      <c r="D102" s="112">
        <f>(BS!AG212+BS!AG211)*1000</f>
        <v>1511959.99</v>
      </c>
      <c r="E102" s="97">
        <f t="shared" si="17"/>
        <v>0</v>
      </c>
      <c r="F102" s="112">
        <f>(BS!O212+BS!O211)*1000</f>
        <v>1511959.99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24804246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06">
        <f t="shared" si="18"/>
        <v>27</v>
      </c>
      <c r="B103" s="85" t="s">
        <v>662</v>
      </c>
      <c r="C103" s="85"/>
      <c r="D103" s="112">
        <f>(BS!AG222+BS!AG208)*1000-D102</f>
        <v>38589177.823372662</v>
      </c>
      <c r="E103" s="97">
        <f t="shared" si="17"/>
        <v>5.1028255848210372E-3</v>
      </c>
      <c r="F103" s="112">
        <f>(BS!O222+BS!O208)*1000-F102</f>
        <v>38393263.695104502</v>
      </c>
      <c r="G103" s="97">
        <f>(+F103-H103)/H103</f>
        <v>-0.19913468643720444</v>
      </c>
      <c r="H103" s="112">
        <f>$U107</f>
        <v>47939726</v>
      </c>
      <c r="I103" s="97">
        <f>(+H103-J103)/J103</f>
        <v>-9.9759312873190537E-2</v>
      </c>
      <c r="J103" s="112">
        <v>53252121</v>
      </c>
      <c r="K103" s="97">
        <f>(+J103-L103)/L103</f>
        <v>-0.2398853864186703</v>
      </c>
      <c r="L103" s="112">
        <v>70058015</v>
      </c>
      <c r="M103" s="97">
        <f>(+L103-N103)/N103</f>
        <v>-0.21859363726916503</v>
      </c>
      <c r="N103" s="112">
        <v>89656315</v>
      </c>
      <c r="O103" s="97">
        <f>(+N103-P103)/P103</f>
        <v>2.7296546899173837</v>
      </c>
      <c r="P103" s="112">
        <v>24038771</v>
      </c>
      <c r="Q103" s="99"/>
      <c r="R103" s="85" t="s">
        <v>660</v>
      </c>
      <c r="S103" s="85">
        <v>8697494</v>
      </c>
      <c r="T103" s="85">
        <v>1905323</v>
      </c>
      <c r="U103" s="85">
        <v>10602817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06">
        <f t="shared" si="18"/>
        <v>28</v>
      </c>
      <c r="B104" s="85" t="s">
        <v>522</v>
      </c>
      <c r="C104" s="85"/>
      <c r="D104" s="117">
        <f>SUM(D95:D103)</f>
        <v>369924546.41252428</v>
      </c>
      <c r="E104" s="97">
        <f t="shared" si="17"/>
        <v>-0.33780925309811149</v>
      </c>
      <c r="F104" s="117">
        <f>SUM(F95:F103)</f>
        <v>558637444.18544865</v>
      </c>
      <c r="G104" s="97">
        <f>(+F104-H104)/H104</f>
        <v>5.5742547182951081E-2</v>
      </c>
      <c r="H104" s="117">
        <f>SUM(H95:H103)</f>
        <v>529141736</v>
      </c>
      <c r="I104" s="97">
        <f>(+H104-J104)/J104</f>
        <v>9.2044481434037553E-2</v>
      </c>
      <c r="J104" s="117">
        <v>484542292</v>
      </c>
      <c r="K104" s="97">
        <f>(+J104-L104)/L104</f>
        <v>4.1979218184717483E-2</v>
      </c>
      <c r="L104" s="117">
        <v>465021071</v>
      </c>
      <c r="M104" s="97">
        <f>(+L104-N104)/N104</f>
        <v>-0.30390704570157512</v>
      </c>
      <c r="N104" s="117">
        <f>SUM(N95:N103)</f>
        <v>668044502</v>
      </c>
      <c r="O104" s="97">
        <f>(+N104-P104)/P104</f>
        <v>1.383226095600492</v>
      </c>
      <c r="P104" s="117">
        <f>SUM(P95:P103)</f>
        <v>280311005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92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06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06">
        <f>A106+1</f>
        <v>30</v>
      </c>
      <c r="B107" s="85" t="s">
        <v>224</v>
      </c>
      <c r="C107" s="85"/>
      <c r="D107" s="121">
        <f>BS!AG248*1000</f>
        <v>14129364.8199999</v>
      </c>
      <c r="E107" s="97">
        <f t="shared" ref="E107:E114" si="19">(+D107-F107)/F107</f>
        <v>0</v>
      </c>
      <c r="F107" s="121">
        <f>BS!O248*1000</f>
        <v>14129364.8199999</v>
      </c>
      <c r="G107" s="97">
        <f t="shared" ref="G107:I114" si="20">(+F107-H107)/H107</f>
        <v>-0.18205255684614582</v>
      </c>
      <c r="H107" s="121">
        <f>$U111</f>
        <v>17274172</v>
      </c>
      <c r="I107" s="97">
        <f t="shared" si="20"/>
        <v>1.669266577094509</v>
      </c>
      <c r="J107" s="121">
        <v>6471505</v>
      </c>
      <c r="K107" s="97">
        <f t="shared" ref="K107:M114" si="21">(+J107-L107)/L107</f>
        <v>-0.12884461044448747</v>
      </c>
      <c r="L107" s="121">
        <v>7428646</v>
      </c>
      <c r="M107" s="97">
        <f t="shared" si="21"/>
        <v>-9.7813943586212912E-2</v>
      </c>
      <c r="N107" s="121">
        <v>8234051</v>
      </c>
      <c r="O107" s="97">
        <f t="shared" ref="O107:O114" si="22">(+N107-P107)/P107</f>
        <v>0.22021643369726698</v>
      </c>
      <c r="P107" s="121">
        <v>6748025</v>
      </c>
      <c r="Q107" s="85"/>
      <c r="R107" s="85" t="s">
        <v>662</v>
      </c>
      <c r="S107" s="85">
        <v>34651711</v>
      </c>
      <c r="T107" s="85">
        <v>13288015</v>
      </c>
      <c r="U107" s="85">
        <v>47939726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06">
        <f t="shared" ref="A108:A114" si="23">A107+1</f>
        <v>31</v>
      </c>
      <c r="B108" s="85" t="s">
        <v>663</v>
      </c>
      <c r="C108" s="85"/>
      <c r="D108" s="112">
        <f>BS!AG236*1000</f>
        <v>33268690.880339202</v>
      </c>
      <c r="E108" s="97">
        <f t="shared" si="19"/>
        <v>-2.5073174866509378E-2</v>
      </c>
      <c r="F108" s="112">
        <f>BS!O236*1000</f>
        <v>34124295.303684898</v>
      </c>
      <c r="G108" s="97">
        <f t="shared" si="20"/>
        <v>-3.1989944864557411E-2</v>
      </c>
      <c r="H108" s="112">
        <f>$U113</f>
        <v>35252005</v>
      </c>
      <c r="I108" s="97">
        <f t="shared" si="20"/>
        <v>-3.0397176237087827E-2</v>
      </c>
      <c r="J108" s="112">
        <v>36357160</v>
      </c>
      <c r="K108" s="97">
        <f t="shared" si="21"/>
        <v>4.9466465108720346E-2</v>
      </c>
      <c r="L108" s="112">
        <v>34643470</v>
      </c>
      <c r="M108" s="97">
        <f t="shared" si="21"/>
        <v>-3.7202798446616725E-2</v>
      </c>
      <c r="N108" s="112">
        <v>35982105</v>
      </c>
      <c r="O108" s="97">
        <f t="shared" si="22"/>
        <v>-4.7358699696869691E-2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529141736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06">
        <f t="shared" si="23"/>
        <v>32</v>
      </c>
      <c r="B109" s="85" t="s">
        <v>664</v>
      </c>
      <c r="C109" s="85"/>
      <c r="D109" s="112">
        <f>BS!AG260*1000</f>
        <v>2069549.0700000005</v>
      </c>
      <c r="E109" s="97">
        <f t="shared" si="19"/>
        <v>2.2500615909906369E-16</v>
      </c>
      <c r="F109" s="112">
        <f>BS!O260*1000</f>
        <v>2069549.07</v>
      </c>
      <c r="G109" s="97">
        <f t="shared" si="20"/>
        <v>-1.3117867984576457E-2</v>
      </c>
      <c r="H109" s="112">
        <f>$U114</f>
        <v>2097058</v>
      </c>
      <c r="I109" s="97">
        <f t="shared" si="20"/>
        <v>7.7381270421898435E-2</v>
      </c>
      <c r="J109" s="112">
        <v>1946440</v>
      </c>
      <c r="K109" s="97">
        <f t="shared" si="21"/>
        <v>-0.51552520155544479</v>
      </c>
      <c r="L109" s="112">
        <v>4017629</v>
      </c>
      <c r="M109" s="97">
        <f t="shared" si="21"/>
        <v>-0.72499629176165992</v>
      </c>
      <c r="N109" s="112">
        <v>14609363</v>
      </c>
      <c r="O109" s="97">
        <f t="shared" si="22"/>
        <v>-0.1465315070375372</v>
      </c>
      <c r="P109" s="112">
        <v>17117636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06">
        <f t="shared" si="23"/>
        <v>33</v>
      </c>
      <c r="B110" s="85" t="s">
        <v>665</v>
      </c>
      <c r="C110" s="85"/>
      <c r="D110" s="112">
        <f>BS!AG243*1000</f>
        <v>593797688.2912755</v>
      </c>
      <c r="E110" s="97">
        <f t="shared" si="19"/>
        <v>-4.4524351016451066E-2</v>
      </c>
      <c r="F110" s="112">
        <f>BS!O243*1000</f>
        <v>621468154.55000603</v>
      </c>
      <c r="G110" s="97">
        <f t="shared" si="20"/>
        <v>3.4977535906344663E-2</v>
      </c>
      <c r="H110" s="112">
        <f>$U115</f>
        <v>600465356</v>
      </c>
      <c r="I110" s="97">
        <f t="shared" si="20"/>
        <v>6.4809806552979596</v>
      </c>
      <c r="J110" s="112">
        <v>80265594</v>
      </c>
      <c r="K110" s="97">
        <f t="shared" si="21"/>
        <v>-0.10365124319073407</v>
      </c>
      <c r="L110" s="112">
        <v>89547281</v>
      </c>
      <c r="M110" s="97">
        <f t="shared" si="21"/>
        <v>6.9365653490287987E-4</v>
      </c>
      <c r="N110" s="112">
        <v>89485209</v>
      </c>
      <c r="O110" s="97">
        <f t="shared" si="22"/>
        <v>-3.3262968452328116E-2</v>
      </c>
      <c r="P110" s="112">
        <v>92564168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06">
        <f t="shared" si="23"/>
        <v>34</v>
      </c>
      <c r="B111" s="85" t="s">
        <v>666</v>
      </c>
      <c r="C111" s="85"/>
      <c r="D111" s="112">
        <f>BS!AG253*1000</f>
        <v>112970286.84153847</v>
      </c>
      <c r="E111" s="97">
        <f t="shared" si="19"/>
        <v>-8.6917827320412991E-2</v>
      </c>
      <c r="F111" s="112">
        <f>BS!O253*1000</f>
        <v>123724118.40000001</v>
      </c>
      <c r="G111" s="97">
        <f t="shared" si="20"/>
        <v>-5.025177354319036E-2</v>
      </c>
      <c r="H111" s="112">
        <f>$U112</f>
        <v>130270439</v>
      </c>
      <c r="I111" s="97">
        <f t="shared" si="20"/>
        <v>-0.226458542774059</v>
      </c>
      <c r="J111" s="112">
        <v>168407831</v>
      </c>
      <c r="K111" s="97">
        <f t="shared" si="21"/>
        <v>-0.10942360313479738</v>
      </c>
      <c r="L111" s="112">
        <v>189099814</v>
      </c>
      <c r="M111" s="97">
        <f t="shared" si="21"/>
        <v>1.2149131266528044</v>
      </c>
      <c r="N111" s="112">
        <v>85375725</v>
      </c>
      <c r="O111" s="97">
        <f t="shared" si="22"/>
        <v>3.8681951474286255E-2</v>
      </c>
      <c r="P111" s="112">
        <v>82196215</v>
      </c>
      <c r="Q111" s="85"/>
      <c r="R111" s="85" t="s">
        <v>224</v>
      </c>
      <c r="S111" s="85">
        <v>8889266</v>
      </c>
      <c r="T111" s="85">
        <v>8384906</v>
      </c>
      <c r="U111" s="85">
        <v>17274172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06">
        <f t="shared" si="23"/>
        <v>35</v>
      </c>
      <c r="B112" s="85" t="s">
        <v>667</v>
      </c>
      <c r="C112" s="85"/>
      <c r="D112" s="112">
        <f>BS!AG266*1000</f>
        <v>15256855.56692302</v>
      </c>
      <c r="E112" s="97">
        <f t="shared" si="19"/>
        <v>4.1031598518137722</v>
      </c>
      <c r="F112" s="112">
        <f>BS!O266*1000</f>
        <v>2989687.9600000004</v>
      </c>
      <c r="G112" s="97">
        <f t="shared" si="20"/>
        <v>-0.25581447285754244</v>
      </c>
      <c r="H112" s="112">
        <f>$U116</f>
        <v>4017396</v>
      </c>
      <c r="I112" s="97">
        <f t="shared" si="20"/>
        <v>3.8322926143412456E-2</v>
      </c>
      <c r="J112" s="112">
        <v>3869120</v>
      </c>
      <c r="K112" s="97">
        <f t="shared" si="21"/>
        <v>-8.9528419057139319E-2</v>
      </c>
      <c r="L112" s="112">
        <v>4249578</v>
      </c>
      <c r="M112" s="97">
        <f t="shared" si="21"/>
        <v>-0.80822650112638628</v>
      </c>
      <c r="N112" s="112">
        <v>22159360</v>
      </c>
      <c r="O112" s="97">
        <f t="shared" si="22"/>
        <v>-0.39348434476571725</v>
      </c>
      <c r="P112" s="112">
        <v>36535512</v>
      </c>
      <c r="Q112" s="85"/>
      <c r="R112" s="85" t="s">
        <v>1020</v>
      </c>
      <c r="S112" s="85">
        <v>109609081</v>
      </c>
      <c r="T112" s="85">
        <v>20661358</v>
      </c>
      <c r="U112" s="85">
        <v>130270439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06">
        <f t="shared" si="23"/>
        <v>36</v>
      </c>
      <c r="B113" s="85" t="s">
        <v>643</v>
      </c>
      <c r="C113" s="85"/>
      <c r="D113" s="112">
        <f>BS!AG231*1000</f>
        <v>977287491.58371234</v>
      </c>
      <c r="E113" s="97">
        <f t="shared" si="19"/>
        <v>5.0847822800640374E-2</v>
      </c>
      <c r="F113" s="112">
        <f>BS!O231*1000</f>
        <v>929999063.97400093</v>
      </c>
      <c r="G113" s="97">
        <f t="shared" si="20"/>
        <v>4.2998103234265041E-2</v>
      </c>
      <c r="H113" s="112">
        <f>$U117</f>
        <v>891659401</v>
      </c>
      <c r="I113" s="97">
        <f t="shared" si="20"/>
        <v>-0.27651044621608872</v>
      </c>
      <c r="J113" s="112">
        <v>1232442675</v>
      </c>
      <c r="K113" s="97">
        <f t="shared" si="21"/>
        <v>0.13106901206856478</v>
      </c>
      <c r="L113" s="112">
        <v>1089626417</v>
      </c>
      <c r="M113" s="97">
        <f t="shared" si="21"/>
        <v>0.27065840008357406</v>
      </c>
      <c r="N113" s="112">
        <v>857528992</v>
      </c>
      <c r="O113" s="97">
        <f t="shared" si="22"/>
        <v>0.209813045791436</v>
      </c>
      <c r="P113" s="112">
        <v>708811163</v>
      </c>
      <c r="Q113" s="85"/>
      <c r="R113" s="85" t="s">
        <v>663</v>
      </c>
      <c r="S113" s="85">
        <v>35216618</v>
      </c>
      <c r="T113" s="85">
        <v>35387</v>
      </c>
      <c r="U113" s="85">
        <v>35252005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06">
        <f t="shared" si="23"/>
        <v>37</v>
      </c>
      <c r="B114" s="85" t="s">
        <v>555</v>
      </c>
      <c r="C114" s="85"/>
      <c r="D114" s="117">
        <f>SUM(D107:D113)</f>
        <v>1748779927.0537884</v>
      </c>
      <c r="E114" s="97">
        <f t="shared" si="19"/>
        <v>1.1730195724348622E-2</v>
      </c>
      <c r="F114" s="117">
        <f>SUM(F107:F113)</f>
        <v>1728504234.0776918</v>
      </c>
      <c r="G114" s="97">
        <f t="shared" si="20"/>
        <v>2.8237593937783335E-2</v>
      </c>
      <c r="H114" s="117">
        <f>SUM(H107:H113)</f>
        <v>1681035827</v>
      </c>
      <c r="I114" s="97">
        <f t="shared" si="20"/>
        <v>9.8888368019349693E-2</v>
      </c>
      <c r="J114" s="117">
        <v>1529760325</v>
      </c>
      <c r="K114" s="97">
        <f t="shared" si="21"/>
        <v>7.8349418007345184E-2</v>
      </c>
      <c r="L114" s="117">
        <v>1418612835</v>
      </c>
      <c r="M114" s="97">
        <f t="shared" si="21"/>
        <v>0.27415568291039244</v>
      </c>
      <c r="N114" s="117">
        <f>SUM(N107:N113)</f>
        <v>1113374805</v>
      </c>
      <c r="O114" s="97">
        <f t="shared" si="22"/>
        <v>0.13407900032522138</v>
      </c>
      <c r="P114" s="117">
        <f>SUM(P107:P113)</f>
        <v>981743604</v>
      </c>
      <c r="Q114" s="85"/>
      <c r="R114" s="85" t="s">
        <v>664</v>
      </c>
      <c r="S114" s="85">
        <v>1883260</v>
      </c>
      <c r="T114" s="85">
        <v>213798</v>
      </c>
      <c r="U114" s="85">
        <v>2097058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06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600465356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06">
        <f>A114+1</f>
        <v>38</v>
      </c>
      <c r="B116" s="85" t="s">
        <v>668</v>
      </c>
      <c r="C116" s="85"/>
      <c r="D116" s="120">
        <f>D82+D87+D92+D104+D114</f>
        <v>6719265677.1350803</v>
      </c>
      <c r="E116" s="97">
        <f t="shared" ref="E116" si="24">(+D116-F116)/F116</f>
        <v>3.1894483192811275E-2</v>
      </c>
      <c r="F116" s="120">
        <f>F82+F87+F92+F104+F114</f>
        <v>6511582130.3209486</v>
      </c>
      <c r="G116" s="97">
        <f t="shared" ref="G116:I116" si="25">(+F116-H116)/H116</f>
        <v>5.2030623125889387E-2</v>
      </c>
      <c r="H116" s="120">
        <f>H82+H87+H92+H104+H114</f>
        <v>6189536680</v>
      </c>
      <c r="I116" s="97">
        <f t="shared" si="25"/>
        <v>5.6283279244119654E-2</v>
      </c>
      <c r="J116" s="120">
        <f>J82+J87+J92+J104+J114</f>
        <v>5859731761</v>
      </c>
      <c r="K116" s="97">
        <f t="shared" ref="K116:M116" si="26">(+J116-L116)/L116</f>
        <v>4.4340216939588707E-2</v>
      </c>
      <c r="L116" s="120">
        <f>L82+L87+L92+L104+L114</f>
        <v>5610941402</v>
      </c>
      <c r="M116" s="97">
        <f t="shared" si="26"/>
        <v>0.10835849542945528</v>
      </c>
      <c r="N116" s="120">
        <f>N82+N87+N92+N104+N114</f>
        <v>5062388591</v>
      </c>
      <c r="O116" s="97">
        <f t="shared" ref="O116" si="27">(+N116-P116)/P116</f>
        <v>0.18230983784292096</v>
      </c>
      <c r="P116" s="120">
        <f>P82+P87+P92+P104+P114</f>
        <v>4281778286</v>
      </c>
      <c r="Q116" s="85"/>
      <c r="R116" s="85" t="s">
        <v>1021</v>
      </c>
      <c r="S116" s="85">
        <v>3295470</v>
      </c>
      <c r="T116" s="85">
        <v>721926</v>
      </c>
      <c r="U116" s="85">
        <v>4017396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92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891659401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>
      <c r="A118" s="92"/>
      <c r="B118" s="85"/>
      <c r="C118" s="85"/>
      <c r="D118" s="85">
        <f>D57-D116</f>
        <v>4.119873046875E-4</v>
      </c>
      <c r="E118" s="85"/>
      <c r="F118" s="85">
        <f>F57-F116</f>
        <v>1.8596649169921875E-4</v>
      </c>
      <c r="G118" s="85"/>
      <c r="H118" s="85">
        <f>H57-H116</f>
        <v>0</v>
      </c>
      <c r="I118" s="85"/>
      <c r="J118" s="85">
        <f>J57-J116</f>
        <v>0</v>
      </c>
      <c r="K118" s="85"/>
      <c r="L118" s="85">
        <f>L57-L116</f>
        <v>0</v>
      </c>
      <c r="M118" s="85"/>
      <c r="N118" s="85">
        <f>N57-N116</f>
        <v>0</v>
      </c>
      <c r="O118" s="85"/>
      <c r="P118" s="85">
        <f>P57-P116</f>
        <v>-0.5</v>
      </c>
      <c r="Q118" s="85"/>
      <c r="R118" s="85" t="s">
        <v>1022</v>
      </c>
      <c r="S118" s="85">
        <v>1363272233</v>
      </c>
      <c r="T118" s="85">
        <v>317763594</v>
      </c>
      <c r="U118" s="85">
        <v>1681035827</v>
      </c>
      <c r="V118" s="85"/>
      <c r="W118" s="110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.95" customHeight="1">
      <c r="A119" s="92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.95" customHeight="1">
      <c r="A120" s="92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/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.95" customHeight="1">
      <c r="A121" s="92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.95" customHeight="1">
      <c r="A122" s="92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6189536680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.95" customHeight="1">
      <c r="A123" s="92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.95" customHeight="1">
      <c r="A124" s="92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.9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84" customFormat="1" ht="15.9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55"/>
  <sheetViews>
    <sheetView showGridLines="0" zoomScale="55" zoomScaleNormal="55" zoomScaleSheetLayoutView="40" workbookViewId="0">
      <selection sqref="A1:XFD1048576"/>
    </sheetView>
  </sheetViews>
  <sheetFormatPr defaultColWidth="10.88671875" defaultRowHeight="15.75"/>
  <cols>
    <col min="1" max="1" width="3.6640625" style="242" customWidth="1"/>
    <col min="2" max="2" width="53.21875" style="241" customWidth="1"/>
    <col min="3" max="4" width="2.33203125" style="241" customWidth="1"/>
    <col min="5" max="5" width="16.6640625" style="241" customWidth="1"/>
    <col min="6" max="6" width="1.6640625" style="241" customWidth="1"/>
    <col min="7" max="7" width="16.6640625" style="241" customWidth="1"/>
    <col min="8" max="8" width="1.6640625" style="241" customWidth="1"/>
    <col min="9" max="9" width="16.6640625" style="241" customWidth="1"/>
    <col min="10" max="10" width="1.6640625" style="241" customWidth="1"/>
    <col min="11" max="11" width="16.6640625" style="241" customWidth="1"/>
    <col min="12" max="12" width="1.6640625" style="241" customWidth="1"/>
    <col min="13" max="13" width="16.6640625" style="241" customWidth="1"/>
    <col min="14" max="14" width="1.6640625" style="241" customWidth="1"/>
    <col min="15" max="15" width="16.6640625" style="241" customWidth="1"/>
    <col min="16" max="16" width="1.77734375" style="241" customWidth="1"/>
    <col min="17" max="17" width="16.6640625" style="241" customWidth="1"/>
    <col min="18" max="18" width="1.77734375" style="241" customWidth="1"/>
    <col min="19" max="19" width="16.6640625" style="241" customWidth="1"/>
    <col min="20" max="20" width="1.77734375" style="241" customWidth="1"/>
    <col min="21" max="21" width="16.6640625" style="241" customWidth="1"/>
    <col min="22" max="22" width="1.6640625" style="241" customWidth="1"/>
    <col min="23" max="23" width="16.6640625" style="241" customWidth="1"/>
    <col min="24" max="24" width="1.6640625" style="241" customWidth="1"/>
    <col min="25" max="25" width="16.6640625" style="241" customWidth="1"/>
    <col min="26" max="26" width="1.6640625" style="241" customWidth="1"/>
    <col min="27" max="27" width="16.6640625" style="241" customWidth="1"/>
    <col min="28" max="28" width="1.77734375" style="241" customWidth="1"/>
    <col min="29" max="29" width="16.6640625" style="241" customWidth="1"/>
    <col min="30" max="30" width="1.6640625" style="241" customWidth="1"/>
    <col min="31" max="31" width="16.6640625" style="241" customWidth="1"/>
    <col min="32" max="32" width="10.88671875" style="241"/>
    <col min="33" max="33" width="13.44140625" style="241" bestFit="1" customWidth="1"/>
    <col min="34" max="34" width="12" style="241" bestFit="1" customWidth="1"/>
    <col min="35" max="35" width="10.88671875" style="241"/>
    <col min="36" max="37" width="12" style="241" bestFit="1" customWidth="1"/>
    <col min="38" max="16384" width="10.88671875" style="241"/>
  </cols>
  <sheetData>
    <row r="1" spans="1:36">
      <c r="A1" s="238"/>
      <c r="B1" s="319" t="s">
        <v>94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40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321" t="s">
        <v>1478</v>
      </c>
    </row>
    <row r="2" spans="1:36">
      <c r="A2" s="238"/>
      <c r="B2" s="320" t="str">
        <f>'Rate Case Constants'!C29</f>
        <v>TYPE OF FILING: _____ ORIGINAL  _____ UPDATED  __X__ REVISED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400" t="str">
        <f>'Rate Case Constants'!$C$38</f>
        <v>WITNESS:   C. M. GARRETT</v>
      </c>
    </row>
    <row r="3" spans="1:36">
      <c r="A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321" t="s">
        <v>137</v>
      </c>
    </row>
    <row r="4" spans="1:36">
      <c r="P4" s="243"/>
      <c r="R4" s="243"/>
      <c r="T4" s="243"/>
      <c r="AB4" s="243"/>
    </row>
    <row r="5" spans="1:36">
      <c r="A5" s="244" t="s">
        <v>784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</row>
    <row r="6" spans="1:36">
      <c r="A6" s="246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</row>
    <row r="7" spans="1:36">
      <c r="A7" s="833" t="s">
        <v>1875</v>
      </c>
      <c r="B7" s="833"/>
      <c r="C7" s="833"/>
      <c r="D7" s="833"/>
      <c r="E7" s="833"/>
      <c r="F7" s="833"/>
      <c r="G7" s="833"/>
      <c r="H7" s="833"/>
      <c r="I7" s="833"/>
      <c r="J7" s="833"/>
      <c r="K7" s="833"/>
      <c r="L7" s="833"/>
      <c r="M7" s="833"/>
      <c r="N7" s="833"/>
      <c r="O7" s="833"/>
      <c r="P7" s="833"/>
      <c r="Q7" s="833"/>
      <c r="R7" s="833"/>
      <c r="S7" s="833"/>
      <c r="T7" s="833"/>
      <c r="U7" s="833"/>
      <c r="V7" s="833"/>
      <c r="W7" s="833"/>
      <c r="X7" s="833"/>
      <c r="Y7" s="833"/>
      <c r="Z7" s="833"/>
      <c r="AA7" s="833"/>
      <c r="AB7" s="833"/>
      <c r="AC7" s="833"/>
      <c r="AD7" s="833"/>
      <c r="AE7" s="833"/>
    </row>
    <row r="8" spans="1:36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</row>
    <row r="9" spans="1:36">
      <c r="A9" s="244"/>
      <c r="B9" s="245"/>
      <c r="C9" s="245"/>
      <c r="D9" s="245"/>
      <c r="E9" s="245"/>
      <c r="F9" s="245"/>
      <c r="G9" s="248"/>
      <c r="H9" s="245"/>
      <c r="I9" s="248"/>
      <c r="J9" s="245"/>
      <c r="K9" s="248"/>
      <c r="L9" s="245"/>
      <c r="M9" s="248"/>
      <c r="N9" s="245"/>
      <c r="O9" s="248"/>
      <c r="P9" s="245"/>
      <c r="Q9" s="245"/>
      <c r="R9" s="245"/>
      <c r="S9" s="245"/>
      <c r="T9" s="245"/>
      <c r="U9" s="248"/>
      <c r="V9" s="245"/>
      <c r="W9" s="248"/>
      <c r="X9" s="245"/>
      <c r="Y9" s="248"/>
      <c r="Z9" s="245"/>
      <c r="AA9" s="248"/>
      <c r="AB9" s="245"/>
      <c r="AC9" s="245"/>
      <c r="AD9" s="245"/>
      <c r="AE9" s="245"/>
    </row>
    <row r="10" spans="1:36">
      <c r="A10" s="249"/>
      <c r="B10" s="240"/>
      <c r="D10" s="243"/>
      <c r="M10" s="252" t="s">
        <v>1473</v>
      </c>
      <c r="O10" s="252" t="s">
        <v>1472</v>
      </c>
      <c r="AA10" s="252" t="s">
        <v>1472</v>
      </c>
    </row>
    <row r="11" spans="1:36" ht="21" customHeight="1">
      <c r="B11" s="250" t="s">
        <v>1441</v>
      </c>
      <c r="E11" s="251" t="s">
        <v>1442</v>
      </c>
      <c r="F11" s="251"/>
      <c r="G11" s="252" t="s">
        <v>1443</v>
      </c>
      <c r="H11" s="251"/>
      <c r="I11" s="252" t="s">
        <v>1470</v>
      </c>
      <c r="J11" s="251"/>
      <c r="K11" s="252" t="s">
        <v>1471</v>
      </c>
      <c r="L11" s="251"/>
      <c r="M11" s="252" t="s">
        <v>1474</v>
      </c>
      <c r="N11" s="251"/>
      <c r="O11" s="252" t="s">
        <v>10</v>
      </c>
      <c r="P11" s="251"/>
      <c r="Q11" s="252" t="s">
        <v>1444</v>
      </c>
      <c r="R11" s="251"/>
      <c r="S11" s="251" t="s">
        <v>1445</v>
      </c>
      <c r="T11" s="251"/>
      <c r="U11" s="252" t="s">
        <v>1446</v>
      </c>
      <c r="V11" s="251"/>
      <c r="W11" s="252" t="s">
        <v>1470</v>
      </c>
      <c r="X11" s="251"/>
      <c r="Y11" s="252" t="s">
        <v>1471</v>
      </c>
      <c r="Z11" s="251"/>
      <c r="AA11" s="252" t="s">
        <v>10</v>
      </c>
      <c r="AB11" s="251"/>
      <c r="AC11" s="252" t="s">
        <v>1447</v>
      </c>
      <c r="AD11" s="251"/>
      <c r="AE11" s="251" t="s">
        <v>1448</v>
      </c>
    </row>
    <row r="12" spans="1:36">
      <c r="B12" s="253">
        <v>-1</v>
      </c>
      <c r="E12" s="254" t="s">
        <v>1449</v>
      </c>
      <c r="F12" s="251"/>
      <c r="G12" s="254" t="s">
        <v>1450</v>
      </c>
      <c r="H12" s="251"/>
      <c r="I12" s="254">
        <v>-4</v>
      </c>
      <c r="J12" s="251"/>
      <c r="K12" s="254">
        <v>-5</v>
      </c>
      <c r="L12" s="251"/>
      <c r="M12" s="254">
        <v>-6</v>
      </c>
      <c r="N12" s="251"/>
      <c r="O12" s="254">
        <v>-7</v>
      </c>
      <c r="P12" s="251"/>
      <c r="Q12" s="254">
        <v>-8</v>
      </c>
      <c r="R12" s="251"/>
      <c r="S12" s="254">
        <v>-9</v>
      </c>
      <c r="T12" s="251"/>
      <c r="U12" s="254">
        <v>-10</v>
      </c>
      <c r="V12" s="251"/>
      <c r="W12" s="254">
        <v>-11</v>
      </c>
      <c r="X12" s="251"/>
      <c r="Y12" s="254">
        <v>-12</v>
      </c>
      <c r="Z12" s="251"/>
      <c r="AA12" s="254">
        <v>-13</v>
      </c>
      <c r="AB12" s="251"/>
      <c r="AC12" s="255">
        <v>-14</v>
      </c>
      <c r="AD12" s="251"/>
      <c r="AE12" s="255">
        <v>-15</v>
      </c>
      <c r="AG12" s="256"/>
      <c r="AJ12" s="256"/>
    </row>
    <row r="13" spans="1:36"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2" t="s">
        <v>1796</v>
      </c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2" t="s">
        <v>1476</v>
      </c>
      <c r="AD13" s="257"/>
      <c r="AE13" s="252" t="s">
        <v>1475</v>
      </c>
    </row>
    <row r="14" spans="1:36" ht="21" customHeight="1">
      <c r="A14" s="279">
        <f>1</f>
        <v>1</v>
      </c>
      <c r="B14" s="241" t="s">
        <v>1451</v>
      </c>
      <c r="E14" s="259">
        <f>SUM('SCH B-2'!E29,'SCH B-2.6'!D27,'SCH B-4'!H26)</f>
        <v>6235896183.9674997</v>
      </c>
      <c r="F14" s="259"/>
      <c r="G14" s="259">
        <f>-SUM('SCH B-2.2'!F12:F16,'SCH B-4.1'!E12)</f>
        <v>1500991528.9099998</v>
      </c>
      <c r="H14" s="259"/>
      <c r="I14" s="259">
        <f>-SUM('SCH B-2.2'!F22:F23)</f>
        <v>8630851.6600000001</v>
      </c>
      <c r="J14" s="259"/>
      <c r="K14" s="259">
        <f>-SUM('SCH B-2.2'!F17:F21)</f>
        <v>90326379.610000014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4635947423.7875004</v>
      </c>
      <c r="R14" s="259"/>
      <c r="S14" s="259">
        <v>1404570085.1824996</v>
      </c>
      <c r="T14" s="259"/>
      <c r="U14" s="259">
        <v>66521123.6599999</v>
      </c>
      <c r="V14" s="259"/>
      <c r="W14" s="259">
        <v>0</v>
      </c>
      <c r="X14" s="259"/>
      <c r="Y14" s="259">
        <v>22097905.769999899</v>
      </c>
      <c r="Z14" s="259"/>
      <c r="AA14" s="259">
        <v>0</v>
      </c>
      <c r="AB14" s="259"/>
      <c r="AC14" s="259">
        <v>1315951055.7524998</v>
      </c>
      <c r="AD14" s="259"/>
      <c r="AE14" s="260">
        <f>+E14+S14</f>
        <v>7640466269.1499996</v>
      </c>
    </row>
    <row r="15" spans="1:36" ht="12.75" customHeight="1">
      <c r="A15" s="280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</row>
    <row r="16" spans="1:36" ht="15" customHeight="1">
      <c r="A16" s="279">
        <f>1+A14</f>
        <v>2</v>
      </c>
      <c r="B16" s="241" t="s">
        <v>1452</v>
      </c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3"/>
    </row>
    <row r="17" spans="1:37" ht="21" customHeight="1">
      <c r="A17" s="279">
        <f>1+A16</f>
        <v>3</v>
      </c>
      <c r="B17" s="264" t="s">
        <v>1453</v>
      </c>
      <c r="E17" s="241">
        <f>-SUM('SCH B-3 B'!G133,'SCH B-2.6'!E27)</f>
        <v>1879075367.5525746</v>
      </c>
      <c r="G17" s="241">
        <f>SUM('SCH B-3.1'!F12:F15)</f>
        <v>90365623.935716555</v>
      </c>
      <c r="I17" s="278">
        <f>SUM('SCH B-3.1'!F21:F22)</f>
        <v>3600684.4489480001</v>
      </c>
      <c r="K17" s="278">
        <f>SUM('SCH B-3.1'!F16:F20)</f>
        <v>46264186.57554023</v>
      </c>
      <c r="M17" s="278">
        <f>SUM('SCH B-3.1'!H41:H46)</f>
        <v>0</v>
      </c>
      <c r="O17" s="268">
        <v>0</v>
      </c>
      <c r="Q17" s="241">
        <f>E17-SUM(G17:O17)</f>
        <v>1738844872.5923698</v>
      </c>
      <c r="S17" s="241">
        <v>398286720.0986827</v>
      </c>
      <c r="U17" s="241">
        <v>-2654234.3213100992</v>
      </c>
      <c r="W17" s="241">
        <v>0</v>
      </c>
      <c r="Y17" s="241">
        <v>3396801.0944596557</v>
      </c>
      <c r="AA17" s="268">
        <v>0</v>
      </c>
      <c r="AC17" s="241">
        <v>397544153.32553315</v>
      </c>
      <c r="AE17" s="265">
        <f>+E17+S17</f>
        <v>2277362087.6512575</v>
      </c>
    </row>
    <row r="18" spans="1:37" ht="11.25" customHeight="1">
      <c r="A18" s="258"/>
      <c r="E18" s="266"/>
      <c r="G18" s="266"/>
      <c r="I18" s="266"/>
      <c r="K18" s="266"/>
      <c r="M18" s="266"/>
      <c r="O18" s="266"/>
      <c r="Q18" s="266"/>
      <c r="S18" s="266"/>
      <c r="U18" s="266"/>
      <c r="W18" s="266"/>
      <c r="Y18" s="266"/>
      <c r="AA18" s="266"/>
      <c r="AC18" s="266"/>
      <c r="AE18" s="266"/>
    </row>
    <row r="19" spans="1:37" ht="21" customHeight="1">
      <c r="A19" s="279">
        <f>1+A17</f>
        <v>4</v>
      </c>
      <c r="B19" s="241" t="s">
        <v>616</v>
      </c>
      <c r="E19" s="267">
        <f>+E14-E17</f>
        <v>4356820816.4149246</v>
      </c>
      <c r="F19" s="267"/>
      <c r="G19" s="267">
        <f>+G14-G17</f>
        <v>1410625904.9742832</v>
      </c>
      <c r="H19" s="267"/>
      <c r="I19" s="278">
        <f>+I14-I17</f>
        <v>5030167.2110520005</v>
      </c>
      <c r="J19" s="267"/>
      <c r="K19" s="278">
        <f>+K14-K17</f>
        <v>44062193.034459785</v>
      </c>
      <c r="L19" s="267"/>
      <c r="M19" s="278">
        <f>+M14-M17</f>
        <v>0</v>
      </c>
      <c r="N19" s="267"/>
      <c r="O19" s="268">
        <f>+O14-O17</f>
        <v>0</v>
      </c>
      <c r="P19" s="267"/>
      <c r="Q19" s="267">
        <f>+Q14-Q17</f>
        <v>2897102551.1951303</v>
      </c>
      <c r="R19" s="267"/>
      <c r="S19" s="267">
        <v>1006283365.083817</v>
      </c>
      <c r="T19" s="267"/>
      <c r="U19" s="267">
        <v>69175357.981309995</v>
      </c>
      <c r="V19" s="267"/>
      <c r="W19" s="267">
        <v>0</v>
      </c>
      <c r="X19" s="267"/>
      <c r="Y19" s="267">
        <v>18701104.675540242</v>
      </c>
      <c r="Z19" s="267"/>
      <c r="AA19" s="268">
        <v>0</v>
      </c>
      <c r="AB19" s="267"/>
      <c r="AC19" s="267">
        <v>918406902.42696667</v>
      </c>
      <c r="AD19" s="267"/>
      <c r="AE19" s="267">
        <f>+AE14-AE17</f>
        <v>5363104181.4987421</v>
      </c>
      <c r="AG19" s="267"/>
      <c r="AH19" s="267"/>
      <c r="AJ19" s="267"/>
      <c r="AK19" s="267"/>
    </row>
    <row r="20" spans="1:37" ht="9.75" customHeight="1">
      <c r="A20" s="279"/>
      <c r="K20" s="281"/>
      <c r="M20" s="281"/>
    </row>
    <row r="21" spans="1:37" ht="15" customHeight="1">
      <c r="A21" s="279">
        <f>1+A19</f>
        <v>5</v>
      </c>
      <c r="B21" s="241" t="s">
        <v>1452</v>
      </c>
      <c r="K21" s="281"/>
      <c r="M21" s="281"/>
    </row>
    <row r="22" spans="1:37" ht="21" customHeight="1">
      <c r="A22" s="279">
        <f>A21+1</f>
        <v>6</v>
      </c>
      <c r="B22" s="264" t="s">
        <v>1454</v>
      </c>
      <c r="E22" s="241">
        <f>'SCH B-6'!F12</f>
        <v>6462454.9470801083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241">
        <f>E22-SUM(G22:O22)</f>
        <v>6462454.9470801083</v>
      </c>
      <c r="S22" s="241">
        <v>7666909.872919892</v>
      </c>
      <c r="U22" s="278">
        <v>0</v>
      </c>
      <c r="W22" s="268">
        <v>0</v>
      </c>
      <c r="Y22" s="268">
        <v>0</v>
      </c>
      <c r="AA22" s="268">
        <v>0</v>
      </c>
      <c r="AC22" s="241">
        <v>7666909.872919892</v>
      </c>
      <c r="AE22" s="241">
        <f>+E22+S22</f>
        <v>14129364.82</v>
      </c>
    </row>
    <row r="23" spans="1:37" ht="21" customHeight="1">
      <c r="A23" s="279">
        <f>A22+1</f>
        <v>7</v>
      </c>
      <c r="B23" s="264" t="s">
        <v>1455</v>
      </c>
      <c r="E23" s="241">
        <f>'SCH B-6'!F16</f>
        <v>954474887.85043621</v>
      </c>
      <c r="G23" s="241">
        <f>-'ECR DEFTAX'!M2*1000</f>
        <v>278650776.61775905</v>
      </c>
      <c r="I23" s="278">
        <f>-'DSM DEFTAX'!M10</f>
        <v>1345010.40723335</v>
      </c>
      <c r="K23" s="278">
        <v>0</v>
      </c>
      <c r="M23" s="278">
        <v>0</v>
      </c>
      <c r="O23" s="268">
        <v>0</v>
      </c>
      <c r="Q23" s="241">
        <f>E23-SUM(G23:O23)</f>
        <v>674479100.82544374</v>
      </c>
      <c r="S23" s="241">
        <v>229011299.22135589</v>
      </c>
      <c r="U23" s="241">
        <v>6539990.0387755493</v>
      </c>
      <c r="W23" s="241">
        <v>0</v>
      </c>
      <c r="Y23" s="268">
        <v>0</v>
      </c>
      <c r="AA23" s="268">
        <v>0</v>
      </c>
      <c r="AC23" s="241">
        <v>222471309.18258032</v>
      </c>
      <c r="AE23" s="241">
        <f>+E23+S23</f>
        <v>1183486187.0717921</v>
      </c>
    </row>
    <row r="24" spans="1:37" ht="12" customHeight="1">
      <c r="A24" s="258"/>
      <c r="E24" s="266"/>
      <c r="G24" s="266"/>
      <c r="I24" s="266"/>
      <c r="K24" s="282"/>
      <c r="M24" s="282"/>
      <c r="O24" s="266"/>
      <c r="Q24" s="266"/>
      <c r="S24" s="266"/>
      <c r="U24" s="266"/>
      <c r="W24" s="266"/>
      <c r="Y24" s="266"/>
      <c r="AA24" s="266"/>
      <c r="AC24" s="266"/>
      <c r="AE24" s="266"/>
    </row>
    <row r="25" spans="1:37" ht="21" customHeight="1">
      <c r="A25" s="279">
        <f>1+A23</f>
        <v>8</v>
      </c>
      <c r="B25" s="264" t="s">
        <v>1456</v>
      </c>
      <c r="E25" s="267">
        <f>SUM(E22:E24)</f>
        <v>960937342.79751635</v>
      </c>
      <c r="F25" s="267"/>
      <c r="G25" s="267">
        <f>SUM(G22:G24)</f>
        <v>278650776.61775905</v>
      </c>
      <c r="H25" s="267"/>
      <c r="I25" s="278">
        <f>SUM(I22:I24)</f>
        <v>1345010.40723335</v>
      </c>
      <c r="J25" s="267"/>
      <c r="K25" s="278">
        <f>SUM(K22:K24)</f>
        <v>0</v>
      </c>
      <c r="L25" s="267"/>
      <c r="M25" s="278">
        <f>SUM(M22:M24)</f>
        <v>0</v>
      </c>
      <c r="N25" s="267"/>
      <c r="O25" s="268">
        <f>SUM(O22:O24)</f>
        <v>0</v>
      </c>
      <c r="P25" s="267"/>
      <c r="Q25" s="267">
        <f>SUM(Q22:Q24)</f>
        <v>680941555.77252388</v>
      </c>
      <c r="R25" s="267"/>
      <c r="S25" s="267">
        <v>236678209.09427577</v>
      </c>
      <c r="T25" s="267"/>
      <c r="U25" s="267">
        <v>6539990.0387755493</v>
      </c>
      <c r="V25" s="267"/>
      <c r="W25" s="267">
        <v>0</v>
      </c>
      <c r="X25" s="267"/>
      <c r="Y25" s="268">
        <v>0</v>
      </c>
      <c r="Z25" s="267"/>
      <c r="AA25" s="268">
        <v>0</v>
      </c>
      <c r="AB25" s="267"/>
      <c r="AC25" s="267">
        <v>230138219.05550021</v>
      </c>
      <c r="AD25" s="267"/>
      <c r="AE25" s="267">
        <f>SUM(AE22:AE24)</f>
        <v>1197615551.8917921</v>
      </c>
    </row>
    <row r="26" spans="1:37" ht="12" customHeight="1">
      <c r="A26" s="258"/>
      <c r="K26" s="281"/>
      <c r="M26" s="281"/>
    </row>
    <row r="27" spans="1:37" ht="21" customHeight="1">
      <c r="A27" s="279">
        <f>1+A25</f>
        <v>9</v>
      </c>
      <c r="B27" s="241" t="s">
        <v>1457</v>
      </c>
      <c r="E27" s="267">
        <f>+E19-E25</f>
        <v>3395883473.6174083</v>
      </c>
      <c r="F27" s="267"/>
      <c r="G27" s="267">
        <f>+G19-G25</f>
        <v>1131975128.3565242</v>
      </c>
      <c r="H27" s="267"/>
      <c r="I27" s="278">
        <f>+I19-I25</f>
        <v>3685156.8038186505</v>
      </c>
      <c r="J27" s="267"/>
      <c r="K27" s="278">
        <f>+K19-K25</f>
        <v>44062193.034459785</v>
      </c>
      <c r="L27" s="267"/>
      <c r="M27" s="278">
        <f>+M19-M25</f>
        <v>0</v>
      </c>
      <c r="N27" s="267"/>
      <c r="O27" s="268">
        <f>+O19-O25</f>
        <v>0</v>
      </c>
      <c r="P27" s="267"/>
      <c r="Q27" s="241">
        <f t="shared" ref="Q27:Q33" si="0">E27-SUM(G27:O27)</f>
        <v>2216160995.4226055</v>
      </c>
      <c r="R27" s="267"/>
      <c r="S27" s="267">
        <v>769605155.98954129</v>
      </c>
      <c r="T27" s="267"/>
      <c r="U27" s="267">
        <v>62635367.942534447</v>
      </c>
      <c r="V27" s="267"/>
      <c r="W27" s="267">
        <v>0</v>
      </c>
      <c r="X27" s="267"/>
      <c r="Y27" s="278">
        <v>18701104.675540242</v>
      </c>
      <c r="Z27" s="267"/>
      <c r="AA27" s="268">
        <v>0</v>
      </c>
      <c r="AB27" s="267"/>
      <c r="AC27" s="267">
        <v>688268683.3714664</v>
      </c>
      <c r="AD27" s="267"/>
      <c r="AE27" s="267">
        <f>+AE19-AE25</f>
        <v>4165488629.6069498</v>
      </c>
    </row>
    <row r="28" spans="1:37" ht="12" customHeight="1">
      <c r="A28" s="258"/>
      <c r="I28" s="268"/>
      <c r="K28" s="278"/>
      <c r="M28" s="278"/>
      <c r="O28" s="268"/>
      <c r="Y28" s="268"/>
      <c r="AA28" s="268"/>
    </row>
    <row r="29" spans="1:37" ht="14.25" customHeight="1">
      <c r="A29" s="279">
        <f>1+A27</f>
        <v>10</v>
      </c>
      <c r="B29" s="241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279">
        <f>A29+1</f>
        <v>11</v>
      </c>
      <c r="B30" s="264" t="s">
        <v>1477</v>
      </c>
      <c r="E30" s="241">
        <f>SUM('SCH B-5'!E13,'SCH B-5'!E15)+G30+M30</f>
        <v>83136363.064537883</v>
      </c>
      <c r="G30" s="278">
        <f>INV!O48</f>
        <v>143.21874786153847</v>
      </c>
      <c r="I30" s="268">
        <v>0</v>
      </c>
      <c r="K30" s="278">
        <v>0</v>
      </c>
      <c r="M30" s="278">
        <f>SUM('TC1 Disallowance'!$I$5:$I$17)/13+SUM('TC1 Disallowance'!$M$5:$M$17)/13+SUM('TC1 Disallowance'!$J$5:$J$17)/13+SUM('TC1 Disallowance'!$K$5:$K$17)/13+SUM('TC1 Disallowance'!$L$5:$L$17)/13+SUM('TC1 Disallowance'!$N$5:$N$17)/13</f>
        <v>5791944.2607974773</v>
      </c>
      <c r="O30" s="268">
        <v>0</v>
      </c>
      <c r="Q30" s="241">
        <f t="shared" si="0"/>
        <v>77344275.584992543</v>
      </c>
      <c r="S30" s="241">
        <v>760151.99574230751</v>
      </c>
      <c r="U30" s="268">
        <v>0</v>
      </c>
      <c r="W30" s="268">
        <v>0</v>
      </c>
      <c r="Y30" s="268">
        <v>0</v>
      </c>
      <c r="AA30" s="268">
        <v>0</v>
      </c>
      <c r="AC30" s="241">
        <v>760151.99574230751</v>
      </c>
      <c r="AE30" s="241">
        <f>+E30+S30</f>
        <v>83896515.060280189</v>
      </c>
    </row>
    <row r="31" spans="1:37" ht="21" customHeight="1">
      <c r="A31" s="279">
        <f>A30+1</f>
        <v>12</v>
      </c>
      <c r="B31" s="264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241">
        <v>30236000.641801473</v>
      </c>
      <c r="U31" s="268">
        <v>0</v>
      </c>
      <c r="W31" s="268">
        <v>0</v>
      </c>
      <c r="Y31" s="268">
        <v>0</v>
      </c>
      <c r="AA31" s="268">
        <v>0</v>
      </c>
      <c r="AC31" s="241">
        <v>30236000.641801473</v>
      </c>
      <c r="AE31" s="241">
        <f>+E31+S31</f>
        <v>30236000.641801473</v>
      </c>
    </row>
    <row r="32" spans="1:37" ht="21" customHeight="1">
      <c r="A32" s="279">
        <f>A31+1</f>
        <v>13</v>
      </c>
      <c r="B32" s="264" t="s">
        <v>1912</v>
      </c>
      <c r="E32" s="241">
        <f>'SCH B-5'!E17</f>
        <v>13413067.252335452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241">
        <f t="shared" si="0"/>
        <v>13413067.252335452</v>
      </c>
      <c r="S32" s="241">
        <v>3176179.380813811</v>
      </c>
      <c r="U32" s="268">
        <v>0</v>
      </c>
      <c r="W32" s="268">
        <v>0</v>
      </c>
      <c r="Y32" s="268">
        <v>0</v>
      </c>
      <c r="AA32" s="268">
        <v>0</v>
      </c>
      <c r="AC32" s="241">
        <v>3176179.380813811</v>
      </c>
      <c r="AE32" s="241">
        <f>+E32+S32</f>
        <v>16589246.633149263</v>
      </c>
    </row>
    <row r="33" spans="1:31" ht="21" customHeight="1">
      <c r="A33" s="279">
        <f>A32+1</f>
        <v>14</v>
      </c>
      <c r="B33" s="264" t="s">
        <v>2539</v>
      </c>
      <c r="E33" s="456">
        <f>'SCH B-5.2 B (1)'!Q78</f>
        <v>74788845.087969437</v>
      </c>
      <c r="F33" s="456"/>
      <c r="G33" s="278">
        <f ca="1">'SCH B-5.2 B (1)'!Q80</f>
        <v>817318.73749999981</v>
      </c>
      <c r="I33" s="268">
        <v>0</v>
      </c>
      <c r="K33" s="268">
        <v>0</v>
      </c>
      <c r="M33" s="268">
        <v>0</v>
      </c>
      <c r="O33" s="268">
        <v>0</v>
      </c>
      <c r="Q33" s="241">
        <f t="shared" ca="1" si="0"/>
        <v>73971526.35046944</v>
      </c>
      <c r="S33" s="241">
        <v>10111992.022250375</v>
      </c>
      <c r="U33" s="268">
        <v>0</v>
      </c>
      <c r="W33" s="268">
        <v>0</v>
      </c>
      <c r="Y33" s="268">
        <v>0</v>
      </c>
      <c r="AA33" s="268">
        <v>0</v>
      </c>
      <c r="AC33" s="241">
        <v>10111992.022250375</v>
      </c>
      <c r="AE33" s="241">
        <f>+E33+S33</f>
        <v>84900837.110219806</v>
      </c>
    </row>
    <row r="34" spans="1:31" ht="21" customHeight="1">
      <c r="A34" s="279">
        <f>A33+1</f>
        <v>15</v>
      </c>
      <c r="B34" s="264" t="s">
        <v>1601</v>
      </c>
      <c r="E34" s="241">
        <f>-'SCH B-6'!F18</f>
        <v>17896505.194329631</v>
      </c>
      <c r="G34" s="241">
        <f>'SCH B-6'!G18</f>
        <v>17896505.194329631</v>
      </c>
      <c r="I34" s="268">
        <v>0</v>
      </c>
      <c r="K34" s="278">
        <v>0</v>
      </c>
      <c r="M34" s="278">
        <v>0</v>
      </c>
      <c r="O34" s="268">
        <v>0</v>
      </c>
      <c r="Q34" s="268">
        <f>E34-SUM(G34:O34)</f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241">
        <f>+E34+S34</f>
        <v>17896505.194329631</v>
      </c>
    </row>
    <row r="35" spans="1:31" ht="12" customHeight="1">
      <c r="A35" s="258"/>
      <c r="E35" s="266"/>
      <c r="G35" s="266"/>
      <c r="I35" s="266"/>
      <c r="K35" s="282"/>
      <c r="M35" s="282"/>
      <c r="O35" s="266"/>
      <c r="Q35" s="266"/>
      <c r="S35" s="266"/>
      <c r="U35" s="266"/>
      <c r="W35" s="266"/>
      <c r="Y35" s="266"/>
      <c r="AA35" s="266"/>
      <c r="AC35" s="266"/>
      <c r="AE35" s="266"/>
    </row>
    <row r="36" spans="1:31" ht="21" customHeight="1">
      <c r="A36" s="279">
        <f>A34+1</f>
        <v>16</v>
      </c>
      <c r="B36" s="264" t="s">
        <v>1460</v>
      </c>
      <c r="E36" s="267">
        <f>SUM(E30:E35)</f>
        <v>189234780.59917241</v>
      </c>
      <c r="G36" s="267">
        <f ca="1">SUM(G30:G35)</f>
        <v>18713967.150577493</v>
      </c>
      <c r="I36" s="268">
        <f>SUM(I30:I35)</f>
        <v>0</v>
      </c>
      <c r="K36" s="278">
        <f>SUM(K30:K35)</f>
        <v>0</v>
      </c>
      <c r="M36" s="278">
        <f>SUM(M30:M35)</f>
        <v>5791944.2607974773</v>
      </c>
      <c r="O36" s="268">
        <f>SUM(O30:O35)</f>
        <v>0</v>
      </c>
      <c r="Q36" s="267">
        <f ca="1">SUM(Q30:Q35)</f>
        <v>164728869.18779743</v>
      </c>
      <c r="S36" s="267">
        <v>44284324.040607966</v>
      </c>
      <c r="U36" s="268">
        <v>0</v>
      </c>
      <c r="W36" s="268">
        <v>0</v>
      </c>
      <c r="Y36" s="268">
        <v>0</v>
      </c>
      <c r="AA36" s="268">
        <v>0</v>
      </c>
      <c r="AC36" s="267">
        <v>44284324.040607966</v>
      </c>
      <c r="AE36" s="267">
        <f>SUM(AE30:AE35)</f>
        <v>233519104.63978034</v>
      </c>
    </row>
    <row r="37" spans="1:31" ht="14.25" customHeight="1">
      <c r="A37" s="258"/>
    </row>
    <row r="38" spans="1:31" ht="21" customHeight="1" thickBot="1">
      <c r="A38" s="279">
        <f>1+A36</f>
        <v>17</v>
      </c>
      <c r="B38" s="241" t="s">
        <v>1461</v>
      </c>
      <c r="E38" s="269">
        <f>+E27+E36</f>
        <v>3585118254.2165809</v>
      </c>
      <c r="G38" s="269">
        <f ca="1">+G27+G36</f>
        <v>1150689095.5071018</v>
      </c>
      <c r="I38" s="269">
        <f>+I27+I36</f>
        <v>3685156.8038186505</v>
      </c>
      <c r="K38" s="269">
        <f>+K27+K36</f>
        <v>44062193.034459785</v>
      </c>
      <c r="M38" s="269">
        <f>+M27+M36</f>
        <v>5791944.2607974773</v>
      </c>
      <c r="O38" s="269">
        <f>+O27+O36</f>
        <v>0</v>
      </c>
      <c r="Q38" s="269">
        <f ca="1">+Q27+Q36</f>
        <v>2380889864.6104031</v>
      </c>
      <c r="S38" s="269">
        <v>813889480.03014922</v>
      </c>
      <c r="U38" s="269">
        <v>62635367.942534447</v>
      </c>
      <c r="W38" s="269">
        <v>0</v>
      </c>
      <c r="Y38" s="269">
        <v>18701104.675540242</v>
      </c>
      <c r="AA38" s="269">
        <v>0</v>
      </c>
      <c r="AC38" s="269">
        <v>732553007.41207433</v>
      </c>
      <c r="AE38" s="269">
        <f>+AE27+AE36</f>
        <v>4399007734.2467299</v>
      </c>
    </row>
    <row r="39" spans="1:31" ht="12.75" customHeight="1" thickTop="1">
      <c r="A39" s="25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279">
        <f>1+A38</f>
        <v>18</v>
      </c>
      <c r="B40" s="264" t="s">
        <v>1480</v>
      </c>
      <c r="K40" s="241">
        <f>-K38</f>
        <v>-44062193.034459785</v>
      </c>
      <c r="Q40" s="241">
        <f>E40-SUM(G40:O40)</f>
        <v>44062193.034459785</v>
      </c>
      <c r="Y40" s="241">
        <v>-18701104.675540242</v>
      </c>
      <c r="AC40" s="241">
        <v>18701104.675540242</v>
      </c>
      <c r="AE40" s="268">
        <f>+E40+S40</f>
        <v>0</v>
      </c>
    </row>
    <row r="41" spans="1:31" ht="14.25" customHeight="1">
      <c r="A41" s="258"/>
    </row>
    <row r="42" spans="1:31" ht="21" customHeight="1" thickBot="1">
      <c r="A42" s="279">
        <f>1+A40</f>
        <v>19</v>
      </c>
      <c r="B42" s="241" t="s">
        <v>1481</v>
      </c>
      <c r="E42" s="269">
        <f>E38+E40</f>
        <v>3585118254.2165809</v>
      </c>
      <c r="G42" s="269">
        <f ca="1">G38+G40</f>
        <v>1150689095.5071018</v>
      </c>
      <c r="I42" s="269">
        <f>I38+I40</f>
        <v>3685156.8038186505</v>
      </c>
      <c r="K42" s="269">
        <f>K38+K40</f>
        <v>0</v>
      </c>
      <c r="M42" s="269">
        <f>M38+M40</f>
        <v>5791944.2607974773</v>
      </c>
      <c r="O42" s="269">
        <f>O38+O40</f>
        <v>0</v>
      </c>
      <c r="Q42" s="269">
        <f ca="1">Q38+Q40</f>
        <v>2424952057.6448627</v>
      </c>
      <c r="S42" s="269">
        <v>813889480.03014922</v>
      </c>
      <c r="U42" s="269">
        <v>62635367.942534447</v>
      </c>
      <c r="W42" s="269">
        <v>0</v>
      </c>
      <c r="Y42" s="269">
        <v>0</v>
      </c>
      <c r="AA42" s="269">
        <v>0</v>
      </c>
      <c r="AC42" s="269">
        <v>751254112.08761454</v>
      </c>
      <c r="AE42" s="269">
        <f>AE38+AE40</f>
        <v>4399007734.2467299</v>
      </c>
    </row>
    <row r="43" spans="1:31" ht="12.75" customHeight="1" thickTop="1">
      <c r="A43" s="25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279">
        <f>1+A42</f>
        <v>20</v>
      </c>
      <c r="B44" s="256" t="s">
        <v>1462</v>
      </c>
      <c r="E44" s="271">
        <f>ROUND(+E42/$AE42,4)</f>
        <v>0.81499999999999995</v>
      </c>
      <c r="F44" s="267"/>
      <c r="G44" s="271">
        <f ca="1">ROUND(+G42/$AE42,4)</f>
        <v>0.2616</v>
      </c>
      <c r="H44" s="267"/>
      <c r="I44" s="271">
        <f>ROUND(+I42/$AE42,4)</f>
        <v>8.0000000000000004E-4</v>
      </c>
      <c r="J44" s="267"/>
      <c r="K44" s="271">
        <f>ROUND(+K42/$AE42,4)</f>
        <v>0</v>
      </c>
      <c r="L44" s="267"/>
      <c r="M44" s="271">
        <f>ROUND(+M42/$AE42,4)</f>
        <v>1.2999999999999999E-3</v>
      </c>
      <c r="N44" s="267"/>
      <c r="O44" s="271">
        <f>ROUND(+O42/$AE42,4)</f>
        <v>0</v>
      </c>
      <c r="Q44" s="271">
        <f ca="1">ROUND(+Q42/$AE42,4)</f>
        <v>0.55120000000000002</v>
      </c>
      <c r="S44" s="271">
        <f>ROUND(+S42/$AE42,4)</f>
        <v>0.185</v>
      </c>
      <c r="U44" s="271">
        <f>ROUND(+U42/$AE42,4)</f>
        <v>1.4200000000000001E-2</v>
      </c>
      <c r="V44" s="267"/>
      <c r="W44" s="271">
        <f>ROUND(+W42/$AE42,4)</f>
        <v>0</v>
      </c>
      <c r="X44" s="267"/>
      <c r="Y44" s="271">
        <f>ROUND(+Y42/$AE42,4)</f>
        <v>0</v>
      </c>
      <c r="Z44" s="267"/>
      <c r="AA44" s="271">
        <f>ROUND(+AA42/$AE42,4)</f>
        <v>0</v>
      </c>
      <c r="AC44" s="271">
        <f>ROUND(+AC42/$AE42,6)</f>
        <v>0.17077800000000001</v>
      </c>
      <c r="AD44" s="267"/>
      <c r="AE44" s="271">
        <f>ROUND(+AE42/$AE42,4)</f>
        <v>1</v>
      </c>
    </row>
    <row r="45" spans="1:31" ht="16.5" thickTop="1">
      <c r="A45" s="258"/>
      <c r="Q45" s="272"/>
      <c r="AC45" s="272"/>
    </row>
    <row r="46" spans="1:31">
      <c r="A46" s="273"/>
      <c r="Q46" s="272"/>
      <c r="R46" s="267"/>
      <c r="S46" s="272"/>
      <c r="AC46" s="272"/>
    </row>
    <row r="47" spans="1:31" ht="18.95" customHeight="1">
      <c r="A47" s="274" t="s">
        <v>1463</v>
      </c>
      <c r="B47" s="256" t="s">
        <v>1874</v>
      </c>
      <c r="Q47" s="275"/>
      <c r="S47" s="275"/>
      <c r="AC47" s="275"/>
    </row>
    <row r="48" spans="1:31" ht="18.95" customHeight="1">
      <c r="A48" s="274" t="s">
        <v>1464</v>
      </c>
      <c r="B48" s="241" t="s">
        <v>1465</v>
      </c>
    </row>
    <row r="49" spans="1:31" ht="18.95" customHeight="1">
      <c r="A49" s="274" t="s">
        <v>1466</v>
      </c>
      <c r="B49" s="241" t="s">
        <v>1469</v>
      </c>
    </row>
    <row r="50" spans="1:31" ht="18.95" customHeight="1">
      <c r="A50" s="274" t="s">
        <v>1468</v>
      </c>
      <c r="B50" s="241" t="s">
        <v>1467</v>
      </c>
    </row>
    <row r="51" spans="1:31" ht="18.95" customHeight="1">
      <c r="A51" s="274"/>
    </row>
    <row r="52" spans="1:31" ht="18.75" customHeight="1">
      <c r="A52" s="274"/>
    </row>
    <row r="53" spans="1:31">
      <c r="C53" s="267"/>
      <c r="D53" s="267"/>
    </row>
    <row r="54" spans="1:31">
      <c r="A54" s="276"/>
      <c r="B54" s="277"/>
      <c r="C54" s="267"/>
      <c r="D54" s="267"/>
      <c r="E54" s="267"/>
      <c r="F54" s="267"/>
      <c r="G54" s="270"/>
      <c r="H54" s="267"/>
      <c r="I54" s="270"/>
      <c r="J54" s="267"/>
      <c r="K54" s="270"/>
      <c r="L54" s="267"/>
      <c r="M54" s="270"/>
      <c r="N54" s="267"/>
      <c r="O54" s="270"/>
      <c r="P54" s="267"/>
      <c r="Q54" s="267"/>
      <c r="R54" s="267"/>
      <c r="S54" s="267"/>
      <c r="T54" s="267"/>
      <c r="U54" s="270"/>
      <c r="V54" s="267"/>
      <c r="W54" s="270"/>
      <c r="X54" s="267"/>
      <c r="Y54" s="270"/>
      <c r="Z54" s="267"/>
      <c r="AA54" s="270"/>
      <c r="AB54" s="267"/>
      <c r="AC54" s="267"/>
      <c r="AD54" s="267"/>
      <c r="AE54" s="267"/>
    </row>
    <row r="55" spans="1:31">
      <c r="A55" s="276"/>
      <c r="B55" s="27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 t="s">
        <v>1915</v>
      </c>
    </row>
  </sheetData>
  <mergeCells count="1">
    <mergeCell ref="A7:AE7"/>
  </mergeCells>
  <printOptions horizontalCentered="1" gridLinesSet="0"/>
  <pageMargins left="0" right="0" top="0.75" bottom="0" header="0.75" footer="0.5"/>
  <pageSetup scale="43" fitToHeight="0" orientation="landscape" r:id="rId1"/>
  <headerFooter alignWithMargins="0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N46" sqref="N46"/>
    </sheetView>
  </sheetViews>
  <sheetFormatPr defaultColWidth="9" defaultRowHeight="12.75"/>
  <cols>
    <col min="1" max="1" width="5.33203125" style="85" customWidth="1"/>
    <col min="2" max="2" width="17.44140625" style="85" customWidth="1"/>
    <col min="3" max="3" width="25.77734375" style="85" customWidth="1"/>
    <col min="4" max="4" width="16.77734375" style="85" customWidth="1"/>
    <col min="5" max="5" width="11.6640625" style="85" customWidth="1"/>
    <col min="6" max="6" width="15.77734375" style="85" customWidth="1"/>
    <col min="7" max="7" width="11.6640625" style="85" customWidth="1"/>
    <col min="8" max="8" width="15.6640625" style="85" customWidth="1"/>
    <col min="9" max="9" width="11.6640625" style="85" customWidth="1"/>
    <col min="10" max="10" width="15.6640625" style="85" customWidth="1"/>
    <col min="11" max="11" width="11.6640625" style="85" customWidth="1"/>
    <col min="12" max="12" width="15.6640625" style="85" customWidth="1"/>
    <col min="13" max="13" width="11.6640625" style="85" customWidth="1"/>
    <col min="14" max="14" width="14.77734375" style="85" customWidth="1"/>
    <col min="15" max="15" width="11.6640625" style="85" customWidth="1"/>
    <col min="16" max="16" width="15.6640625" style="85" customWidth="1"/>
    <col min="17" max="17" width="5.44140625" style="85" customWidth="1"/>
    <col min="18" max="19" width="16.77734375" style="85" bestFit="1" customWidth="1"/>
    <col min="20" max="20" width="12.33203125" style="85" customWidth="1"/>
    <col min="21" max="21" width="13.21875" style="85" customWidth="1"/>
    <col min="22" max="22" width="9" style="85"/>
    <col min="23" max="23" width="16.77734375" style="110" bestFit="1" customWidth="1"/>
    <col min="24" max="24" width="16.77734375" style="85" bestFit="1" customWidth="1"/>
    <col min="25" max="25" width="9" style="85"/>
    <col min="26" max="26" width="16.77734375" style="85" bestFit="1" customWidth="1"/>
    <col min="27" max="27" width="17.10937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_____ ORIGINAL  _____ UPDATED  __X__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1503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151" t="s">
        <v>582</v>
      </c>
      <c r="B11" s="85"/>
      <c r="C11" s="85"/>
      <c r="D11" s="151" t="s">
        <v>578</v>
      </c>
      <c r="E11" s="85"/>
      <c r="F11" s="151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151" t="s">
        <v>583</v>
      </c>
      <c r="B12" s="151" t="s">
        <v>165</v>
      </c>
      <c r="C12" s="85"/>
      <c r="D12" s="151" t="s">
        <v>579</v>
      </c>
      <c r="E12" s="151" t="s">
        <v>580</v>
      </c>
      <c r="F12" s="151" t="s">
        <v>579</v>
      </c>
      <c r="G12" s="151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761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151">
        <v>1</v>
      </c>
      <c r="B14" s="847" t="s">
        <v>613</v>
      </c>
      <c r="C14" s="847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51"/>
      <c r="B15" s="152"/>
      <c r="C15" s="152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1" t="s">
        <v>983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151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51">
        <f>A16+1</f>
        <v>3</v>
      </c>
      <c r="B17" s="85" t="s">
        <v>574</v>
      </c>
      <c r="C17" s="85"/>
      <c r="D17" s="121">
        <f>'BS E'!X9*1000-D18</f>
        <v>6327559719.879961</v>
      </c>
      <c r="E17" s="97">
        <f t="shared" ref="E17:E21" si="0">(+D17-F17)/F17</f>
        <v>6.399086252464764E-2</v>
      </c>
      <c r="F17" s="121">
        <f>'BS E'!G9*1000-F18</f>
        <v>5947005695.9566994</v>
      </c>
      <c r="G17" s="97">
        <f t="shared" ref="G17:I21" si="1">(+F17-H17)/H17</f>
        <v>6.5401403875648731E-2</v>
      </c>
      <c r="H17" s="121">
        <f>$U17</f>
        <v>5581939046</v>
      </c>
      <c r="I17" s="97">
        <f t="shared" si="1"/>
        <v>2.510086655038251E-2</v>
      </c>
      <c r="J17" s="121">
        <v>5445258343</v>
      </c>
      <c r="K17" s="97">
        <f t="shared" ref="K17:M21" si="2">(+J17-L17)/L17</f>
        <v>8.2450206810668544E-2</v>
      </c>
      <c r="L17" s="121">
        <v>5030493143</v>
      </c>
      <c r="M17" s="97">
        <f t="shared" si="2"/>
        <v>7.4911730774763541E-2</v>
      </c>
      <c r="N17" s="121">
        <v>4679912777</v>
      </c>
      <c r="O17" s="97">
        <f t="shared" ref="O17:O21" si="3">(+N17-P17)/P17</f>
        <v>0.12588885966048854</v>
      </c>
      <c r="P17" s="121">
        <v>4156638319</v>
      </c>
      <c r="Q17" s="99"/>
      <c r="R17" s="115" t="s">
        <v>574</v>
      </c>
      <c r="S17" s="166">
        <v>5581939046</v>
      </c>
      <c r="T17" s="166">
        <v>1262487544</v>
      </c>
      <c r="U17" s="166">
        <v>5581939046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51">
        <f>A17+1</f>
        <v>4</v>
      </c>
      <c r="B18" s="85" t="s">
        <v>215</v>
      </c>
      <c r="C18" s="85"/>
      <c r="D18" s="122">
        <f>'SCH B-4'!H54</f>
        <v>120257329.94306895</v>
      </c>
      <c r="E18" s="97">
        <f t="shared" si="0"/>
        <v>-0.58372693236149431</v>
      </c>
      <c r="F18" s="122">
        <f>'SCH B-4'!H26</f>
        <v>288890488.7007997</v>
      </c>
      <c r="G18" s="97">
        <f t="shared" si="1"/>
        <v>2.274649896328787E-2</v>
      </c>
      <c r="H18" s="122">
        <f>$U18</f>
        <v>282465390</v>
      </c>
      <c r="I18" s="97">
        <f t="shared" si="1"/>
        <v>1.437349824135959</v>
      </c>
      <c r="J18" s="122">
        <v>115890377</v>
      </c>
      <c r="K18" s="97">
        <f t="shared" si="2"/>
        <v>-0.68191827659277315</v>
      </c>
      <c r="L18" s="122">
        <v>364341515</v>
      </c>
      <c r="M18" s="97">
        <f t="shared" si="2"/>
        <v>-0.44167385103395584</v>
      </c>
      <c r="N18" s="122">
        <v>652560364</v>
      </c>
      <c r="O18" s="97">
        <f t="shared" si="3"/>
        <v>0.10577566254261625</v>
      </c>
      <c r="P18" s="122">
        <v>590138114</v>
      </c>
      <c r="Q18" s="99"/>
      <c r="R18" s="115" t="s">
        <v>215</v>
      </c>
      <c r="S18" s="167">
        <v>282465390</v>
      </c>
      <c r="T18" s="167">
        <v>26464796</v>
      </c>
      <c r="U18" s="167">
        <v>282465390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51">
        <f>A18+1</f>
        <v>5</v>
      </c>
      <c r="B19" s="85" t="s">
        <v>614</v>
      </c>
      <c r="C19" s="85"/>
      <c r="D19" s="113">
        <f>D17+D18</f>
        <v>6447817049.8230295</v>
      </c>
      <c r="E19" s="97">
        <f t="shared" si="0"/>
        <v>3.3984027137419347E-2</v>
      </c>
      <c r="F19" s="113">
        <f>F17+F18</f>
        <v>6235896184.6574993</v>
      </c>
      <c r="G19" s="97">
        <f t="shared" si="1"/>
        <v>6.3346884191174041E-2</v>
      </c>
      <c r="H19" s="113">
        <f>H17+H18</f>
        <v>5864404436</v>
      </c>
      <c r="I19" s="97">
        <f t="shared" si="1"/>
        <v>5.4531128597474374E-2</v>
      </c>
      <c r="J19" s="113">
        <v>5561148720</v>
      </c>
      <c r="K19" s="97">
        <f t="shared" si="2"/>
        <v>3.082838910611892E-2</v>
      </c>
      <c r="L19" s="113">
        <v>5394834658</v>
      </c>
      <c r="M19" s="97">
        <f t="shared" si="2"/>
        <v>1.1694670624877321E-2</v>
      </c>
      <c r="N19" s="113">
        <f>N17+N18</f>
        <v>5332473141</v>
      </c>
      <c r="O19" s="97">
        <f t="shared" si="3"/>
        <v>0.12338830704732287</v>
      </c>
      <c r="P19" s="113">
        <f>P17+P18</f>
        <v>4746776433</v>
      </c>
      <c r="Q19" s="99"/>
      <c r="R19" s="115" t="s">
        <v>985</v>
      </c>
      <c r="S19" s="167">
        <v>5864404436</v>
      </c>
      <c r="T19" s="167">
        <v>1288952340</v>
      </c>
      <c r="U19" s="167">
        <v>5864404436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51">
        <f>A19+1</f>
        <v>6</v>
      </c>
      <c r="B20" s="85" t="s">
        <v>615</v>
      </c>
      <c r="C20" s="85"/>
      <c r="D20" s="118">
        <f>-'BS E'!X10*1000</f>
        <v>1960237833.1585784</v>
      </c>
      <c r="E20" s="97">
        <f t="shared" si="0"/>
        <v>4.3192762084121733E-2</v>
      </c>
      <c r="F20" s="118">
        <f>-'BS E'!G10*1000</f>
        <v>1879075377.4425702</v>
      </c>
      <c r="G20" s="97">
        <f t="shared" si="1"/>
        <v>5.7782538061294519E-2</v>
      </c>
      <c r="H20" s="118">
        <f>$U20</f>
        <v>1776428812</v>
      </c>
      <c r="I20" s="97">
        <f t="shared" si="1"/>
        <v>3.9384789391654344E-2</v>
      </c>
      <c r="J20" s="118">
        <v>1709115652</v>
      </c>
      <c r="K20" s="97">
        <f t="shared" si="2"/>
        <v>1.3582119762913672E-2</v>
      </c>
      <c r="L20" s="118">
        <v>1686213301</v>
      </c>
      <c r="M20" s="97">
        <f t="shared" si="2"/>
        <v>-0.19841104045217056</v>
      </c>
      <c r="N20" s="118">
        <v>2103588480</v>
      </c>
      <c r="O20" s="97">
        <f t="shared" si="3"/>
        <v>4.7075671493551838E-2</v>
      </c>
      <c r="P20" s="118">
        <v>2009012851</v>
      </c>
      <c r="Q20" s="85"/>
      <c r="R20" s="115" t="s">
        <v>986</v>
      </c>
      <c r="S20" s="167">
        <v>1776428812</v>
      </c>
      <c r="T20" s="167">
        <v>368036709</v>
      </c>
      <c r="U20" s="167">
        <v>1776428812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51">
        <f>A20+1</f>
        <v>7</v>
      </c>
      <c r="B21" s="85" t="s">
        <v>616</v>
      </c>
      <c r="C21" s="85"/>
      <c r="D21" s="114">
        <f>D19-D20</f>
        <v>4487579216.6644516</v>
      </c>
      <c r="E21" s="97">
        <f t="shared" si="0"/>
        <v>3.0012345064315032E-2</v>
      </c>
      <c r="F21" s="114">
        <f>F19-F20</f>
        <v>4356820807.2149296</v>
      </c>
      <c r="G21" s="97">
        <f t="shared" si="1"/>
        <v>6.5764869447012528E-2</v>
      </c>
      <c r="H21" s="114">
        <f>H19-H20</f>
        <v>4087975624</v>
      </c>
      <c r="I21" s="97">
        <f t="shared" si="1"/>
        <v>6.1251435757404563E-2</v>
      </c>
      <c r="J21" s="114">
        <v>3852033068</v>
      </c>
      <c r="K21" s="97">
        <f t="shared" si="2"/>
        <v>3.8669817486034611E-2</v>
      </c>
      <c r="L21" s="114">
        <v>3708621357</v>
      </c>
      <c r="M21" s="97">
        <f t="shared" si="2"/>
        <v>0.14857659729828299</v>
      </c>
      <c r="N21" s="114">
        <f>N19-N20</f>
        <v>3228884661</v>
      </c>
      <c r="O21" s="97">
        <f t="shared" si="3"/>
        <v>0.17938768790299439</v>
      </c>
      <c r="P21" s="114">
        <f>P19-P20</f>
        <v>2737763582</v>
      </c>
      <c r="Q21" s="85"/>
      <c r="R21" s="115" t="s">
        <v>616</v>
      </c>
      <c r="S21" s="167">
        <v>4087975624</v>
      </c>
      <c r="T21" s="167">
        <v>920915631</v>
      </c>
      <c r="U21" s="167">
        <v>4087975624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151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151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4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51">
        <f>A23+1</f>
        <v>9</v>
      </c>
      <c r="B24" s="85" t="s">
        <v>618</v>
      </c>
      <c r="C24" s="85"/>
      <c r="D24" s="121">
        <f>'BS E'!X19*1000</f>
        <v>391600.26779999986</v>
      </c>
      <c r="E24" s="97">
        <f>(+D24-F24)/F24</f>
        <v>-1.4864050333896994E-16</v>
      </c>
      <c r="F24" s="121">
        <f>'BS E'!G19*1000</f>
        <v>391600.26779999991</v>
      </c>
      <c r="G24" s="97">
        <f>(+F24-H24)/H24</f>
        <v>-1.8549076283112241E-3</v>
      </c>
      <c r="H24" s="121">
        <f>$U25</f>
        <v>392328</v>
      </c>
      <c r="I24" s="97">
        <f>(+H24-J24)/J24</f>
        <v>-1.420171867933062E-2</v>
      </c>
      <c r="J24" s="121">
        <v>397980</v>
      </c>
      <c r="K24" s="97">
        <f>(+J24-L24)/L24</f>
        <v>2.5126953934755351E-6</v>
      </c>
      <c r="L24" s="121">
        <v>397979</v>
      </c>
      <c r="M24" s="97">
        <f>(+L24-N24)/N24</f>
        <v>-9.0876911992488851E-4</v>
      </c>
      <c r="N24" s="121">
        <v>398341</v>
      </c>
      <c r="O24" s="97">
        <f>(+N24-P24)/P24</f>
        <v>0.14409914696843495</v>
      </c>
      <c r="P24" s="121">
        <v>348170</v>
      </c>
      <c r="Q24" s="99"/>
      <c r="R24" s="133" t="s">
        <v>617</v>
      </c>
      <c r="S24" s="164"/>
      <c r="T24" s="164"/>
      <c r="U24" s="164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51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4">
        <v>392328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51">
        <f>A25+1</f>
        <v>11</v>
      </c>
      <c r="B26" s="85" t="s">
        <v>620</v>
      </c>
      <c r="C26" s="85"/>
      <c r="D26" s="118">
        <f>'BS E'!X17*1000</f>
        <v>594286</v>
      </c>
      <c r="E26" s="97">
        <f>(+D26-F26)/F26</f>
        <v>0</v>
      </c>
      <c r="F26" s="118">
        <f>'BS E'!G17*1000</f>
        <v>594286</v>
      </c>
      <c r="G26" s="97">
        <f t="shared" ref="G26" si="4">(+F26-H26)/H26</f>
        <v>0</v>
      </c>
      <c r="H26" s="118">
        <f>$U27</f>
        <v>594286</v>
      </c>
      <c r="I26" s="97">
        <f t="shared" ref="I26:K27" si="5">(+H26-J26)/J26</f>
        <v>0</v>
      </c>
      <c r="J26" s="118">
        <v>594286</v>
      </c>
      <c r="K26" s="97">
        <f t="shared" si="5"/>
        <v>0</v>
      </c>
      <c r="L26" s="118">
        <v>594286</v>
      </c>
      <c r="M26" s="97">
        <f t="shared" ref="M26" si="6"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51">
        <f>A26+1</f>
        <v>12</v>
      </c>
      <c r="B27" s="85" t="s">
        <v>621</v>
      </c>
      <c r="C27" s="85"/>
      <c r="D27" s="122">
        <f>'BS E'!X20*1000</f>
        <v>18506453.268556189</v>
      </c>
      <c r="E27" s="97">
        <f>(+D27-F27)/F27</f>
        <v>1.3124541848173215</v>
      </c>
      <c r="F27" s="122">
        <f>'BS E'!G20*1000</f>
        <v>8002949.1568146059</v>
      </c>
      <c r="G27" s="97">
        <v>1</v>
      </c>
      <c r="H27" s="122">
        <f>$U26</f>
        <v>0</v>
      </c>
      <c r="I27" s="97">
        <f t="shared" si="5"/>
        <v>-1</v>
      </c>
      <c r="J27" s="122">
        <v>2842388</v>
      </c>
      <c r="K27" s="97">
        <f t="shared" si="5"/>
        <v>-0.62487709869242247</v>
      </c>
      <c r="L27" s="122">
        <v>7577218</v>
      </c>
      <c r="M27" s="97">
        <f t="shared" ref="M27" si="7">(+L27-N27)/N27</f>
        <v>-0.55919371712336829</v>
      </c>
      <c r="N27" s="122">
        <v>17189451</v>
      </c>
      <c r="O27" s="97">
        <f>(+N27-P27)/P27</f>
        <v>-3.9241234556874574E-2</v>
      </c>
      <c r="P27" s="122">
        <v>17891537</v>
      </c>
      <c r="Q27" s="99"/>
      <c r="R27" s="125" t="s">
        <v>620</v>
      </c>
      <c r="S27" s="167">
        <v>594286</v>
      </c>
      <c r="T27" s="167">
        <v>0</v>
      </c>
      <c r="U27" s="167">
        <v>594286</v>
      </c>
      <c r="V27" s="157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51">
        <f>A27+1</f>
        <v>13</v>
      </c>
      <c r="B28" s="85" t="s">
        <v>622</v>
      </c>
      <c r="C28" s="85"/>
      <c r="D28" s="117">
        <f>SUM(D24:D27)</f>
        <v>19492339.536356188</v>
      </c>
      <c r="E28" s="97">
        <f>(+D28-F28)/F28</f>
        <v>1.1685055533422357</v>
      </c>
      <c r="F28" s="117">
        <f>SUM(F24:F27)</f>
        <v>8988835.4246146064</v>
      </c>
      <c r="G28" s="97">
        <f>(+F28-H28)/H28</f>
        <v>8.1107924929248991</v>
      </c>
      <c r="H28" s="117">
        <f>SUM(H24:H27)</f>
        <v>986614</v>
      </c>
      <c r="I28" s="97">
        <f>(+H28-J28)/J28</f>
        <v>-0.74271107641002287</v>
      </c>
      <c r="J28" s="117">
        <v>3834654</v>
      </c>
      <c r="K28" s="97">
        <f>(+J28-L28)/L28</f>
        <v>-0.55252212998147032</v>
      </c>
      <c r="L28" s="117">
        <v>8569483</v>
      </c>
      <c r="M28" s="97">
        <f>(+L28-N28)/N28</f>
        <v>-0.52868517008891946</v>
      </c>
      <c r="N28" s="117">
        <f>SUM(N24:N27)</f>
        <v>18182078</v>
      </c>
      <c r="O28" s="97">
        <f>(+N28-P28)/P28</f>
        <v>-3.4613743352246124E-2</v>
      </c>
      <c r="P28" s="117">
        <f>SUM(P24:P27)</f>
        <v>18833993</v>
      </c>
      <c r="Q28" s="85"/>
      <c r="R28" s="168" t="s">
        <v>988</v>
      </c>
      <c r="S28" s="164">
        <v>986614</v>
      </c>
      <c r="T28" s="164">
        <v>175209</v>
      </c>
      <c r="U28" s="164">
        <v>986614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151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4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51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4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51">
        <f t="shared" ref="A31:A47" si="8">A30+1</f>
        <v>15</v>
      </c>
      <c r="B31" s="85" t="s">
        <v>623</v>
      </c>
      <c r="C31" s="85"/>
      <c r="D31" s="121">
        <f>'BS E'!X26*1000</f>
        <v>4006834.8868557704</v>
      </c>
      <c r="E31" s="97">
        <f>(+D31-F31)/F31</f>
        <v>-1.8436555061860253E-2</v>
      </c>
      <c r="F31" s="121">
        <f>'BS E'!G26*1000</f>
        <v>4082094.6496314253</v>
      </c>
      <c r="G31" s="97">
        <f>(+F31-H31)/H31</f>
        <v>-0.41229859065337071</v>
      </c>
      <c r="H31" s="121">
        <f t="shared" ref="H31:H37" si="9">$U31</f>
        <v>6945865</v>
      </c>
      <c r="I31" s="97">
        <f>(+H31-J31)/J31</f>
        <v>0.7052503631645014</v>
      </c>
      <c r="J31" s="121">
        <v>4073223</v>
      </c>
      <c r="K31" s="97">
        <f>(+J31-L31)/L31</f>
        <v>0.54136890132108484</v>
      </c>
      <c r="L31" s="121">
        <v>2642601</v>
      </c>
      <c r="M31" s="97">
        <f>(+L31-N31)/N31</f>
        <v>-0.34842151436093133</v>
      </c>
      <c r="N31" s="121">
        <v>4055691</v>
      </c>
      <c r="O31" s="97">
        <f>(+N31-P31)/P31</f>
        <v>0.2658373593419891</v>
      </c>
      <c r="P31" s="121">
        <v>3203959</v>
      </c>
      <c r="Q31" s="85"/>
      <c r="R31" s="125" t="s">
        <v>623</v>
      </c>
      <c r="S31" s="164">
        <v>6945865</v>
      </c>
      <c r="T31" s="164">
        <v>1058304</v>
      </c>
      <c r="U31" s="164">
        <v>6945865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51">
        <f t="shared" si="8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9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51">
        <f t="shared" si="8"/>
        <v>17</v>
      </c>
      <c r="B33" s="85" t="s">
        <v>625</v>
      </c>
      <c r="C33" s="85"/>
      <c r="D33" s="118">
        <f>'BS E'!X27*1000</f>
        <v>15859.052482175141</v>
      </c>
      <c r="E33" s="97">
        <f>(+D33-F33)/F33</f>
        <v>-1.843655506186009E-2</v>
      </c>
      <c r="F33" s="118">
        <f>'BS E'!G27*1000</f>
        <v>16156.93062324118</v>
      </c>
      <c r="G33" s="97">
        <v>1</v>
      </c>
      <c r="H33" s="118">
        <f t="shared" si="9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1" si="10">(+N33-P33)/P33</f>
        <v>-1</v>
      </c>
      <c r="P33" s="118">
        <v>16172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51">
        <f t="shared" si="8"/>
        <v>18</v>
      </c>
      <c r="B34" s="85" t="s">
        <v>626</v>
      </c>
      <c r="C34" s="85"/>
      <c r="D34" s="118">
        <f>'BS E'!X31*1000</f>
        <v>-1.26374581844526E-10</v>
      </c>
      <c r="E34" s="97">
        <v>0</v>
      </c>
      <c r="F34" s="118">
        <f>'BS E'!G31*1000</f>
        <v>1.6033978925493701E-8</v>
      </c>
      <c r="G34" s="97">
        <f t="shared" ref="G34:I41" si="11">(+F34-H34)/H34</f>
        <v>-0.99999999999999711</v>
      </c>
      <c r="H34" s="118">
        <f t="shared" si="9"/>
        <v>5467552</v>
      </c>
      <c r="I34" s="97">
        <f t="shared" si="11"/>
        <v>21.436597466442883</v>
      </c>
      <c r="J34" s="118">
        <v>243689</v>
      </c>
      <c r="K34" s="97">
        <f t="shared" ref="K34:M41" si="12">(+J34-L34)/L34</f>
        <v>-0.9817213669014293</v>
      </c>
      <c r="L34" s="118">
        <v>13331905</v>
      </c>
      <c r="M34" s="97">
        <f t="shared" si="12"/>
        <v>1.9590591758344442</v>
      </c>
      <c r="N34" s="118">
        <v>4505454</v>
      </c>
      <c r="O34" s="97">
        <f t="shared" si="10"/>
        <v>0.2361164230258288</v>
      </c>
      <c r="P34" s="118">
        <v>3644846</v>
      </c>
      <c r="Q34" s="99"/>
      <c r="R34" s="115" t="s">
        <v>626</v>
      </c>
      <c r="S34" s="167">
        <v>5467552</v>
      </c>
      <c r="T34" s="167">
        <v>1197756</v>
      </c>
      <c r="U34" s="167">
        <v>5467552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51">
        <f t="shared" si="8"/>
        <v>19</v>
      </c>
      <c r="B35" s="85" t="s">
        <v>627</v>
      </c>
      <c r="C35" s="85"/>
      <c r="D35" s="118">
        <f>'BS E'!X35*1000</f>
        <v>89708730.011567369</v>
      </c>
      <c r="E35" s="97">
        <f t="shared" ref="E35:E41" si="13">(+D35-F35)/F35</f>
        <v>-6.2636391981814778E-3</v>
      </c>
      <c r="F35" s="118">
        <f>'BS E'!G35*1000</f>
        <v>90274174.871878356</v>
      </c>
      <c r="G35" s="97">
        <f t="shared" si="11"/>
        <v>8.0183529518252833E-2</v>
      </c>
      <c r="H35" s="118">
        <f t="shared" si="9"/>
        <v>83572997</v>
      </c>
      <c r="I35" s="97">
        <f t="shared" si="11"/>
        <v>5.2901469141102588E-2</v>
      </c>
      <c r="J35" s="118">
        <v>79373996</v>
      </c>
      <c r="K35" s="97">
        <f t="shared" si="12"/>
        <v>0.15551121183236319</v>
      </c>
      <c r="L35" s="118">
        <v>68691671</v>
      </c>
      <c r="M35" s="97">
        <f t="shared" si="12"/>
        <v>-5.6721257132436462E-2</v>
      </c>
      <c r="N35" s="118">
        <v>72822240</v>
      </c>
      <c r="O35" s="97">
        <f t="shared" si="10"/>
        <v>5.6177930890988055E-2</v>
      </c>
      <c r="P35" s="118">
        <v>68948837</v>
      </c>
      <c r="Q35" s="85"/>
      <c r="R35" s="115" t="s">
        <v>627</v>
      </c>
      <c r="S35" s="167">
        <v>83572997</v>
      </c>
      <c r="T35" s="167">
        <v>33518511</v>
      </c>
      <c r="U35" s="167">
        <v>83572997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51">
        <f t="shared" si="8"/>
        <v>20</v>
      </c>
      <c r="B36" s="85" t="s">
        <v>628</v>
      </c>
      <c r="C36" s="85"/>
      <c r="D36" s="118">
        <f>('BS E'!X36+'BS E'!X37)*1000</f>
        <v>10257460.094868343</v>
      </c>
      <c r="E36" s="97">
        <f t="shared" si="13"/>
        <v>-1.8436555061860302E-2</v>
      </c>
      <c r="F36" s="118">
        <f>('BS E'!G36+'BS E'!G37)*1000</f>
        <v>10450124.388561344</v>
      </c>
      <c r="G36" s="97">
        <f t="shared" si="11"/>
        <v>-0.19428723383276827</v>
      </c>
      <c r="H36" s="118">
        <f t="shared" si="9"/>
        <v>12970037</v>
      </c>
      <c r="I36" s="97">
        <f t="shared" si="11"/>
        <v>0.14404883283977074</v>
      </c>
      <c r="J36" s="118">
        <v>11336961</v>
      </c>
      <c r="K36" s="97">
        <f t="shared" si="12"/>
        <v>0.71604458007622551</v>
      </c>
      <c r="L36" s="118">
        <v>6606449</v>
      </c>
      <c r="M36" s="97">
        <f t="shared" si="12"/>
        <v>-0.33417263268651548</v>
      </c>
      <c r="N36" s="118">
        <v>9922165</v>
      </c>
      <c r="O36" s="97">
        <f t="shared" si="10"/>
        <v>1.4577068383218263E-2</v>
      </c>
      <c r="P36" s="118">
        <v>9779607</v>
      </c>
      <c r="Q36" s="99"/>
      <c r="R36" s="115" t="s">
        <v>628</v>
      </c>
      <c r="S36" s="167">
        <v>12970037</v>
      </c>
      <c r="T36" s="167">
        <v>240896</v>
      </c>
      <c r="U36" s="167">
        <v>12970037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51">
        <f t="shared" si="8"/>
        <v>21</v>
      </c>
      <c r="B37" s="85" t="s">
        <v>629</v>
      </c>
      <c r="C37" s="101"/>
      <c r="D37" s="118">
        <f>-('BS E'!X39+'BS E'!X40)*1000</f>
        <v>957427.42637194926</v>
      </c>
      <c r="E37" s="97">
        <f t="shared" si="13"/>
        <v>-1.8436555061860267E-2</v>
      </c>
      <c r="F37" s="118">
        <f>-('BS E'!G39+'BS E'!G40)*1000</f>
        <v>975410.63831313362</v>
      </c>
      <c r="G37" s="97">
        <f t="shared" si="11"/>
        <v>9.643638266846101E-2</v>
      </c>
      <c r="H37" s="118">
        <f t="shared" si="9"/>
        <v>889619</v>
      </c>
      <c r="I37" s="97">
        <f t="shared" si="11"/>
        <v>-0.31820191858910052</v>
      </c>
      <c r="J37" s="118">
        <v>1304813</v>
      </c>
      <c r="K37" s="97">
        <f t="shared" si="12"/>
        <v>0.34721247088365026</v>
      </c>
      <c r="L37" s="118">
        <v>968528</v>
      </c>
      <c r="M37" s="97">
        <f t="shared" si="12"/>
        <v>-1.72566169643899E-2</v>
      </c>
      <c r="N37" s="118">
        <v>985535</v>
      </c>
      <c r="O37" s="97">
        <f t="shared" si="10"/>
        <v>-0.30346453131294571</v>
      </c>
      <c r="P37" s="118">
        <v>1414910</v>
      </c>
      <c r="Q37" s="99"/>
      <c r="R37" s="115" t="s">
        <v>1002</v>
      </c>
      <c r="S37" s="167">
        <v>889619</v>
      </c>
      <c r="T37" s="167">
        <v>237075</v>
      </c>
      <c r="U37" s="167">
        <v>889619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51">
        <f t="shared" si="8"/>
        <v>22</v>
      </c>
      <c r="B38" s="85" t="s">
        <v>630</v>
      </c>
      <c r="C38" s="85"/>
      <c r="D38" s="118">
        <f>'BS E'!X49*1000</f>
        <v>22734561.127781633</v>
      </c>
      <c r="E38" s="97">
        <f t="shared" si="13"/>
        <v>-7.4489908177351363E-2</v>
      </c>
      <c r="F38" s="118">
        <f>'BS E'!G49*1000</f>
        <v>24564357.891559497</v>
      </c>
      <c r="G38" s="97">
        <f t="shared" si="11"/>
        <v>4.0221156134607359E-3</v>
      </c>
      <c r="H38" s="118">
        <f>$U39</f>
        <v>24465953</v>
      </c>
      <c r="I38" s="97">
        <f t="shared" si="11"/>
        <v>-0.12806440546501455</v>
      </c>
      <c r="J38" s="118">
        <v>28059358</v>
      </c>
      <c r="K38" s="97">
        <f t="shared" si="12"/>
        <v>0.71458780360004459</v>
      </c>
      <c r="L38" s="118">
        <v>16365075</v>
      </c>
      <c r="M38" s="97">
        <f t="shared" si="12"/>
        <v>-0.83161748928700119</v>
      </c>
      <c r="N38" s="118">
        <v>97189874</v>
      </c>
      <c r="O38" s="97">
        <f t="shared" si="10"/>
        <v>893.56370748768927</v>
      </c>
      <c r="P38" s="118">
        <v>108645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51">
        <f t="shared" si="8"/>
        <v>23</v>
      </c>
      <c r="B39" s="85" t="s">
        <v>631</v>
      </c>
      <c r="C39" s="85"/>
      <c r="D39" s="118">
        <f>'BS E'!X52*1000</f>
        <v>34888884.171428151</v>
      </c>
      <c r="E39" s="97">
        <f t="shared" si="13"/>
        <v>-8.4786678526446169E-2</v>
      </c>
      <c r="F39" s="118">
        <f>'BS E'!G52*1000</f>
        <v>38121040.584565297</v>
      </c>
      <c r="G39" s="97">
        <f t="shared" si="11"/>
        <v>-0.14669072585660003</v>
      </c>
      <c r="H39" s="118">
        <f>$U40</f>
        <v>44674354</v>
      </c>
      <c r="I39" s="97">
        <f t="shared" si="11"/>
        <v>-0.25618617302443686</v>
      </c>
      <c r="J39" s="118">
        <v>60061204</v>
      </c>
      <c r="K39" s="97">
        <f t="shared" si="12"/>
        <v>-0.15454669507160154</v>
      </c>
      <c r="L39" s="118">
        <v>71040238</v>
      </c>
      <c r="M39" s="97">
        <f t="shared" si="12"/>
        <v>6.7196643797979086E-2</v>
      </c>
      <c r="N39" s="118">
        <v>66567149</v>
      </c>
      <c r="O39" s="97">
        <f t="shared" si="10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24465953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51">
        <f t="shared" si="8"/>
        <v>24</v>
      </c>
      <c r="B40" s="85" t="s">
        <v>632</v>
      </c>
      <c r="C40" s="85"/>
      <c r="D40" s="118">
        <f>('BS E'!X54+'BS E'!X53)*1000</f>
        <v>35883882.909075305</v>
      </c>
      <c r="E40" s="97">
        <f t="shared" si="13"/>
        <v>-8.976971896671784E-3</v>
      </c>
      <c r="F40" s="118">
        <f>('BS E'!G54+'BS E'!G53)*1000</f>
        <v>36208929.451167002</v>
      </c>
      <c r="G40" s="97">
        <f t="shared" si="11"/>
        <v>2.0823971425077224E-2</v>
      </c>
      <c r="H40" s="118">
        <f>$U41</f>
        <v>35470297</v>
      </c>
      <c r="I40" s="97">
        <f t="shared" si="11"/>
        <v>2.2483199721236573E-2</v>
      </c>
      <c r="J40" s="118">
        <v>34690347</v>
      </c>
      <c r="K40" s="97">
        <f t="shared" si="12"/>
        <v>8.2786350661018998E-2</v>
      </c>
      <c r="L40" s="118">
        <v>32038035</v>
      </c>
      <c r="M40" s="97">
        <f t="shared" si="12"/>
        <v>-9.5486233353907296E-2</v>
      </c>
      <c r="N40" s="118">
        <v>35420174</v>
      </c>
      <c r="O40" s="97">
        <f t="shared" si="10"/>
        <v>-1.0788883332477808E-2</v>
      </c>
      <c r="P40" s="118">
        <v>35806486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51">
        <f>A40+1</f>
        <v>25</v>
      </c>
      <c r="B41" s="85" t="s">
        <v>633</v>
      </c>
      <c r="C41" s="85"/>
      <c r="D41" s="118">
        <f>'BS E'!X55*1000</f>
        <v>7751806.0048509985</v>
      </c>
      <c r="E41" s="97">
        <f t="shared" si="13"/>
        <v>-1.2014265759910226E-16</v>
      </c>
      <c r="F41" s="118">
        <f>'BS E'!G55*1000</f>
        <v>7751806.0048509995</v>
      </c>
      <c r="G41" s="97">
        <f t="shared" si="11"/>
        <v>8.6093411814279472E-2</v>
      </c>
      <c r="H41" s="118">
        <f>$U42</f>
        <v>7137329</v>
      </c>
      <c r="I41" s="97">
        <f t="shared" si="11"/>
        <v>0.11473284972681948</v>
      </c>
      <c r="J41" s="118">
        <v>6402726</v>
      </c>
      <c r="K41" s="97">
        <f t="shared" si="12"/>
        <v>0.19747895859197528</v>
      </c>
      <c r="L41" s="118">
        <v>5346838</v>
      </c>
      <c r="M41" s="97">
        <f t="shared" si="12"/>
        <v>-0.12922727205363485</v>
      </c>
      <c r="N41" s="118">
        <v>6140337</v>
      </c>
      <c r="O41" s="97">
        <f t="shared" si="10"/>
        <v>2.3397004911369351E-2</v>
      </c>
      <c r="P41" s="118">
        <v>5999956</v>
      </c>
      <c r="Q41" s="99"/>
      <c r="R41" s="115" t="s">
        <v>632</v>
      </c>
      <c r="S41" s="167">
        <v>35470297</v>
      </c>
      <c r="T41" s="167">
        <v>10258</v>
      </c>
      <c r="U41" s="167">
        <v>35470297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8"/>
        <v>26</v>
      </c>
      <c r="B42" s="85" t="s">
        <v>982</v>
      </c>
      <c r="C42" s="85"/>
      <c r="D42" s="118">
        <v>0</v>
      </c>
      <c r="E42" s="97">
        <v>0</v>
      </c>
      <c r="F42" s="118">
        <v>0</v>
      </c>
      <c r="G42" s="97">
        <v>0</v>
      </c>
      <c r="H42" s="118">
        <f>$U43+$U22</f>
        <v>0</v>
      </c>
      <c r="I42" s="97">
        <v>0</v>
      </c>
      <c r="J42" s="118">
        <v>0</v>
      </c>
      <c r="K42" s="97">
        <v>0</v>
      </c>
      <c r="L42" s="118">
        <v>0</v>
      </c>
      <c r="M42" s="97">
        <v>0</v>
      </c>
      <c r="N42" s="118">
        <v>0</v>
      </c>
      <c r="O42" s="97">
        <v>0</v>
      </c>
      <c r="P42" s="118">
        <v>0</v>
      </c>
      <c r="Q42" s="99"/>
      <c r="R42" s="115" t="s">
        <v>633</v>
      </c>
      <c r="S42" s="167">
        <v>7137329</v>
      </c>
      <c r="T42" s="167">
        <v>516791</v>
      </c>
      <c r="U42" s="167">
        <v>7137329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8"/>
        <v>27</v>
      </c>
      <c r="B43" s="85" t="s">
        <v>634</v>
      </c>
      <c r="C43" s="85"/>
      <c r="D43" s="118">
        <f>'BS E'!X63*1000</f>
        <v>14225224.490828374</v>
      </c>
      <c r="E43" s="97">
        <f>(+D43-F43)/F43</f>
        <v>8.7642495847016361E-2</v>
      </c>
      <c r="F43" s="118">
        <f>'BS E'!G63*1000</f>
        <v>13078952.454639323</v>
      </c>
      <c r="G43" s="97">
        <f>(+F43-H43)/H43</f>
        <v>5.1292510495426151E-2</v>
      </c>
      <c r="H43" s="118">
        <f>$U44</f>
        <v>12440831</v>
      </c>
      <c r="I43" s="97">
        <f>(+H43-J43)/J43</f>
        <v>-3.8560367056132408E-3</v>
      </c>
      <c r="J43" s="118">
        <v>12488989</v>
      </c>
      <c r="K43" s="97">
        <f>(+J43-L43)/L43</f>
        <v>1.3043813914165638</v>
      </c>
      <c r="L43" s="118">
        <v>5419671</v>
      </c>
      <c r="M43" s="97">
        <f>(+L43-N43)/N43</f>
        <v>-0.17386464276622762</v>
      </c>
      <c r="N43" s="118">
        <v>6560270</v>
      </c>
      <c r="O43" s="97">
        <f>(+N43-P43)/P43</f>
        <v>0.42606473850070681</v>
      </c>
      <c r="P43" s="118">
        <v>4600261</v>
      </c>
      <c r="Q43" s="99"/>
      <c r="R43" s="115" t="s">
        <v>993</v>
      </c>
      <c r="S43" s="167">
        <v>0</v>
      </c>
      <c r="T43" s="167">
        <v>42560968</v>
      </c>
      <c r="U43" s="167">
        <v>0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51">
        <f t="shared" si="8"/>
        <v>28</v>
      </c>
      <c r="B44" s="85" t="s">
        <v>1001</v>
      </c>
      <c r="C44" s="85"/>
      <c r="D44" s="118">
        <f>('BS E'!X41+'BS E'!X42)*1000</f>
        <v>1077226.8049863377</v>
      </c>
      <c r="E44" s="97">
        <f>(+D44-F44)/F44</f>
        <v>-1.8436555061860243E-2</v>
      </c>
      <c r="F44" s="118">
        <f>('BS E'!G41+'BS E'!G42)*1000</f>
        <v>1097460.1902113692</v>
      </c>
      <c r="G44" s="97">
        <f>(+F44-H44)/H44</f>
        <v>1.0469809716403473</v>
      </c>
      <c r="H44" s="118">
        <f>$U46+$U47</f>
        <v>536136</v>
      </c>
      <c r="I44" s="97">
        <f>(+H44-J44)/J44</f>
        <v>0.41390550333871323</v>
      </c>
      <c r="J44" s="118">
        <v>379188</v>
      </c>
      <c r="K44" s="97">
        <f>(+J44-L44)/L44</f>
        <v>-0.17296342341163384</v>
      </c>
      <c r="L44" s="118">
        <v>458490</v>
      </c>
      <c r="M44" s="97">
        <f>(+L44-N44)/N44</f>
        <v>-0.41972105502961576</v>
      </c>
      <c r="N44" s="118">
        <v>790120</v>
      </c>
      <c r="O44" s="97">
        <f>(+N44-P44)/P44</f>
        <v>0.40593499161015606</v>
      </c>
      <c r="P44" s="118">
        <v>561989</v>
      </c>
      <c r="Q44" s="85"/>
      <c r="R44" s="115" t="s">
        <v>634</v>
      </c>
      <c r="S44" s="167">
        <v>12440831</v>
      </c>
      <c r="T44" s="167">
        <v>2506952</v>
      </c>
      <c r="U44" s="167">
        <v>12440831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51">
        <f t="shared" si="8"/>
        <v>29</v>
      </c>
      <c r="B45" s="85" t="s">
        <v>636</v>
      </c>
      <c r="C45" s="85"/>
      <c r="D45" s="123">
        <f>'BS E'!X43*1000</f>
        <v>54960845.335454911</v>
      </c>
      <c r="E45" s="97">
        <f>(+D45-F45)/F45</f>
        <v>-0.11899407315484098</v>
      </c>
      <c r="F45" s="123">
        <f>'BS E'!G43*1000</f>
        <v>62384194.771841235</v>
      </c>
      <c r="G45" s="97">
        <f>(+F45-H45)/H45</f>
        <v>2.6066720145982394E-2</v>
      </c>
      <c r="H45" s="118">
        <f>$U48+$U49</f>
        <v>60799355</v>
      </c>
      <c r="I45" s="97">
        <f>(+H45-J45)/J45</f>
        <v>0.18304799164868224</v>
      </c>
      <c r="J45" s="118">
        <v>51392129</v>
      </c>
      <c r="K45" s="97">
        <f>(+J45-L45)/L45</f>
        <v>5.3202948698537728E-2</v>
      </c>
      <c r="L45" s="118">
        <v>48796036</v>
      </c>
      <c r="M45" s="97">
        <f>(+L45-N45)/N45</f>
        <v>-5.1004669008463975E-2</v>
      </c>
      <c r="N45" s="118">
        <v>51418626</v>
      </c>
      <c r="O45" s="97">
        <f>(+N45-P45)/P45</f>
        <v>-5.3354700865715712E-2</v>
      </c>
      <c r="P45" s="118">
        <v>54316676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51">
        <f t="shared" si="8"/>
        <v>30</v>
      </c>
      <c r="B46" s="85" t="s">
        <v>637</v>
      </c>
      <c r="C46" s="85"/>
      <c r="D46" s="123">
        <f>'BS E'!X67*1000</f>
        <v>0</v>
      </c>
      <c r="E46" s="97">
        <v>0</v>
      </c>
      <c r="F46" s="123">
        <f>'BS E'!G67*1000</f>
        <v>0</v>
      </c>
      <c r="G46" s="97">
        <f>(+F46-H46)/H46</f>
        <v>-1</v>
      </c>
      <c r="H46" s="123">
        <f>$U45</f>
        <v>147</v>
      </c>
      <c r="I46" s="97">
        <f>(+H46-J46)/J46</f>
        <v>-2.6490066225165563E-2</v>
      </c>
      <c r="J46" s="123">
        <v>151</v>
      </c>
      <c r="K46" s="97">
        <f>(+J46-L46)/L46</f>
        <v>-0.73555166374781089</v>
      </c>
      <c r="L46" s="123">
        <v>571</v>
      </c>
      <c r="M46" s="97">
        <f>(+L46-N46)/N46</f>
        <v>-0.90978037604676887</v>
      </c>
      <c r="N46" s="123">
        <v>6329</v>
      </c>
      <c r="O46" s="97">
        <f>(+N46-P46)/P46</f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600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51">
        <f t="shared" si="8"/>
        <v>31</v>
      </c>
      <c r="B47" s="85" t="s">
        <v>446</v>
      </c>
      <c r="C47" s="85"/>
      <c r="D47" s="117">
        <f>SUM(D31:D36)-D37+SUM(D38:D40)+SUM(D41:D46)</f>
        <v>274553887.4638074</v>
      </c>
      <c r="E47" s="97">
        <f>(+D47-F47)/F47</f>
        <v>-4.3545811050732505E-2</v>
      </c>
      <c r="F47" s="117">
        <f>SUM(F31:F36)-F37+SUM(F38:F40)+SUM(F41:F46)</f>
        <v>287053881.55121601</v>
      </c>
      <c r="G47" s="97">
        <f>(+F47-H47)/H47</f>
        <v>-2.2266851634895862E-2</v>
      </c>
      <c r="H47" s="117">
        <f>SUM(H31:H36)-H37+SUM(H38:H40)+SUM(H41:H46)</f>
        <v>293591234</v>
      </c>
      <c r="I47" s="97">
        <f>(+H47-J47)/J47</f>
        <v>2.2263751727785264E-2</v>
      </c>
      <c r="J47" s="117">
        <v>287197148</v>
      </c>
      <c r="K47" s="97">
        <f>(+J47-L47)/L47</f>
        <v>6.4603763370158565E-2</v>
      </c>
      <c r="L47" s="117">
        <v>269769052</v>
      </c>
      <c r="M47" s="97">
        <f>(+L47-N47)/N47</f>
        <v>-0.23882833675910223</v>
      </c>
      <c r="N47" s="117">
        <f>SUM(N31:N36)-N37+SUM(N38:N40)+SUM(N41:N46)</f>
        <v>354412894</v>
      </c>
      <c r="O47" s="97">
        <f>(+N47-P47)/P47</f>
        <v>0.41875240869394414</v>
      </c>
      <c r="P47" s="117">
        <f>SUM(P31:P36)-P37+SUM(P38:P40)+SUM(P41:P46)</f>
        <v>249806021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151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60416524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51">
        <f>A47+1</f>
        <v>32</v>
      </c>
      <c r="B49" s="96" t="s">
        <v>638</v>
      </c>
      <c r="C49" s="85"/>
      <c r="D49" s="119"/>
      <c r="E49" s="111"/>
      <c r="F49" s="119"/>
      <c r="G49" s="111"/>
      <c r="H49" s="119"/>
      <c r="I49" s="111"/>
      <c r="J49" s="119"/>
      <c r="K49" s="111"/>
      <c r="L49" s="119"/>
      <c r="M49" s="111"/>
      <c r="N49" s="119"/>
      <c r="O49" s="111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158"/>
      <c r="W49" s="392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51">
        <f t="shared" ref="A50:A55" si="14">A49+1</f>
        <v>33</v>
      </c>
      <c r="B50" s="85" t="s">
        <v>639</v>
      </c>
      <c r="C50" s="85"/>
      <c r="D50" s="121">
        <f>SUM('BS E'!X73:X74)*1000</f>
        <v>14403108.06052649</v>
      </c>
      <c r="E50" s="97">
        <f t="shared" ref="E50:E55" si="15">(+D50-F50)/F50</f>
        <v>0.33910292903481598</v>
      </c>
      <c r="F50" s="121">
        <f>SUM('BS E'!G73:G74)*1000</f>
        <v>10755788.631504081</v>
      </c>
      <c r="G50" s="97">
        <f t="shared" ref="G50:I55" si="16">(+F50-H50)/H50</f>
        <v>-5.9353574347021813E-2</v>
      </c>
      <c r="H50" s="121">
        <f>$U53</f>
        <v>11434465</v>
      </c>
      <c r="I50" s="97">
        <f t="shared" si="16"/>
        <v>-4.6869936129379015E-2</v>
      </c>
      <c r="J50" s="121">
        <v>11996752</v>
      </c>
      <c r="K50" s="97">
        <f t="shared" ref="K50:M55" si="17">(+J50-L50)/L50</f>
        <v>-9.1665539143649361E-2</v>
      </c>
      <c r="L50" s="121">
        <v>13207417</v>
      </c>
      <c r="M50" s="97">
        <f t="shared" si="17"/>
        <v>0.23394306028210596</v>
      </c>
      <c r="N50" s="121">
        <v>10703425</v>
      </c>
      <c r="O50" s="97">
        <f t="shared" ref="O50:O55" si="18">(+N50-P50)/P50</f>
        <v>-4.791934205415143E-2</v>
      </c>
      <c r="P50" s="121">
        <v>11242141</v>
      </c>
      <c r="Q50" s="99"/>
      <c r="R50" s="125" t="s">
        <v>996</v>
      </c>
      <c r="S50" s="164">
        <v>293591234</v>
      </c>
      <c r="T50" s="164">
        <v>111368374</v>
      </c>
      <c r="U50" s="164">
        <v>293591234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51">
        <f t="shared" si="14"/>
        <v>34</v>
      </c>
      <c r="B51" s="85" t="s">
        <v>640</v>
      </c>
      <c r="C51" s="85"/>
      <c r="D51" s="118">
        <f>'BS E'!X93*1000</f>
        <v>340370875.85617429</v>
      </c>
      <c r="E51" s="97">
        <f t="shared" si="15"/>
        <v>-1.8654298119781792E-2</v>
      </c>
      <c r="F51" s="118">
        <f>'BS E'!G93*1000</f>
        <v>346840950.34404045</v>
      </c>
      <c r="G51" s="97">
        <f t="shared" si="16"/>
        <v>-6.6027047116573624E-3</v>
      </c>
      <c r="H51" s="118">
        <f>$U54</f>
        <v>349146260</v>
      </c>
      <c r="I51" s="97">
        <f t="shared" si="16"/>
        <v>-0.10631770096674245</v>
      </c>
      <c r="J51" s="118">
        <v>390682752</v>
      </c>
      <c r="K51" s="97">
        <f t="shared" si="17"/>
        <v>4.1404007645079878E-2</v>
      </c>
      <c r="L51" s="118">
        <v>375150037</v>
      </c>
      <c r="M51" s="97">
        <f t="shared" si="17"/>
        <v>0.11076710611005373</v>
      </c>
      <c r="N51" s="118">
        <v>337739599</v>
      </c>
      <c r="O51" s="97">
        <f t="shared" si="18"/>
        <v>0.30016175742227269</v>
      </c>
      <c r="P51" s="118">
        <v>259767369</v>
      </c>
      <c r="Q51" s="85"/>
      <c r="R51" s="125"/>
      <c r="S51" s="164"/>
      <c r="T51" s="164"/>
      <c r="U51" s="164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14"/>
        <v>35</v>
      </c>
      <c r="B52" s="85" t="s">
        <v>641</v>
      </c>
      <c r="C52" s="85"/>
      <c r="D52" s="118">
        <f>'BS E'!X106*1000</f>
        <v>13145442.136807764</v>
      </c>
      <c r="E52" s="97">
        <f t="shared" si="15"/>
        <v>-5.4438088364139707E-2</v>
      </c>
      <c r="F52" s="118">
        <f>'BS E'!G106*1000</f>
        <v>13902254.283979796</v>
      </c>
      <c r="G52" s="97">
        <f t="shared" si="16"/>
        <v>1.4703752804895802</v>
      </c>
      <c r="H52" s="118">
        <f>$U55</f>
        <v>5627588</v>
      </c>
      <c r="I52" s="97">
        <f t="shared" si="16"/>
        <v>-2.6515217694779106E-2</v>
      </c>
      <c r="J52" s="118">
        <v>5780869</v>
      </c>
      <c r="K52" s="97">
        <f t="shared" si="17"/>
        <v>0.26226351401513265</v>
      </c>
      <c r="L52" s="118">
        <v>4579764</v>
      </c>
      <c r="M52" s="97">
        <f t="shared" si="17"/>
        <v>1.7416168351131813</v>
      </c>
      <c r="N52" s="118">
        <v>1670461</v>
      </c>
      <c r="O52" s="97">
        <f t="shared" si="18"/>
        <v>0.21887153428899567</v>
      </c>
      <c r="P52" s="118">
        <v>1370498</v>
      </c>
      <c r="Q52" s="99"/>
      <c r="R52" s="160" t="s">
        <v>638</v>
      </c>
      <c r="S52" s="164"/>
      <c r="T52" s="164"/>
      <c r="U52" s="164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14"/>
        <v>36</v>
      </c>
      <c r="B53" s="85" t="s">
        <v>642</v>
      </c>
      <c r="C53" s="85"/>
      <c r="D53" s="118">
        <f>'BS E'!X75*1000</f>
        <v>11045345.713939557</v>
      </c>
      <c r="E53" s="97">
        <f t="shared" si="15"/>
        <v>-6.9464185426867914E-2</v>
      </c>
      <c r="F53" s="118">
        <f>'BS E'!G75*1000</f>
        <v>11869877.054658478</v>
      </c>
      <c r="G53" s="97">
        <f t="shared" si="16"/>
        <v>-6.9916878177870873E-2</v>
      </c>
      <c r="H53" s="118">
        <f>$U56</f>
        <v>12762168</v>
      </c>
      <c r="I53" s="97">
        <f t="shared" si="16"/>
        <v>-6.1890046018247659E-3</v>
      </c>
      <c r="J53" s="118">
        <v>12841645</v>
      </c>
      <c r="K53" s="97">
        <f t="shared" si="17"/>
        <v>-8.4308549344776204E-2</v>
      </c>
      <c r="L53" s="118">
        <v>14023987</v>
      </c>
      <c r="M53" s="97">
        <f t="shared" si="17"/>
        <v>-5.5543889772764622E-2</v>
      </c>
      <c r="N53" s="118">
        <v>14848744</v>
      </c>
      <c r="O53" s="97">
        <f t="shared" si="18"/>
        <v>1.9446502818934602E-4</v>
      </c>
      <c r="P53" s="118">
        <v>14845857</v>
      </c>
      <c r="Q53" s="99"/>
      <c r="R53" s="125" t="s">
        <v>997</v>
      </c>
      <c r="S53" s="164">
        <v>11434465</v>
      </c>
      <c r="T53" s="164">
        <v>2510004</v>
      </c>
      <c r="U53" s="164">
        <v>11434465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14"/>
        <v>37</v>
      </c>
      <c r="B54" s="85" t="s">
        <v>643</v>
      </c>
      <c r="C54" s="85"/>
      <c r="D54" s="118">
        <f>'BS E'!X82*1000</f>
        <v>246285483.17999998</v>
      </c>
      <c r="E54" s="97">
        <f t="shared" si="15"/>
        <v>0</v>
      </c>
      <c r="F54" s="118">
        <f>'BS E'!G82*1000</f>
        <v>246285483.17999998</v>
      </c>
      <c r="G54" s="97">
        <f t="shared" si="16"/>
        <v>-6.8199515289904811E-2</v>
      </c>
      <c r="H54" s="118">
        <f>$U57</f>
        <v>264311392</v>
      </c>
      <c r="I54" s="97">
        <f t="shared" si="16"/>
        <v>0.17394490464091897</v>
      </c>
      <c r="J54" s="118">
        <v>225148038</v>
      </c>
      <c r="K54" s="97">
        <f t="shared" si="17"/>
        <v>2.5881677917988549E-2</v>
      </c>
      <c r="L54" s="118">
        <v>219467842</v>
      </c>
      <c r="M54" s="97">
        <f t="shared" si="17"/>
        <v>0.73844100619233122</v>
      </c>
      <c r="N54" s="118">
        <v>126244055</v>
      </c>
      <c r="O54" s="97">
        <f t="shared" si="18"/>
        <v>0.18974248924490467</v>
      </c>
      <c r="P54" s="118">
        <v>106110403</v>
      </c>
      <c r="Q54" s="85"/>
      <c r="R54" s="115" t="s">
        <v>640</v>
      </c>
      <c r="S54" s="170">
        <v>349146260</v>
      </c>
      <c r="T54" s="170">
        <v>65475632</v>
      </c>
      <c r="U54" s="170">
        <v>349146260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51">
        <f t="shared" si="14"/>
        <v>38</v>
      </c>
      <c r="B55" s="85" t="s">
        <v>575</v>
      </c>
      <c r="C55" s="85"/>
      <c r="D55" s="117">
        <f>SUM(D50:D54)</f>
        <v>625250254.94744802</v>
      </c>
      <c r="E55" s="97">
        <f t="shared" si="15"/>
        <v>-6.9944700966406955E-3</v>
      </c>
      <c r="F55" s="117">
        <f>SUM(F50:F54)</f>
        <v>629654353.49418271</v>
      </c>
      <c r="G55" s="97">
        <f t="shared" si="16"/>
        <v>-2.1184367347806946E-2</v>
      </c>
      <c r="H55" s="117">
        <f>SUM(H50:H54)</f>
        <v>643281873</v>
      </c>
      <c r="I55" s="97">
        <f t="shared" si="16"/>
        <v>-4.9008936894577356E-3</v>
      </c>
      <c r="J55" s="117">
        <v>646450056</v>
      </c>
      <c r="K55" s="97">
        <f t="shared" si="17"/>
        <v>3.1960537423801803E-2</v>
      </c>
      <c r="L55" s="117">
        <v>626429047</v>
      </c>
      <c r="M55" s="97">
        <f t="shared" si="17"/>
        <v>0.2752871194945869</v>
      </c>
      <c r="N55" s="117">
        <f>SUM(N50:N54)</f>
        <v>491206284</v>
      </c>
      <c r="O55" s="97">
        <f t="shared" si="18"/>
        <v>0.24882021812440647</v>
      </c>
      <c r="P55" s="117">
        <f>SUM(P50:P54)</f>
        <v>393336268</v>
      </c>
      <c r="Q55" s="85"/>
      <c r="R55" s="115" t="s">
        <v>641</v>
      </c>
      <c r="S55" s="167">
        <v>5627588</v>
      </c>
      <c r="T55" s="167">
        <v>2756216</v>
      </c>
      <c r="U55" s="167">
        <v>5627588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151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4">
        <v>12762168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51">
        <f>A55+1</f>
        <v>39</v>
      </c>
      <c r="B57" s="85" t="s">
        <v>576</v>
      </c>
      <c r="D57" s="120">
        <f>D21+D28+D47+D55</f>
        <v>5406875698.6120625</v>
      </c>
      <c r="E57" s="97">
        <f t="shared" ref="E57" si="19">(+D57-F57)/F57</f>
        <v>2.3541391398303968E-2</v>
      </c>
      <c r="F57" s="120">
        <f>F21+F28+F47+F55</f>
        <v>5282517877.6849432</v>
      </c>
      <c r="G57" s="97">
        <f t="shared" ref="G57:I57" si="20">(+F57-H57)/H57</f>
        <v>5.1072610832805385E-2</v>
      </c>
      <c r="H57" s="120">
        <f>H21+H28+H47+H55</f>
        <v>5025835345</v>
      </c>
      <c r="I57" s="97">
        <f t="shared" si="20"/>
        <v>4.9341201071767996E-2</v>
      </c>
      <c r="J57" s="120">
        <f>J21+J28+J47+J55</f>
        <v>4789514926</v>
      </c>
      <c r="K57" s="97">
        <f t="shared" ref="K57:M57" si="21">(+J57-L57)/L57</f>
        <v>3.8177138179504355E-2</v>
      </c>
      <c r="L57" s="120">
        <f>L21+L28+L47+L55</f>
        <v>4613388939</v>
      </c>
      <c r="M57" s="97">
        <f t="shared" si="21"/>
        <v>0.12722770145569418</v>
      </c>
      <c r="N57" s="120">
        <f>N21+N28+N47+N55</f>
        <v>4092685917</v>
      </c>
      <c r="O57" s="97">
        <f t="shared" ref="O57" si="22">(+N57-P57)/P57</f>
        <v>0.20382325728436967</v>
      </c>
      <c r="P57" s="120">
        <f>P21+P28+P47+P55</f>
        <v>3399739864</v>
      </c>
      <c r="Q57" s="85"/>
      <c r="R57" s="115" t="s">
        <v>643</v>
      </c>
      <c r="S57" s="85">
        <v>264311392</v>
      </c>
      <c r="T57" s="85">
        <v>55564519</v>
      </c>
      <c r="U57" s="85">
        <v>264311392</v>
      </c>
      <c r="V57" s="158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151"/>
      <c r="B58" s="85"/>
      <c r="C58" s="85"/>
      <c r="E58" s="85"/>
      <c r="F58" s="490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4">
        <v>643281873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151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62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5025835345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ELECTRIC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_____ ORIGINAL  _____ UPDATED  __X__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1504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151" t="s">
        <v>582</v>
      </c>
      <c r="B70" s="85"/>
      <c r="C70" s="85"/>
      <c r="D70" s="151" t="s">
        <v>578</v>
      </c>
      <c r="E70" s="85"/>
      <c r="F70" s="151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151" t="s">
        <v>583</v>
      </c>
      <c r="B71" s="151" t="s">
        <v>165</v>
      </c>
      <c r="C71" s="85"/>
      <c r="D71" s="151" t="s">
        <v>579</v>
      </c>
      <c r="E71" s="151" t="s">
        <v>580</v>
      </c>
      <c r="F71" s="151" t="s">
        <v>579</v>
      </c>
      <c r="G71" s="151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151" t="s">
        <v>580</v>
      </c>
      <c r="N71" s="93">
        <f>+N12</f>
        <v>2014</v>
      </c>
      <c r="O71" s="151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151">
        <v>1</v>
      </c>
      <c r="B73" s="847" t="s">
        <v>644</v>
      </c>
      <c r="C73" s="847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51"/>
      <c r="B74" s="152"/>
      <c r="C74" s="152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983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151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151">
        <f>A75+1</f>
        <v>3</v>
      </c>
      <c r="B76" s="85" t="s">
        <v>645</v>
      </c>
      <c r="C76" s="85"/>
      <c r="D76" s="121">
        <f>'BS E'!X118*1000</f>
        <v>340717537.62061501</v>
      </c>
      <c r="E76" s="97">
        <f>(+D76-F76)/F76</f>
        <v>-1.8436555061860246E-2</v>
      </c>
      <c r="F76" s="121">
        <f>'BS E'!G118*1000</f>
        <v>347117182.6718626</v>
      </c>
      <c r="G76" s="97">
        <f>(+F76-H76)/H76</f>
        <v>-4.7312816679450148E-3</v>
      </c>
      <c r="H76" s="121">
        <f>$U76</f>
        <v>348767299</v>
      </c>
      <c r="I76" s="97">
        <f>(+H76-J76)/J76</f>
        <v>-4.2486026517878474E-3</v>
      </c>
      <c r="J76" s="121">
        <v>350255395</v>
      </c>
      <c r="K76" s="97">
        <f>(+J76-L76)/L76</f>
        <v>-9.3795113282884816E-3</v>
      </c>
      <c r="L76" s="121">
        <v>353571725</v>
      </c>
      <c r="M76" s="97">
        <f>(+L76-N76)/N76</f>
        <v>9.8360671937876495E-3</v>
      </c>
      <c r="N76" s="121">
        <v>350127844</v>
      </c>
      <c r="O76" s="97">
        <f>(+N76-P76)/P76</f>
        <v>2.2981366936904814E-2</v>
      </c>
      <c r="P76" s="121">
        <v>342262191</v>
      </c>
      <c r="Q76" s="99"/>
      <c r="R76" s="85" t="s">
        <v>645</v>
      </c>
      <c r="S76" s="85">
        <v>348767299</v>
      </c>
      <c r="T76" s="85">
        <v>76403125</v>
      </c>
      <c r="U76" s="85">
        <v>348767299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51">
        <f t="shared" ref="A77:A82" si="23">A76+1</f>
        <v>4</v>
      </c>
      <c r="B77" s="85" t="s">
        <v>646</v>
      </c>
      <c r="C77" s="85"/>
      <c r="D77" s="112">
        <f>'BS E'!X126*1000</f>
        <v>560895492.0149374</v>
      </c>
      <c r="E77" s="97">
        <f>(+D77-F77)/F77</f>
        <v>6.6546921939454842E-2</v>
      </c>
      <c r="F77" s="112">
        <f>'BS E'!G126*1000</f>
        <v>525898561.49505442</v>
      </c>
      <c r="G77" s="97">
        <f>(+F77-H77)/H77</f>
        <v>0.23746005049673069</v>
      </c>
      <c r="H77" s="112">
        <f>$U78</f>
        <v>424982254</v>
      </c>
      <c r="I77" s="97">
        <f>(+H77-J77)/J77</f>
        <v>5.6955400282627751E-2</v>
      </c>
      <c r="J77" s="112">
        <v>402081539</v>
      </c>
      <c r="K77" s="97">
        <f>(+J77-L77)/L77</f>
        <v>0.15925433303237083</v>
      </c>
      <c r="L77" s="112">
        <v>346844974</v>
      </c>
      <c r="M77" s="97">
        <f>(+L77-N77)/N77</f>
        <v>0.28770334377873824</v>
      </c>
      <c r="N77" s="112">
        <v>269351614</v>
      </c>
      <c r="O77" s="97">
        <f>(+N77-P77)/P77</f>
        <v>0.97308243815738515</v>
      </c>
      <c r="P77" s="112">
        <v>136513107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51">
        <f t="shared" si="23"/>
        <v>5</v>
      </c>
      <c r="B78" s="85" t="s">
        <v>647</v>
      </c>
      <c r="C78" s="85"/>
      <c r="D78" s="112">
        <f>-'BS E'!X122*1000</f>
        <v>669853.55285568465</v>
      </c>
      <c r="E78" s="97">
        <f>(+D78-F78)/F78</f>
        <v>-1.8436555061860482E-2</v>
      </c>
      <c r="F78" s="112">
        <f>-'BS E'!G122*1000</f>
        <v>682435.30900633777</v>
      </c>
      <c r="G78" s="97">
        <f>(+F78-H78)/H78</f>
        <v>-4.7320776363058937E-3</v>
      </c>
      <c r="H78" s="112">
        <f>$U80</f>
        <v>685680</v>
      </c>
      <c r="I78" s="97">
        <f>(+H78-J78)/J78</f>
        <v>-4.2477182129087064E-3</v>
      </c>
      <c r="J78" s="112">
        <v>688605</v>
      </c>
      <c r="K78" s="97">
        <f>(+J78-L78)/L78</f>
        <v>-9.3796079841755083E-3</v>
      </c>
      <c r="L78" s="112">
        <v>695125</v>
      </c>
      <c r="M78" s="97">
        <f>(+L78-N78)/N78</f>
        <v>9.8365085406636708E-3</v>
      </c>
      <c r="N78" s="112">
        <v>688354</v>
      </c>
      <c r="O78" s="97">
        <f>(+N78-P78)/P78</f>
        <v>2.2981467996254959E-2</v>
      </c>
      <c r="P78" s="112">
        <v>672890</v>
      </c>
      <c r="Q78" s="99"/>
      <c r="R78" s="85" t="s">
        <v>1006</v>
      </c>
      <c r="S78" s="85">
        <v>424982254</v>
      </c>
      <c r="T78" s="85">
        <v>93099245</v>
      </c>
      <c r="U78" s="85">
        <v>424982254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51">
        <f t="shared" si="23"/>
        <v>6</v>
      </c>
      <c r="B79" s="85" t="s">
        <v>648</v>
      </c>
      <c r="C79" s="85"/>
      <c r="D79" s="118">
        <v>0</v>
      </c>
      <c r="E79" s="97">
        <v>0</v>
      </c>
      <c r="F79" s="118"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51">
        <f t="shared" si="23"/>
        <v>7</v>
      </c>
      <c r="B80" s="85" t="s">
        <v>649</v>
      </c>
      <c r="C80" s="85"/>
      <c r="D80" s="112">
        <f>'BS E'!X130*1000</f>
        <v>1052308208.1714592</v>
      </c>
      <c r="E80" s="97">
        <f>(+D80-F80)/F80</f>
        <v>1.6690250666571194E-2</v>
      </c>
      <c r="F80" s="112">
        <f>'BS E'!G130*1000</f>
        <v>1035033243.8828206</v>
      </c>
      <c r="G80" s="97">
        <f>(+F80-H80)/H80</f>
        <v>5.2404206670032025E-2</v>
      </c>
      <c r="H80" s="112">
        <f>$U81</f>
        <v>983494020</v>
      </c>
      <c r="I80" s="97">
        <f>(+H80-J80)/J80</f>
        <v>1.5363127023760841E-2</v>
      </c>
      <c r="J80" s="112">
        <v>968613094</v>
      </c>
      <c r="K80" s="97">
        <f>(+J80-L80)/L80</f>
        <v>6.0774202649557359E-2</v>
      </c>
      <c r="L80" s="112">
        <v>913119014</v>
      </c>
      <c r="M80" s="97">
        <f>(+L80-N80)/N80</f>
        <v>7.6085295657435256E-2</v>
      </c>
      <c r="N80" s="112">
        <v>848556353</v>
      </c>
      <c r="O80" s="97">
        <f>(+N80-P80)/P80</f>
        <v>8.5408810542781641E-2</v>
      </c>
      <c r="P80" s="112">
        <v>781785024</v>
      </c>
      <c r="Q80" s="99"/>
      <c r="R80" s="85" t="s">
        <v>647</v>
      </c>
      <c r="S80" s="85">
        <v>685680</v>
      </c>
      <c r="T80" s="85">
        <v>150209</v>
      </c>
      <c r="U80" s="85">
        <v>685680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51">
        <f t="shared" si="23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983494020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51">
        <f t="shared" si="23"/>
        <v>9</v>
      </c>
      <c r="B82" s="85" t="s">
        <v>651</v>
      </c>
      <c r="C82" s="85"/>
      <c r="D82" s="117">
        <f>SUM(D76,D77,-D78,D79,D80,D81)</f>
        <v>1953251384.2541559</v>
      </c>
      <c r="E82" s="97">
        <f>(+D82-F82)/F82</f>
        <v>2.4056640527481122E-2</v>
      </c>
      <c r="F82" s="117">
        <f>SUM(F76,F77,-F78,F79,F80,F81)</f>
        <v>1907366552.7407312</v>
      </c>
      <c r="G82" s="97">
        <f>(+F82-H82)/H82</f>
        <v>8.5854648082886301E-2</v>
      </c>
      <c r="H82" s="117">
        <f>SUM(H76,H77,-H78,H79,H80,H81)</f>
        <v>1756557893</v>
      </c>
      <c r="I82" s="97">
        <f>(+H82-J82)/J82</f>
        <v>2.1099391938175203E-2</v>
      </c>
      <c r="J82" s="117">
        <v>1720261423</v>
      </c>
      <c r="K82" s="97">
        <f>(+J82-L82)/L82</f>
        <v>6.660350427639411E-2</v>
      </c>
      <c r="L82" s="117">
        <v>1612840588</v>
      </c>
      <c r="M82" s="97">
        <f>(+L82-N82)/N82</f>
        <v>9.9153837290495261E-2</v>
      </c>
      <c r="N82" s="117">
        <f>SUM(N76,N77,-N78,N79,N80,N81)</f>
        <v>1467347457</v>
      </c>
      <c r="O82" s="97">
        <f>(+N82-P82)/P82</f>
        <v>0.16466552465776166</v>
      </c>
      <c r="P82" s="117">
        <f>SUM(P76,P77,-P78,P79,P80,P81)</f>
        <v>1259887432</v>
      </c>
      <c r="Q82" s="85"/>
      <c r="R82" s="85" t="s">
        <v>1007</v>
      </c>
      <c r="S82" s="85">
        <v>1756557893</v>
      </c>
      <c r="T82" s="85">
        <v>382037859</v>
      </c>
      <c r="U82" s="85">
        <v>1756557893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151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51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51">
        <f>A84+1</f>
        <v>11</v>
      </c>
      <c r="B85" s="85" t="s">
        <v>652</v>
      </c>
      <c r="C85" s="85"/>
      <c r="D85" s="121">
        <f>('BS E'!X143)*1000</f>
        <v>1680399935.9221971</v>
      </c>
      <c r="E85" s="97">
        <f>(+D85-F85)/F85</f>
        <v>0.13080165841941094</v>
      </c>
      <c r="F85" s="121">
        <f>('BS E'!G143)*1000</f>
        <v>1486025355.0308659</v>
      </c>
      <c r="G85" s="97">
        <f>(+F85-H85)/H85</f>
        <v>5.3624664471729713E-2</v>
      </c>
      <c r="H85" s="121">
        <f>$U88+$U86</f>
        <v>1410393478</v>
      </c>
      <c r="I85" s="97">
        <f>(+H85-J85)/J85</f>
        <v>4.2552112787493233E-2</v>
      </c>
      <c r="J85" s="121">
        <v>1352827797</v>
      </c>
      <c r="K85" s="97">
        <f>(+J85-L85)/L85</f>
        <v>-2.9850631452861967E-3</v>
      </c>
      <c r="L85" s="121">
        <v>1356878164</v>
      </c>
      <c r="M85" s="97">
        <f>(+L85-N85)/N85</f>
        <v>0.21719707855477077</v>
      </c>
      <c r="N85" s="121">
        <v>1114756343</v>
      </c>
      <c r="O85" s="97">
        <f>(+N85-P85)/P85</f>
        <v>2.243625009593626E-2</v>
      </c>
      <c r="P85" s="121">
        <v>1090294229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51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51">
        <f>A86+1</f>
        <v>13</v>
      </c>
      <c r="B87" s="85" t="s">
        <v>653</v>
      </c>
      <c r="C87" s="85"/>
      <c r="D87" s="117">
        <f>SUM(D85:D86)</f>
        <v>1680399935.9221971</v>
      </c>
      <c r="E87" s="97">
        <f>(+D87-F87)/F87</f>
        <v>0.13080165841941094</v>
      </c>
      <c r="F87" s="117">
        <f>SUM(F85:F86)</f>
        <v>1486025355.0308659</v>
      </c>
      <c r="G87" s="97">
        <f>(+F87-H87)/H87</f>
        <v>5.3624664471729713E-2</v>
      </c>
      <c r="H87" s="117">
        <f>SUM(H85:H86)</f>
        <v>1410393478</v>
      </c>
      <c r="I87" s="97">
        <f>(+H87-J87)/J87</f>
        <v>4.2552112787493233E-2</v>
      </c>
      <c r="J87" s="117">
        <v>1352827797</v>
      </c>
      <c r="K87" s="97">
        <f>(+J87-L87)/L87</f>
        <v>-2.9850631452861967E-3</v>
      </c>
      <c r="L87" s="117">
        <v>1356878164</v>
      </c>
      <c r="M87" s="97">
        <f>(+L87-N87)/N87</f>
        <v>0.21719707855477077</v>
      </c>
      <c r="N87" s="117">
        <f>SUM(N85:N86)</f>
        <v>1114756343</v>
      </c>
      <c r="O87" s="97">
        <f>(+N87-P87)/P87</f>
        <v>2.243625009593626E-2</v>
      </c>
      <c r="P87" s="117">
        <f>SUM(P85:P86)</f>
        <v>1090294229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151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1410393478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51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1410393478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51">
        <f>A89+1</f>
        <v>15</v>
      </c>
      <c r="B90" s="85" t="s">
        <v>1012</v>
      </c>
      <c r="C90" s="85"/>
      <c r="D90" s="112">
        <f>'BS E'!X232*1000</f>
        <v>8830080.8473389354</v>
      </c>
      <c r="E90" s="97">
        <v>0</v>
      </c>
      <c r="F90" s="112">
        <f>'BS E'!G232*1000</f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51">
        <f>A90+1</f>
        <v>16</v>
      </c>
      <c r="B91" s="85" t="s">
        <v>1013</v>
      </c>
      <c r="C91" s="85"/>
      <c r="D91" s="112">
        <f>'BS E'!X241*1000</f>
        <v>52581391.819104172</v>
      </c>
      <c r="E91" s="97">
        <f t="shared" ref="E91:E92" si="24">(+D91-F91)/F91</f>
        <v>-5.2950069510074277E-2</v>
      </c>
      <c r="F91" s="112">
        <f>'BS E'!G241*1000</f>
        <v>55521245.634750098</v>
      </c>
      <c r="G91" s="97">
        <f t="shared" ref="G91:I92" si="25">(+F91-H91)/H91</f>
        <v>-0.43930450804361243</v>
      </c>
      <c r="H91" s="112">
        <f>$U93</f>
        <v>99022101</v>
      </c>
      <c r="I91" s="97">
        <f t="shared" si="25"/>
        <v>-6.7920268793967231E-2</v>
      </c>
      <c r="J91" s="112">
        <v>106237801</v>
      </c>
      <c r="K91" s="97">
        <f t="shared" ref="K91:M92" si="26">(+J91-L91)/L91</f>
        <v>-3.4054827360912428E-2</v>
      </c>
      <c r="L91" s="112">
        <v>109983262</v>
      </c>
      <c r="M91" s="97">
        <f t="shared" si="26"/>
        <v>-6.1575021707579905E-2</v>
      </c>
      <c r="N91" s="112">
        <v>117199845</v>
      </c>
      <c r="O91" s="97">
        <f t="shared" ref="O91:O92" si="27">(+N91-P91)/P91</f>
        <v>0.53189441725306474</v>
      </c>
      <c r="P91" s="112">
        <v>76506477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51">
        <f>A91+1</f>
        <v>17</v>
      </c>
      <c r="B92" s="85" t="s">
        <v>655</v>
      </c>
      <c r="C92" s="85"/>
      <c r="D92" s="117">
        <f>SUM(D90:D91)</f>
        <v>61411472.66644311</v>
      </c>
      <c r="E92" s="97">
        <f t="shared" si="24"/>
        <v>0.10608960523764595</v>
      </c>
      <c r="F92" s="117">
        <f>SUM(F90:F91)</f>
        <v>55521245.634750098</v>
      </c>
      <c r="G92" s="97">
        <f t="shared" si="25"/>
        <v>-0.43930450804361243</v>
      </c>
      <c r="H92" s="117">
        <f>SUM(H90:H91)</f>
        <v>99022101</v>
      </c>
      <c r="I92" s="97">
        <f t="shared" si="25"/>
        <v>-6.7920268793967231E-2</v>
      </c>
      <c r="J92" s="117">
        <v>106237801</v>
      </c>
      <c r="K92" s="97">
        <f t="shared" si="26"/>
        <v>-3.4054827360912428E-2</v>
      </c>
      <c r="L92" s="117">
        <v>109983262</v>
      </c>
      <c r="M92" s="97">
        <f t="shared" si="26"/>
        <v>-6.1575021707579905E-2</v>
      </c>
      <c r="N92" s="117">
        <f>SUM(N90:N91)</f>
        <v>117199845</v>
      </c>
      <c r="O92" s="97">
        <f t="shared" si="27"/>
        <v>0.53189441725306474</v>
      </c>
      <c r="P92" s="117">
        <f>SUM(P90:P91)</f>
        <v>76506477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151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99022101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51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99022101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51">
        <f>A94+1</f>
        <v>19</v>
      </c>
      <c r="B95" s="85" t="s">
        <v>669</v>
      </c>
      <c r="C95" s="85"/>
      <c r="D95" s="121">
        <f>'BS E'!X156*1000</f>
        <v>70103691.395644188</v>
      </c>
      <c r="E95" s="97">
        <f>(+D95-F95)/F95</f>
        <v>-0.69235109159914443</v>
      </c>
      <c r="F95" s="121">
        <f>'BS E'!G156*1000</f>
        <v>227869137.45294869</v>
      </c>
      <c r="G95" s="97">
        <f>(+F95-H95)/H95</f>
        <v>0.39721350444951176</v>
      </c>
      <c r="H95" s="121">
        <f>$U97</f>
        <v>163088273</v>
      </c>
      <c r="I95" s="97">
        <f>(+H95-J95)/J95</f>
        <v>0.16464295224554129</v>
      </c>
      <c r="J95" s="121">
        <v>140032851</v>
      </c>
      <c r="K95" s="97">
        <f>(+J95-L95)/L95</f>
        <v>0.20287917696186325</v>
      </c>
      <c r="L95" s="121">
        <v>116414727</v>
      </c>
      <c r="M95" s="97">
        <f>(+L95-N95)/N95</f>
        <v>-0.46443524728855878</v>
      </c>
      <c r="N95" s="121">
        <v>217368164</v>
      </c>
      <c r="O95" s="97">
        <f>(+N95-P95)/P95</f>
        <v>12.503303824231059</v>
      </c>
      <c r="P95" s="121">
        <v>16097406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51">
        <f>A95+1</f>
        <v>20</v>
      </c>
      <c r="B96" s="85" t="s">
        <v>656</v>
      </c>
      <c r="C96" s="85"/>
      <c r="D96" s="112">
        <f>'BS E'!X162*1000</f>
        <v>119940659.47942495</v>
      </c>
      <c r="E96" s="97">
        <f>(+D96-F96)/F96</f>
        <v>-9.9422146333380534E-2</v>
      </c>
      <c r="F96" s="112">
        <f>'BS E'!G162*1000</f>
        <v>133181888.70745338</v>
      </c>
      <c r="G96" s="97">
        <f>(+F96-H96)/H96</f>
        <v>-0.16387475418559325</v>
      </c>
      <c r="H96" s="112">
        <f>$U99</f>
        <v>159284616</v>
      </c>
      <c r="I96" s="97">
        <f>(+H96-J96)/J96</f>
        <v>0.24492768803854087</v>
      </c>
      <c r="J96" s="112">
        <v>127946882</v>
      </c>
      <c r="K96" s="97">
        <f>(+J96-L96)/L96</f>
        <v>-0.13945196261758175</v>
      </c>
      <c r="L96" s="112">
        <v>148680697</v>
      </c>
      <c r="M96" s="97">
        <f>(+L96-N96)/N96</f>
        <v>-0.30835105617294439</v>
      </c>
      <c r="N96" s="112">
        <v>214965552</v>
      </c>
      <c r="O96" s="97">
        <f>(+N96-P96)/P96</f>
        <v>0.45981643268895495</v>
      </c>
      <c r="P96" s="112">
        <v>147255194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51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163088273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51">
        <f>A97+1</f>
        <v>22</v>
      </c>
      <c r="B98" s="85" t="s">
        <v>657</v>
      </c>
      <c r="C98" s="85"/>
      <c r="D98" s="112">
        <f>'BS E'!X167*1000</f>
        <v>20927588.219860163</v>
      </c>
      <c r="E98" s="97">
        <f t="shared" ref="E98:E104" si="28">(+D98-F98)/F98</f>
        <v>9.2184260078119751E-2</v>
      </c>
      <c r="F98" s="112">
        <f>'BS E'!G167*1000</f>
        <v>19161224.881929073</v>
      </c>
      <c r="G98" s="97">
        <f>(+F98-H98)/H98</f>
        <v>2.1785292582476877E-2</v>
      </c>
      <c r="H98" s="112">
        <f>$U100</f>
        <v>18752692</v>
      </c>
      <c r="I98" s="97">
        <f>(+H98-J98)/J98</f>
        <v>-0.13113836180496935</v>
      </c>
      <c r="J98" s="112">
        <v>21583059</v>
      </c>
      <c r="K98" s="97">
        <f>(+J98-L98)/L98</f>
        <v>4.2345439375678175E-2</v>
      </c>
      <c r="L98" s="112">
        <v>20706244</v>
      </c>
      <c r="M98" s="97">
        <f>(+L98-N98)/N98</f>
        <v>0.23428447305001476</v>
      </c>
      <c r="N98" s="112">
        <v>16775909</v>
      </c>
      <c r="O98" s="97">
        <f>(+N98-P98)/P98</f>
        <v>-0.15616979488969912</v>
      </c>
      <c r="P98" s="112">
        <v>19880669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51">
        <f t="shared" ref="A99:A104" si="29">A98+1</f>
        <v>23</v>
      </c>
      <c r="B99" s="85" t="s">
        <v>658</v>
      </c>
      <c r="C99" s="85"/>
      <c r="D99" s="112">
        <f>'BS E'!X169*1000</f>
        <v>22814534.960628644</v>
      </c>
      <c r="E99" s="97">
        <f t="shared" si="28"/>
        <v>-1.8436555061860069E-2</v>
      </c>
      <c r="F99" s="112">
        <f>'BS E'!G169*1000</f>
        <v>23243056.858200807</v>
      </c>
      <c r="G99" s="97">
        <f>(+F99-H99)/H99</f>
        <v>7.7092729713724578E-2</v>
      </c>
      <c r="H99" s="112">
        <f>$U101</f>
        <v>21579439</v>
      </c>
      <c r="I99" s="97">
        <f>(+H99-J99)/J99</f>
        <v>1.3967078292557217E-2</v>
      </c>
      <c r="J99" s="112">
        <v>21282189</v>
      </c>
      <c r="K99" s="97">
        <f>(+J99-L99)/L99</f>
        <v>7.1220533265979546E-2</v>
      </c>
      <c r="L99" s="112">
        <v>19867234</v>
      </c>
      <c r="M99" s="97">
        <f>(+L99-N99)/N99</f>
        <v>-1.521840658891278E-2</v>
      </c>
      <c r="N99" s="112">
        <v>20174254</v>
      </c>
      <c r="O99" s="97">
        <f>(+N99-P99)/P99</f>
        <v>8.5716665960767768E-2</v>
      </c>
      <c r="P99" s="112">
        <v>18581509</v>
      </c>
      <c r="Q99" s="85"/>
      <c r="R99" s="85" t="s">
        <v>656</v>
      </c>
      <c r="S99" s="85">
        <v>159284616</v>
      </c>
      <c r="T99" s="85">
        <v>37667754</v>
      </c>
      <c r="U99" s="85">
        <v>159284616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51">
        <f t="shared" si="29"/>
        <v>24</v>
      </c>
      <c r="B100" s="85" t="s">
        <v>659</v>
      </c>
      <c r="C100" s="85"/>
      <c r="D100" s="112">
        <f>'BS E'!X171*1000</f>
        <v>14455329.789256446</v>
      </c>
      <c r="E100" s="97">
        <f t="shared" si="28"/>
        <v>0.24950240371015578</v>
      </c>
      <c r="F100" s="112">
        <f>'BS E'!G171*1000</f>
        <v>11568869.132491574</v>
      </c>
      <c r="G100" s="97">
        <f>(+F100-H100)/H100</f>
        <v>-0.41656111043098693</v>
      </c>
      <c r="H100" s="112">
        <f>$U102</f>
        <v>19828759</v>
      </c>
      <c r="I100" s="97">
        <f>(+H100-J100)/J100</f>
        <v>-0.39459273050576499</v>
      </c>
      <c r="J100" s="112">
        <v>32752760</v>
      </c>
      <c r="K100" s="97">
        <f>(+J100-L100)/L100</f>
        <v>1.0214080861729873</v>
      </c>
      <c r="L100" s="112">
        <v>16202943</v>
      </c>
      <c r="M100" s="97">
        <f>(+L100-N100)/N100</f>
        <v>6.6467492866496725E-2</v>
      </c>
      <c r="N100" s="112">
        <v>15193096</v>
      </c>
      <c r="O100" s="97">
        <f>(+N100-P100)/P100</f>
        <v>0.70256139010070973</v>
      </c>
      <c r="P100" s="112">
        <v>8923670</v>
      </c>
      <c r="Q100" s="99"/>
      <c r="R100" s="85" t="s">
        <v>657</v>
      </c>
      <c r="S100" s="85">
        <v>18752692</v>
      </c>
      <c r="T100" s="85">
        <v>3744765</v>
      </c>
      <c r="U100" s="85">
        <v>18752692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51">
        <f t="shared" si="29"/>
        <v>25</v>
      </c>
      <c r="B101" s="85" t="s">
        <v>660</v>
      </c>
      <c r="C101" s="85"/>
      <c r="D101" s="112">
        <f>'BS E'!X175*1000</f>
        <v>17048288.037753686</v>
      </c>
      <c r="E101" s="97">
        <f t="shared" si="28"/>
        <v>0.92111569568299534</v>
      </c>
      <c r="F101" s="112">
        <f>'BS E'!G175*1000</f>
        <v>8874159.987377895</v>
      </c>
      <c r="G101" s="97">
        <f>(+F101-H101)/H101</f>
        <v>2.0312286203117248E-2</v>
      </c>
      <c r="H101" s="112">
        <f>$U103</f>
        <v>8697494</v>
      </c>
      <c r="I101" s="97">
        <f>(+H101-J101)/J101</f>
        <v>-1.0099665021365245E-2</v>
      </c>
      <c r="J101" s="112">
        <v>8786232</v>
      </c>
      <c r="K101" s="97">
        <f>(+J101-L101)/L101</f>
        <v>-3.5832694943259275E-2</v>
      </c>
      <c r="L101" s="112">
        <v>9112767</v>
      </c>
      <c r="M101" s="97">
        <f>(+L101-N101)/N101</f>
        <v>0.88098507269213766</v>
      </c>
      <c r="N101" s="112">
        <v>4844678</v>
      </c>
      <c r="O101" s="97">
        <f>(+N101-P101)/P101</f>
        <v>7.8614997463026873E-2</v>
      </c>
      <c r="P101" s="112">
        <v>4491573</v>
      </c>
      <c r="Q101" s="99"/>
      <c r="R101" s="85" t="s">
        <v>658</v>
      </c>
      <c r="S101" s="85">
        <v>21579439</v>
      </c>
      <c r="T101" s="85">
        <v>5877543</v>
      </c>
      <c r="U101" s="85">
        <v>21579439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51">
        <f t="shared" si="29"/>
        <v>26</v>
      </c>
      <c r="B102" s="85" t="s">
        <v>661</v>
      </c>
      <c r="C102" s="85"/>
      <c r="D102" s="118">
        <f>('BS E'!X180+'BS E'!X179)*1000</f>
        <v>1211634.8070924208</v>
      </c>
      <c r="E102" s="97">
        <f t="shared" si="28"/>
        <v>-1.8436555061859778E-2</v>
      </c>
      <c r="F102" s="118">
        <f>('BS E'!G180+'BS E'!G179)*1000</f>
        <v>1234392.7571271565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19828759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51">
        <f t="shared" si="29"/>
        <v>27</v>
      </c>
      <c r="B103" s="85" t="s">
        <v>662</v>
      </c>
      <c r="C103" s="85"/>
      <c r="D103" s="112">
        <f>('BS E'!X190)*1000-D102</f>
        <v>30599051.423175577</v>
      </c>
      <c r="E103" s="97">
        <f t="shared" si="28"/>
        <v>-2.3797611813218624E-2</v>
      </c>
      <c r="F103" s="112">
        <f>('BS E'!G190)*1000-F102</f>
        <v>31344987.262334906</v>
      </c>
      <c r="G103" s="97">
        <f>(+F103-H103)/H103</f>
        <v>-9.5427430341465516E-2</v>
      </c>
      <c r="H103" s="112">
        <f>$U107</f>
        <v>34651711</v>
      </c>
      <c r="I103" s="97">
        <f>(+H103-J103)/J103</f>
        <v>-0.22015957425380778</v>
      </c>
      <c r="J103" s="112">
        <v>44434361</v>
      </c>
      <c r="K103" s="97">
        <f>(+J103-L103)/L103</f>
        <v>-0.21843759920277553</v>
      </c>
      <c r="L103" s="112">
        <v>56853248</v>
      </c>
      <c r="M103" s="97">
        <f>(+L103-N103)/N103</f>
        <v>-0.14150761254267716</v>
      </c>
      <c r="N103" s="112">
        <v>66224522</v>
      </c>
      <c r="O103" s="97">
        <f>(+N103-P103)/P103</f>
        <v>4.0999322083393368</v>
      </c>
      <c r="P103" s="112">
        <v>12985373</v>
      </c>
      <c r="Q103" s="99"/>
      <c r="R103" s="85" t="s">
        <v>660</v>
      </c>
      <c r="S103" s="85">
        <v>8697494</v>
      </c>
      <c r="T103" s="85">
        <v>1905323</v>
      </c>
      <c r="U103" s="85">
        <v>8697494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51">
        <f t="shared" si="29"/>
        <v>28</v>
      </c>
      <c r="B104" s="85" t="s">
        <v>522</v>
      </c>
      <c r="C104" s="85"/>
      <c r="D104" s="117">
        <f>SUM(D95:D103)</f>
        <v>297100778.11283612</v>
      </c>
      <c r="E104" s="97">
        <f t="shared" si="28"/>
        <v>-0.34914505785856181</v>
      </c>
      <c r="F104" s="117">
        <f>SUM(F95:F103)</f>
        <v>456477717.03986347</v>
      </c>
      <c r="G104" s="97">
        <f>(+F104-H104)/H104</f>
        <v>7.1838355109917859E-2</v>
      </c>
      <c r="H104" s="117">
        <f>SUM(H95:H103)</f>
        <v>425882984</v>
      </c>
      <c r="I104" s="97">
        <f>(+H104-J104)/J104</f>
        <v>7.3244221624094621E-2</v>
      </c>
      <c r="J104" s="117">
        <v>396818334</v>
      </c>
      <c r="K104" s="97">
        <f>(+J104-L104)/L104</f>
        <v>2.3155227805763987E-2</v>
      </c>
      <c r="L104" s="117">
        <v>387837860</v>
      </c>
      <c r="M104" s="97">
        <f>(+L104-N104)/N104</f>
        <v>-0.30188006424488478</v>
      </c>
      <c r="N104" s="117">
        <f>SUM(N95:N103)</f>
        <v>555546175</v>
      </c>
      <c r="O104" s="97">
        <f>(+N104-P104)/P104</f>
        <v>1.4343063159008458</v>
      </c>
      <c r="P104" s="117">
        <f>SUM(P95:P103)</f>
        <v>228215394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151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51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51">
        <f>A106+1</f>
        <v>30</v>
      </c>
      <c r="B107" s="85" t="s">
        <v>224</v>
      </c>
      <c r="C107" s="85"/>
      <c r="D107" s="121">
        <f>'BS E'!X216*1000</f>
        <v>6462454.9470801083</v>
      </c>
      <c r="E107" s="97">
        <f t="shared" ref="E107:E114" si="30">(+D107-F107)/F107</f>
        <v>0</v>
      </c>
      <c r="F107" s="121">
        <f>'BS E'!G216*1000</f>
        <v>6462454.9470801083</v>
      </c>
      <c r="G107" s="97">
        <f t="shared" ref="G107:I114" si="31">(+F107-H107)/H107</f>
        <v>-0.27300466123073508</v>
      </c>
      <c r="H107" s="121">
        <f>$U111</f>
        <v>8889266</v>
      </c>
      <c r="I107" s="97">
        <f t="shared" si="31"/>
        <v>0.29976333288590878</v>
      </c>
      <c r="J107" s="121">
        <v>6839142</v>
      </c>
      <c r="K107" s="97">
        <f t="shared" ref="K107:M114" si="32">(+J107-L107)/L107</f>
        <v>-5.2997703030478443E-3</v>
      </c>
      <c r="L107" s="121">
        <v>6875581</v>
      </c>
      <c r="M107" s="97">
        <f t="shared" si="32"/>
        <v>3.1073869966635903</v>
      </c>
      <c r="N107" s="121">
        <v>1673955</v>
      </c>
      <c r="O107" s="97">
        <f t="shared" ref="O107:O114" si="33">(+N107-P107)/P107</f>
        <v>-8.4898450517587473E-2</v>
      </c>
      <c r="P107" s="121">
        <v>1829256</v>
      </c>
      <c r="Q107" s="85"/>
      <c r="R107" s="85" t="s">
        <v>662</v>
      </c>
      <c r="S107" s="85">
        <v>34651711</v>
      </c>
      <c r="T107" s="85">
        <v>13288015</v>
      </c>
      <c r="U107" s="85">
        <v>34651711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51">
        <f t="shared" ref="A108:A114" si="34">A107+1</f>
        <v>31</v>
      </c>
      <c r="B108" s="85" t="s">
        <v>663</v>
      </c>
      <c r="C108" s="85"/>
      <c r="D108" s="112">
        <f>'BS E'!X204*1000</f>
        <v>33263601.41931355</v>
      </c>
      <c r="E108" s="97">
        <f t="shared" si="30"/>
        <v>-2.4931898523581464E-2</v>
      </c>
      <c r="F108" s="112">
        <f>'BS E'!G204*1000</f>
        <v>34114131.483684897</v>
      </c>
      <c r="G108" s="97">
        <f t="shared" si="31"/>
        <v>-3.1305860100339637E-2</v>
      </c>
      <c r="H108" s="112">
        <f>$U113</f>
        <v>35216618</v>
      </c>
      <c r="I108" s="97">
        <f t="shared" si="31"/>
        <v>-2.9183420741864412E-2</v>
      </c>
      <c r="J108" s="112">
        <v>36275254</v>
      </c>
      <c r="K108" s="97">
        <f t="shared" si="32"/>
        <v>5.1421773144681812E-2</v>
      </c>
      <c r="L108" s="112">
        <v>34501144</v>
      </c>
      <c r="M108" s="97">
        <f t="shared" si="32"/>
        <v>-3.5258456455205783E-2</v>
      </c>
      <c r="N108" s="112">
        <v>35762059</v>
      </c>
      <c r="O108" s="97">
        <f t="shared" si="33"/>
        <v>-5.3184509708999406E-2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425882984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51">
        <f t="shared" si="34"/>
        <v>32</v>
      </c>
      <c r="B109" s="85" t="s">
        <v>664</v>
      </c>
      <c r="C109" s="85"/>
      <c r="D109" s="112">
        <f>'BS E'!X227*1000</f>
        <v>1658468.2827471844</v>
      </c>
      <c r="E109" s="97">
        <f t="shared" si="30"/>
        <v>-1.8436555061860326E-2</v>
      </c>
      <c r="F109" s="112">
        <f>'BS E'!G227*1000</f>
        <v>1689619.03715934</v>
      </c>
      <c r="G109" s="97">
        <f t="shared" si="31"/>
        <v>-0.10282221405470302</v>
      </c>
      <c r="H109" s="112">
        <f>$U114</f>
        <v>1883260</v>
      </c>
      <c r="I109" s="97">
        <f t="shared" si="31"/>
        <v>0.10697302603349262</v>
      </c>
      <c r="J109" s="112">
        <v>1701270</v>
      </c>
      <c r="K109" s="97">
        <f t="shared" si="32"/>
        <v>-0.5483825582815246</v>
      </c>
      <c r="L109" s="112">
        <v>3767060</v>
      </c>
      <c r="M109" s="97">
        <f t="shared" si="32"/>
        <v>-0.74139558486160595</v>
      </c>
      <c r="N109" s="112">
        <v>14566882</v>
      </c>
      <c r="O109" s="97">
        <f t="shared" si="33"/>
        <v>-2.3065550840705613E-2</v>
      </c>
      <c r="P109" s="112">
        <v>14910808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51">
        <f t="shared" si="34"/>
        <v>33</v>
      </c>
      <c r="B110" s="85" t="s">
        <v>665</v>
      </c>
      <c r="C110" s="85"/>
      <c r="D110" s="112">
        <f>'BS E'!X211*1000</f>
        <v>479376694.29678339</v>
      </c>
      <c r="E110" s="97">
        <f t="shared" si="30"/>
        <v>-4.8840843952306076E-2</v>
      </c>
      <c r="F110" s="112">
        <f>'BS E'!G211*1000</f>
        <v>503992093.48802823</v>
      </c>
      <c r="G110" s="97">
        <f t="shared" si="31"/>
        <v>4.2620656149031794E-2</v>
      </c>
      <c r="H110" s="112">
        <f>$U115</f>
        <v>483389707</v>
      </c>
      <c r="I110" s="97">
        <f t="shared" si="31"/>
        <v>5.8598486058494128</v>
      </c>
      <c r="J110" s="112">
        <v>70466527</v>
      </c>
      <c r="K110" s="97">
        <f t="shared" si="32"/>
        <v>-1.3451738213047779E-2</v>
      </c>
      <c r="L110" s="112">
        <v>71427349</v>
      </c>
      <c r="M110" s="97">
        <f t="shared" si="32"/>
        <v>4.59358604753244E-2</v>
      </c>
      <c r="N110" s="112">
        <v>68290372</v>
      </c>
      <c r="O110" s="97">
        <f t="shared" si="33"/>
        <v>-4.7806397855608668E-2</v>
      </c>
      <c r="P110" s="112">
        <v>71718999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51">
        <f t="shared" si="34"/>
        <v>34</v>
      </c>
      <c r="B111" s="85" t="s">
        <v>666</v>
      </c>
      <c r="C111" s="85"/>
      <c r="D111" s="112">
        <f>'BS E'!X221*1000</f>
        <v>87928885.274615362</v>
      </c>
      <c r="E111" s="97">
        <f t="shared" si="30"/>
        <v>-0.11709410899006446</v>
      </c>
      <c r="F111" s="112">
        <f>'BS E'!G221*1000</f>
        <v>99590325.730000004</v>
      </c>
      <c r="G111" s="97">
        <f t="shared" si="31"/>
        <v>-9.1404427248140102E-2</v>
      </c>
      <c r="H111" s="112">
        <f>$U112</f>
        <v>109609081</v>
      </c>
      <c r="I111" s="97">
        <f t="shared" si="31"/>
        <v>-0.26267432826283205</v>
      </c>
      <c r="J111" s="112">
        <v>148657622</v>
      </c>
      <c r="K111" s="97">
        <f t="shared" si="32"/>
        <v>-0.12835364936243321</v>
      </c>
      <c r="L111" s="112">
        <v>170548092</v>
      </c>
      <c r="M111" s="97">
        <f t="shared" si="32"/>
        <v>1.6648005718596317</v>
      </c>
      <c r="N111" s="112">
        <v>64000321</v>
      </c>
      <c r="O111" s="97">
        <f t="shared" si="33"/>
        <v>6.0841490389951444E-2</v>
      </c>
      <c r="P111" s="112">
        <v>60329768</v>
      </c>
      <c r="Q111" s="85"/>
      <c r="R111" s="85" t="s">
        <v>224</v>
      </c>
      <c r="S111" s="85">
        <v>8889266</v>
      </c>
      <c r="T111" s="85">
        <v>8384906</v>
      </c>
      <c r="U111" s="85">
        <v>8889266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51">
        <f t="shared" si="34"/>
        <v>35</v>
      </c>
      <c r="B112" s="85" t="s">
        <v>667</v>
      </c>
      <c r="C112" s="85"/>
      <c r="D112" s="112">
        <f>('BS E'!X230+'BS E'!X231)*1000</f>
        <v>2395837.2037881324</v>
      </c>
      <c r="E112" s="97">
        <f t="shared" si="30"/>
        <v>-1.8436555061860024E-2</v>
      </c>
      <c r="F112" s="112">
        <f>('BS E'!G230+'BS E'!G231)*1000</f>
        <v>2440837.8451166982</v>
      </c>
      <c r="G112" s="97">
        <f t="shared" si="31"/>
        <v>-0.25933543770184581</v>
      </c>
      <c r="H112" s="112">
        <f>$U116</f>
        <v>3295470</v>
      </c>
      <c r="I112" s="97">
        <f t="shared" si="31"/>
        <v>3.3911540540650771E-2</v>
      </c>
      <c r="J112" s="112">
        <v>3187381</v>
      </c>
      <c r="K112" s="97">
        <f t="shared" si="32"/>
        <v>-9.806819509845785E-2</v>
      </c>
      <c r="L112" s="112">
        <v>3533949</v>
      </c>
      <c r="M112" s="97">
        <f t="shared" si="32"/>
        <v>-0.80634020839168374</v>
      </c>
      <c r="N112" s="112">
        <v>18248233</v>
      </c>
      <c r="O112" s="97">
        <f t="shared" si="33"/>
        <v>-0.37954578149389717</v>
      </c>
      <c r="P112" s="112">
        <v>29411087</v>
      </c>
      <c r="Q112" s="85"/>
      <c r="R112" s="85" t="s">
        <v>1020</v>
      </c>
      <c r="S112" s="85">
        <v>109609081</v>
      </c>
      <c r="T112" s="85">
        <v>20661358</v>
      </c>
      <c r="U112" s="85">
        <v>109609081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51">
        <f t="shared" si="34"/>
        <v>36</v>
      </c>
      <c r="B113" s="85" t="s">
        <v>643</v>
      </c>
      <c r="C113" s="85"/>
      <c r="D113" s="112">
        <f>'BS E'!X199*1000</f>
        <v>794647579.81433976</v>
      </c>
      <c r="E113" s="97">
        <f t="shared" si="30"/>
        <v>5.4148814338171501E-2</v>
      </c>
      <c r="F113" s="112">
        <f>'BS E'!G199*1000</f>
        <v>753828652.08954871</v>
      </c>
      <c r="G113" s="97">
        <f t="shared" si="31"/>
        <v>4.5548307654087232E-2</v>
      </c>
      <c r="H113" s="112">
        <f>$U117</f>
        <v>720988831</v>
      </c>
      <c r="I113" s="97">
        <f t="shared" si="31"/>
        <v>-0.27867271574628261</v>
      </c>
      <c r="J113" s="112">
        <v>999530791</v>
      </c>
      <c r="K113" s="97">
        <f t="shared" si="32"/>
        <v>0.15390349984462554</v>
      </c>
      <c r="L113" s="112">
        <v>866216968</v>
      </c>
      <c r="M113" s="97">
        <f t="shared" si="32"/>
        <v>0.30341256473435635</v>
      </c>
      <c r="N113" s="112">
        <v>664576199</v>
      </c>
      <c r="O113" s="97">
        <f t="shared" si="33"/>
        <v>0.18045421199246525</v>
      </c>
      <c r="P113" s="112">
        <v>562983462</v>
      </c>
      <c r="Q113" s="85"/>
      <c r="R113" s="85" t="s">
        <v>663</v>
      </c>
      <c r="S113" s="85">
        <v>35216618</v>
      </c>
      <c r="T113" s="85">
        <v>35387</v>
      </c>
      <c r="U113" s="85">
        <v>35216618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51">
        <f t="shared" si="34"/>
        <v>37</v>
      </c>
      <c r="B114" s="85" t="s">
        <v>555</v>
      </c>
      <c r="C114" s="85"/>
      <c r="D114" s="117">
        <f>SUM(D107:D113)</f>
        <v>1405733521.2386675</v>
      </c>
      <c r="E114" s="97">
        <f t="shared" si="30"/>
        <v>2.5785321367364764E-3</v>
      </c>
      <c r="F114" s="117">
        <f>SUM(F107:F113)</f>
        <v>1402118114.6206179</v>
      </c>
      <c r="G114" s="97">
        <f t="shared" si="31"/>
        <v>2.8494588740455823E-2</v>
      </c>
      <c r="H114" s="117">
        <f>SUM(H107:H113)</f>
        <v>1363272233</v>
      </c>
      <c r="I114" s="97">
        <f t="shared" si="31"/>
        <v>7.6274927400745943E-2</v>
      </c>
      <c r="J114" s="117">
        <v>1266657987</v>
      </c>
      <c r="K114" s="97">
        <f t="shared" si="32"/>
        <v>9.4900749806972939E-2</v>
      </c>
      <c r="L114" s="117">
        <v>1156870143</v>
      </c>
      <c r="M114" s="97">
        <f t="shared" si="32"/>
        <v>0.33415534561932486</v>
      </c>
      <c r="N114" s="117">
        <f>SUM(N107:N113)</f>
        <v>867118021</v>
      </c>
      <c r="O114" s="97">
        <f t="shared" si="33"/>
        <v>0.11318219818720679</v>
      </c>
      <c r="P114" s="117">
        <f>SUM(P107:P113)</f>
        <v>778954265</v>
      </c>
      <c r="Q114" s="85"/>
      <c r="R114" s="85" t="s">
        <v>664</v>
      </c>
      <c r="S114" s="85">
        <v>1883260</v>
      </c>
      <c r="T114" s="85">
        <v>213798</v>
      </c>
      <c r="U114" s="85">
        <v>1883260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51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483389707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51">
        <f>A114+1</f>
        <v>38</v>
      </c>
      <c r="B116" s="85" t="s">
        <v>668</v>
      </c>
      <c r="C116" s="85"/>
      <c r="D116" s="120">
        <f>D82+D87+D92+D104+D114</f>
        <v>5397897092.1942997</v>
      </c>
      <c r="E116" s="97">
        <f t="shared" ref="E116" si="35">(+D116-F116)/F116</f>
        <v>1.7030231579783908E-2</v>
      </c>
      <c r="F116" s="120">
        <f>F82+F87+F92+F104+F114</f>
        <v>5307508985.0668278</v>
      </c>
      <c r="G116" s="97">
        <f t="shared" ref="G116:I116" si="36">(+F116-H116)/H116</f>
        <v>4.9925592718541328E-2</v>
      </c>
      <c r="H116" s="120">
        <f>H82+H87+H92+H104+H114</f>
        <v>5055128689</v>
      </c>
      <c r="I116" s="97">
        <f t="shared" si="36"/>
        <v>4.3843479077205941E-2</v>
      </c>
      <c r="J116" s="120">
        <f>J82+J87+J92+J104+J114</f>
        <v>4842803342</v>
      </c>
      <c r="K116" s="97">
        <f t="shared" ref="K116:M116" si="37">(+J116-L116)/L116</f>
        <v>4.7226202736598735E-2</v>
      </c>
      <c r="L116" s="120">
        <f>L82+L87+L92+L104+L114</f>
        <v>4624410017</v>
      </c>
      <c r="M116" s="97">
        <f t="shared" si="37"/>
        <v>0.12189376418766679</v>
      </c>
      <c r="N116" s="120">
        <f>N82+N87+N92+N104+N114</f>
        <v>4121967841</v>
      </c>
      <c r="O116" s="97">
        <f t="shared" ref="O116" si="38">(+N116-P116)/P116</f>
        <v>0.20038979034052296</v>
      </c>
      <c r="P116" s="120">
        <f>P82+P87+P92+P104+P114</f>
        <v>3433857797</v>
      </c>
      <c r="Q116" s="85"/>
      <c r="R116" s="85" t="s">
        <v>1021</v>
      </c>
      <c r="S116" s="85">
        <v>3295470</v>
      </c>
      <c r="T116" s="85">
        <v>721926</v>
      </c>
      <c r="U116" s="85">
        <v>3295470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151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720988831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 thickBot="1">
      <c r="A118" s="151">
        <f>A116+1</f>
        <v>39</v>
      </c>
      <c r="B118" s="85" t="s">
        <v>1025</v>
      </c>
      <c r="C118" s="85"/>
      <c r="D118" s="120">
        <f>D57-D116</f>
        <v>8978606.4177627563</v>
      </c>
      <c r="E118" s="85"/>
      <c r="F118" s="120">
        <f>F57-F116</f>
        <v>-24991107.381884575</v>
      </c>
      <c r="G118" s="85"/>
      <c r="H118" s="120">
        <f>H57-H116</f>
        <v>-29293344</v>
      </c>
      <c r="I118" s="85"/>
      <c r="J118" s="120">
        <f>J57-J116</f>
        <v>-53288416</v>
      </c>
      <c r="K118" s="85"/>
      <c r="L118" s="120">
        <f>L57-L116</f>
        <v>-11021078</v>
      </c>
      <c r="M118" s="85"/>
      <c r="N118" s="120">
        <f>N57-N116</f>
        <v>-29281924</v>
      </c>
      <c r="O118" s="85"/>
      <c r="P118" s="120">
        <f>P57-P116</f>
        <v>-34117933</v>
      </c>
      <c r="Q118" s="85"/>
      <c r="R118" s="85" t="s">
        <v>1022</v>
      </c>
      <c r="S118" s="85">
        <v>1363272233</v>
      </c>
      <c r="T118" s="85">
        <v>317763594</v>
      </c>
      <c r="U118" s="85">
        <v>1363272233</v>
      </c>
      <c r="V118" s="85"/>
      <c r="W118" s="3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" customHeight="1" thickTop="1">
      <c r="A119" s="151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" customHeight="1">
      <c r="A120" s="151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>
        <v>-29293344</v>
      </c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" customHeight="1">
      <c r="A121" s="151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" customHeight="1">
      <c r="A122" s="151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5025835345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" customHeight="1">
      <c r="A123" s="151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" customHeight="1">
      <c r="A124" s="151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84" customFormat="1" ht="1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841"/>
      <c r="B186" s="841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</row>
    <row r="187" spans="1:13" ht="15" customHeight="1"/>
    <row r="188" spans="1:13" ht="15" customHeight="1"/>
    <row r="189" spans="1:13" ht="1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J30" sqref="J30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799" customWidth="1"/>
    <col min="25" max="16384" width="9" style="6"/>
  </cols>
  <sheetData>
    <row r="1" spans="1:24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</row>
    <row r="2" spans="1:24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</row>
    <row r="3" spans="1:24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4" t="s">
        <v>1034</v>
      </c>
      <c r="X4" s="779"/>
    </row>
    <row r="5" spans="1:24" ht="15">
      <c r="C5" s="779"/>
      <c r="D5" s="780" t="s">
        <v>1814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1815</v>
      </c>
      <c r="W5" s="780" t="s">
        <v>1815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B'!$F$6:$F$135,'FCPIS B'!$B$6:$B$135,'PIS B'!$A11,'FCPIS B'!$C$6:$C$135,'PIS B'!$B11)*1000</f>
        <v>0</v>
      </c>
      <c r="E11" s="13"/>
      <c r="F11" s="4">
        <f>SUMIFS('FCPIS B'!$S$138:$S$226,'FCPIS B'!$B$138:$B$226,'PIS B'!$A11,'FCPIS B'!$C$138:$C$226,'PIS B'!$B11)*1000</f>
        <v>0</v>
      </c>
      <c r="G11" s="13"/>
      <c r="H11" s="4">
        <f>SUMIFS('FCPIS B'!$S$229:$S$279,'FCPIS B'!$B$229:$B$279,'PIS B'!$A11,'FCPIS B'!$C$229:$C$279,'PIS B'!$B11)*-1000</f>
        <v>0</v>
      </c>
      <c r="I11" s="13"/>
      <c r="J11" s="4">
        <f>SUMIFS('FCPIS B'!$S$389:$S$410,'FCPIS B'!$B$389:$B$410,'PIS B'!$A11,'FCPIS B'!$C$389:$C$410,'PIS B'!$B11)*1000</f>
        <v>0</v>
      </c>
      <c r="K11" s="13"/>
      <c r="L11" s="4">
        <f>SUM(F11:J11)</f>
        <v>0</v>
      </c>
      <c r="M11" s="13"/>
      <c r="N11" s="4">
        <f>D11+L11</f>
        <v>0</v>
      </c>
      <c r="O11" s="13"/>
      <c r="P11" s="9">
        <f>SUMIFS('FCPIS B'!$R$282:$R$414,'FCPIS B'!$B$282:$B$414,'PIS B'!$A11,'FCPIS B'!$C$282:$C$414,'PIS B'!$B11)*-1000</f>
        <v>0</v>
      </c>
      <c r="Q11" s="2"/>
      <c r="R11" s="9">
        <f>SUM(N11:P11)</f>
        <v>0</v>
      </c>
      <c r="T11" s="9">
        <v>0</v>
      </c>
      <c r="U11" s="13"/>
      <c r="V11" s="9">
        <f>P11+T11</f>
        <v>0</v>
      </c>
      <c r="W11" s="4">
        <f>SUMIFS('FCPIS B'!$R$6:$R$135,'FCPIS B'!$B$6:$B$135,'PIS B'!$A11,'FCPIS B'!$C$6:$C$135,'PIS B'!$B11)*1000</f>
        <v>0</v>
      </c>
      <c r="X11" s="4">
        <f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B'!$F$6:$F$135,'FCPIS B'!$B$6:$B$135,'PIS B'!$A12,'FCPIS B'!$C$6:$C$135,'PIS B'!$B12)*1000</f>
        <v>4100654.47</v>
      </c>
      <c r="E12" s="13"/>
      <c r="F12" s="4">
        <f>SUMIFS('FCPIS B'!$S$138:$S$226,'FCPIS B'!$B$138:$B$226,'PIS B'!$A12,'FCPIS B'!$C$138:$C$226,'PIS B'!$B12)*1000</f>
        <v>2598.25</v>
      </c>
      <c r="G12" s="13"/>
      <c r="H12" s="4">
        <f>SUMIFS('FCPIS B'!$S$229:$S$279,'FCPIS B'!$B$229:$B$279,'PIS B'!$A12,'FCPIS B'!$C$229:$C$279,'PIS B'!$B12)*-1000</f>
        <v>0</v>
      </c>
      <c r="I12" s="13"/>
      <c r="J12" s="4">
        <f>SUMIFS('FCPIS B'!$S$389:$S$410,'FCPIS B'!$B$389:$B$410,'PIS B'!$A12,'FCPIS B'!$C$389:$C$410,'PIS B'!$B12)*1000</f>
        <v>0</v>
      </c>
      <c r="K12" s="13"/>
      <c r="L12" s="4">
        <f>SUM(F12:J12)</f>
        <v>2598.25</v>
      </c>
      <c r="M12" s="13"/>
      <c r="N12" s="4">
        <f>D12+L12</f>
        <v>4103252.72</v>
      </c>
      <c r="O12" s="13"/>
      <c r="P12" s="9">
        <f>SUMIFS('FCPIS B'!$R$282:$R$414,'FCPIS B'!$B$282:$B$414,'PIS B'!$A12,'FCPIS B'!$C$282:$C$414,'PIS B'!$B12)*-1000</f>
        <v>46078.46</v>
      </c>
      <c r="Q12" s="2"/>
      <c r="R12" s="9">
        <f>SUM(N12:P12)</f>
        <v>4149331.18</v>
      </c>
      <c r="T12" s="9">
        <v>0</v>
      </c>
      <c r="U12" s="13"/>
      <c r="V12" s="9">
        <f>P12+T12</f>
        <v>46078.46</v>
      </c>
      <c r="W12" s="4">
        <f>SUMIFS('FCPIS B'!$R$6:$R$135,'FCPIS B'!$B$6:$B$135,'PIS B'!$A12,'FCPIS B'!$C$6:$C$135,'PIS B'!$B12)*1000</f>
        <v>4103252.72</v>
      </c>
      <c r="X12" s="4">
        <f>W12-N12</f>
        <v>0</v>
      </c>
    </row>
    <row r="13" spans="1:24">
      <c r="A13" s="6" t="s">
        <v>923</v>
      </c>
      <c r="B13" s="6" t="str">
        <f t="shared" ref="B13:B27" si="0">MID(C13,2,3)</f>
        <v>361</v>
      </c>
      <c r="C13" s="129" t="s">
        <v>19</v>
      </c>
      <c r="D13" s="4">
        <f>SUMIFS('FCPIS B'!$F$6:$F$135,'FCPIS B'!$B$6:$B$135,'PIS B'!$A13,'FCPIS B'!$C$6:$C$135,'PIS B'!$B13)*1000</f>
        <v>6974552.7000000002</v>
      </c>
      <c r="E13" s="13"/>
      <c r="F13" s="4">
        <f>SUMIFS('FCPIS B'!$S$138:$S$226,'FCPIS B'!$B$138:$B$226,'PIS B'!$A13,'FCPIS B'!$C$138:$C$226,'PIS B'!$B13)*1000</f>
        <v>8003597.4199999887</v>
      </c>
      <c r="G13" s="13"/>
      <c r="H13" s="4">
        <f>SUMIFS('FCPIS B'!$S$229:$S$279,'FCPIS B'!$B$229:$B$279,'PIS B'!$A13,'FCPIS B'!$C$229:$C$279,'PIS B'!$B13)*-1000</f>
        <v>0</v>
      </c>
      <c r="I13" s="13"/>
      <c r="J13" s="4">
        <f>SUMIFS('FCPIS B'!$S$389:$S$410,'FCPIS B'!$B$389:$B$410,'PIS B'!$A13,'FCPIS B'!$C$389:$C$410,'PIS B'!$B13)*1000</f>
        <v>0</v>
      </c>
      <c r="K13" s="13"/>
      <c r="L13" s="4">
        <f t="shared" ref="L13:L28" si="1">SUM(F13:J13)</f>
        <v>8003597.4199999887</v>
      </c>
      <c r="M13" s="13"/>
      <c r="N13" s="4">
        <f t="shared" ref="N13:N28" si="2">D13+L13</f>
        <v>14978150.11999999</v>
      </c>
      <c r="O13" s="13"/>
      <c r="P13" s="9">
        <f>SUMIFS('FCPIS B'!$R$282:$R$414,'FCPIS B'!$B$282:$B$414,'PIS B'!$A13,'FCPIS B'!$C$282:$C$414,'PIS B'!$B13)*-1000</f>
        <v>-2446700.82803299</v>
      </c>
      <c r="Q13" s="2"/>
      <c r="R13" s="9">
        <f t="shared" ref="R13:R28" si="3">SUM(N13:P13)</f>
        <v>12531449.291967001</v>
      </c>
      <c r="T13" s="9">
        <f t="shared" ref="T13:T28" si="4">F13/(F$29-F$12)*T$29</f>
        <v>6130.510243189553</v>
      </c>
      <c r="U13" s="13"/>
      <c r="V13" s="9">
        <f t="shared" ref="V13:V29" si="5">P13+T13</f>
        <v>-2440570.3177898005</v>
      </c>
      <c r="W13" s="4">
        <f>SUMIFS('FCPIS B'!$R$6:$R$135,'FCPIS B'!$B$6:$B$135,'PIS B'!$A13,'FCPIS B'!$C$6:$C$135,'PIS B'!$B13)*1000</f>
        <v>14978150.120000001</v>
      </c>
      <c r="X13" s="4">
        <f t="shared" ref="X13:X28" si="6">W13-N13</f>
        <v>0</v>
      </c>
    </row>
    <row r="14" spans="1:24">
      <c r="A14" s="6" t="s">
        <v>923</v>
      </c>
      <c r="B14" s="6" t="str">
        <f t="shared" si="0"/>
        <v>362</v>
      </c>
      <c r="C14" s="129" t="s">
        <v>20</v>
      </c>
      <c r="D14" s="4">
        <f>SUMIFS('FCPIS B'!$F$6:$F$135,'FCPIS B'!$B$6:$B$135,'PIS B'!$A14,'FCPIS B'!$C$6:$C$135,'PIS B'!$B14)*1000</f>
        <v>139539803.30000001</v>
      </c>
      <c r="E14" s="13"/>
      <c r="F14" s="4">
        <f>SUMIFS('FCPIS B'!$S$138:$S$226,'FCPIS B'!$B$138:$B$226,'PIS B'!$A14,'FCPIS B'!$C$138:$C$226,'PIS B'!$B14)*1000</f>
        <v>5497533.9299999997</v>
      </c>
      <c r="G14" s="13"/>
      <c r="H14" s="4">
        <f>SUMIFS('FCPIS B'!$S$229:$S$279,'FCPIS B'!$B$229:$B$279,'PIS B'!$A14,'FCPIS B'!$C$229:$C$279,'PIS B'!$B14)*-1000</f>
        <v>-235471.97</v>
      </c>
      <c r="I14" s="13"/>
      <c r="J14" s="4">
        <f>SUMIFS('FCPIS B'!$S$389:$S$410,'FCPIS B'!$B$389:$B$410,'PIS B'!$A14,'FCPIS B'!$C$389:$C$410,'PIS B'!$B14)*1000</f>
        <v>-485287</v>
      </c>
      <c r="K14" s="13"/>
      <c r="L14" s="4">
        <f t="shared" si="1"/>
        <v>4776774.96</v>
      </c>
      <c r="M14" s="13"/>
      <c r="N14" s="4">
        <f t="shared" si="2"/>
        <v>144316578.26000002</v>
      </c>
      <c r="O14" s="13"/>
      <c r="P14" s="9">
        <f>SUMIFS('FCPIS B'!$R$282:$R$414,'FCPIS B'!$B$282:$B$414,'PIS B'!$A14,'FCPIS B'!$C$282:$C$414,'PIS B'!$B14)*-1000</f>
        <v>-46920534.276345901</v>
      </c>
      <c r="Q14" s="2"/>
      <c r="R14" s="9">
        <f t="shared" si="3"/>
        <v>97396043.983654112</v>
      </c>
      <c r="T14" s="9">
        <f t="shared" si="4"/>
        <v>4210.9424426981195</v>
      </c>
      <c r="U14" s="13"/>
      <c r="V14" s="9">
        <f t="shared" si="5"/>
        <v>-46916323.333903201</v>
      </c>
      <c r="W14" s="4">
        <f>SUMIFS('FCPIS B'!$R$6:$R$135,'FCPIS B'!$B$6:$B$135,'PIS B'!$A14,'FCPIS B'!$C$6:$C$135,'PIS B'!$B14)*1000</f>
        <v>144316578.27000001</v>
      </c>
      <c r="X14" s="4">
        <f t="shared" si="6"/>
        <v>9.9999904632568359E-3</v>
      </c>
    </row>
    <row r="15" spans="1:24">
      <c r="A15" s="6" t="s">
        <v>923</v>
      </c>
      <c r="B15" s="6" t="str">
        <f t="shared" si="0"/>
        <v>364</v>
      </c>
      <c r="C15" s="129" t="s">
        <v>21</v>
      </c>
      <c r="D15" s="4">
        <f>SUMIFS('FCPIS B'!$F$6:$F$135,'FCPIS B'!$B$6:$B$135,'PIS B'!$A15,'FCPIS B'!$C$6:$C$135,'PIS B'!$B15)*1000</f>
        <v>201966681.19999999</v>
      </c>
      <c r="E15" s="13"/>
      <c r="F15" s="4">
        <f>SUMIFS('FCPIS B'!$S$138:$S$226,'FCPIS B'!$B$138:$B$226,'PIS B'!$A15,'FCPIS B'!$C$138:$C$226,'PIS B'!$B15)*1000</f>
        <v>7639403.8799999887</v>
      </c>
      <c r="G15" s="13"/>
      <c r="H15" s="4">
        <f>SUMIFS('FCPIS B'!$S$229:$S$279,'FCPIS B'!$B$229:$B$279,'PIS B'!$A15,'FCPIS B'!$C$229:$C$279,'PIS B'!$B15)*-1000</f>
        <v>-624788.64999999991</v>
      </c>
      <c r="I15" s="13"/>
      <c r="J15" s="4">
        <f>SUMIFS('FCPIS B'!$S$389:$S$410,'FCPIS B'!$B$389:$B$410,'PIS B'!$A15,'FCPIS B'!$C$389:$C$410,'PIS B'!$B15)*1000</f>
        <v>0</v>
      </c>
      <c r="K15" s="13"/>
      <c r="L15" s="4">
        <f t="shared" si="1"/>
        <v>7014615.2299999893</v>
      </c>
      <c r="M15" s="13"/>
      <c r="N15" s="4">
        <f t="shared" si="2"/>
        <v>208981296.42999998</v>
      </c>
      <c r="O15" s="13"/>
      <c r="P15" s="9">
        <f>SUMIFS('FCPIS B'!$R$282:$R$414,'FCPIS B'!$B$282:$B$414,'PIS B'!$A15,'FCPIS B'!$C$282:$C$414,'PIS B'!$B15)*-1000</f>
        <v>-83571512.410709992</v>
      </c>
      <c r="Q15" s="2"/>
      <c r="R15" s="9">
        <f t="shared" si="3"/>
        <v>125409784.01928999</v>
      </c>
      <c r="T15" s="9">
        <f t="shared" si="4"/>
        <v>5851.5491572790788</v>
      </c>
      <c r="U15" s="13"/>
      <c r="V15" s="9">
        <f t="shared" si="5"/>
        <v>-83565660.861552715</v>
      </c>
      <c r="W15" s="4">
        <f>SUMIFS('FCPIS B'!$R$6:$R$135,'FCPIS B'!$B$6:$B$135,'PIS B'!$A15,'FCPIS B'!$C$6:$C$135,'PIS B'!$B15)*1000</f>
        <v>208981296.44</v>
      </c>
      <c r="X15" s="4">
        <f t="shared" si="6"/>
        <v>1.0000020265579224E-2</v>
      </c>
    </row>
    <row r="16" spans="1:24">
      <c r="A16" s="6" t="s">
        <v>923</v>
      </c>
      <c r="B16" s="6" t="str">
        <f t="shared" si="0"/>
        <v>365</v>
      </c>
      <c r="C16" s="129" t="s">
        <v>22</v>
      </c>
      <c r="D16" s="4">
        <f>SUMIFS('FCPIS B'!$F$6:$F$135,'FCPIS B'!$B$6:$B$135,'PIS B'!$A16,'FCPIS B'!$C$6:$C$135,'PIS B'!$B16)*1000</f>
        <v>325928931.39999998</v>
      </c>
      <c r="E16" s="13"/>
      <c r="F16" s="4">
        <f>SUMIFS('FCPIS B'!$S$138:$S$226,'FCPIS B'!$B$138:$B$226,'PIS B'!$A16,'FCPIS B'!$C$138:$C$226,'PIS B'!$B16)*1000</f>
        <v>30849533.559999995</v>
      </c>
      <c r="G16" s="13"/>
      <c r="H16" s="4">
        <f>SUMIFS('FCPIS B'!$S$229:$S$279,'FCPIS B'!$B$229:$B$279,'PIS B'!$A16,'FCPIS B'!$C$229:$C$279,'PIS B'!$B16)*-1000</f>
        <v>-1678957.4</v>
      </c>
      <c r="I16" s="13"/>
      <c r="J16" s="4">
        <f>SUMIFS('FCPIS B'!$S$389:$S$410,'FCPIS B'!$B$389:$B$410,'PIS B'!$A16,'FCPIS B'!$C$389:$C$410,'PIS B'!$B16)*1000</f>
        <v>0</v>
      </c>
      <c r="K16" s="13"/>
      <c r="L16" s="4">
        <f t="shared" si="1"/>
        <v>29170576.159999996</v>
      </c>
      <c r="M16" s="13"/>
      <c r="N16" s="4">
        <f t="shared" si="2"/>
        <v>355099507.55999994</v>
      </c>
      <c r="O16" s="13"/>
      <c r="P16" s="9">
        <f>SUMIFS('FCPIS B'!$R$282:$R$414,'FCPIS B'!$B$282:$B$414,'PIS B'!$A16,'FCPIS B'!$C$282:$C$414,'PIS B'!$B16)*-1000</f>
        <v>-128066310.85485001</v>
      </c>
      <c r="Q16" s="2"/>
      <c r="R16" s="9">
        <f t="shared" si="3"/>
        <v>227033196.70514995</v>
      </c>
      <c r="T16" s="9">
        <f t="shared" si="4"/>
        <v>23629.796897905457</v>
      </c>
      <c r="U16" s="13"/>
      <c r="V16" s="9">
        <f t="shared" si="5"/>
        <v>-128042681.05795211</v>
      </c>
      <c r="W16" s="4">
        <f>SUMIFS('FCPIS B'!$R$6:$R$135,'FCPIS B'!$B$6:$B$135,'PIS B'!$A16,'FCPIS B'!$C$6:$C$135,'PIS B'!$B16)*1000</f>
        <v>355099507.61999899</v>
      </c>
      <c r="X16" s="4">
        <f t="shared" si="6"/>
        <v>5.9999048709869385E-2</v>
      </c>
    </row>
    <row r="17" spans="1:24">
      <c r="A17" s="6" t="s">
        <v>923</v>
      </c>
      <c r="B17" s="6" t="str">
        <f t="shared" si="0"/>
        <v>366</v>
      </c>
      <c r="C17" s="129" t="s">
        <v>23</v>
      </c>
      <c r="D17" s="4">
        <f>SUMIFS('FCPIS B'!$F$6:$F$135,'FCPIS B'!$B$6:$B$135,'PIS B'!$A17,'FCPIS B'!$C$6:$C$135,'PIS B'!$B17)*1000</f>
        <v>84150164.590000004</v>
      </c>
      <c r="E17" s="13"/>
      <c r="F17" s="4">
        <f>SUMIFS('FCPIS B'!$S$138:$S$226,'FCPIS B'!$B$138:$B$226,'PIS B'!$A17,'FCPIS B'!$C$138:$C$226,'PIS B'!$B17)*1000</f>
        <v>12524855.249999998</v>
      </c>
      <c r="G17" s="13"/>
      <c r="H17" s="4">
        <f>SUMIFS('FCPIS B'!$S$229:$S$279,'FCPIS B'!$B$229:$B$279,'PIS B'!$A17,'FCPIS B'!$C$229:$C$279,'PIS B'!$B17)*-1000</f>
        <v>-20.309999999999903</v>
      </c>
      <c r="I17" s="13"/>
      <c r="J17" s="4">
        <f>SUMIFS('FCPIS B'!$S$389:$S$410,'FCPIS B'!$B$389:$B$410,'PIS B'!$A17,'FCPIS B'!$C$389:$C$410,'PIS B'!$B17)*1000</f>
        <v>0</v>
      </c>
      <c r="K17" s="13"/>
      <c r="L17" s="4">
        <f t="shared" si="1"/>
        <v>12524834.939999998</v>
      </c>
      <c r="M17" s="13"/>
      <c r="N17" s="4">
        <f t="shared" si="2"/>
        <v>96674999.530000001</v>
      </c>
      <c r="O17" s="13"/>
      <c r="P17" s="9">
        <f>SUMIFS('FCPIS B'!$R$282:$R$414,'FCPIS B'!$B$282:$B$414,'PIS B'!$A17,'FCPIS B'!$C$282:$C$414,'PIS B'!$B17)*-1000</f>
        <v>-33388616.362510003</v>
      </c>
      <c r="Q17" s="2"/>
      <c r="R17" s="9">
        <f t="shared" si="3"/>
        <v>63286383.167489998</v>
      </c>
      <c r="T17" s="9">
        <f t="shared" si="4"/>
        <v>9593.6551247215957</v>
      </c>
      <c r="U17" s="13"/>
      <c r="V17" s="9">
        <f t="shared" si="5"/>
        <v>-33379022.707385283</v>
      </c>
      <c r="W17" s="4">
        <f>SUMIFS('FCPIS B'!$R$6:$R$135,'FCPIS B'!$B$6:$B$135,'PIS B'!$A17,'FCPIS B'!$C$6:$C$135,'PIS B'!$B17)*1000</f>
        <v>96674999.529999897</v>
      </c>
      <c r="X17" s="4">
        <f t="shared" si="6"/>
        <v>0</v>
      </c>
    </row>
    <row r="18" spans="1:24">
      <c r="A18" s="6" t="s">
        <v>923</v>
      </c>
      <c r="B18" s="6" t="str">
        <f t="shared" si="0"/>
        <v>367</v>
      </c>
      <c r="C18" s="129" t="s">
        <v>24</v>
      </c>
      <c r="D18" s="4">
        <f>SUMIFS('FCPIS B'!$F$6:$F$135,'FCPIS B'!$B$6:$B$135,'PIS B'!$A18,'FCPIS B'!$C$6:$C$135,'PIS B'!$B18)*1000</f>
        <v>254218956.89999998</v>
      </c>
      <c r="E18" s="13"/>
      <c r="F18" s="4">
        <f>SUMIFS('FCPIS B'!$S$138:$S$226,'FCPIS B'!$B$138:$B$226,'PIS B'!$A18,'FCPIS B'!$C$138:$C$226,'PIS B'!$B18)*1000</f>
        <v>24168883.079999991</v>
      </c>
      <c r="G18" s="13"/>
      <c r="H18" s="4">
        <f>SUMIFS('FCPIS B'!$S$229:$S$279,'FCPIS B'!$B$229:$B$279,'PIS B'!$A18,'FCPIS B'!$C$229:$C$279,'PIS B'!$B18)*-1000</f>
        <v>-1728278.47</v>
      </c>
      <c r="I18" s="13"/>
      <c r="J18" s="4">
        <f>SUMIFS('FCPIS B'!$S$389:$S$410,'FCPIS B'!$B$389:$B$410,'PIS B'!$A18,'FCPIS B'!$C$389:$C$410,'PIS B'!$B18)*1000</f>
        <v>0</v>
      </c>
      <c r="K18" s="13"/>
      <c r="L18" s="4">
        <f t="shared" si="1"/>
        <v>22440604.609999992</v>
      </c>
      <c r="M18" s="13"/>
      <c r="N18" s="4">
        <f t="shared" si="2"/>
        <v>276659561.50999999</v>
      </c>
      <c r="O18" s="13"/>
      <c r="P18" s="9">
        <f>SUMIFS('FCPIS B'!$R$282:$R$414,'FCPIS B'!$B$282:$B$414,'PIS B'!$A18,'FCPIS B'!$C$282:$C$414,'PIS B'!$B18)*-1000</f>
        <v>-63203231.143279001</v>
      </c>
      <c r="Q18" s="2"/>
      <c r="R18" s="9">
        <f t="shared" si="3"/>
        <v>213456330.36672097</v>
      </c>
      <c r="T18" s="9">
        <f t="shared" si="4"/>
        <v>18512.623450817049</v>
      </c>
      <c r="U18" s="13"/>
      <c r="V18" s="9">
        <f t="shared" si="5"/>
        <v>-63184718.519828185</v>
      </c>
      <c r="W18" s="4">
        <f>SUMIFS('FCPIS B'!$R$6:$R$135,'FCPIS B'!$B$6:$B$135,'PIS B'!$A18,'FCPIS B'!$C$6:$C$135,'PIS B'!$B18)*1000</f>
        <v>276659561.51000005</v>
      </c>
      <c r="X18" s="4">
        <f t="shared" si="6"/>
        <v>0</v>
      </c>
    </row>
    <row r="19" spans="1:24">
      <c r="A19" s="6" t="s">
        <v>923</v>
      </c>
      <c r="B19" s="6" t="str">
        <f t="shared" si="0"/>
        <v>368</v>
      </c>
      <c r="C19" s="129" t="s">
        <v>25</v>
      </c>
      <c r="D19" s="4">
        <f>SUMIFS('FCPIS B'!$F$6:$F$135,'FCPIS B'!$B$6:$B$135,'PIS B'!$A19,'FCPIS B'!$C$6:$C$135,'PIS B'!$B19)*1000</f>
        <v>165811255.5</v>
      </c>
      <c r="E19" s="13"/>
      <c r="F19" s="4">
        <f>SUMIFS('FCPIS B'!$S$138:$S$226,'FCPIS B'!$B$138:$B$226,'PIS B'!$A19,'FCPIS B'!$C$138:$C$226,'PIS B'!$B19)*1000</f>
        <v>6412424.9199999999</v>
      </c>
      <c r="G19" s="13"/>
      <c r="H19" s="4">
        <f>SUMIFS('FCPIS B'!$S$229:$S$279,'FCPIS B'!$B$229:$B$279,'PIS B'!$A19,'FCPIS B'!$C$229:$C$279,'PIS B'!$B19)*-1000</f>
        <v>-248843.17999999991</v>
      </c>
      <c r="I19" s="13"/>
      <c r="J19" s="4">
        <f>SUMIFS('FCPIS B'!$S$389:$S$410,'FCPIS B'!$B$389:$B$410,'PIS B'!$A19,'FCPIS B'!$C$389:$C$410,'PIS B'!$B19)*1000</f>
        <v>0</v>
      </c>
      <c r="K19" s="13"/>
      <c r="L19" s="4">
        <f t="shared" si="1"/>
        <v>6163581.7400000002</v>
      </c>
      <c r="M19" s="13"/>
      <c r="N19" s="4">
        <f t="shared" si="2"/>
        <v>171974837.24000001</v>
      </c>
      <c r="O19" s="13"/>
      <c r="P19" s="9">
        <f>SUMIFS('FCPIS B'!$R$282:$R$414,'FCPIS B'!$B$282:$B$414,'PIS B'!$A19,'FCPIS B'!$C$282:$C$414,'PIS B'!$B19)*-1000</f>
        <v>-81554509.004030004</v>
      </c>
      <c r="Q19" s="2"/>
      <c r="R19" s="9">
        <f t="shared" si="3"/>
        <v>90420328.235970005</v>
      </c>
      <c r="T19" s="9">
        <f t="shared" si="4"/>
        <v>4911.7208915967694</v>
      </c>
      <c r="U19" s="13"/>
      <c r="V19" s="9">
        <f t="shared" si="5"/>
        <v>-81549597.283138409</v>
      </c>
      <c r="W19" s="4">
        <f>SUMIFS('FCPIS B'!$R$6:$R$135,'FCPIS B'!$B$6:$B$135,'PIS B'!$A19,'FCPIS B'!$C$6:$C$135,'PIS B'!$B19)*1000</f>
        <v>171974837.23999998</v>
      </c>
      <c r="X19" s="4">
        <f t="shared" si="6"/>
        <v>0</v>
      </c>
    </row>
    <row r="20" spans="1:24">
      <c r="A20" s="6" t="s">
        <v>923</v>
      </c>
      <c r="C20" s="129" t="s">
        <v>873</v>
      </c>
      <c r="D20" s="4">
        <f>SUMIFS('FCPIS B'!$F$6:$F$135,'FCPIS B'!$B$6:$B$135,'PIS B'!$A20,'FCPIS B'!$C$6:$C$135,'PIS B'!$B20)*1000</f>
        <v>0</v>
      </c>
      <c r="E20" s="13"/>
      <c r="F20" s="4">
        <f>SUMIFS('FCPIS B'!$S$138:$S$226,'FCPIS B'!$B$138:$B$226,'PIS B'!$A20,'FCPIS B'!$C$138:$C$226,'PIS B'!$B20)*1000</f>
        <v>0</v>
      </c>
      <c r="G20" s="13"/>
      <c r="H20" s="4">
        <f>SUMIFS('FCPIS B'!$S$229:$S$279,'FCPIS B'!$B$229:$B$279,'PIS B'!$A20,'FCPIS B'!$C$229:$C$279,'PIS B'!$B20)*-1000</f>
        <v>0</v>
      </c>
      <c r="I20" s="13"/>
      <c r="J20" s="4">
        <f>SUMIFS('FCPIS B'!$S$389:$S$410,'FCPIS B'!$B$389:$B$410,'PIS B'!$A20,'FCPIS B'!$C$389:$C$410,'PIS B'!$B20)*1000</f>
        <v>0</v>
      </c>
      <c r="K20" s="13"/>
      <c r="L20" s="4">
        <f t="shared" si="1"/>
        <v>0</v>
      </c>
      <c r="M20" s="13"/>
      <c r="N20" s="4">
        <f t="shared" si="2"/>
        <v>0</v>
      </c>
      <c r="O20" s="13"/>
      <c r="P20" s="9">
        <f>SUMIFS('FCPIS B'!$R$282:$R$414,'FCPIS B'!$B$282:$B$414,'PIS B'!$A20,'FCPIS B'!$C$282:$C$414,'PIS B'!$B20)*-1000</f>
        <v>0</v>
      </c>
      <c r="Q20" s="2"/>
      <c r="R20" s="9">
        <f t="shared" si="3"/>
        <v>0</v>
      </c>
      <c r="T20" s="9">
        <f t="shared" si="4"/>
        <v>0</v>
      </c>
      <c r="U20" s="13"/>
      <c r="V20" s="9">
        <f t="shared" si="5"/>
        <v>0</v>
      </c>
      <c r="W20" s="4">
        <f>SUMIFS('FCPIS B'!$R$6:$R$135,'FCPIS B'!$B$6:$B$135,'PIS B'!$A20,'FCPIS B'!$C$6:$C$135,'PIS B'!$B20)*1000</f>
        <v>0</v>
      </c>
      <c r="X20" s="4">
        <f t="shared" si="6"/>
        <v>0</v>
      </c>
    </row>
    <row r="21" spans="1:24">
      <c r="A21" s="6" t="s">
        <v>923</v>
      </c>
      <c r="B21" s="6" t="str">
        <f t="shared" si="0"/>
        <v>369</v>
      </c>
      <c r="C21" s="129" t="s">
        <v>874</v>
      </c>
      <c r="D21" s="4">
        <f>SUMIFS('FCPIS B'!$F$6:$F$135,'FCPIS B'!$B$6:$B$135,'PIS B'!$A21,'FCPIS B'!$C$6:$C$135,'PIS B'!$B21)*1000</f>
        <v>35226840.210000001</v>
      </c>
      <c r="E21" s="13"/>
      <c r="F21" s="4">
        <f>SUMIFS('FCPIS B'!$S$138:$S$226,'FCPIS B'!$B$138:$B$226,'PIS B'!$A21,'FCPIS B'!$C$138:$C$226,'PIS B'!$B21)*1000</f>
        <v>2268489.1099999994</v>
      </c>
      <c r="G21" s="13"/>
      <c r="H21" s="4">
        <f>SUMIFS('FCPIS B'!$S$229:$S$279,'FCPIS B'!$B$229:$B$279,'PIS B'!$A21,'FCPIS B'!$C$229:$C$279,'PIS B'!$B21)*-1000</f>
        <v>-33212.47</v>
      </c>
      <c r="I21" s="13"/>
      <c r="J21" s="4">
        <f>SUMIFS('FCPIS B'!$S$389:$S$410,'FCPIS B'!$B$389:$B$410,'PIS B'!$A21,'FCPIS B'!$C$389:$C$410,'PIS B'!$B21)*1000</f>
        <v>0</v>
      </c>
      <c r="K21" s="13"/>
      <c r="L21" s="4">
        <f t="shared" si="1"/>
        <v>2235276.6399999992</v>
      </c>
      <c r="M21" s="13"/>
      <c r="N21" s="4">
        <f t="shared" si="2"/>
        <v>37462116.850000001</v>
      </c>
      <c r="O21" s="13"/>
      <c r="P21" s="9">
        <f>SUMIFS('FCPIS B'!$R$282:$R$414,'FCPIS B'!$B$282:$B$414,'PIS B'!$A21,'FCPIS B'!$C$282:$C$414,'PIS B'!$B21)*-1000</f>
        <v>-26521536.5820699</v>
      </c>
      <c r="Q21" s="2"/>
      <c r="R21" s="9">
        <f t="shared" si="3"/>
        <v>10940580.267930102</v>
      </c>
      <c r="T21" s="9">
        <f t="shared" si="4"/>
        <v>1737.5931091520301</v>
      </c>
      <c r="U21" s="13"/>
      <c r="V21" s="9">
        <f t="shared" si="5"/>
        <v>-26519798.988960747</v>
      </c>
      <c r="W21" s="4">
        <f>SUMIFS('FCPIS B'!$R$6:$R$135,'FCPIS B'!$B$6:$B$135,'PIS B'!$A21,'FCPIS B'!$C$6:$C$135,'PIS B'!$B21)*1000</f>
        <v>37462116.850000001</v>
      </c>
      <c r="X21" s="4">
        <f t="shared" si="6"/>
        <v>0</v>
      </c>
    </row>
    <row r="22" spans="1:24">
      <c r="A22" s="6" t="s">
        <v>923</v>
      </c>
      <c r="B22" s="6" t="str">
        <f t="shared" si="0"/>
        <v>370</v>
      </c>
      <c r="C22" s="129" t="s">
        <v>26</v>
      </c>
      <c r="D22" s="4">
        <f>SUMIFS('FCPIS B'!$F$6:$F$135,'FCPIS B'!$B$6:$B$135,'PIS B'!$A22,'FCPIS B'!$C$6:$C$135,'PIS B'!$B22)*1000</f>
        <v>41755547.719999999</v>
      </c>
      <c r="E22" s="13"/>
      <c r="F22" s="4">
        <f>SUMIFS('FCPIS B'!$S$138:$S$226,'FCPIS B'!$B$138:$B$226,'PIS B'!$A22,'FCPIS B'!$C$138:$C$226,'PIS B'!$B22)*1000</f>
        <v>1064875.52</v>
      </c>
      <c r="G22" s="13"/>
      <c r="H22" s="4">
        <f>SUMIFS('FCPIS B'!$S$229:$S$279,'FCPIS B'!$B$229:$B$279,'PIS B'!$A22,'FCPIS B'!$C$229:$C$279,'PIS B'!$B22)*-1000</f>
        <v>-131061.63</v>
      </c>
      <c r="I22" s="13"/>
      <c r="J22" s="4">
        <f>SUMIFS('FCPIS B'!$S$389:$S$410,'FCPIS B'!$B$389:$B$410,'PIS B'!$A22,'FCPIS B'!$C$389:$C$410,'PIS B'!$B22)*1000</f>
        <v>0</v>
      </c>
      <c r="K22" s="13"/>
      <c r="L22" s="4">
        <f t="shared" si="1"/>
        <v>933813.89</v>
      </c>
      <c r="M22" s="13"/>
      <c r="N22" s="4">
        <f t="shared" si="2"/>
        <v>42689361.609999999</v>
      </c>
      <c r="O22" s="13"/>
      <c r="P22" s="9">
        <f>SUMIFS('FCPIS B'!$R$282:$R$414,'FCPIS B'!$B$282:$B$414,'PIS B'!$A22,'FCPIS B'!$C$282:$C$414,'PIS B'!$B22)*-1000</f>
        <v>-24598436.552179899</v>
      </c>
      <c r="Q22" s="2"/>
      <c r="R22" s="9">
        <f t="shared" si="3"/>
        <v>18090925.0578201</v>
      </c>
      <c r="T22" s="9">
        <f t="shared" si="4"/>
        <v>815.66200053598038</v>
      </c>
      <c r="U22" s="13"/>
      <c r="V22" s="9">
        <f t="shared" si="5"/>
        <v>-24597620.890179362</v>
      </c>
      <c r="W22" s="4">
        <f>SUMIFS('FCPIS B'!$R$6:$R$135,'FCPIS B'!$B$6:$B$135,'PIS B'!$A22,'FCPIS B'!$C$6:$C$135,'PIS B'!$B22)*1000</f>
        <v>42689361.609999895</v>
      </c>
      <c r="X22" s="4">
        <f t="shared" si="6"/>
        <v>-1.0430812835693359E-7</v>
      </c>
    </row>
    <row r="23" spans="1:24">
      <c r="A23" s="6" t="s">
        <v>923</v>
      </c>
      <c r="B23" s="6" t="str">
        <f t="shared" si="0"/>
        <v>371</v>
      </c>
      <c r="C23" s="129" t="s">
        <v>2574</v>
      </c>
      <c r="D23" s="4">
        <f>SUMIFS('FCPIS B'!$F$6:$F$135,'FCPIS B'!$B$6:$B$135,'PIS B'!$A23,'FCPIS B'!$C$6:$C$135,'PIS B'!$B23)*1000</f>
        <v>0</v>
      </c>
      <c r="E23" s="13"/>
      <c r="F23" s="4">
        <f>SUMIFS('FCPIS B'!$S$138:$S$226,'FCPIS B'!$B$138:$B$226,'PIS B'!$A23,'FCPIS B'!$C$138:$C$226,'PIS B'!$B23)*1000</f>
        <v>156536.15000000002</v>
      </c>
      <c r="G23" s="13"/>
      <c r="H23" s="4">
        <f>SUMIFS('FCPIS B'!$S$229:$S$279,'FCPIS B'!$B$229:$B$279,'PIS B'!$A23,'FCPIS B'!$C$229:$C$279,'PIS B'!$B23)*-1000</f>
        <v>0</v>
      </c>
      <c r="I23" s="13"/>
      <c r="J23" s="4">
        <f>SUMIFS('FCPIS B'!$S$389:$S$410,'FCPIS B'!$B$389:$B$410,'PIS B'!$A23,'FCPIS B'!$C$389:$C$410,'PIS B'!$B23)*1000</f>
        <v>0</v>
      </c>
      <c r="K23" s="13"/>
      <c r="L23" s="4">
        <f t="shared" ref="L23" si="7">SUM(F23:J23)</f>
        <v>156536.15000000002</v>
      </c>
      <c r="M23" s="13"/>
      <c r="N23" s="4">
        <f t="shared" ref="N23" si="8">D23+L23</f>
        <v>156536.15000000002</v>
      </c>
      <c r="O23" s="13"/>
      <c r="P23" s="9">
        <f>SUMIFS('FCPIS B'!$R$282:$R$414,'FCPIS B'!$B$282:$B$414,'PIS B'!$A23,'FCPIS B'!$C$282:$C$414,'PIS B'!$B23)*-1000</f>
        <v>-5207.4135421000001</v>
      </c>
      <c r="Q23" s="2"/>
      <c r="R23" s="9">
        <f t="shared" ref="R23" si="9">SUM(N23:P23)</f>
        <v>151328.73645790003</v>
      </c>
      <c r="T23" s="9">
        <f t="shared" ref="T23" si="10">F23/(F$29-F$12)*T$29</f>
        <v>119.9018916926556</v>
      </c>
      <c r="U23" s="13"/>
      <c r="V23" s="9">
        <f t="shared" ref="V23" si="11">P23+T23</f>
        <v>-5087.5116504073449</v>
      </c>
      <c r="W23" s="4">
        <f>SUMIFS('FCPIS B'!$R$6:$R$135,'FCPIS B'!$B$6:$B$135,'PIS B'!$A23,'FCPIS B'!$C$6:$C$135,'PIS B'!$B23)*1000</f>
        <v>156536.15</v>
      </c>
      <c r="X23" s="4">
        <f t="shared" ref="X23" si="12">W23-N23</f>
        <v>0</v>
      </c>
    </row>
    <row r="24" spans="1:24">
      <c r="A24" s="6" t="s">
        <v>923</v>
      </c>
      <c r="B24" s="6" t="str">
        <f t="shared" si="0"/>
        <v>373</v>
      </c>
      <c r="C24" s="129" t="s">
        <v>875</v>
      </c>
      <c r="D24" s="4">
        <f>SUMIFS('FCPIS B'!$F$6:$F$135,'FCPIS B'!$B$6:$B$135,'PIS B'!$A24,'FCPIS B'!$C$6:$C$135,'PIS B'!$B24)*1000</f>
        <v>110508570.37</v>
      </c>
      <c r="E24" s="13"/>
      <c r="F24" s="4">
        <f>SUMIFS('FCPIS B'!$S$138:$S$226,'FCPIS B'!$B$138:$B$226,'PIS B'!$A24,'FCPIS B'!$C$138:$C$226,'PIS B'!$B24)*1000</f>
        <v>5532133.6799999988</v>
      </c>
      <c r="G24" s="13"/>
      <c r="H24" s="4">
        <f>SUMIFS('FCPIS B'!$S$229:$S$279,'FCPIS B'!$B$229:$B$279,'PIS B'!$A24,'FCPIS B'!$C$229:$C$279,'PIS B'!$B24)*-1000</f>
        <v>0</v>
      </c>
      <c r="I24" s="13"/>
      <c r="J24" s="4">
        <f>SUMIFS('FCPIS B'!$S$389:$S$410,'FCPIS B'!$B$389:$B$410,'PIS B'!$A24,'FCPIS B'!$C$389:$C$410,'PIS B'!$B24)*1000</f>
        <v>0</v>
      </c>
      <c r="K24" s="13"/>
      <c r="L24" s="4">
        <f t="shared" si="1"/>
        <v>5532133.6799999988</v>
      </c>
      <c r="M24" s="13"/>
      <c r="N24" s="4">
        <f t="shared" si="2"/>
        <v>116040704.05</v>
      </c>
      <c r="O24" s="13"/>
      <c r="P24" s="9">
        <f>SUMIFS('FCPIS B'!$R$282:$R$414,'FCPIS B'!$B$282:$B$414,'PIS B'!$A24,'FCPIS B'!$C$282:$C$414,'PIS B'!$B24)*-1000</f>
        <v>-44334634.785272904</v>
      </c>
      <c r="Q24" s="2"/>
      <c r="R24" s="9">
        <f t="shared" si="3"/>
        <v>71706069.264727086</v>
      </c>
      <c r="T24" s="9">
        <f t="shared" si="4"/>
        <v>4237.4447904120043</v>
      </c>
      <c r="U24" s="13"/>
      <c r="V24" s="9">
        <f t="shared" si="5"/>
        <v>-44330397.340482488</v>
      </c>
      <c r="W24" s="4">
        <f>SUMIFS('FCPIS B'!$R$6:$R$135,'FCPIS B'!$B$6:$B$135,'PIS B'!$A24,'FCPIS B'!$C$6:$C$135,'PIS B'!$B24)*1000</f>
        <v>116040704.05</v>
      </c>
      <c r="X24" s="4">
        <f t="shared" si="6"/>
        <v>0</v>
      </c>
    </row>
    <row r="25" spans="1:24">
      <c r="A25" s="6" t="s">
        <v>923</v>
      </c>
      <c r="C25" s="129" t="s">
        <v>876</v>
      </c>
      <c r="D25" s="4">
        <f>SUMIFS('FCPIS B'!$F$6:$F$135,'FCPIS B'!$B$6:$B$135,'PIS B'!$A25,'FCPIS B'!$C$6:$C$135,'PIS B'!$B25)*1000</f>
        <v>0</v>
      </c>
      <c r="E25" s="13"/>
      <c r="F25" s="4">
        <f>SUMIFS('FCPIS B'!$S$138:$S$226,'FCPIS B'!$B$138:$B$226,'PIS B'!$A25,'FCPIS B'!$C$138:$C$226,'PIS B'!$B25)*1000</f>
        <v>0</v>
      </c>
      <c r="G25" s="13"/>
      <c r="H25" s="4">
        <f>SUMIFS('FCPIS B'!$S$229:$S$279,'FCPIS B'!$B$229:$B$279,'PIS B'!$A25,'FCPIS B'!$C$229:$C$279,'PIS B'!$B25)*-1000</f>
        <v>0</v>
      </c>
      <c r="I25" s="13"/>
      <c r="J25" s="4">
        <f>SUMIFS('FCPIS B'!$S$389:$S$410,'FCPIS B'!$B$389:$B$410,'PIS B'!$A25,'FCPIS B'!$C$389:$C$410,'PIS B'!$B25)*1000</f>
        <v>0</v>
      </c>
      <c r="K25" s="13"/>
      <c r="L25" s="4">
        <f t="shared" si="1"/>
        <v>0</v>
      </c>
      <c r="M25" s="13"/>
      <c r="N25" s="4">
        <f t="shared" si="2"/>
        <v>0</v>
      </c>
      <c r="O25" s="13"/>
      <c r="P25" s="9">
        <f>SUMIFS('FCPIS B'!$R$282:$R$414,'FCPIS B'!$B$282:$B$414,'PIS B'!$A25,'FCPIS B'!$C$282:$C$414,'PIS B'!$B25)*-1000</f>
        <v>0</v>
      </c>
      <c r="Q25" s="2"/>
      <c r="R25" s="9">
        <f t="shared" si="3"/>
        <v>0</v>
      </c>
      <c r="T25" s="9">
        <f t="shared" si="4"/>
        <v>0</v>
      </c>
      <c r="U25" s="13"/>
      <c r="V25" s="9">
        <f t="shared" si="5"/>
        <v>0</v>
      </c>
      <c r="W25" s="4">
        <f>SUMIFS('FCPIS B'!$R$6:$R$135,'FCPIS B'!$B$6:$B$135,'PIS B'!$A25,'FCPIS B'!$C$6:$C$135,'PIS B'!$B25)*1000</f>
        <v>0</v>
      </c>
      <c r="X25" s="4">
        <f t="shared" si="6"/>
        <v>0</v>
      </c>
    </row>
    <row r="26" spans="1:24">
      <c r="A26" s="6" t="s">
        <v>923</v>
      </c>
      <c r="C26" s="129" t="s">
        <v>877</v>
      </c>
      <c r="D26" s="4">
        <f>SUMIFS('FCPIS B'!$F$6:$F$135,'FCPIS B'!$B$6:$B$135,'PIS B'!$A26,'FCPIS B'!$C$6:$C$135,'PIS B'!$B26)*1000</f>
        <v>0</v>
      </c>
      <c r="E26" s="13"/>
      <c r="F26" s="4">
        <f>SUMIFS('FCPIS B'!$S$138:$S$226,'FCPIS B'!$B$138:$B$226,'PIS B'!$A26,'FCPIS B'!$C$138:$C$226,'PIS B'!$B26)*1000</f>
        <v>0</v>
      </c>
      <c r="G26" s="13"/>
      <c r="H26" s="4">
        <f>SUMIFS('FCPIS B'!$S$229:$S$279,'FCPIS B'!$B$229:$B$279,'PIS B'!$A26,'FCPIS B'!$C$229:$C$279,'PIS B'!$B26)*-1000</f>
        <v>0</v>
      </c>
      <c r="I26" s="13"/>
      <c r="J26" s="4">
        <f>SUMIFS('FCPIS B'!$S$389:$S$410,'FCPIS B'!$B$389:$B$410,'PIS B'!$A26,'FCPIS B'!$C$389:$C$410,'PIS B'!$B26)*1000</f>
        <v>0</v>
      </c>
      <c r="K26" s="13"/>
      <c r="L26" s="4">
        <f t="shared" si="1"/>
        <v>0</v>
      </c>
      <c r="M26" s="13"/>
      <c r="N26" s="4">
        <f t="shared" si="2"/>
        <v>0</v>
      </c>
      <c r="O26" s="13"/>
      <c r="P26" s="9">
        <f>SUMIFS('FCPIS B'!$R$282:$R$414,'FCPIS B'!$B$282:$B$414,'PIS B'!$A26,'FCPIS B'!$C$282:$C$414,'PIS B'!$B26)*-1000</f>
        <v>0</v>
      </c>
      <c r="Q26" s="2"/>
      <c r="R26" s="9">
        <f t="shared" si="3"/>
        <v>0</v>
      </c>
      <c r="T26" s="9">
        <f t="shared" si="4"/>
        <v>0</v>
      </c>
      <c r="U26" s="13"/>
      <c r="V26" s="9">
        <f t="shared" si="5"/>
        <v>0</v>
      </c>
      <c r="W26" s="4">
        <f>SUMIFS('FCPIS B'!$R$6:$R$135,'FCPIS B'!$B$6:$B$135,'PIS B'!$A26,'FCPIS B'!$C$6:$C$135,'PIS B'!$B26)*1000</f>
        <v>0</v>
      </c>
      <c r="X26" s="4">
        <f t="shared" si="6"/>
        <v>0</v>
      </c>
    </row>
    <row r="27" spans="1:24">
      <c r="A27" s="6" t="s">
        <v>923</v>
      </c>
      <c r="B27" s="6" t="str">
        <f t="shared" si="0"/>
        <v>374</v>
      </c>
      <c r="C27" s="129" t="s">
        <v>27</v>
      </c>
      <c r="D27" s="4">
        <f>SUMIFS('FCPIS B'!$F$6:$F$135,'FCPIS B'!$B$6:$B$135,'PIS B'!$A27,'FCPIS B'!$C$6:$C$135,'PIS B'!$B27)*1000</f>
        <v>367963.87</v>
      </c>
      <c r="E27" s="13"/>
      <c r="F27" s="4">
        <f>SUMIFS('FCPIS B'!$S$138:$S$226,'FCPIS B'!$B$138:$B$226,'PIS B'!$A27,'FCPIS B'!$C$138:$C$226,'PIS B'!$B27)*1000</f>
        <v>0</v>
      </c>
      <c r="G27" s="13"/>
      <c r="H27" s="4">
        <f>SUMIFS('FCPIS B'!$S$229:$S$279,'FCPIS B'!$B$229:$B$279,'PIS B'!$A27,'FCPIS B'!$C$229:$C$279,'PIS B'!$B27)*-1000</f>
        <v>0</v>
      </c>
      <c r="I27" s="13"/>
      <c r="J27" s="4">
        <f>SUMIFS('FCPIS B'!$S$389:$S$410,'FCPIS B'!$B$389:$B$410,'PIS B'!$A27,'FCPIS B'!$C$389:$C$410,'PIS B'!$B27)*1000</f>
        <v>0</v>
      </c>
      <c r="K27" s="13"/>
      <c r="L27" s="4">
        <f t="shared" si="1"/>
        <v>0</v>
      </c>
      <c r="M27" s="13"/>
      <c r="N27" s="4">
        <f t="shared" si="2"/>
        <v>367963.87</v>
      </c>
      <c r="O27" s="13"/>
      <c r="P27" s="9">
        <f>SUMIFS('FCPIS B'!$R$282:$R$414,'FCPIS B'!$B$282:$B$414,'PIS B'!$A27,'FCPIS B'!$C$282:$C$414,'PIS B'!$B27)*-1000</f>
        <v>-56561.545066634499</v>
      </c>
      <c r="Q27" s="2"/>
      <c r="R27" s="9">
        <f t="shared" si="3"/>
        <v>311402.32493336551</v>
      </c>
      <c r="T27" s="9">
        <f t="shared" si="4"/>
        <v>0</v>
      </c>
      <c r="U27" s="13"/>
      <c r="V27" s="9">
        <f t="shared" si="5"/>
        <v>-56561.545066634499</v>
      </c>
      <c r="W27" s="4">
        <f>SUMIFS('FCPIS B'!$R$6:$R$135,'FCPIS B'!$B$6:$B$135,'PIS B'!$A27,'FCPIS B'!$C$6:$C$135,'PIS B'!$B27)*1000</f>
        <v>367963.87</v>
      </c>
      <c r="X27" s="4">
        <f t="shared" si="6"/>
        <v>0</v>
      </c>
    </row>
    <row r="28" spans="1:24">
      <c r="A28" s="6" t="s">
        <v>923</v>
      </c>
      <c r="C28" s="782" t="s">
        <v>878</v>
      </c>
      <c r="D28" s="130">
        <f>SUMIFS('FCPIS B'!$F$6:$F$135,'FCPIS B'!$B$6:$B$135,'PIS B'!$A28,'FCPIS B'!$C$6:$C$135,'PIS B'!$B28)*1000</f>
        <v>0</v>
      </c>
      <c r="E28" s="130"/>
      <c r="F28" s="130">
        <f>SUMIFS('FCPIS B'!$S$138:$S$226,'FCPIS B'!$B$138:$B$226,'PIS B'!$A28,'FCPIS B'!$C$138:$C$226,'PIS B'!$B28)*1000</f>
        <v>0</v>
      </c>
      <c r="G28" s="130"/>
      <c r="H28" s="130">
        <f>SUMIFS('FCPIS B'!$S$229:$S$279,'FCPIS B'!$B$229:$B$279,'PIS B'!$A28,'FCPIS B'!$C$229:$C$279,'PIS B'!$B28)*-1000</f>
        <v>0</v>
      </c>
      <c r="I28" s="130"/>
      <c r="J28" s="130">
        <f>SUMIFS('FCPIS B'!$S$389:$S$410,'FCPIS B'!$B$389:$B$410,'PIS B'!$A28,'FCPIS B'!$C$389:$C$410,'PIS B'!$B28)*1000</f>
        <v>0</v>
      </c>
      <c r="K28" s="130"/>
      <c r="L28" s="130">
        <f t="shared" si="1"/>
        <v>0</v>
      </c>
      <c r="M28" s="130"/>
      <c r="N28" s="130">
        <f t="shared" si="2"/>
        <v>0</v>
      </c>
      <c r="O28" s="129"/>
      <c r="P28" s="783">
        <f>SUMIFS('FCPIS B'!$R$282:$R$414,'FCPIS B'!$B$282:$B$414,'PIS B'!$A28,'FCPIS B'!$C$282:$C$414,'PIS B'!$B28)*-1000</f>
        <v>0</v>
      </c>
      <c r="Q28" s="129"/>
      <c r="R28" s="783">
        <f t="shared" si="3"/>
        <v>0</v>
      </c>
      <c r="S28" s="129"/>
      <c r="T28" s="783">
        <f t="shared" si="4"/>
        <v>0</v>
      </c>
      <c r="U28" s="2"/>
      <c r="V28" s="9">
        <f t="shared" si="5"/>
        <v>0</v>
      </c>
      <c r="W28" s="4">
        <f>SUMIFS('FCPIS B'!$R$6:$R$135,'FCPIS B'!$B$6:$B$135,'PIS B'!$A28,'FCPIS B'!$C$6:$C$135,'PIS B'!$B28)*1000</f>
        <v>0</v>
      </c>
      <c r="X28" s="4">
        <f t="shared" si="6"/>
        <v>0</v>
      </c>
    </row>
    <row r="29" spans="1:24">
      <c r="A29" s="6" t="s">
        <v>923</v>
      </c>
      <c r="D29" s="784">
        <f>SUM(D11:D28)</f>
        <v>1370549922.23</v>
      </c>
      <c r="E29" s="130"/>
      <c r="F29" s="784">
        <f>SUM(F11:F28)</f>
        <v>104120864.74999997</v>
      </c>
      <c r="G29" s="130"/>
      <c r="H29" s="784">
        <f>SUM(H11:H28)</f>
        <v>-4680634.0799999991</v>
      </c>
      <c r="I29" s="130"/>
      <c r="J29" s="784">
        <f>SUM(J11:J28)</f>
        <v>-485287</v>
      </c>
      <c r="K29" s="130"/>
      <c r="L29" s="784">
        <f>SUM(L11:L28)</f>
        <v>98954943.669999957</v>
      </c>
      <c r="M29" s="130"/>
      <c r="N29" s="784">
        <f>SUM(N11:N28)</f>
        <v>1469504865.8999996</v>
      </c>
      <c r="O29" s="129"/>
      <c r="P29" s="784">
        <f>SUM(P11:P28)</f>
        <v>-534621713.29788929</v>
      </c>
      <c r="Q29" s="129"/>
      <c r="R29" s="784">
        <f>SUM(R11:R28)</f>
        <v>934883152.60211074</v>
      </c>
      <c r="S29" s="129"/>
      <c r="T29" s="784">
        <f>'FC CWIP &amp; RWIP B'!P24*1000</f>
        <v>79751.4000000003</v>
      </c>
      <c r="U29" s="2"/>
      <c r="V29" s="784">
        <f t="shared" si="5"/>
        <v>-534541961.89788932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49" si="13">MID(C32,2,3)</f>
        <v>392</v>
      </c>
      <c r="C32" s="129" t="s">
        <v>29</v>
      </c>
      <c r="D32" s="130">
        <f>SUMIFS('FCPIS B'!$F$6:$F$135,'FCPIS B'!$B$6:$B$135,'PIS B'!$A32,'FCPIS B'!$C$6:$C$135,'PIS B'!$B32)*1000</f>
        <v>6068369.27999999</v>
      </c>
      <c r="E32" s="130"/>
      <c r="F32" s="130">
        <f>SUMIFS('FCPIS B'!$S$138:$S$226,'FCPIS B'!$B$138:$B$226,'PIS B'!$A32,'FCPIS B'!$C$138:$C$226,'PIS B'!$B32)*1000</f>
        <v>1237768.7799999998</v>
      </c>
      <c r="G32" s="130"/>
      <c r="H32" s="130">
        <f>SUMIFS('FCPIS B'!$S$229:$S$279,'FCPIS B'!$B$229:$B$279,'PIS B'!$A32,'FCPIS B'!$C$229:$C$279,'PIS B'!$B32)*-1000</f>
        <v>-171605.62000000002</v>
      </c>
      <c r="I32" s="130"/>
      <c r="J32" s="130">
        <f>SUMIFS('FCPIS B'!$S$389:$S$410,'FCPIS B'!$B$389:$B$410,'PIS B'!$A32,'FCPIS B'!$C$389:$C$410,'PIS B'!$B32)*1000</f>
        <v>0</v>
      </c>
      <c r="K32" s="130"/>
      <c r="L32" s="130">
        <f t="shared" ref="L32:L38" si="14">SUM(F32:J32)</f>
        <v>1066163.1599999997</v>
      </c>
      <c r="M32" s="130"/>
      <c r="N32" s="785">
        <f t="shared" ref="N32:N38" si="15">D32+L32</f>
        <v>7134532.4399999902</v>
      </c>
      <c r="O32" s="129"/>
      <c r="P32" s="786">
        <f>SUMIFS('FCPIS B'!$R$282:$R$414,'FCPIS B'!$B$282:$B$414,'PIS B'!$A32,'FCPIS B'!$C$282:$C$414,'PIS B'!$B32)*-1000</f>
        <v>-3099657.5875319997</v>
      </c>
      <c r="Q32" s="129"/>
      <c r="R32" s="786">
        <f t="shared" ref="R32:R38" si="16">SUM(N32:P32)</f>
        <v>4034874.8524679905</v>
      </c>
      <c r="S32" s="129"/>
      <c r="T32" s="9"/>
      <c r="U32" s="2"/>
      <c r="V32" s="9">
        <f t="shared" ref="V32:V49" si="17">P32+T32</f>
        <v>-3099657.5875319997</v>
      </c>
      <c r="W32" s="4">
        <f>SUMIFS('FCPIS B'!$R$6:$R$135,'FCPIS B'!$B$6:$B$135,'PIS B'!$A32,'FCPIS B'!$C$6:$C$135,'PIS B'!$B32)*1000</f>
        <v>7134532.4400000004</v>
      </c>
      <c r="X32" s="4">
        <f t="shared" ref="X32:X76" si="18">W32-N32</f>
        <v>1.0244548320770264E-8</v>
      </c>
    </row>
    <row r="33" spans="1:24">
      <c r="A33" s="6" t="s">
        <v>923</v>
      </c>
      <c r="C33" s="129" t="s">
        <v>880</v>
      </c>
      <c r="D33" s="130">
        <f>SUMIFS('FCPIS B'!$F$6:$F$135,'FCPIS B'!$B$6:$B$135,'PIS B'!$A33,'FCPIS B'!$C$6:$C$135,'PIS B'!$B33)*1000</f>
        <v>0</v>
      </c>
      <c r="E33" s="130"/>
      <c r="F33" s="130">
        <f>SUMIFS('FCPIS B'!$S$138:$S$226,'FCPIS B'!$B$138:$B$226,'PIS B'!$A33,'FCPIS B'!$C$138:$C$226,'PIS B'!$B33)*1000</f>
        <v>0</v>
      </c>
      <c r="G33" s="130"/>
      <c r="H33" s="130">
        <f>SUMIFS('FCPIS B'!$S$229:$S$279,'FCPIS B'!$B$229:$B$279,'PIS B'!$A33,'FCPIS B'!$C$229:$C$279,'PIS B'!$B33)*-1000</f>
        <v>0</v>
      </c>
      <c r="I33" s="130"/>
      <c r="J33" s="130">
        <f>SUMIFS('FCPIS B'!$S$389:$S$410,'FCPIS B'!$B$389:$B$410,'PIS B'!$A33,'FCPIS B'!$C$389:$C$410,'PIS B'!$B33)*1000</f>
        <v>0</v>
      </c>
      <c r="K33" s="130"/>
      <c r="L33" s="130">
        <f t="shared" si="14"/>
        <v>0</v>
      </c>
      <c r="M33" s="130"/>
      <c r="N33" s="785">
        <f t="shared" si="15"/>
        <v>0</v>
      </c>
      <c r="O33" s="129"/>
      <c r="P33" s="786">
        <f>SUMIFS('FCPIS B'!$R$282:$R$414,'FCPIS B'!$B$282:$B$414,'PIS B'!$A33,'FCPIS B'!$C$282:$C$414,'PIS B'!$B33)*-1000</f>
        <v>0</v>
      </c>
      <c r="Q33" s="129"/>
      <c r="R33" s="786">
        <f t="shared" si="16"/>
        <v>0</v>
      </c>
      <c r="S33" s="129"/>
      <c r="T33" s="9"/>
      <c r="U33" s="2"/>
      <c r="V33" s="9">
        <f t="shared" si="17"/>
        <v>0</v>
      </c>
      <c r="W33" s="4">
        <f>SUMIFS('FCPIS B'!$R$6:$R$135,'FCPIS B'!$B$6:$B$135,'PIS B'!$A33,'FCPIS B'!$C$6:$C$135,'PIS B'!$B33)*1000</f>
        <v>0</v>
      </c>
      <c r="X33" s="4">
        <f t="shared" si="18"/>
        <v>0</v>
      </c>
    </row>
    <row r="34" spans="1:24">
      <c r="A34" s="6" t="s">
        <v>923</v>
      </c>
      <c r="B34" s="6" t="str">
        <f t="shared" si="13"/>
        <v>394</v>
      </c>
      <c r="C34" s="129" t="s">
        <v>30</v>
      </c>
      <c r="D34" s="130">
        <f>SUMIFS('FCPIS B'!$F$6:$F$135,'FCPIS B'!$B$6:$B$135,'PIS B'!$A34,'FCPIS B'!$C$6:$C$135,'PIS B'!$B34)*1000</f>
        <v>6291795.1100000003</v>
      </c>
      <c r="E34" s="130"/>
      <c r="F34" s="130">
        <f>SUMIFS('FCPIS B'!$S$138:$S$226,'FCPIS B'!$B$138:$B$226,'PIS B'!$A34,'FCPIS B'!$C$138:$C$226,'PIS B'!$B34)*1000</f>
        <v>660118.12</v>
      </c>
      <c r="G34" s="130"/>
      <c r="H34" s="130">
        <f>SUMIFS('FCPIS B'!$S$229:$S$279,'FCPIS B'!$B$229:$B$279,'PIS B'!$A34,'FCPIS B'!$C$229:$C$279,'PIS B'!$B34)*-1000</f>
        <v>-165890.03</v>
      </c>
      <c r="I34" s="130"/>
      <c r="J34" s="130">
        <f>SUMIFS('FCPIS B'!$S$389:$S$410,'FCPIS B'!$B$389:$B$410,'PIS B'!$A34,'FCPIS B'!$C$389:$C$410,'PIS B'!$B34)*1000</f>
        <v>0</v>
      </c>
      <c r="K34" s="130"/>
      <c r="L34" s="130">
        <f t="shared" si="14"/>
        <v>494228.08999999997</v>
      </c>
      <c r="M34" s="130"/>
      <c r="N34" s="785">
        <f t="shared" si="15"/>
        <v>6786023.2000000002</v>
      </c>
      <c r="O34" s="129"/>
      <c r="P34" s="786">
        <f>SUMIFS('FCPIS B'!$R$282:$R$414,'FCPIS B'!$B$282:$B$414,'PIS B'!$A34,'FCPIS B'!$C$282:$C$414,'PIS B'!$B34)*-1000</f>
        <v>-2757293.0065499898</v>
      </c>
      <c r="Q34" s="129"/>
      <c r="R34" s="786">
        <f t="shared" si="16"/>
        <v>4028730.1934500104</v>
      </c>
      <c r="S34" s="129"/>
      <c r="T34" s="9"/>
      <c r="U34" s="2"/>
      <c r="V34" s="9">
        <f t="shared" si="17"/>
        <v>-2757293.0065499898</v>
      </c>
      <c r="W34" s="4">
        <f>SUMIFS('FCPIS B'!$R$6:$R$135,'FCPIS B'!$B$6:$B$135,'PIS B'!$A34,'FCPIS B'!$C$6:$C$135,'PIS B'!$B34)*1000</f>
        <v>6786023.1999999993</v>
      </c>
      <c r="X34" s="4">
        <f t="shared" si="18"/>
        <v>0</v>
      </c>
    </row>
    <row r="35" spans="1:24">
      <c r="A35" s="6" t="s">
        <v>923</v>
      </c>
      <c r="B35" s="6" t="str">
        <f t="shared" si="13"/>
        <v>395</v>
      </c>
      <c r="C35" s="129" t="s">
        <v>31</v>
      </c>
      <c r="D35" s="130">
        <f>SUMIFS('FCPIS B'!$F$6:$F$135,'FCPIS B'!$B$6:$B$135,'PIS B'!$A35,'FCPIS B'!$C$6:$C$135,'PIS B'!$B35)*1000</f>
        <v>0</v>
      </c>
      <c r="E35" s="130"/>
      <c r="F35" s="130">
        <f>SUMIFS('FCPIS B'!$S$138:$S$226,'FCPIS B'!$B$138:$B$226,'PIS B'!$A35,'FCPIS B'!$C$138:$C$226,'PIS B'!$B35)*1000</f>
        <v>0</v>
      </c>
      <c r="G35" s="130"/>
      <c r="H35" s="130">
        <f>SUMIFS('FCPIS B'!$S$229:$S$279,'FCPIS B'!$B$229:$B$279,'PIS B'!$A35,'FCPIS B'!$C$229:$C$279,'PIS B'!$B35)*-1000</f>
        <v>0</v>
      </c>
      <c r="I35" s="130"/>
      <c r="J35" s="130">
        <f>SUMIFS('FCPIS B'!$S$389:$S$410,'FCPIS B'!$B$389:$B$410,'PIS B'!$A35,'FCPIS B'!$C$389:$C$410,'PIS B'!$B35)*1000</f>
        <v>0</v>
      </c>
      <c r="K35" s="130"/>
      <c r="L35" s="130">
        <f t="shared" si="14"/>
        <v>0</v>
      </c>
      <c r="M35" s="130"/>
      <c r="N35" s="785">
        <f t="shared" si="15"/>
        <v>0</v>
      </c>
      <c r="O35" s="129"/>
      <c r="P35" s="786">
        <f>SUMIFS('FCPIS B'!$R$282:$R$414,'FCPIS B'!$B$282:$B$414,'PIS B'!$A35,'FCPIS B'!$C$282:$C$414,'PIS B'!$B35)*-1000</f>
        <v>0</v>
      </c>
      <c r="Q35" s="129"/>
      <c r="R35" s="786">
        <f t="shared" si="16"/>
        <v>0</v>
      </c>
      <c r="S35" s="129"/>
      <c r="T35" s="9"/>
      <c r="U35" s="2"/>
      <c r="V35" s="9">
        <f t="shared" si="17"/>
        <v>0</v>
      </c>
      <c r="W35" s="4">
        <f>SUMIFS('FCPIS B'!$R$6:$R$135,'FCPIS B'!$B$6:$B$135,'PIS B'!$A35,'FCPIS B'!$C$6:$C$135,'PIS B'!$B35)*1000</f>
        <v>0</v>
      </c>
      <c r="X35" s="4">
        <f t="shared" si="18"/>
        <v>0</v>
      </c>
    </row>
    <row r="36" spans="1:24">
      <c r="A36" s="6" t="s">
        <v>923</v>
      </c>
      <c r="B36" s="6" t="str">
        <f t="shared" si="13"/>
        <v>396</v>
      </c>
      <c r="C36" s="129" t="s">
        <v>881</v>
      </c>
      <c r="D36" s="130">
        <f>SUMIFS('FCPIS B'!$F$6:$F$135,'FCPIS B'!$B$6:$B$135,'PIS B'!$A36,'FCPIS B'!$C$6:$C$135,'PIS B'!$B36)*1000</f>
        <v>1999074.949999999</v>
      </c>
      <c r="E36" s="130"/>
      <c r="F36" s="130">
        <f>SUMIFS('FCPIS B'!$S$138:$S$226,'FCPIS B'!$B$138:$B$226,'PIS B'!$A36,'FCPIS B'!$C$138:$C$226,'PIS B'!$B36)*1000</f>
        <v>85107.4</v>
      </c>
      <c r="G36" s="130"/>
      <c r="H36" s="130">
        <f>SUMIFS('FCPIS B'!$S$229:$S$279,'FCPIS B'!$B$229:$B$279,'PIS B'!$A36,'FCPIS B'!$C$229:$C$279,'PIS B'!$B36)*-1000</f>
        <v>0</v>
      </c>
      <c r="I36" s="130"/>
      <c r="J36" s="130">
        <f>SUMIFS('FCPIS B'!$S$389:$S$410,'FCPIS B'!$B$389:$B$410,'PIS B'!$A36,'FCPIS B'!$C$389:$C$410,'PIS B'!$B36)*1000</f>
        <v>0</v>
      </c>
      <c r="K36" s="130"/>
      <c r="L36" s="130">
        <f t="shared" si="14"/>
        <v>85107.4</v>
      </c>
      <c r="M36" s="130"/>
      <c r="N36" s="785">
        <f t="shared" si="15"/>
        <v>2084182.3499999989</v>
      </c>
      <c r="O36" s="129"/>
      <c r="P36" s="786">
        <f>SUMIFS('FCPIS B'!$R$282:$R$414,'FCPIS B'!$B$282:$B$414,'PIS B'!$A36,'FCPIS B'!$C$282:$C$414,'PIS B'!$B36)*-1000</f>
        <v>-1606637.9290903001</v>
      </c>
      <c r="Q36" s="129"/>
      <c r="R36" s="786">
        <f t="shared" si="16"/>
        <v>477544.42090969882</v>
      </c>
      <c r="S36" s="129"/>
      <c r="T36" s="9"/>
      <c r="U36" s="2"/>
      <c r="V36" s="9">
        <f t="shared" si="17"/>
        <v>-1606637.9290903001</v>
      </c>
      <c r="W36" s="4">
        <f>SUMIFS('FCPIS B'!$R$6:$R$135,'FCPIS B'!$B$6:$B$135,'PIS B'!$A36,'FCPIS B'!$C$6:$C$135,'PIS B'!$B36)*1000</f>
        <v>2084182.35</v>
      </c>
      <c r="X36" s="4">
        <f t="shared" si="18"/>
        <v>0</v>
      </c>
    </row>
    <row r="37" spans="1:24">
      <c r="A37" s="6" t="s">
        <v>923</v>
      </c>
      <c r="C37" s="129" t="s">
        <v>882</v>
      </c>
      <c r="D37" s="130">
        <f>SUMIFS('FCPIS B'!$F$6:$F$135,'FCPIS B'!$B$6:$B$135,'PIS B'!$A37,'FCPIS B'!$C$6:$C$135,'PIS B'!$B37)*1000</f>
        <v>0</v>
      </c>
      <c r="E37" s="130"/>
      <c r="F37" s="130">
        <f>SUMIFS('FCPIS B'!$S$138:$S$226,'FCPIS B'!$B$138:$B$226,'PIS B'!$A37,'FCPIS B'!$C$138:$C$226,'PIS B'!$B37)*1000</f>
        <v>0</v>
      </c>
      <c r="G37" s="130"/>
      <c r="H37" s="130">
        <f>SUMIFS('FCPIS B'!$S$229:$S$279,'FCPIS B'!$B$229:$B$279,'PIS B'!$A37,'FCPIS B'!$C$229:$C$279,'PIS B'!$B37)*-1000</f>
        <v>0</v>
      </c>
      <c r="I37" s="130"/>
      <c r="J37" s="130">
        <f>SUMIFS('FCPIS B'!$S$389:$S$410,'FCPIS B'!$B$389:$B$410,'PIS B'!$A37,'FCPIS B'!$C$389:$C$410,'PIS B'!$B37)*1000</f>
        <v>0</v>
      </c>
      <c r="K37" s="130"/>
      <c r="L37" s="130">
        <f t="shared" si="14"/>
        <v>0</v>
      </c>
      <c r="M37" s="130"/>
      <c r="N37" s="130">
        <f t="shared" si="15"/>
        <v>0</v>
      </c>
      <c r="O37" s="787"/>
      <c r="P37" s="783">
        <f>SUMIFS('FCPIS B'!$R$282:$R$414,'FCPIS B'!$B$282:$B$414,'PIS B'!$A37,'FCPIS B'!$C$282:$C$414,'PIS B'!$B37)*-1000</f>
        <v>0</v>
      </c>
      <c r="Q37" s="787"/>
      <c r="R37" s="783">
        <f t="shared" si="16"/>
        <v>0</v>
      </c>
      <c r="S37" s="129"/>
      <c r="T37" s="9"/>
      <c r="U37" s="2"/>
      <c r="V37" s="9">
        <f t="shared" si="17"/>
        <v>0</v>
      </c>
      <c r="W37" s="4">
        <f>SUMIFS('FCPIS B'!$R$6:$R$135,'FCPIS B'!$B$6:$B$135,'PIS B'!$A37,'FCPIS B'!$C$6:$C$135,'PIS B'!$B37)*1000</f>
        <v>0</v>
      </c>
      <c r="X37" s="4">
        <f t="shared" si="18"/>
        <v>0</v>
      </c>
    </row>
    <row r="38" spans="1:24">
      <c r="A38" s="6" t="s">
        <v>923</v>
      </c>
      <c r="B38" s="6" t="str">
        <f t="shared" si="13"/>
        <v>397</v>
      </c>
      <c r="C38" s="782" t="s">
        <v>32</v>
      </c>
      <c r="D38" s="130">
        <f>SUMIFS('FCPIS B'!$F$6:$F$135,'FCPIS B'!$B$6:$B$135,'PIS B'!$A38,'FCPIS B'!$C$6:$C$135,'PIS B'!$B38)*1000</f>
        <v>6852292.7400000002</v>
      </c>
      <c r="E38" s="130"/>
      <c r="F38" s="130">
        <f>SUMIFS('FCPIS B'!$S$138:$S$226,'FCPIS B'!$B$138:$B$226,'PIS B'!$A38,'FCPIS B'!$C$138:$C$226,'PIS B'!$B38)*1000</f>
        <v>125794.12999999999</v>
      </c>
      <c r="G38" s="130"/>
      <c r="H38" s="130">
        <f>SUMIFS('FCPIS B'!$S$229:$S$279,'FCPIS B'!$B$229:$B$279,'PIS B'!$A38,'FCPIS B'!$C$229:$C$279,'PIS B'!$B38)*-1000</f>
        <v>0</v>
      </c>
      <c r="I38" s="130"/>
      <c r="J38" s="130">
        <f>SUMIFS('FCPIS B'!$S$389:$S$410,'FCPIS B'!$B$389:$B$410,'PIS B'!$A38,'FCPIS B'!$C$389:$C$410,'PIS B'!$B38)*1000</f>
        <v>0</v>
      </c>
      <c r="K38" s="130"/>
      <c r="L38" s="130">
        <f t="shared" si="14"/>
        <v>125794.12999999999</v>
      </c>
      <c r="M38" s="130"/>
      <c r="N38" s="130">
        <f t="shared" si="15"/>
        <v>6978086.8700000001</v>
      </c>
      <c r="O38" s="129"/>
      <c r="P38" s="783">
        <f>SUMIFS('FCPIS B'!$R$282:$R$414,'FCPIS B'!$B$282:$B$414,'PIS B'!$A38,'FCPIS B'!$C$282:$C$414,'PIS B'!$B38)*-1000</f>
        <v>-3355547.98489</v>
      </c>
      <c r="Q38" s="129"/>
      <c r="R38" s="783">
        <f t="shared" si="16"/>
        <v>3622538.8851100001</v>
      </c>
      <c r="S38" s="129"/>
      <c r="T38" s="9"/>
      <c r="U38" s="2"/>
      <c r="V38" s="9">
        <f t="shared" si="17"/>
        <v>-3355547.98489</v>
      </c>
      <c r="W38" s="4">
        <f>SUMIFS('FCPIS B'!$R$6:$R$135,'FCPIS B'!$B$6:$B$135,'PIS B'!$A38,'FCPIS B'!$C$6:$C$135,'PIS B'!$B38)*1000</f>
        <v>6978086.8700000001</v>
      </c>
      <c r="X38" s="4">
        <f t="shared" si="18"/>
        <v>0</v>
      </c>
    </row>
    <row r="39" spans="1:24">
      <c r="A39" s="6" t="s">
        <v>923</v>
      </c>
      <c r="B39" s="6" t="str">
        <f t="shared" si="13"/>
        <v/>
      </c>
      <c r="C39" s="129"/>
      <c r="D39" s="784">
        <f>SUM(D32:D38)</f>
        <v>21211532.079999991</v>
      </c>
      <c r="E39" s="130"/>
      <c r="F39" s="784">
        <f>SUM(F32:F38)</f>
        <v>2108788.4299999997</v>
      </c>
      <c r="G39" s="130"/>
      <c r="H39" s="784">
        <f>SUM(H32:H38)</f>
        <v>-337495.65</v>
      </c>
      <c r="I39" s="130"/>
      <c r="J39" s="784">
        <f>SUM(J32:J38)</f>
        <v>0</v>
      </c>
      <c r="K39" s="130"/>
      <c r="L39" s="784">
        <f>SUM(L32:L38)</f>
        <v>1771292.7799999993</v>
      </c>
      <c r="M39" s="130"/>
      <c r="N39" s="784">
        <f>SUM(N32:N38)</f>
        <v>22982824.859999988</v>
      </c>
      <c r="O39" s="129"/>
      <c r="P39" s="784">
        <f>SUM(P32:P38)</f>
        <v>-10819136.508062288</v>
      </c>
      <c r="Q39" s="129"/>
      <c r="R39" s="784">
        <f>SUM(R32:R38)</f>
        <v>12163688.3519377</v>
      </c>
      <c r="S39" s="129"/>
      <c r="T39" s="784">
        <f>'FC CWIP &amp; RWIP B'!P25*1000</f>
        <v>0</v>
      </c>
      <c r="U39" s="2"/>
      <c r="V39" s="784">
        <f t="shared" si="17"/>
        <v>-10819136.508062288</v>
      </c>
      <c r="W39" s="4"/>
      <c r="X39" s="4"/>
    </row>
    <row r="40" spans="1:24">
      <c r="A40" s="6" t="s">
        <v>923</v>
      </c>
      <c r="B40" s="6" t="str">
        <f t="shared" si="13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3"/>
        <v>330</v>
      </c>
      <c r="C42" s="129" t="s">
        <v>884</v>
      </c>
      <c r="D42" s="4">
        <f>SUMIFS('FCPIS B'!$F$6:$F$135,'FCPIS B'!$B$6:$B$135,'PIS B'!$A42,'FCPIS B'!$C$6:$C$135,'PIS B'!$B42)*1000</f>
        <v>6.5</v>
      </c>
      <c r="E42" s="13"/>
      <c r="F42" s="4">
        <f>SUMIFS('FCPIS B'!$S$138:$S$226,'FCPIS B'!$B$138:$B$226,'PIS B'!$A42,'FCPIS B'!$C$138:$C$226,'PIS B'!$B42)*1000</f>
        <v>0</v>
      </c>
      <c r="G42" s="13"/>
      <c r="H42" s="4">
        <f>SUMIFS('FCPIS B'!$S$229:$S$279,'FCPIS B'!$B$229:$B$279,'PIS B'!$A42,'FCPIS B'!$C$229:$C$279,'PIS B'!$B42)*-1000</f>
        <v>0</v>
      </c>
      <c r="I42" s="13"/>
      <c r="J42" s="4">
        <f>SUMIFS('FCPIS B'!$S$389:$S$410,'FCPIS B'!$B$389:$B$410,'PIS B'!$A42,'FCPIS B'!$C$389:$C$410,'PIS B'!$B42)*1000</f>
        <v>0</v>
      </c>
      <c r="K42" s="13"/>
      <c r="L42" s="4">
        <f t="shared" ref="L42:L49" si="19">SUM(F42:J42)</f>
        <v>0</v>
      </c>
      <c r="M42" s="13"/>
      <c r="N42" s="4">
        <f t="shared" ref="N42:N49" si="20">D42+L42</f>
        <v>6.5</v>
      </c>
      <c r="O42" s="13"/>
      <c r="P42" s="9">
        <f>SUMIFS('FCPIS B'!$R$282:$R$414,'FCPIS B'!$B$282:$B$414,'PIS B'!$A42,'FCPIS B'!$C$282:$C$414,'PIS B'!$B42)*-1000</f>
        <v>0</v>
      </c>
      <c r="Q42" s="2"/>
      <c r="R42" s="9">
        <f t="shared" ref="R42:R49" si="21">SUM(N42:P42)</f>
        <v>6.5</v>
      </c>
      <c r="T42" s="9"/>
      <c r="U42" s="13"/>
      <c r="V42" s="9">
        <f t="shared" si="17"/>
        <v>0</v>
      </c>
      <c r="W42" s="4">
        <f>SUMIFS('FCPIS B'!$R$6:$R$135,'FCPIS B'!$B$6:$B$135,'PIS B'!$A42,'FCPIS B'!$C$6:$C$135,'PIS B'!$B42)*1000</f>
        <v>6.5</v>
      </c>
      <c r="X42" s="4">
        <f t="shared" si="18"/>
        <v>0</v>
      </c>
    </row>
    <row r="43" spans="1:24">
      <c r="A43" s="6" t="s">
        <v>923</v>
      </c>
      <c r="B43" s="6" t="str">
        <f t="shared" si="13"/>
        <v>331</v>
      </c>
      <c r="C43" s="129" t="s">
        <v>34</v>
      </c>
      <c r="D43" s="4">
        <f>SUMIFS('FCPIS B'!$F$6:$F$135,'FCPIS B'!$B$6:$B$135,'PIS B'!$A43,'FCPIS B'!$C$6:$C$135,'PIS B'!$B43)*1000</f>
        <v>12870708.210000001</v>
      </c>
      <c r="E43" s="13"/>
      <c r="F43" s="4">
        <f>SUMIFS('FCPIS B'!$S$138:$S$226,'FCPIS B'!$B$138:$B$226,'PIS B'!$A43,'FCPIS B'!$C$138:$C$226,'PIS B'!$B43)*1000</f>
        <v>-23.589999999998668</v>
      </c>
      <c r="G43" s="13"/>
      <c r="H43" s="4">
        <f>SUMIFS('FCPIS B'!$S$229:$S$279,'FCPIS B'!$B$229:$B$279,'PIS B'!$A43,'FCPIS B'!$C$229:$C$279,'PIS B'!$B43)*-1000</f>
        <v>0</v>
      </c>
      <c r="I43" s="13"/>
      <c r="J43" s="4">
        <f>SUMIFS('FCPIS B'!$S$389:$S$410,'FCPIS B'!$B$389:$B$410,'PIS B'!$A43,'FCPIS B'!$C$389:$C$410,'PIS B'!$B43)*1000</f>
        <v>0</v>
      </c>
      <c r="K43" s="13"/>
      <c r="L43" s="4">
        <f t="shared" si="19"/>
        <v>-23.589999999998668</v>
      </c>
      <c r="M43" s="13"/>
      <c r="N43" s="4">
        <f t="shared" si="20"/>
        <v>12870684.620000001</v>
      </c>
      <c r="O43" s="13"/>
      <c r="P43" s="9">
        <f>SUMIFS('FCPIS B'!$R$282:$R$414,'FCPIS B'!$B$282:$B$414,'PIS B'!$A43,'FCPIS B'!$C$282:$C$414,'PIS B'!$B43)*-1000</f>
        <v>-4606774.26088457</v>
      </c>
      <c r="Q43" s="2"/>
      <c r="R43" s="9">
        <f t="shared" si="21"/>
        <v>8263910.3591154311</v>
      </c>
      <c r="T43" s="9">
        <f>F43/(F$50-F$42)*T$50</f>
        <v>-2.0878756148362328E-15</v>
      </c>
      <c r="U43" s="13"/>
      <c r="V43" s="9">
        <f t="shared" si="17"/>
        <v>-4606774.26088457</v>
      </c>
      <c r="W43" s="4">
        <f>SUMIFS('FCPIS B'!$R$6:$R$135,'FCPIS B'!$B$6:$B$135,'PIS B'!$A43,'FCPIS B'!$C$6:$C$135,'PIS B'!$B43)*1000</f>
        <v>12870684.619999999</v>
      </c>
      <c r="X43" s="4">
        <f t="shared" si="18"/>
        <v>0</v>
      </c>
    </row>
    <row r="44" spans="1:24">
      <c r="A44" s="6" t="s">
        <v>923</v>
      </c>
      <c r="B44" s="6" t="str">
        <f t="shared" si="13"/>
        <v>332</v>
      </c>
      <c r="C44" s="129" t="s">
        <v>35</v>
      </c>
      <c r="D44" s="4">
        <f>SUMIFS('FCPIS B'!$F$6:$F$135,'FCPIS B'!$B$6:$B$135,'PIS B'!$A44,'FCPIS B'!$C$6:$C$135,'PIS B'!$B44)*1000</f>
        <v>24492839.420000002</v>
      </c>
      <c r="E44" s="13"/>
      <c r="F44" s="4">
        <f>SUMIFS('FCPIS B'!$S$138:$S$226,'FCPIS B'!$B$138:$B$226,'PIS B'!$A44,'FCPIS B'!$C$138:$C$226,'PIS B'!$B44)*1000</f>
        <v>1717007.89</v>
      </c>
      <c r="G44" s="13"/>
      <c r="H44" s="4">
        <f>SUMIFS('FCPIS B'!$S$229:$S$279,'FCPIS B'!$B$229:$B$279,'PIS B'!$A44,'FCPIS B'!$C$229:$C$279,'PIS B'!$B44)*-1000</f>
        <v>0</v>
      </c>
      <c r="I44" s="13"/>
      <c r="J44" s="4">
        <f>SUMIFS('FCPIS B'!$S$389:$S$410,'FCPIS B'!$B$389:$B$410,'PIS B'!$A44,'FCPIS B'!$C$389:$C$410,'PIS B'!$B44)*1000</f>
        <v>0</v>
      </c>
      <c r="K44" s="13"/>
      <c r="L44" s="4">
        <f t="shared" si="19"/>
        <v>1717007.89</v>
      </c>
      <c r="M44" s="13"/>
      <c r="N44" s="4">
        <f t="shared" si="20"/>
        <v>26209847.310000002</v>
      </c>
      <c r="O44" s="13"/>
      <c r="P44" s="9">
        <f>SUMIFS('FCPIS B'!$R$282:$R$414,'FCPIS B'!$B$282:$B$414,'PIS B'!$A44,'FCPIS B'!$C$282:$C$414,'PIS B'!$B44)*-1000</f>
        <v>-3956388.2905812003</v>
      </c>
      <c r="Q44" s="2"/>
      <c r="R44" s="9">
        <f t="shared" si="21"/>
        <v>22253459.019418802</v>
      </c>
      <c r="T44" s="9">
        <f t="shared" ref="T44:T49" si="22">F44/(F$50-F$42)*T$50</f>
        <v>1.5196688868217955E-10</v>
      </c>
      <c r="U44" s="13"/>
      <c r="V44" s="9">
        <f t="shared" si="17"/>
        <v>-3956388.2905812003</v>
      </c>
      <c r="W44" s="4">
        <f>SUMIFS('FCPIS B'!$R$6:$R$135,'FCPIS B'!$B$6:$B$135,'PIS B'!$A44,'FCPIS B'!$C$6:$C$135,'PIS B'!$B44)*1000</f>
        <v>26209847.310000002</v>
      </c>
      <c r="X44" s="4">
        <f t="shared" si="18"/>
        <v>0</v>
      </c>
    </row>
    <row r="45" spans="1:24">
      <c r="A45" s="6" t="s">
        <v>923</v>
      </c>
      <c r="B45" s="6" t="str">
        <f t="shared" si="13"/>
        <v>333</v>
      </c>
      <c r="C45" s="129" t="s">
        <v>36</v>
      </c>
      <c r="D45" s="4">
        <f>SUMIFS('FCPIS B'!$F$6:$F$135,'FCPIS B'!$B$6:$B$135,'PIS B'!$A45,'FCPIS B'!$C$6:$C$135,'PIS B'!$B45)*1000</f>
        <v>91627246.079999998</v>
      </c>
      <c r="E45" s="13"/>
      <c r="F45" s="4">
        <f>SUMIFS('FCPIS B'!$S$138:$S$226,'FCPIS B'!$B$138:$B$226,'PIS B'!$A45,'FCPIS B'!$C$138:$C$226,'PIS B'!$B45)*1000</f>
        <v>10899715.45999999</v>
      </c>
      <c r="G45" s="13"/>
      <c r="H45" s="4">
        <f>SUMIFS('FCPIS B'!$S$229:$S$279,'FCPIS B'!$B$229:$B$279,'PIS B'!$A45,'FCPIS B'!$C$229:$C$279,'PIS B'!$B45)*-1000</f>
        <v>-606513.34</v>
      </c>
      <c r="I45" s="13"/>
      <c r="J45" s="4">
        <f>SUMIFS('FCPIS B'!$S$389:$S$410,'FCPIS B'!$B$389:$B$410,'PIS B'!$A45,'FCPIS B'!$C$389:$C$410,'PIS B'!$B45)*1000</f>
        <v>0</v>
      </c>
      <c r="K45" s="13"/>
      <c r="L45" s="4">
        <f t="shared" si="19"/>
        <v>10293202.11999999</v>
      </c>
      <c r="M45" s="13"/>
      <c r="N45" s="4">
        <f t="shared" si="20"/>
        <v>101920448.19999999</v>
      </c>
      <c r="O45" s="13"/>
      <c r="P45" s="9">
        <f>SUMIFS('FCPIS B'!$R$282:$R$414,'FCPIS B'!$B$282:$B$414,'PIS B'!$A45,'FCPIS B'!$C$282:$C$414,'PIS B'!$B45)*-1000</f>
        <v>-4334271.6073419899</v>
      </c>
      <c r="Q45" s="2"/>
      <c r="R45" s="9">
        <f t="shared" si="21"/>
        <v>97586176.592657998</v>
      </c>
      <c r="T45" s="9">
        <f t="shared" si="22"/>
        <v>9.6469902999528446E-10</v>
      </c>
      <c r="U45" s="13"/>
      <c r="V45" s="9">
        <f t="shared" si="17"/>
        <v>-4334271.6073419889</v>
      </c>
      <c r="W45" s="4">
        <f>SUMIFS('FCPIS B'!$R$6:$R$135,'FCPIS B'!$B$6:$B$135,'PIS B'!$A45,'FCPIS B'!$C$6:$C$135,'PIS B'!$B45)*1000</f>
        <v>101920448.2</v>
      </c>
      <c r="X45" s="4">
        <f t="shared" si="18"/>
        <v>0</v>
      </c>
    </row>
    <row r="46" spans="1:24">
      <c r="A46" s="6" t="s">
        <v>923</v>
      </c>
      <c r="B46" s="6" t="str">
        <f t="shared" si="13"/>
        <v>334</v>
      </c>
      <c r="C46" s="129" t="s">
        <v>37</v>
      </c>
      <c r="D46" s="4">
        <f>SUMIFS('FCPIS B'!$F$6:$F$135,'FCPIS B'!$B$6:$B$135,'PIS B'!$A46,'FCPIS B'!$C$6:$C$135,'PIS B'!$B46)*1000</f>
        <v>13070389.689999999</v>
      </c>
      <c r="E46" s="13"/>
      <c r="F46" s="4">
        <f>SUMIFS('FCPIS B'!$S$138:$S$226,'FCPIS B'!$B$138:$B$226,'PIS B'!$A46,'FCPIS B'!$C$138:$C$226,'PIS B'!$B46)*1000</f>
        <v>90887.389999998995</v>
      </c>
      <c r="G46" s="13"/>
      <c r="H46" s="4">
        <f>SUMIFS('FCPIS B'!$S$229:$S$279,'FCPIS B'!$B$229:$B$279,'PIS B'!$A46,'FCPIS B'!$C$229:$C$279,'PIS B'!$B46)*-1000</f>
        <v>-953.4</v>
      </c>
      <c r="I46" s="13"/>
      <c r="J46" s="4">
        <f>SUMIFS('FCPIS B'!$S$389:$S$410,'FCPIS B'!$B$389:$B$410,'PIS B'!$A46,'FCPIS B'!$C$389:$C$410,'PIS B'!$B46)*1000</f>
        <v>0</v>
      </c>
      <c r="K46" s="13"/>
      <c r="L46" s="4">
        <f t="shared" si="19"/>
        <v>89933.989999999001</v>
      </c>
      <c r="M46" s="13"/>
      <c r="N46" s="4">
        <f t="shared" si="20"/>
        <v>13160323.679999998</v>
      </c>
      <c r="O46" s="13"/>
      <c r="P46" s="9">
        <f>SUMIFS('FCPIS B'!$R$282:$R$414,'FCPIS B'!$B$282:$B$414,'PIS B'!$A46,'FCPIS B'!$C$282:$C$414,'PIS B'!$B46)*-1000</f>
        <v>-3295849.3079999997</v>
      </c>
      <c r="Q46" s="2"/>
      <c r="R46" s="9">
        <f t="shared" si="21"/>
        <v>9864474.3719999976</v>
      </c>
      <c r="T46" s="9">
        <f t="shared" si="22"/>
        <v>8.0441528307384098E-12</v>
      </c>
      <c r="U46" s="13"/>
      <c r="V46" s="9">
        <f t="shared" si="17"/>
        <v>-3295849.3079999997</v>
      </c>
      <c r="W46" s="4">
        <f>SUMIFS('FCPIS B'!$R$6:$R$135,'FCPIS B'!$B$6:$B$135,'PIS B'!$A46,'FCPIS B'!$C$6:$C$135,'PIS B'!$B46)*1000</f>
        <v>13160323.68</v>
      </c>
      <c r="X46" s="4">
        <f t="shared" si="18"/>
        <v>0</v>
      </c>
    </row>
    <row r="47" spans="1:24">
      <c r="A47" s="6" t="s">
        <v>923</v>
      </c>
      <c r="B47" s="6" t="str">
        <f t="shared" si="13"/>
        <v>335</v>
      </c>
      <c r="C47" s="129" t="s">
        <v>38</v>
      </c>
      <c r="D47" s="4">
        <f>SUMIFS('FCPIS B'!$F$6:$F$135,'FCPIS B'!$B$6:$B$135,'PIS B'!$A47,'FCPIS B'!$C$6:$C$135,'PIS B'!$B47)*1000</f>
        <v>3586293.04</v>
      </c>
      <c r="E47" s="13"/>
      <c r="F47" s="4">
        <f>SUMIFS('FCPIS B'!$S$138:$S$226,'FCPIS B'!$B$138:$B$226,'PIS B'!$A47,'FCPIS B'!$C$138:$C$226,'PIS B'!$B47)*1000</f>
        <v>-23167.270000000004</v>
      </c>
      <c r="G47" s="13"/>
      <c r="H47" s="4">
        <f>SUMIFS('FCPIS B'!$S$229:$S$279,'FCPIS B'!$B$229:$B$279,'PIS B'!$A47,'FCPIS B'!$C$229:$C$279,'PIS B'!$B47)*-1000</f>
        <v>0</v>
      </c>
      <c r="I47" s="13"/>
      <c r="J47" s="4">
        <f>SUMIFS('FCPIS B'!$S$389:$S$410,'FCPIS B'!$B$389:$B$410,'PIS B'!$A47,'FCPIS B'!$C$389:$C$410,'PIS B'!$B47)*1000</f>
        <v>0</v>
      </c>
      <c r="K47" s="13"/>
      <c r="L47" s="4">
        <f t="shared" si="19"/>
        <v>-23167.270000000004</v>
      </c>
      <c r="M47" s="13"/>
      <c r="N47" s="4">
        <f t="shared" si="20"/>
        <v>3563125.77</v>
      </c>
      <c r="O47" s="13"/>
      <c r="P47" s="9">
        <f>SUMIFS('FCPIS B'!$R$282:$R$414,'FCPIS B'!$B$282:$B$414,'PIS B'!$A47,'FCPIS B'!$C$282:$C$414,'PIS B'!$B47)*-1000</f>
        <v>-380866.10305647796</v>
      </c>
      <c r="Q47" s="2"/>
      <c r="R47" s="9">
        <f t="shared" si="21"/>
        <v>3182259.6669435222</v>
      </c>
      <c r="T47" s="9">
        <f t="shared" si="22"/>
        <v>-2.050461131637548E-12</v>
      </c>
      <c r="U47" s="13"/>
      <c r="V47" s="9">
        <f t="shared" si="17"/>
        <v>-380866.10305647796</v>
      </c>
      <c r="W47" s="4">
        <f>SUMIFS('FCPIS B'!$R$6:$R$135,'FCPIS B'!$B$6:$B$135,'PIS B'!$A47,'FCPIS B'!$C$6:$C$135,'PIS B'!$B47)*1000</f>
        <v>3563125.77</v>
      </c>
      <c r="X47" s="4">
        <f t="shared" si="18"/>
        <v>0</v>
      </c>
    </row>
    <row r="48" spans="1:24">
      <c r="A48" s="6" t="s">
        <v>923</v>
      </c>
      <c r="B48" s="6" t="str">
        <f t="shared" si="13"/>
        <v>336</v>
      </c>
      <c r="C48" s="129" t="s">
        <v>39</v>
      </c>
      <c r="D48" s="4">
        <f>SUMIFS('FCPIS B'!$F$6:$F$135,'FCPIS B'!$B$6:$B$135,'PIS B'!$A48,'FCPIS B'!$C$6:$C$135,'PIS B'!$B48)*1000</f>
        <v>29930.61</v>
      </c>
      <c r="E48" s="13"/>
      <c r="F48" s="4">
        <f>SUMIFS('FCPIS B'!$S$138:$S$226,'FCPIS B'!$B$138:$B$226,'PIS B'!$A48,'FCPIS B'!$C$138:$C$226,'PIS B'!$B48)*1000</f>
        <v>0</v>
      </c>
      <c r="G48" s="13"/>
      <c r="H48" s="4">
        <f>SUMIFS('FCPIS B'!$S$229:$S$279,'FCPIS B'!$B$229:$B$279,'PIS B'!$A48,'FCPIS B'!$C$229:$C$279,'PIS B'!$B48)*-1000</f>
        <v>0</v>
      </c>
      <c r="I48" s="13"/>
      <c r="J48" s="4">
        <f>SUMIFS('FCPIS B'!$S$389:$S$410,'FCPIS B'!$B$389:$B$410,'PIS B'!$A48,'FCPIS B'!$C$389:$C$410,'PIS B'!$B48)*1000</f>
        <v>0</v>
      </c>
      <c r="K48" s="13"/>
      <c r="L48" s="4">
        <f t="shared" si="19"/>
        <v>0</v>
      </c>
      <c r="M48" s="13"/>
      <c r="N48" s="4">
        <f t="shared" si="20"/>
        <v>29930.61</v>
      </c>
      <c r="O48" s="13"/>
      <c r="P48" s="9">
        <f>SUMIFS('FCPIS B'!$R$282:$R$414,'FCPIS B'!$B$282:$B$414,'PIS B'!$A48,'FCPIS B'!$C$282:$C$414,'PIS B'!$B48)*-1000</f>
        <v>-21736.710907978002</v>
      </c>
      <c r="Q48" s="2"/>
      <c r="R48" s="9">
        <f t="shared" si="21"/>
        <v>8193.8990920219985</v>
      </c>
      <c r="T48" s="9">
        <f t="shared" si="22"/>
        <v>0</v>
      </c>
      <c r="U48" s="13"/>
      <c r="V48" s="9">
        <f t="shared" si="17"/>
        <v>-21736.710907978002</v>
      </c>
      <c r="W48" s="4">
        <f>SUMIFS('FCPIS B'!$R$6:$R$135,'FCPIS B'!$B$6:$B$135,'PIS B'!$A48,'FCPIS B'!$C$6:$C$135,'PIS B'!$B48)*1000</f>
        <v>29930.61</v>
      </c>
      <c r="X48" s="4">
        <f t="shared" si="18"/>
        <v>0</v>
      </c>
    </row>
    <row r="49" spans="1:24">
      <c r="A49" s="6" t="s">
        <v>923</v>
      </c>
      <c r="B49" s="6" t="str">
        <f t="shared" si="13"/>
        <v>337</v>
      </c>
      <c r="C49" s="129" t="s">
        <v>40</v>
      </c>
      <c r="D49" s="4">
        <f>SUMIFS('FCPIS B'!$F$6:$F$135,'FCPIS B'!$B$6:$B$135,'PIS B'!$A49,'FCPIS B'!$C$6:$C$135,'PIS B'!$B49)*1000</f>
        <v>466645.73000000004</v>
      </c>
      <c r="E49" s="13"/>
      <c r="F49" s="4">
        <f>SUMIFS('FCPIS B'!$S$138:$S$226,'FCPIS B'!$B$138:$B$226,'PIS B'!$A49,'FCPIS B'!$C$138:$C$226,'PIS B'!$B49)*1000</f>
        <v>0</v>
      </c>
      <c r="G49" s="13"/>
      <c r="H49" s="4">
        <f>SUMIFS('FCPIS B'!$S$229:$S$279,'FCPIS B'!$B$229:$B$279,'PIS B'!$A49,'FCPIS B'!$C$229:$C$279,'PIS B'!$B49)*-1000</f>
        <v>-3076.58</v>
      </c>
      <c r="I49" s="13"/>
      <c r="J49" s="4">
        <f>SUMIFS('FCPIS B'!$S$389:$S$410,'FCPIS B'!$B$389:$B$410,'PIS B'!$A49,'FCPIS B'!$C$389:$C$410,'PIS B'!$B49)*1000</f>
        <v>0</v>
      </c>
      <c r="K49" s="13"/>
      <c r="L49" s="4">
        <f t="shared" si="19"/>
        <v>-3076.58</v>
      </c>
      <c r="M49" s="13"/>
      <c r="N49" s="4">
        <f t="shared" si="20"/>
        <v>463569.15</v>
      </c>
      <c r="O49" s="13"/>
      <c r="P49" s="9">
        <f>SUMIFS('FCPIS B'!$R$282:$R$414,'FCPIS B'!$B$282:$B$414,'PIS B'!$A49,'FCPIS B'!$C$282:$C$414,'PIS B'!$B49)*-1000</f>
        <v>-57379.297698614006</v>
      </c>
      <c r="Q49" s="2"/>
      <c r="R49" s="9">
        <f t="shared" si="21"/>
        <v>406189.85230138601</v>
      </c>
      <c r="T49" s="9">
        <f t="shared" si="22"/>
        <v>0</v>
      </c>
      <c r="U49" s="13"/>
      <c r="V49" s="9">
        <f t="shared" si="17"/>
        <v>-57379.297698614006</v>
      </c>
      <c r="W49" s="4">
        <f>SUMIFS('FCPIS B'!$R$6:$R$135,'FCPIS B'!$B$6:$B$135,'PIS B'!$A49,'FCPIS B'!$C$6:$C$135,'PIS B'!$B49)*1000</f>
        <v>463569.14999999997</v>
      </c>
      <c r="X49" s="4">
        <f t="shared" si="18"/>
        <v>0</v>
      </c>
    </row>
    <row r="50" spans="1:24">
      <c r="A50" s="6" t="s">
        <v>923</v>
      </c>
      <c r="B50" s="6" t="str">
        <f t="shared" ref="B50:B65" si="23">MID(C50,2,3)</f>
        <v/>
      </c>
      <c r="C50" s="129"/>
      <c r="D50" s="784">
        <f>SUM(D42:D49)</f>
        <v>146144059.28</v>
      </c>
      <c r="E50" s="130"/>
      <c r="F50" s="784">
        <f>SUM(F42:F49)</f>
        <v>12684419.87999999</v>
      </c>
      <c r="G50" s="130"/>
      <c r="H50" s="784">
        <f>SUM(H42:H49)</f>
        <v>-610543.31999999995</v>
      </c>
      <c r="I50" s="130"/>
      <c r="J50" s="784">
        <f>SUM(J42:J49)</f>
        <v>0</v>
      </c>
      <c r="K50" s="130"/>
      <c r="L50" s="784">
        <f>SUM(L42:L49)</f>
        <v>12073876.559999989</v>
      </c>
      <c r="M50" s="130"/>
      <c r="N50" s="784">
        <f>SUM(N42:N49)</f>
        <v>158217935.84000003</v>
      </c>
      <c r="O50" s="129"/>
      <c r="P50" s="784">
        <f>SUM(P42:P49)</f>
        <v>-16653265.578470828</v>
      </c>
      <c r="Q50" s="129"/>
      <c r="R50" s="784">
        <f>SUM(R42:R49)</f>
        <v>141564670.26152918</v>
      </c>
      <c r="S50" s="129"/>
      <c r="T50" s="784">
        <f>'FC CWIP &amp; RWIP B'!P26*1000</f>
        <v>1.12265752250095E-9</v>
      </c>
      <c r="U50" s="2"/>
      <c r="V50" s="784">
        <f>P50+T50</f>
        <v>-16653265.578470826</v>
      </c>
      <c r="W50" s="4"/>
      <c r="X50" s="4"/>
    </row>
    <row r="51" spans="1:24">
      <c r="A51" s="6" t="s">
        <v>121</v>
      </c>
      <c r="B51" s="6" t="str">
        <f t="shared" si="23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23"/>
        <v>301</v>
      </c>
      <c r="C53" s="129" t="s">
        <v>42</v>
      </c>
      <c r="D53" s="4">
        <f>SUMIFS('FCPIS B'!$F$6:$F$135,'FCPIS B'!$B$6:$B$135,'PIS B'!$A53,'FCPIS B'!$C$6:$C$135,'PIS B'!$B53)*1000</f>
        <v>2240.29</v>
      </c>
      <c r="E53" s="13"/>
      <c r="F53" s="4">
        <f>SUMIFS('FCPIS B'!$S$138:$S$226,'FCPIS B'!$B$138:$B$226,'PIS B'!$A53,'FCPIS B'!$C$138:$C$226,'PIS B'!$B53)*1000</f>
        <v>0</v>
      </c>
      <c r="G53" s="13"/>
      <c r="H53" s="4">
        <f>SUMIFS('FCPIS B'!$S$229:$S$279,'FCPIS B'!$B$229:$B$279,'PIS B'!$A53,'FCPIS B'!$C$229:$C$279,'PIS B'!$B53)*-1000</f>
        <v>0</v>
      </c>
      <c r="I53" s="13"/>
      <c r="J53" s="4">
        <f>SUMIFS('FCPIS B'!$S$389:$S$410,'FCPIS B'!$B$389:$B$410,'PIS B'!$A53,'FCPIS B'!$C$389:$C$410,'PIS B'!$B53)*1000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B'!$R$282:$R$414,'FCPIS B'!$B$282:$B$414,'PIS B'!$A53,'FCPIS B'!$C$282:$C$414,'PIS B'!$B53)*-1000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B'!$R$6:$R$135,'FCPIS B'!$B$6:$B$135,'PIS B'!$A53,'FCPIS B'!$C$6:$C$135,'PIS B'!$B53)*1000</f>
        <v>2240.29</v>
      </c>
      <c r="X53" s="4">
        <f t="shared" si="18"/>
        <v>0</v>
      </c>
    </row>
    <row r="54" spans="1:24">
      <c r="A54" s="6" t="s">
        <v>923</v>
      </c>
      <c r="B54" s="6" t="str">
        <f t="shared" si="23"/>
        <v>302</v>
      </c>
      <c r="C54" s="129" t="s">
        <v>43</v>
      </c>
      <c r="D54" s="4">
        <f>SUMIFS('FCPIS B'!$F$6:$F$135,'FCPIS B'!$B$6:$B$135,'PIS B'!$A54,'FCPIS B'!$C$6:$C$135,'PIS B'!$B54)*1000</f>
        <v>0</v>
      </c>
      <c r="E54" s="13"/>
      <c r="F54" s="4">
        <f>SUMIFS('FCPIS B'!$S$138:$S$226,'FCPIS B'!$B$138:$B$226,'PIS B'!$A54,'FCPIS B'!$C$138:$C$226,'PIS B'!$B54)*1000</f>
        <v>0</v>
      </c>
      <c r="G54" s="13"/>
      <c r="H54" s="4">
        <f>SUMIFS('FCPIS B'!$S$229:$S$279,'FCPIS B'!$B$229:$B$279,'PIS B'!$A54,'FCPIS B'!$C$229:$C$279,'PIS B'!$B54)*-1000</f>
        <v>0</v>
      </c>
      <c r="I54" s="13"/>
      <c r="J54" s="4">
        <f>SUMIFS('FCPIS B'!$S$389:$S$410,'FCPIS B'!$B$389:$B$410,'PIS B'!$A54,'FCPIS B'!$C$389:$C$410,'PIS B'!$B54)*1000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B'!$R$282:$R$414,'FCPIS B'!$B$282:$B$414,'PIS B'!$A54,'FCPIS B'!$C$282:$C$414,'PIS B'!$B54)*-1000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B'!$R$6:$R$135,'FCPIS B'!$B$6:$B$135,'PIS B'!$A54,'FCPIS B'!$C$6:$C$135,'PIS B'!$B54)*1000</f>
        <v>0</v>
      </c>
      <c r="X54" s="4">
        <f t="shared" si="18"/>
        <v>0</v>
      </c>
    </row>
    <row r="55" spans="1:24">
      <c r="A55" s="6" t="s">
        <v>923</v>
      </c>
      <c r="B55" s="6" t="str">
        <f t="shared" si="23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B'!P27*1000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23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23"/>
        <v>340</v>
      </c>
      <c r="C58" s="129" t="s">
        <v>45</v>
      </c>
      <c r="D58" s="4">
        <f>SUMIFS('FCPIS B'!$F$6:$F$135,'FCPIS B'!$B$6:$B$135,'PIS B'!$A58,'FCPIS B'!$C$6:$C$135,'PIS B'!$B58)*1000</f>
        <v>123878.15999999999</v>
      </c>
      <c r="E58" s="13"/>
      <c r="F58" s="4">
        <f>SUMIFS('FCPIS B'!$S$138:$S$226,'FCPIS B'!$B$138:$B$226,'PIS B'!$A58,'FCPIS B'!$C$138:$C$226,'PIS B'!$B58)*1000</f>
        <v>290400</v>
      </c>
      <c r="G58" s="13"/>
      <c r="H58" s="4">
        <f>SUMIFS('FCPIS B'!$S$229:$S$279,'FCPIS B'!$B$229:$B$279,'PIS B'!$A58,'FCPIS B'!$C$229:$C$279,'PIS B'!$B58)*-1000</f>
        <v>0</v>
      </c>
      <c r="I58" s="13"/>
      <c r="J58" s="4">
        <f>SUMIFS('FCPIS B'!$S$389:$S$410,'FCPIS B'!$B$389:$B$410,'PIS B'!$A58,'FCPIS B'!$C$389:$C$410,'PIS B'!$B58)*1000</f>
        <v>0</v>
      </c>
      <c r="K58" s="13"/>
      <c r="L58" s="4">
        <f t="shared" ref="L58:L66" si="25">SUM(F58:J58)</f>
        <v>290400</v>
      </c>
      <c r="M58" s="13"/>
      <c r="N58" s="4">
        <f t="shared" ref="N58:N66" si="26">D58+L58</f>
        <v>414278.16</v>
      </c>
      <c r="O58" s="13"/>
      <c r="P58" s="9">
        <f>SUMIFS('FCPIS B'!$R$282:$R$414,'FCPIS B'!$B$282:$B$414,'PIS B'!$A58,'FCPIS B'!$C$282:$C$414,'PIS B'!$B58)*-1000</f>
        <v>0</v>
      </c>
      <c r="Q58" s="2"/>
      <c r="R58" s="9">
        <f t="shared" ref="R58:R66" si="27">SUM(N58:P58)</f>
        <v>414278.16</v>
      </c>
      <c r="T58" s="9"/>
      <c r="U58" s="13"/>
      <c r="V58" s="9">
        <f t="shared" si="24"/>
        <v>0</v>
      </c>
      <c r="W58" s="4">
        <f>SUMIFS('FCPIS B'!$R$6:$R$135,'FCPIS B'!$B$6:$B$135,'PIS B'!$A58,'FCPIS B'!$C$6:$C$135,'PIS B'!$B58)*1000</f>
        <v>414278.16000000003</v>
      </c>
      <c r="X58" s="4">
        <f t="shared" si="18"/>
        <v>0</v>
      </c>
    </row>
    <row r="59" spans="1:24">
      <c r="A59" s="6" t="s">
        <v>923</v>
      </c>
      <c r="B59" s="6" t="str">
        <f t="shared" si="23"/>
        <v>341</v>
      </c>
      <c r="C59" s="129" t="s">
        <v>46</v>
      </c>
      <c r="D59" s="4">
        <f>SUMIFS('FCPIS B'!$F$6:$F$135,'FCPIS B'!$B$6:$B$135,'PIS B'!$A59,'FCPIS B'!$C$6:$C$135,'PIS B'!$B59)*1000</f>
        <v>33615343.020000003</v>
      </c>
      <c r="E59" s="13"/>
      <c r="F59" s="4">
        <f>SUMIFS('FCPIS B'!$S$138:$S$226,'FCPIS B'!$B$138:$B$226,'PIS B'!$A59,'FCPIS B'!$C$138:$C$226,'PIS B'!$B59)*1000</f>
        <v>326839.42999999895</v>
      </c>
      <c r="G59" s="13"/>
      <c r="H59" s="4">
        <f>SUMIFS('FCPIS B'!$S$229:$S$279,'FCPIS B'!$B$229:$B$279,'PIS B'!$A59,'FCPIS B'!$C$229:$C$279,'PIS B'!$B59)*-1000</f>
        <v>0</v>
      </c>
      <c r="I59" s="13"/>
      <c r="J59" s="4">
        <f>SUMIFS('FCPIS B'!$S$389:$S$410,'FCPIS B'!$B$389:$B$410,'PIS B'!$A59,'FCPIS B'!$C$389:$C$410,'PIS B'!$B59)*1000</f>
        <v>0</v>
      </c>
      <c r="K59" s="13"/>
      <c r="L59" s="4">
        <f t="shared" si="25"/>
        <v>326839.42999999895</v>
      </c>
      <c r="M59" s="13"/>
      <c r="N59" s="4">
        <f t="shared" si="26"/>
        <v>33942182.450000003</v>
      </c>
      <c r="O59" s="13"/>
      <c r="P59" s="9">
        <f>SUMIFS('FCPIS B'!$R$282:$R$414,'FCPIS B'!$B$282:$B$414,'PIS B'!$A59,'FCPIS B'!$C$282:$C$414,'PIS B'!$B59)*-1000</f>
        <v>-13427156.83770854</v>
      </c>
      <c r="Q59" s="2"/>
      <c r="R59" s="9">
        <f t="shared" si="27"/>
        <v>20515025.612291463</v>
      </c>
      <c r="T59" s="9">
        <f>F59/(F$67-F$58)*T$67</f>
        <v>1.2500333291599576E-10</v>
      </c>
      <c r="U59" s="13"/>
      <c r="V59" s="9">
        <f t="shared" si="24"/>
        <v>-13427156.83770854</v>
      </c>
      <c r="W59" s="4">
        <f>SUMIFS('FCPIS B'!$R$6:$R$135,'FCPIS B'!$B$6:$B$135,'PIS B'!$A59,'FCPIS B'!$C$6:$C$135,'PIS B'!$B59)*1000</f>
        <v>33942182.450000003</v>
      </c>
      <c r="X59" s="4">
        <f t="shared" si="18"/>
        <v>0</v>
      </c>
    </row>
    <row r="60" spans="1:24">
      <c r="A60" s="6" t="s">
        <v>923</v>
      </c>
      <c r="B60" s="6" t="str">
        <f t="shared" si="23"/>
        <v>342</v>
      </c>
      <c r="C60" s="129" t="s">
        <v>47</v>
      </c>
      <c r="D60" s="4">
        <f>SUMIFS('FCPIS B'!$F$6:$F$135,'FCPIS B'!$B$6:$B$135,'PIS B'!$A60,'FCPIS B'!$C$6:$C$135,'PIS B'!$B60)*1000</f>
        <v>24642025.890000001</v>
      </c>
      <c r="E60" s="13"/>
      <c r="F60" s="4">
        <f>SUMIFS('FCPIS B'!$S$138:$S$226,'FCPIS B'!$B$138:$B$226,'PIS B'!$A60,'FCPIS B'!$C$138:$C$226,'PIS B'!$B60)*1000</f>
        <v>125166.69999999991</v>
      </c>
      <c r="G60" s="13"/>
      <c r="H60" s="4">
        <f>SUMIFS('FCPIS B'!$S$229:$S$279,'FCPIS B'!$B$229:$B$279,'PIS B'!$A60,'FCPIS B'!$C$229:$C$279,'PIS B'!$B60)*-1000</f>
        <v>0</v>
      </c>
      <c r="I60" s="13"/>
      <c r="J60" s="4">
        <f>SUMIFS('FCPIS B'!$S$389:$S$410,'FCPIS B'!$B$389:$B$410,'PIS B'!$A60,'FCPIS B'!$C$389:$C$410,'PIS B'!$B60)*1000</f>
        <v>0</v>
      </c>
      <c r="K60" s="13"/>
      <c r="L60" s="4">
        <f t="shared" si="25"/>
        <v>125166.69999999991</v>
      </c>
      <c r="M60" s="13"/>
      <c r="N60" s="4">
        <f t="shared" si="26"/>
        <v>24767192.59</v>
      </c>
      <c r="O60" s="13"/>
      <c r="P60" s="9">
        <f>SUMIFS('FCPIS B'!$R$282:$R$414,'FCPIS B'!$B$282:$B$414,'PIS B'!$A60,'FCPIS B'!$C$282:$C$414,'PIS B'!$B60)*-1000</f>
        <v>-6704737.9243326001</v>
      </c>
      <c r="Q60" s="2"/>
      <c r="R60" s="9">
        <f t="shared" si="27"/>
        <v>18062454.6656674</v>
      </c>
      <c r="T60" s="9">
        <f t="shared" ref="T60:T66" si="28">F60/(F$67-F$58)*T$67</f>
        <v>4.7871380359758316E-11</v>
      </c>
      <c r="U60" s="13"/>
      <c r="V60" s="9">
        <f t="shared" si="24"/>
        <v>-6704737.9243326001</v>
      </c>
      <c r="W60" s="4">
        <f>SUMIFS('FCPIS B'!$R$6:$R$135,'FCPIS B'!$B$6:$B$135,'PIS B'!$A60,'FCPIS B'!$C$6:$C$135,'PIS B'!$B60)*1000</f>
        <v>24767192.59</v>
      </c>
      <c r="X60" s="4">
        <f t="shared" si="18"/>
        <v>0</v>
      </c>
    </row>
    <row r="61" spans="1:24">
      <c r="A61" s="6" t="s">
        <v>923</v>
      </c>
      <c r="B61" s="6" t="str">
        <f t="shared" si="23"/>
        <v>343</v>
      </c>
      <c r="C61" s="129" t="s">
        <v>48</v>
      </c>
      <c r="D61" s="4">
        <f>SUMIFS('FCPIS B'!$F$6:$F$135,'FCPIS B'!$B$6:$B$135,'PIS B'!$A61,'FCPIS B'!$C$6:$C$135,'PIS B'!$B61)*1000</f>
        <v>244053093.88</v>
      </c>
      <c r="E61" s="13"/>
      <c r="F61" s="4">
        <f>SUMIFS('FCPIS B'!$S$138:$S$226,'FCPIS B'!$B$138:$B$226,'PIS B'!$A61,'FCPIS B'!$C$138:$C$226,'PIS B'!$B61)*1000</f>
        <v>3407033.0600000005</v>
      </c>
      <c r="G61" s="13"/>
      <c r="H61" s="4">
        <f>SUMIFS('FCPIS B'!$S$229:$S$279,'FCPIS B'!$B$229:$B$279,'PIS B'!$A61,'FCPIS B'!$C$229:$C$279,'PIS B'!$B61)*-1000</f>
        <v>-3501109.4</v>
      </c>
      <c r="I61" s="13"/>
      <c r="J61" s="4">
        <f>SUMIFS('FCPIS B'!$S$389:$S$410,'FCPIS B'!$B$389:$B$410,'PIS B'!$A61,'FCPIS B'!$C$389:$C$410,'PIS B'!$B61)*1000</f>
        <v>-23449.8</v>
      </c>
      <c r="K61" s="13"/>
      <c r="L61" s="4">
        <f t="shared" si="25"/>
        <v>-117526.13999999939</v>
      </c>
      <c r="M61" s="13"/>
      <c r="N61" s="4">
        <f t="shared" si="26"/>
        <v>243935567.74000001</v>
      </c>
      <c r="O61" s="13"/>
      <c r="P61" s="9">
        <f>SUMIFS('FCPIS B'!$R$282:$R$414,'FCPIS B'!$B$282:$B$414,'PIS B'!$A61,'FCPIS B'!$C$282:$C$414,'PIS B'!$B61)*-1000</f>
        <v>-71867333.773507997</v>
      </c>
      <c r="Q61" s="2"/>
      <c r="R61" s="9">
        <f t="shared" si="27"/>
        <v>172068233.966492</v>
      </c>
      <c r="T61" s="9">
        <f t="shared" si="28"/>
        <v>1.3030572469637006E-9</v>
      </c>
      <c r="U61" s="13"/>
      <c r="V61" s="9">
        <f t="shared" si="24"/>
        <v>-71867333.773507997</v>
      </c>
      <c r="W61" s="4">
        <f>SUMIFS('FCPIS B'!$R$6:$R$135,'FCPIS B'!$B$6:$B$135,'PIS B'!$A61,'FCPIS B'!$C$6:$C$135,'PIS B'!$B61)*1000</f>
        <v>243935567.73999897</v>
      </c>
      <c r="X61" s="4">
        <f t="shared" si="18"/>
        <v>-1.0430812835693359E-6</v>
      </c>
    </row>
    <row r="62" spans="1:24">
      <c r="A62" s="6" t="s">
        <v>923</v>
      </c>
      <c r="B62" s="6" t="str">
        <f t="shared" si="23"/>
        <v>344</v>
      </c>
      <c r="C62" s="129" t="s">
        <v>49</v>
      </c>
      <c r="D62" s="4">
        <f>SUMIFS('FCPIS B'!$F$6:$F$135,'FCPIS B'!$B$6:$B$135,'PIS B'!$A62,'FCPIS B'!$C$6:$C$135,'PIS B'!$B62)*1000</f>
        <v>59025351.759999998</v>
      </c>
      <c r="E62" s="13"/>
      <c r="F62" s="4">
        <f>SUMIFS('FCPIS B'!$S$138:$S$226,'FCPIS B'!$B$138:$B$226,'PIS B'!$A62,'FCPIS B'!$C$138:$C$226,'PIS B'!$B62)*1000</f>
        <v>617639.56000000006</v>
      </c>
      <c r="G62" s="13"/>
      <c r="H62" s="4">
        <f>SUMIFS('FCPIS B'!$S$229:$S$279,'FCPIS B'!$B$229:$B$279,'PIS B'!$A62,'FCPIS B'!$C$229:$C$279,'PIS B'!$B62)*-1000</f>
        <v>0</v>
      </c>
      <c r="I62" s="13"/>
      <c r="J62" s="4">
        <f>SUMIFS('FCPIS B'!$S$389:$S$410,'FCPIS B'!$B$389:$B$410,'PIS B'!$A62,'FCPIS B'!$C$389:$C$410,'PIS B'!$B62)*1000</f>
        <v>23449.8</v>
      </c>
      <c r="K62" s="13"/>
      <c r="L62" s="4">
        <f t="shared" si="25"/>
        <v>641089.3600000001</v>
      </c>
      <c r="M62" s="13"/>
      <c r="N62" s="4">
        <f t="shared" si="26"/>
        <v>59666441.119999997</v>
      </c>
      <c r="O62" s="13"/>
      <c r="P62" s="9">
        <f>SUMIFS('FCPIS B'!$R$282:$R$414,'FCPIS B'!$B$282:$B$414,'PIS B'!$A62,'FCPIS B'!$C$282:$C$414,'PIS B'!$B62)*-1000</f>
        <v>-26377948.771972388</v>
      </c>
      <c r="Q62" s="2"/>
      <c r="R62" s="9">
        <f t="shared" si="27"/>
        <v>33288492.348027609</v>
      </c>
      <c r="T62" s="9">
        <f t="shared" si="28"/>
        <v>2.3622303937064561E-10</v>
      </c>
      <c r="U62" s="13"/>
      <c r="V62" s="9">
        <f t="shared" si="24"/>
        <v>-26377948.771972388</v>
      </c>
      <c r="W62" s="4">
        <f>SUMIFS('FCPIS B'!$R$6:$R$135,'FCPIS B'!$B$6:$B$135,'PIS B'!$A62,'FCPIS B'!$C$6:$C$135,'PIS B'!$B62)*1000</f>
        <v>59666441.119999997</v>
      </c>
      <c r="X62" s="4">
        <f t="shared" si="18"/>
        <v>0</v>
      </c>
    </row>
    <row r="63" spans="1:24">
      <c r="A63" s="6" t="s">
        <v>923</v>
      </c>
      <c r="B63" s="6" t="str">
        <f t="shared" si="23"/>
        <v>345</v>
      </c>
      <c r="C63" s="129" t="s">
        <v>50</v>
      </c>
      <c r="D63" s="4">
        <f>SUMIFS('FCPIS B'!$F$6:$F$135,'FCPIS B'!$B$6:$B$135,'PIS B'!$A63,'FCPIS B'!$C$6:$C$135,'PIS B'!$B63)*1000</f>
        <v>32064059.809999999</v>
      </c>
      <c r="E63" s="13"/>
      <c r="F63" s="4">
        <f>SUMIFS('FCPIS B'!$S$138:$S$226,'FCPIS B'!$B$138:$B$226,'PIS B'!$A63,'FCPIS B'!$C$138:$C$226,'PIS B'!$B63)*1000</f>
        <v>35775.840000000004</v>
      </c>
      <c r="G63" s="13"/>
      <c r="H63" s="4">
        <f>SUMIFS('FCPIS B'!$S$229:$S$279,'FCPIS B'!$B$229:$B$279,'PIS B'!$A63,'FCPIS B'!$C$229:$C$279,'PIS B'!$B63)*-1000</f>
        <v>0</v>
      </c>
      <c r="I63" s="13"/>
      <c r="J63" s="4">
        <f>SUMIFS('FCPIS B'!$S$389:$S$410,'FCPIS B'!$B$389:$B$410,'PIS B'!$A63,'FCPIS B'!$C$389:$C$410,'PIS B'!$B63)*1000</f>
        <v>0</v>
      </c>
      <c r="K63" s="13"/>
      <c r="L63" s="4">
        <f t="shared" si="25"/>
        <v>35775.840000000004</v>
      </c>
      <c r="M63" s="13"/>
      <c r="N63" s="4">
        <f t="shared" si="26"/>
        <v>32099835.649999999</v>
      </c>
      <c r="O63" s="13"/>
      <c r="P63" s="9">
        <f>SUMIFS('FCPIS B'!$R$282:$R$414,'FCPIS B'!$B$282:$B$414,'PIS B'!$A63,'FCPIS B'!$C$282:$C$414,'PIS B'!$B63)*-1000</f>
        <v>-13085579.6646292</v>
      </c>
      <c r="Q63" s="2"/>
      <c r="R63" s="9">
        <f t="shared" si="27"/>
        <v>19014255.9853708</v>
      </c>
      <c r="T63" s="9">
        <f t="shared" si="28"/>
        <v>1.3682863288157772E-11</v>
      </c>
      <c r="U63" s="13"/>
      <c r="V63" s="9">
        <f t="shared" si="24"/>
        <v>-13085579.6646292</v>
      </c>
      <c r="W63" s="4">
        <f>SUMIFS('FCPIS B'!$R$6:$R$135,'FCPIS B'!$B$6:$B$135,'PIS B'!$A63,'FCPIS B'!$C$6:$C$135,'PIS B'!$B63)*1000</f>
        <v>32099835.650000002</v>
      </c>
      <c r="X63" s="4">
        <f t="shared" si="18"/>
        <v>0</v>
      </c>
    </row>
    <row r="64" spans="1:24">
      <c r="A64" s="6" t="s">
        <v>923</v>
      </c>
      <c r="B64" s="6" t="str">
        <f t="shared" si="23"/>
        <v>346</v>
      </c>
      <c r="C64" s="129" t="s">
        <v>51</v>
      </c>
      <c r="D64" s="4">
        <f>SUMIFS('FCPIS B'!$F$6:$F$135,'FCPIS B'!$B$6:$B$135,'PIS B'!$A64,'FCPIS B'!$C$6:$C$135,'PIS B'!$B64)*1000</f>
        <v>5002219.9299999988</v>
      </c>
      <c r="E64" s="13"/>
      <c r="F64" s="4">
        <f>SUMIFS('FCPIS B'!$S$138:$S$226,'FCPIS B'!$B$138:$B$226,'PIS B'!$A64,'FCPIS B'!$C$138:$C$226,'PIS B'!$B64)*1000</f>
        <v>231366.35</v>
      </c>
      <c r="G64" s="13"/>
      <c r="H64" s="4">
        <f>SUMIFS('FCPIS B'!$S$229:$S$279,'FCPIS B'!$B$229:$B$279,'PIS B'!$A64,'FCPIS B'!$C$229:$C$279,'PIS B'!$B64)*-1000</f>
        <v>0</v>
      </c>
      <c r="I64" s="13"/>
      <c r="J64" s="4">
        <f>SUMIFS('FCPIS B'!$S$389:$S$410,'FCPIS B'!$B$389:$B$410,'PIS B'!$A64,'FCPIS B'!$C$389:$C$410,'PIS B'!$B64)*1000</f>
        <v>0</v>
      </c>
      <c r="K64" s="13"/>
      <c r="L64" s="4">
        <f t="shared" si="25"/>
        <v>231366.35</v>
      </c>
      <c r="M64" s="13"/>
      <c r="N64" s="4">
        <f t="shared" si="26"/>
        <v>5233586.2799999984</v>
      </c>
      <c r="O64" s="13"/>
      <c r="P64" s="9">
        <f>SUMIFS('FCPIS B'!$R$282:$R$414,'FCPIS B'!$B$282:$B$414,'PIS B'!$A64,'FCPIS B'!$C$282:$C$414,'PIS B'!$B64)*-1000</f>
        <v>-2314149.6762535698</v>
      </c>
      <c r="Q64" s="2"/>
      <c r="R64" s="9">
        <f t="shared" si="27"/>
        <v>2919436.6037464286</v>
      </c>
      <c r="T64" s="9">
        <f t="shared" si="28"/>
        <v>8.8488603944171866E-11</v>
      </c>
      <c r="U64" s="13"/>
      <c r="V64" s="9">
        <f t="shared" si="24"/>
        <v>-2314149.6762535698</v>
      </c>
      <c r="W64" s="4">
        <f>SUMIFS('FCPIS B'!$R$6:$R$135,'FCPIS B'!$B$6:$B$135,'PIS B'!$A64,'FCPIS B'!$C$6:$C$135,'PIS B'!$B64)*1000</f>
        <v>5233586.2799999993</v>
      </c>
      <c r="X64" s="4">
        <f t="shared" si="18"/>
        <v>0</v>
      </c>
    </row>
    <row r="65" spans="1:24">
      <c r="A65" s="6" t="s">
        <v>923</v>
      </c>
      <c r="B65" s="6" t="str">
        <f t="shared" si="23"/>
        <v>347</v>
      </c>
      <c r="C65" s="129" t="s">
        <v>887</v>
      </c>
      <c r="D65" s="4">
        <f>SUMIFS('FCPIS B'!$F$6:$F$135,'FCPIS B'!$B$6:$B$135,'PIS B'!$A65,'FCPIS B'!$C$6:$C$135,'PIS B'!$B65)*1000</f>
        <v>111984.04</v>
      </c>
      <c r="E65" s="13"/>
      <c r="F65" s="4">
        <f>SUMIFS('FCPIS B'!$S$138:$S$226,'FCPIS B'!$B$138:$B$226,'PIS B'!$A65,'FCPIS B'!$C$138:$C$226,'PIS B'!$B65)*1000</f>
        <v>0</v>
      </c>
      <c r="G65" s="13"/>
      <c r="H65" s="4">
        <f>SUMIFS('FCPIS B'!$S$229:$S$279,'FCPIS B'!$B$229:$B$279,'PIS B'!$A65,'FCPIS B'!$C$229:$C$279,'PIS B'!$B65)*-1000</f>
        <v>0</v>
      </c>
      <c r="I65" s="13"/>
      <c r="J65" s="4">
        <f>SUMIFS('FCPIS B'!$S$389:$S$410,'FCPIS B'!$B$389:$B$410,'PIS B'!$A65,'FCPIS B'!$C$389:$C$410,'PIS B'!$B65)*1000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B'!$R$282:$R$414,'FCPIS B'!$B$282:$B$414,'PIS B'!$A65,'FCPIS B'!$C$282:$C$414,'PIS B'!$B65)*-1000</f>
        <v>-19993.744847864</v>
      </c>
      <c r="Q65" s="2"/>
      <c r="R65" s="9">
        <f t="shared" si="27"/>
        <v>91990.295152135994</v>
      </c>
      <c r="T65" s="9">
        <f t="shared" si="28"/>
        <v>0</v>
      </c>
      <c r="U65" s="13"/>
      <c r="V65" s="9">
        <f t="shared" si="24"/>
        <v>-19993.744847864</v>
      </c>
      <c r="W65" s="4">
        <f>SUMIFS('FCPIS B'!$R$6:$R$135,'FCPIS B'!$B$6:$B$135,'PIS B'!$A65,'FCPIS B'!$C$6:$C$135,'PIS B'!$B65)*1000</f>
        <v>111984.04</v>
      </c>
      <c r="X65" s="4">
        <f t="shared" si="18"/>
        <v>0</v>
      </c>
    </row>
    <row r="66" spans="1:24">
      <c r="A66" s="6" t="s">
        <v>923</v>
      </c>
      <c r="C66" s="129" t="s">
        <v>52</v>
      </c>
      <c r="D66" s="4">
        <f>SUMIFS('FCPIS B'!$F$6:$F$135,'FCPIS B'!$B$6:$B$135,'PIS B'!$A66,'FCPIS B'!$C$6:$C$135,'PIS B'!$B66)*1000</f>
        <v>0</v>
      </c>
      <c r="E66" s="13"/>
      <c r="F66" s="4">
        <f>SUMIFS('FCPIS B'!$S$138:$S$226,'FCPIS B'!$B$138:$B$226,'PIS B'!$A66,'FCPIS B'!$C$138:$C$226,'PIS B'!$B66)*1000</f>
        <v>0</v>
      </c>
      <c r="G66" s="13"/>
      <c r="H66" s="4">
        <f>SUMIFS('FCPIS B'!$S$229:$S$279,'FCPIS B'!$B$229:$B$279,'PIS B'!$A66,'FCPIS B'!$C$229:$C$279,'PIS B'!$B66)*-1000</f>
        <v>0</v>
      </c>
      <c r="I66" s="13"/>
      <c r="J66" s="4">
        <f>SUMIFS('FCPIS B'!$S$389:$S$410,'FCPIS B'!$B$389:$B$410,'PIS B'!$A66,'FCPIS B'!$C$389:$C$410,'PIS B'!$B66)*1000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B'!$R$282:$R$414,'FCPIS B'!$B$282:$B$414,'PIS B'!$A66,'FCPIS B'!$C$282:$C$414,'PIS B'!$B66)*-1000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B'!$R$6:$R$135,'FCPIS B'!$B$6:$B$135,'PIS B'!$A66,'FCPIS B'!$C$6:$C$135,'PIS B'!$B66)*1000</f>
        <v>0</v>
      </c>
      <c r="X66" s="4">
        <f t="shared" si="18"/>
        <v>0</v>
      </c>
    </row>
    <row r="67" spans="1:24">
      <c r="A67" s="6" t="s">
        <v>923</v>
      </c>
      <c r="C67" s="129"/>
      <c r="D67" s="784">
        <f>SUM(D58:D66)</f>
        <v>398637956.49000001</v>
      </c>
      <c r="E67" s="130"/>
      <c r="F67" s="784">
        <f>SUM(F58:F66)</f>
        <v>5034220.9399999995</v>
      </c>
      <c r="G67" s="130"/>
      <c r="H67" s="784">
        <f>SUM(H58:H66)</f>
        <v>-3501109.4</v>
      </c>
      <c r="I67" s="130"/>
      <c r="J67" s="784">
        <f>SUM(J58:J66)</f>
        <v>0</v>
      </c>
      <c r="K67" s="130"/>
      <c r="L67" s="784">
        <f>SUM(L58:L66)</f>
        <v>1533111.5399999998</v>
      </c>
      <c r="M67" s="130"/>
      <c r="N67" s="784">
        <f>SUM(N58:N66)</f>
        <v>400171068.02999997</v>
      </c>
      <c r="O67" s="129"/>
      <c r="P67" s="784">
        <f>SUM(P58:P66)</f>
        <v>-133796900.39325216</v>
      </c>
      <c r="Q67" s="129"/>
      <c r="R67" s="784">
        <f>SUM(R58:R66)</f>
        <v>266374167.63674784</v>
      </c>
      <c r="S67" s="129"/>
      <c r="T67" s="784">
        <f>SUM('FC CWIP &amp; RWIP B'!P28:P28)*1000</f>
        <v>1.81432646684243E-9</v>
      </c>
      <c r="U67" s="2"/>
      <c r="V67" s="784">
        <f t="shared" si="24"/>
        <v>-133796900.39325216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1" si="29">MID(C70,2,3)</f>
        <v>310</v>
      </c>
      <c r="C70" s="129" t="s">
        <v>54</v>
      </c>
      <c r="D70" s="4">
        <f>SUMIFS('FCPIS B'!$F$6:$F$135,'FCPIS B'!$B$6:$B$135,'PIS B'!$A70,'FCPIS B'!$C$6:$C$135,'PIS B'!$B70)*1000</f>
        <v>8872703.7999999989</v>
      </c>
      <c r="E70" s="13"/>
      <c r="F70" s="4">
        <f>SUMIFS('FCPIS B'!$S$138:$S$226,'FCPIS B'!$B$138:$B$226,'PIS B'!$A70,'FCPIS B'!$C$138:$C$226,'PIS B'!$B70)*1000</f>
        <v>2361427.4599999902</v>
      </c>
      <c r="G70" s="13"/>
      <c r="H70" s="4">
        <f>SUMIFS('FCPIS B'!$S$229:$S$279,'FCPIS B'!$B$229:$B$279,'PIS B'!$A70,'FCPIS B'!$C$229:$C$279,'PIS B'!$B70)*-1000</f>
        <v>0</v>
      </c>
      <c r="I70" s="13"/>
      <c r="J70" s="4">
        <f>SUMIFS('FCPIS B'!$S$389:$S$410,'FCPIS B'!$B$389:$B$410,'PIS B'!$A70,'FCPIS B'!$C$389:$C$410,'PIS B'!$B70)*1000</f>
        <v>0</v>
      </c>
      <c r="K70" s="13"/>
      <c r="L70" s="4">
        <f t="shared" ref="L70:L81" si="30">SUM(F70:J70)</f>
        <v>2361427.4599999902</v>
      </c>
      <c r="M70" s="13"/>
      <c r="N70" s="4">
        <f t="shared" ref="N70:N81" si="31">D70+L70</f>
        <v>11234131.259999989</v>
      </c>
      <c r="O70" s="13"/>
      <c r="P70" s="9">
        <f>SUMIFS('FCPIS B'!$R$282:$R$414,'FCPIS B'!$B$282:$B$414,'PIS B'!$A70,'FCPIS B'!$C$282:$C$414,'PIS B'!$B70)*-1000</f>
        <v>0</v>
      </c>
      <c r="Q70" s="2"/>
      <c r="R70" s="9">
        <f t="shared" ref="R70:R81" si="32">SUM(N70:P70)</f>
        <v>11234131.259999989</v>
      </c>
      <c r="T70" s="9">
        <f>F70/F$82*T$82</f>
        <v>297535.67763859482</v>
      </c>
      <c r="U70" s="13"/>
      <c r="V70" s="9">
        <f t="shared" ref="V70:V82" si="33">P70+T70</f>
        <v>297535.67763859482</v>
      </c>
      <c r="W70" s="4">
        <f>SUMIFS('FCPIS B'!$R$6:$R$135,'FCPIS B'!$B$6:$B$135,'PIS B'!$A70,'FCPIS B'!$C$6:$C$135,'PIS B'!$B70)*1000</f>
        <v>11234131.25999999</v>
      </c>
      <c r="X70" s="4">
        <f t="shared" si="18"/>
        <v>0</v>
      </c>
    </row>
    <row r="71" spans="1:24">
      <c r="A71" s="6" t="s">
        <v>923</v>
      </c>
      <c r="C71" s="129" t="s">
        <v>888</v>
      </c>
      <c r="D71" s="4">
        <f>SUMIFS('FCPIS B'!$F$6:$F$135,'FCPIS B'!$B$6:$B$135,'PIS B'!$A71,'FCPIS B'!$C$6:$C$135,'PIS B'!$B71)*1000</f>
        <v>0</v>
      </c>
      <c r="E71" s="13"/>
      <c r="F71" s="4">
        <f>SUMIFS('FCPIS B'!$S$138:$S$226,'FCPIS B'!$B$138:$B$226,'PIS B'!$A71,'FCPIS B'!$C$138:$C$226,'PIS B'!$B71)*1000</f>
        <v>0</v>
      </c>
      <c r="G71" s="13"/>
      <c r="H71" s="4">
        <f>SUMIFS('FCPIS B'!$S$229:$S$279,'FCPIS B'!$B$229:$B$279,'PIS B'!$A71,'FCPIS B'!$C$229:$C$279,'PIS B'!$B71)*-1000</f>
        <v>0</v>
      </c>
      <c r="I71" s="13"/>
      <c r="J71" s="4">
        <f>SUMIFS('FCPIS B'!$S$389:$S$410,'FCPIS B'!$B$389:$B$410,'PIS B'!$A71,'FCPIS B'!$C$389:$C$410,'PIS B'!$B71)*1000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B'!$R$282:$R$414,'FCPIS B'!$B$282:$B$414,'PIS B'!$A71,'FCPIS B'!$C$282:$C$414,'PIS B'!$B71)*-1000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B'!$R$6:$R$135,'FCPIS B'!$B$6:$B$135,'PIS B'!$A71,'FCPIS B'!$C$6:$C$135,'PIS B'!$B71)*1000</f>
        <v>0</v>
      </c>
      <c r="X71" s="4">
        <f t="shared" si="18"/>
        <v>0</v>
      </c>
    </row>
    <row r="72" spans="1:24">
      <c r="A72" s="6" t="s">
        <v>923</v>
      </c>
      <c r="C72" s="129" t="s">
        <v>889</v>
      </c>
      <c r="D72" s="4">
        <f>SUMIFS('FCPIS B'!$F$6:$F$135,'FCPIS B'!$B$6:$B$135,'PIS B'!$A72,'FCPIS B'!$C$6:$C$135,'PIS B'!$B72)*1000</f>
        <v>0</v>
      </c>
      <c r="E72" s="13"/>
      <c r="F72" s="4">
        <f>SUMIFS('FCPIS B'!$S$138:$S$226,'FCPIS B'!$B$138:$B$226,'PIS B'!$A72,'FCPIS B'!$C$138:$C$226,'PIS B'!$B72)*1000</f>
        <v>0</v>
      </c>
      <c r="G72" s="13"/>
      <c r="H72" s="4">
        <f>SUMIFS('FCPIS B'!$S$229:$S$279,'FCPIS B'!$B$229:$B$279,'PIS B'!$A72,'FCPIS B'!$C$229:$C$279,'PIS B'!$B72)*-1000</f>
        <v>0</v>
      </c>
      <c r="I72" s="13"/>
      <c r="J72" s="4">
        <f>SUMIFS('FCPIS B'!$S$389:$S$410,'FCPIS B'!$B$389:$B$410,'PIS B'!$A72,'FCPIS B'!$C$389:$C$410,'PIS B'!$B72)*1000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B'!$R$282:$R$414,'FCPIS B'!$B$282:$B$414,'PIS B'!$A72,'FCPIS B'!$C$282:$C$414,'PIS B'!$B72)*-1000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B'!$R$6:$R$135,'FCPIS B'!$B$6:$B$135,'PIS B'!$A72,'FCPIS B'!$C$6:$C$135,'PIS B'!$B72)*1000</f>
        <v>0</v>
      </c>
      <c r="X72" s="4">
        <f t="shared" si="18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B'!$F$6:$F$135,'FCPIS B'!$B$6:$B$135,'PIS B'!$A73,'FCPIS B'!$C$6:$C$135,'PIS B'!$B73)*1000</f>
        <v>302035559.22999996</v>
      </c>
      <c r="E73" s="13"/>
      <c r="F73" s="4">
        <f>SUMIFS('FCPIS B'!$S$138:$S$226,'FCPIS B'!$B$138:$B$226,'PIS B'!$A73,'FCPIS B'!$C$138:$C$226,'PIS B'!$B73)*1000</f>
        <v>2270019.83</v>
      </c>
      <c r="G73" s="13"/>
      <c r="H73" s="4">
        <f>SUMIFS('FCPIS B'!$S$229:$S$279,'FCPIS B'!$B$229:$B$279,'PIS B'!$A73,'FCPIS B'!$C$229:$C$279,'PIS B'!$B73)*-1000</f>
        <v>-530674.93999999994</v>
      </c>
      <c r="I73" s="13"/>
      <c r="J73" s="4">
        <f>SUMIFS('FCPIS B'!$S$389:$S$410,'FCPIS B'!$B$389:$B$410,'PIS B'!$A73,'FCPIS B'!$C$389:$C$410,'PIS B'!$B73)*1000</f>
        <v>7679581.6100000003</v>
      </c>
      <c r="K73" s="13"/>
      <c r="L73" s="4">
        <f t="shared" si="30"/>
        <v>9418926.5</v>
      </c>
      <c r="M73" s="13"/>
      <c r="N73" s="4">
        <f t="shared" si="31"/>
        <v>311454485.72999996</v>
      </c>
      <c r="O73" s="13"/>
      <c r="P73" s="9">
        <f>SUMIFS('FCPIS B'!$R$282:$R$414,'FCPIS B'!$B$282:$B$414,'PIS B'!$A73,'FCPIS B'!$C$282:$C$414,'PIS B'!$B73)*-1000</f>
        <v>-176083336.17054892</v>
      </c>
      <c r="Q73" s="2"/>
      <c r="R73" s="9">
        <f t="shared" si="32"/>
        <v>135371149.55945104</v>
      </c>
      <c r="T73" s="9">
        <f t="shared" si="34"/>
        <v>286018.4781505423</v>
      </c>
      <c r="U73" s="13"/>
      <c r="V73" s="9">
        <f t="shared" si="33"/>
        <v>-175797317.69239837</v>
      </c>
      <c r="W73" s="4">
        <f>SUMIFS('FCPIS B'!$R$6:$R$135,'FCPIS B'!$B$6:$B$135,'PIS B'!$A73,'FCPIS B'!$C$6:$C$135,'PIS B'!$B73)*1000</f>
        <v>311454485.73000002</v>
      </c>
      <c r="X73" s="4">
        <f t="shared" si="18"/>
        <v>0</v>
      </c>
    </row>
    <row r="74" spans="1:24">
      <c r="A74" s="6" t="s">
        <v>923</v>
      </c>
      <c r="C74" s="129" t="s">
        <v>56</v>
      </c>
      <c r="D74" s="4">
        <f>SUMIFS('FCPIS B'!$F$6:$F$135,'FCPIS B'!$B$6:$B$135,'PIS B'!$A74,'FCPIS B'!$C$6:$C$135,'PIS B'!$B74)*1000</f>
        <v>0</v>
      </c>
      <c r="E74" s="13"/>
      <c r="F74" s="4">
        <f>SUMIFS('FCPIS B'!$S$138:$S$226,'FCPIS B'!$B$138:$B$226,'PIS B'!$A74,'FCPIS B'!$C$138:$C$226,'PIS B'!$B74)*1000</f>
        <v>0</v>
      </c>
      <c r="G74" s="13"/>
      <c r="H74" s="4">
        <f>SUMIFS('FCPIS B'!$S$229:$S$279,'FCPIS B'!$B$229:$B$279,'PIS B'!$A74,'FCPIS B'!$C$229:$C$279,'PIS B'!$B74)*-1000</f>
        <v>0</v>
      </c>
      <c r="I74" s="13"/>
      <c r="J74" s="4">
        <f>SUMIFS('FCPIS B'!$S$389:$S$410,'FCPIS B'!$B$389:$B$410,'PIS B'!$A74,'FCPIS B'!$C$389:$C$410,'PIS B'!$B74)*1000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B'!$R$282:$R$414,'FCPIS B'!$B$282:$B$414,'PIS B'!$A74,'FCPIS B'!$C$282:$C$414,'PIS B'!$B74)*-1000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B'!$R$6:$R$135,'FCPIS B'!$B$6:$B$135,'PIS B'!$A74,'FCPIS B'!$C$6:$C$135,'PIS B'!$B74)*1000</f>
        <v>0</v>
      </c>
      <c r="X74" s="4">
        <f t="shared" si="18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B'!$F$6:$F$135,'FCPIS B'!$B$6:$B$135,'PIS B'!$A75,'FCPIS B'!$C$6:$C$135,'PIS B'!$B75)*1000</f>
        <v>2186630366.0999999</v>
      </c>
      <c r="E75" s="13"/>
      <c r="F75" s="4">
        <f>SUMIFS('FCPIS B'!$S$138:$S$226,'FCPIS B'!$B$138:$B$226,'PIS B'!$A75,'FCPIS B'!$C$138:$C$226,'PIS B'!$B75)*1000</f>
        <v>193345263.49999997</v>
      </c>
      <c r="G75" s="13"/>
      <c r="H75" s="4">
        <f>SUMIFS('FCPIS B'!$S$229:$S$279,'FCPIS B'!$B$229:$B$279,'PIS B'!$A75,'FCPIS B'!$C$229:$C$279,'PIS B'!$B75)*-1000</f>
        <v>-14856264.459999992</v>
      </c>
      <c r="I75" s="13"/>
      <c r="J75" s="4">
        <f>SUMIFS('FCPIS B'!$S$389:$S$410,'FCPIS B'!$B$389:$B$410,'PIS B'!$A75,'FCPIS B'!$C$389:$C$410,'PIS B'!$B75)*1000</f>
        <v>-5889894.8899999997</v>
      </c>
      <c r="K75" s="13"/>
      <c r="L75" s="4">
        <f t="shared" si="30"/>
        <v>172599104.15000001</v>
      </c>
      <c r="M75" s="13"/>
      <c r="N75" s="4">
        <f t="shared" si="31"/>
        <v>2359229470.25</v>
      </c>
      <c r="O75" s="13"/>
      <c r="P75" s="9">
        <f>SUMIFS('FCPIS B'!$R$282:$R$414,'FCPIS B'!$B$282:$B$414,'PIS B'!$A75,'FCPIS B'!$C$282:$C$414,'PIS B'!$B75)*-1000</f>
        <v>-507989828.88293678</v>
      </c>
      <c r="Q75" s="2"/>
      <c r="R75" s="9">
        <f t="shared" si="32"/>
        <v>1851239641.3670633</v>
      </c>
      <c r="T75" s="9">
        <f t="shared" si="34"/>
        <v>24361160.767430648</v>
      </c>
      <c r="U75" s="13"/>
      <c r="V75" s="9">
        <f t="shared" si="33"/>
        <v>-483628668.11550611</v>
      </c>
      <c r="W75" s="4">
        <f>SUMIFS('FCPIS B'!$R$6:$R$135,'FCPIS B'!$B$6:$B$135,'PIS B'!$A75,'FCPIS B'!$C$6:$C$135,'PIS B'!$B75)*1000</f>
        <v>2359229470.4099998</v>
      </c>
      <c r="X75" s="4">
        <f t="shared" si="18"/>
        <v>0.15999984741210938</v>
      </c>
    </row>
    <row r="76" spans="1:24">
      <c r="A76" s="6" t="s">
        <v>923</v>
      </c>
      <c r="C76" s="129" t="s">
        <v>58</v>
      </c>
      <c r="D76" s="4">
        <f>SUMIFS('FCPIS B'!$F$6:$F$135,'FCPIS B'!$B$6:$B$135,'PIS B'!$A76,'FCPIS B'!$C$6:$C$135,'PIS B'!$B76)*1000</f>
        <v>0</v>
      </c>
      <c r="E76" s="13"/>
      <c r="F76" s="4">
        <f>SUMIFS('FCPIS B'!$S$138:$S$226,'FCPIS B'!$B$138:$B$226,'PIS B'!$A76,'FCPIS B'!$C$138:$C$226,'PIS B'!$B76)*1000</f>
        <v>0</v>
      </c>
      <c r="G76" s="13"/>
      <c r="H76" s="4">
        <f>SUMIFS('FCPIS B'!$S$229:$S$279,'FCPIS B'!$B$229:$B$279,'PIS B'!$A76,'FCPIS B'!$C$229:$C$279,'PIS B'!$B76)*-1000</f>
        <v>0</v>
      </c>
      <c r="I76" s="13"/>
      <c r="J76" s="4">
        <f>SUMIFS('FCPIS B'!$S$389:$S$410,'FCPIS B'!$B$389:$B$410,'PIS B'!$A76,'FCPIS B'!$C$389:$C$410,'PIS B'!$B76)*1000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B'!$R$282:$R$414,'FCPIS B'!$B$282:$B$414,'PIS B'!$A76,'FCPIS B'!$C$282:$C$414,'PIS B'!$B76)*-1000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B'!$R$6:$R$135,'FCPIS B'!$B$6:$B$135,'PIS B'!$A76,'FCPIS B'!$C$6:$C$135,'PIS B'!$B76)*1000</f>
        <v>0</v>
      </c>
      <c r="X76" s="4">
        <f t="shared" si="18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B'!$F$6:$F$135,'FCPIS B'!$B$6:$B$135,'PIS B'!$A77,'FCPIS B'!$C$6:$C$135,'PIS B'!$B77)*1000</f>
        <v>226849693.17000002</v>
      </c>
      <c r="E77" s="13"/>
      <c r="F77" s="4">
        <f>SUMIFS('FCPIS B'!$S$138:$S$226,'FCPIS B'!$B$138:$B$226,'PIS B'!$A77,'FCPIS B'!$C$138:$C$226,'PIS B'!$B77)*1000</f>
        <v>9390248.9500000011</v>
      </c>
      <c r="G77" s="13"/>
      <c r="H77" s="4">
        <f>SUMIFS('FCPIS B'!$S$229:$S$279,'FCPIS B'!$B$229:$B$279,'PIS B'!$A77,'FCPIS B'!$C$229:$C$279,'PIS B'!$B77)*-1000</f>
        <v>-280325.81</v>
      </c>
      <c r="I77" s="13"/>
      <c r="J77" s="4">
        <f>SUMIFS('FCPIS B'!$S$389:$S$410,'FCPIS B'!$B$389:$B$410,'PIS B'!$A77,'FCPIS B'!$C$389:$C$410,'PIS B'!$B77)*1000</f>
        <v>-1180443.6200000001</v>
      </c>
      <c r="K77" s="13"/>
      <c r="L77" s="4">
        <f t="shared" si="30"/>
        <v>7929479.5200000005</v>
      </c>
      <c r="M77" s="13"/>
      <c r="N77" s="4">
        <f t="shared" si="31"/>
        <v>234779172.69000003</v>
      </c>
      <c r="O77" s="13"/>
      <c r="P77" s="9">
        <f>SUMIFS('FCPIS B'!$R$282:$R$414,'FCPIS B'!$B$282:$B$414,'PIS B'!$A77,'FCPIS B'!$C$282:$C$414,'PIS B'!$B77)*-1000</f>
        <v>-109108412.978471</v>
      </c>
      <c r="Q77" s="2"/>
      <c r="R77" s="9">
        <f t="shared" si="32"/>
        <v>125670759.71152903</v>
      </c>
      <c r="T77" s="9">
        <f t="shared" si="34"/>
        <v>1183154.7366411018</v>
      </c>
      <c r="U77" s="13"/>
      <c r="V77" s="9">
        <f t="shared" si="33"/>
        <v>-107925258.24182989</v>
      </c>
      <c r="W77" s="4">
        <f>SUMIFS('FCPIS B'!$R$6:$R$135,'FCPIS B'!$B$6:$B$135,'PIS B'!$A77,'FCPIS B'!$C$6:$C$135,'PIS B'!$B77)*1000</f>
        <v>234779172.68999898</v>
      </c>
      <c r="X77" s="4">
        <f>W77-N77</f>
        <v>-1.0430812835693359E-6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B'!$F$6:$F$135,'FCPIS B'!$B$6:$B$135,'PIS B'!$A78,'FCPIS B'!$C$6:$C$135,'PIS B'!$B78)*1000</f>
        <v>182395484.26999998</v>
      </c>
      <c r="E78" s="13"/>
      <c r="F78" s="4">
        <f>SUMIFS('FCPIS B'!$S$138:$S$226,'FCPIS B'!$B$138:$B$226,'PIS B'!$A78,'FCPIS B'!$C$138:$C$226,'PIS B'!$B78)*1000</f>
        <v>1656550.0499999998</v>
      </c>
      <c r="G78" s="13"/>
      <c r="H78" s="4">
        <f>SUMIFS('FCPIS B'!$S$229:$S$279,'FCPIS B'!$B$229:$B$279,'PIS B'!$A78,'FCPIS B'!$C$229:$C$279,'PIS B'!$B78)*-1000</f>
        <v>-751240.37</v>
      </c>
      <c r="I78" s="13"/>
      <c r="J78" s="4">
        <f>SUMIFS('FCPIS B'!$S$389:$S$410,'FCPIS B'!$B$389:$B$410,'PIS B'!$A78,'FCPIS B'!$C$389:$C$410,'PIS B'!$B78)*1000</f>
        <v>-1120.8599999999999</v>
      </c>
      <c r="K78" s="13"/>
      <c r="L78" s="4">
        <f t="shared" si="30"/>
        <v>904188.81999999983</v>
      </c>
      <c r="M78" s="13"/>
      <c r="N78" s="4">
        <f t="shared" si="31"/>
        <v>183299673.08999997</v>
      </c>
      <c r="O78" s="13"/>
      <c r="P78" s="9">
        <f>SUMIFS('FCPIS B'!$R$282:$R$414,'FCPIS B'!$B$282:$B$414,'PIS B'!$A78,'FCPIS B'!$C$282:$C$414,'PIS B'!$B78)*-1000</f>
        <v>-90489183.232816577</v>
      </c>
      <c r="Q78" s="2"/>
      <c r="R78" s="9">
        <f t="shared" si="32"/>
        <v>92810489.857183397</v>
      </c>
      <c r="T78" s="9">
        <f t="shared" si="34"/>
        <v>208722.37238614992</v>
      </c>
      <c r="U78" s="13"/>
      <c r="V78" s="9">
        <f t="shared" si="33"/>
        <v>-90280460.860430434</v>
      </c>
      <c r="W78" s="4">
        <f>SUMIFS('FCPIS B'!$R$6:$R$135,'FCPIS B'!$B$6:$B$135,'PIS B'!$A78,'FCPIS B'!$C$6:$C$135,'PIS B'!$B78)*1000</f>
        <v>183299673.09</v>
      </c>
      <c r="X78" s="4">
        <f>W78-N78</f>
        <v>0</v>
      </c>
    </row>
    <row r="79" spans="1:24">
      <c r="A79" s="6" t="s">
        <v>923</v>
      </c>
      <c r="C79" s="129" t="s">
        <v>61</v>
      </c>
      <c r="D79" s="4">
        <f>SUMIFS('FCPIS B'!$F$6:$F$135,'FCPIS B'!$B$6:$B$135,'PIS B'!$A79,'FCPIS B'!$C$6:$C$135,'PIS B'!$B79)*1000</f>
        <v>0</v>
      </c>
      <c r="E79" s="13"/>
      <c r="F79" s="4">
        <f>SUMIFS('FCPIS B'!$S$138:$S$226,'FCPIS B'!$B$138:$B$226,'PIS B'!$A79,'FCPIS B'!$C$138:$C$226,'PIS B'!$B79)*1000</f>
        <v>0</v>
      </c>
      <c r="G79" s="13"/>
      <c r="H79" s="4">
        <f>SUMIFS('FCPIS B'!$S$229:$S$279,'FCPIS B'!$B$229:$B$279,'PIS B'!$A79,'FCPIS B'!$C$229:$C$279,'PIS B'!$B79)*-1000</f>
        <v>0</v>
      </c>
      <c r="I79" s="13"/>
      <c r="J79" s="4">
        <f>SUMIFS('FCPIS B'!$S$389:$S$410,'FCPIS B'!$B$389:$B$410,'PIS B'!$A79,'FCPIS B'!$C$389:$C$410,'PIS B'!$B79)*1000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B'!$R$282:$R$414,'FCPIS B'!$B$282:$B$414,'PIS B'!$A79,'FCPIS B'!$C$282:$C$414,'PIS B'!$B79)*-1000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B'!$R$6:$R$135,'FCPIS B'!$B$6:$B$135,'PIS B'!$A79,'FCPIS B'!$C$6:$C$135,'PIS B'!$B79)*1000</f>
        <v>0</v>
      </c>
      <c r="X79" s="4">
        <f>W79-N79</f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B'!$F$6:$F$135,'FCPIS B'!$B$6:$B$135,'PIS B'!$A80,'FCPIS B'!$C$6:$C$135,'PIS B'!$B80)*1000</f>
        <v>20317674.809999898</v>
      </c>
      <c r="E80" s="13"/>
      <c r="F80" s="4">
        <f>SUMIFS('FCPIS B'!$S$138:$S$226,'FCPIS B'!$B$138:$B$226,'PIS B'!$A80,'FCPIS B'!$C$138:$C$226,'PIS B'!$B80)*1000</f>
        <v>727055.43999999808</v>
      </c>
      <c r="G80" s="13"/>
      <c r="H80" s="4">
        <f>SUMIFS('FCPIS B'!$S$229:$S$279,'FCPIS B'!$B$229:$B$279,'PIS B'!$A80,'FCPIS B'!$C$229:$C$279,'PIS B'!$B80)*-1000</f>
        <v>-8528.42</v>
      </c>
      <c r="I80" s="13"/>
      <c r="J80" s="4">
        <f>SUMIFS('FCPIS B'!$S$389:$S$410,'FCPIS B'!$B$389:$B$410,'PIS B'!$A80,'FCPIS B'!$C$389:$C$410,'PIS B'!$B80)*1000</f>
        <v>-608122.24</v>
      </c>
      <c r="K80" s="13"/>
      <c r="L80" s="4">
        <f t="shared" si="30"/>
        <v>110404.77999999805</v>
      </c>
      <c r="M80" s="13"/>
      <c r="N80" s="4">
        <f t="shared" si="31"/>
        <v>20428079.589999896</v>
      </c>
      <c r="O80" s="13"/>
      <c r="P80" s="9">
        <f>SUMIFS('FCPIS B'!$R$282:$R$414,'FCPIS B'!$B$282:$B$414,'PIS B'!$A80,'FCPIS B'!$C$282:$C$414,'PIS B'!$B80)*-1000</f>
        <v>-7279319.1905636964</v>
      </c>
      <c r="Q80" s="2"/>
      <c r="R80" s="9">
        <f t="shared" si="32"/>
        <v>13148760.399436198</v>
      </c>
      <c r="T80" s="9">
        <f t="shared" si="34"/>
        <v>91607.69775296298</v>
      </c>
      <c r="U80" s="13"/>
      <c r="V80" s="9">
        <f t="shared" si="33"/>
        <v>-7187711.4928107336</v>
      </c>
      <c r="W80" s="4">
        <f>SUMIFS('FCPIS B'!$R$6:$R$135,'FCPIS B'!$B$6:$B$135,'PIS B'!$A80,'FCPIS B'!$C$6:$C$135,'PIS B'!$B80)*1000</f>
        <v>20428079.589999899</v>
      </c>
      <c r="X80" s="4">
        <f>W80-N80</f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B'!$F$6:$F$135,'FCPIS B'!$B$6:$B$135,'PIS B'!$A81,'FCPIS B'!$C$6:$C$135,'PIS B'!$B81)*1000</f>
        <v>96996109.780000001</v>
      </c>
      <c r="E81" s="13"/>
      <c r="F81" s="4">
        <f>SUMIFS('FCPIS B'!$S$138:$S$226,'FCPIS B'!$B$138:$B$226,'PIS B'!$A81,'FCPIS B'!$C$138:$C$226,'PIS B'!$B81)*1000</f>
        <v>0</v>
      </c>
      <c r="G81" s="13"/>
      <c r="H81" s="4">
        <f>SUMIFS('FCPIS B'!$S$229:$S$279,'FCPIS B'!$B$229:$B$279,'PIS B'!$A81,'FCPIS B'!$C$229:$C$279,'PIS B'!$B81)*-1000</f>
        <v>-2465169.08</v>
      </c>
      <c r="I81" s="13"/>
      <c r="J81" s="4">
        <f>SUMIFS('FCPIS B'!$S$389:$S$410,'FCPIS B'!$B$389:$B$410,'PIS B'!$A81,'FCPIS B'!$C$389:$C$410,'PIS B'!$B81)*1000</f>
        <v>-5344040.6000000006</v>
      </c>
      <c r="K81" s="13"/>
      <c r="L81" s="4">
        <f t="shared" si="30"/>
        <v>-7809209.6800000006</v>
      </c>
      <c r="M81" s="13"/>
      <c r="N81" s="4">
        <f t="shared" si="31"/>
        <v>89186900.099999994</v>
      </c>
      <c r="O81" s="13"/>
      <c r="P81" s="9">
        <f>SUMIFS('FCPIS B'!$R$282:$R$414,'FCPIS B'!$B$282:$B$414,'PIS B'!$A81,'FCPIS B'!$C$282:$C$414,'PIS B'!$B81)*-1000</f>
        <v>-46087418.159356192</v>
      </c>
      <c r="Q81" s="2"/>
      <c r="R81" s="9">
        <f t="shared" si="32"/>
        <v>43099481.940643802</v>
      </c>
      <c r="T81" s="9">
        <f t="shared" si="34"/>
        <v>0</v>
      </c>
      <c r="U81" s="13"/>
      <c r="V81" s="9">
        <f t="shared" si="33"/>
        <v>-46087418.159356192</v>
      </c>
      <c r="W81" s="4">
        <f>SUMIFS('FCPIS B'!$R$6:$R$135,'FCPIS B'!$B$6:$B$135,'PIS B'!$A81,'FCPIS B'!$C$6:$C$135,'PIS B'!$B81)*1000</f>
        <v>89186900.099999994</v>
      </c>
      <c r="X81" s="4">
        <f>W81-N81</f>
        <v>0</v>
      </c>
    </row>
    <row r="82" spans="1:24">
      <c r="A82" s="6" t="s">
        <v>923</v>
      </c>
      <c r="B82" s="6" t="str">
        <f>MID(C82,2,3)</f>
        <v/>
      </c>
      <c r="C82" s="129"/>
      <c r="D82" s="784">
        <f>SUM(D70:D81)</f>
        <v>3024097591.1600003</v>
      </c>
      <c r="E82" s="130"/>
      <c r="F82" s="784">
        <f>SUM(F70:F81)</f>
        <v>209750565.22999996</v>
      </c>
      <c r="G82" s="130"/>
      <c r="H82" s="784">
        <f>SUM(H70:H81)</f>
        <v>-18892203.079999991</v>
      </c>
      <c r="I82" s="130"/>
      <c r="J82" s="784">
        <f>SUM(J70:J81)</f>
        <v>-5344040.5999999996</v>
      </c>
      <c r="K82" s="130"/>
      <c r="L82" s="784">
        <f>SUM(L70:L81)</f>
        <v>185514321.54999998</v>
      </c>
      <c r="M82" s="130"/>
      <c r="N82" s="784">
        <f>SUM(N70:N81)</f>
        <v>3209611912.7099996</v>
      </c>
      <c r="O82" s="129"/>
      <c r="P82" s="784">
        <f>SUM(P70:P81)</f>
        <v>-937037498.61469316</v>
      </c>
      <c r="Q82" s="129"/>
      <c r="R82" s="784">
        <f>SUM(R70:R81)</f>
        <v>2272574414.0953064</v>
      </c>
      <c r="S82" s="129"/>
      <c r="T82" s="784">
        <f>SUM('FC CWIP &amp; RWIP B'!P29:P32)*1000</f>
        <v>26428199.73</v>
      </c>
      <c r="U82" s="2"/>
      <c r="V82" s="784">
        <f t="shared" si="33"/>
        <v>-910609298.88469315</v>
      </c>
      <c r="W82" s="4"/>
      <c r="X82" s="4"/>
    </row>
    <row r="83" spans="1:24">
      <c r="A83" s="6" t="s">
        <v>923</v>
      </c>
      <c r="B83" s="6" t="str">
        <f>MID(C83,2,3)</f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B'!$F$6:$F$135,'FCPIS B'!$B$6:$B$135,'PIS B'!$A85,'FCPIS B'!$C$6:$C$135,'PIS B'!$B85)*1000</f>
        <v>11144162.02</v>
      </c>
      <c r="E85" s="13"/>
      <c r="F85" s="4">
        <f>SUMIFS('FCPIS B'!$S$138:$S$226,'FCPIS B'!$B$138:$B$226,'PIS B'!$A85,'FCPIS B'!$C$138:$C$226,'PIS B'!$B85)*1000</f>
        <v>0</v>
      </c>
      <c r="G85" s="13"/>
      <c r="H85" s="4">
        <f>SUMIFS('FCPIS B'!$S$229:$S$279,'FCPIS B'!$B$229:$B$279,'PIS B'!$A85,'FCPIS B'!$C$229:$C$279,'PIS B'!$B85)*-1000</f>
        <v>0</v>
      </c>
      <c r="I85" s="13"/>
      <c r="J85" s="4">
        <f>SUMIFS('FCPIS B'!$S$389:$S$410,'FCPIS B'!$B$389:$B$410,'PIS B'!$A85,'FCPIS B'!$C$389:$C$410,'PIS B'!$B85)*1000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B'!$R$282:$R$414,'FCPIS B'!$B$282:$B$414,'PIS B'!$A85,'FCPIS B'!$C$282:$C$414,'PIS B'!$B85)*-1000</f>
        <v>-3302315.7097659996</v>
      </c>
      <c r="Q85" s="2"/>
      <c r="R85" s="9">
        <f t="shared" ref="R85:R96" si="38">SUM(N85:P85)</f>
        <v>7841846.310234</v>
      </c>
      <c r="T85" s="9">
        <f>F85/F$97*T$97</f>
        <v>0</v>
      </c>
      <c r="U85" s="13"/>
      <c r="V85" s="9">
        <f t="shared" ref="V85:V97" si="39">P85+T85</f>
        <v>-3302315.7097659996</v>
      </c>
      <c r="W85" s="4">
        <f>SUMIFS('FCPIS B'!$R$6:$R$135,'FCPIS B'!$B$6:$B$135,'PIS B'!$A85,'FCPIS B'!$C$6:$C$135,'PIS B'!$B85)*1000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B'!$F$6:$F$135,'FCPIS B'!$B$6:$B$135,'PIS B'!$A86,'FCPIS B'!$C$6:$C$135,'PIS B'!$B86)*1000</f>
        <v>0</v>
      </c>
      <c r="E86" s="13"/>
      <c r="F86" s="4">
        <f>SUMIFS('FCPIS B'!$S$138:$S$226,'FCPIS B'!$B$138:$B$226,'PIS B'!$A86,'FCPIS B'!$C$138:$C$226,'PIS B'!$B86)*1000</f>
        <v>0</v>
      </c>
      <c r="G86" s="13"/>
      <c r="H86" s="4">
        <f>SUMIFS('FCPIS B'!$S$229:$S$279,'FCPIS B'!$B$229:$B$279,'PIS B'!$A86,'FCPIS B'!$C$229:$C$279,'PIS B'!$B86)*-1000</f>
        <v>0</v>
      </c>
      <c r="I86" s="13"/>
      <c r="J86" s="4">
        <f>SUMIFS('FCPIS B'!$S$389:$S$410,'FCPIS B'!$B$389:$B$410,'PIS B'!$A86,'FCPIS B'!$C$389:$C$410,'PIS B'!$B86)*1000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B'!$R$282:$R$414,'FCPIS B'!$B$282:$B$414,'PIS B'!$A86,'FCPIS B'!$C$282:$C$414,'PIS B'!$B86)*-1000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B'!$R$6:$R$135,'FCPIS B'!$B$6:$B$135,'PIS B'!$A86,'FCPIS B'!$C$6:$C$135,'PIS B'!$B86)*1000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B'!$F$6:$F$135,'FCPIS B'!$B$6:$B$135,'PIS B'!$A87,'FCPIS B'!$C$6:$C$135,'PIS B'!$B87)*1000</f>
        <v>17126016.730000004</v>
      </c>
      <c r="E87" s="13"/>
      <c r="F87" s="4">
        <f>SUMIFS('FCPIS B'!$S$138:$S$226,'FCPIS B'!$B$138:$B$226,'PIS B'!$A87,'FCPIS B'!$C$138:$C$226,'PIS B'!$B87)*1000</f>
        <v>589954.00000000012</v>
      </c>
      <c r="G87" s="13"/>
      <c r="H87" s="4">
        <f>SUMIFS('FCPIS B'!$S$229:$S$279,'FCPIS B'!$B$229:$B$279,'PIS B'!$A87,'FCPIS B'!$C$229:$C$279,'PIS B'!$B87)*-1000</f>
        <v>-11500.340000000002</v>
      </c>
      <c r="I87" s="13"/>
      <c r="J87" s="4">
        <f>SUMIFS('FCPIS B'!$S$389:$S$410,'FCPIS B'!$B$389:$B$410,'PIS B'!$A87,'FCPIS B'!$C$389:$C$410,'PIS B'!$B87)*1000</f>
        <v>0</v>
      </c>
      <c r="K87" s="13"/>
      <c r="L87" s="4">
        <f t="shared" si="36"/>
        <v>578453.66000000015</v>
      </c>
      <c r="M87" s="13"/>
      <c r="N87" s="4">
        <f t="shared" si="37"/>
        <v>17704470.390000004</v>
      </c>
      <c r="O87" s="13"/>
      <c r="P87" s="9">
        <f>SUMIFS('FCPIS B'!$R$282:$R$414,'FCPIS B'!$B$282:$B$414,'PIS B'!$A87,'FCPIS B'!$C$282:$C$414,'PIS B'!$B87)*-1000</f>
        <v>-2674592.1349077988</v>
      </c>
      <c r="Q87" s="2"/>
      <c r="R87" s="9">
        <f t="shared" si="38"/>
        <v>15029878.255092205</v>
      </c>
      <c r="T87" s="9">
        <f t="shared" si="41"/>
        <v>936.19927117346208</v>
      </c>
      <c r="U87" s="13"/>
      <c r="V87" s="9">
        <f t="shared" si="39"/>
        <v>-2673655.9356366252</v>
      </c>
      <c r="W87" s="4">
        <f>SUMIFS('FCPIS B'!$R$6:$R$135,'FCPIS B'!$B$6:$B$135,'PIS B'!$A87,'FCPIS B'!$C$6:$C$135,'PIS B'!$B87)*1000</f>
        <v>17704470.390000001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B'!$F$6:$F$135,'FCPIS B'!$B$6:$B$135,'PIS B'!$A88,'FCPIS B'!$C$6:$C$135,'PIS B'!$B88)*1000</f>
        <v>196595055.59999999</v>
      </c>
      <c r="E88" s="13"/>
      <c r="F88" s="4">
        <f>SUMIFS('FCPIS B'!$S$138:$S$226,'FCPIS B'!$B$138:$B$226,'PIS B'!$A88,'FCPIS B'!$C$138:$C$226,'PIS B'!$B88)*1000</f>
        <v>37090810.43</v>
      </c>
      <c r="G88" s="13"/>
      <c r="H88" s="4">
        <f>SUMIFS('FCPIS B'!$S$229:$S$279,'FCPIS B'!$B$229:$B$279,'PIS B'!$A88,'FCPIS B'!$C$229:$C$279,'PIS B'!$B88)*-1000</f>
        <v>-2000671.9099999992</v>
      </c>
      <c r="I88" s="13"/>
      <c r="J88" s="4">
        <f>SUMIFS('FCPIS B'!$S$389:$S$410,'FCPIS B'!$B$389:$B$410,'PIS B'!$A88,'FCPIS B'!$C$389:$C$410,'PIS B'!$B88)*1000</f>
        <v>485287</v>
      </c>
      <c r="K88" s="13"/>
      <c r="L88" s="4">
        <f t="shared" si="36"/>
        <v>35575425.520000003</v>
      </c>
      <c r="M88" s="13"/>
      <c r="N88" s="4">
        <f t="shared" si="37"/>
        <v>232170481.12</v>
      </c>
      <c r="O88" s="13"/>
      <c r="P88" s="9">
        <f>SUMIFS('FCPIS B'!$R$282:$R$414,'FCPIS B'!$B$282:$B$414,'PIS B'!$A88,'FCPIS B'!$C$282:$C$414,'PIS B'!$B88)*-1000</f>
        <v>-69839250.913277477</v>
      </c>
      <c r="Q88" s="2"/>
      <c r="R88" s="9">
        <f t="shared" si="38"/>
        <v>162331230.20672253</v>
      </c>
      <c r="T88" s="9">
        <f t="shared" si="41"/>
        <v>58859.486827445937</v>
      </c>
      <c r="U88" s="13"/>
      <c r="V88" s="9">
        <f t="shared" si="39"/>
        <v>-69780391.426450029</v>
      </c>
      <c r="W88" s="4">
        <f>SUMIFS('FCPIS B'!$R$6:$R$135,'FCPIS B'!$B$6:$B$135,'PIS B'!$A88,'FCPIS B'!$C$6:$C$135,'PIS B'!$B88)*1000</f>
        <v>232170481.06999999</v>
      </c>
      <c r="X88" s="4">
        <f t="shared" si="40"/>
        <v>-5.0000011920928955E-2</v>
      </c>
    </row>
    <row r="89" spans="1:24">
      <c r="A89" s="6" t="s">
        <v>923</v>
      </c>
      <c r="C89" s="129" t="s">
        <v>69</v>
      </c>
      <c r="D89" s="4">
        <f>SUMIFS('FCPIS B'!$F$6:$F$135,'FCPIS B'!$B$6:$B$135,'PIS B'!$A89,'FCPIS B'!$C$6:$C$135,'PIS B'!$B89)*1000</f>
        <v>0</v>
      </c>
      <c r="E89" s="13"/>
      <c r="F89" s="4">
        <f>SUMIFS('FCPIS B'!$S$138:$S$226,'FCPIS B'!$B$138:$B$226,'PIS B'!$A89,'FCPIS B'!$C$138:$C$226,'PIS B'!$B89)*1000</f>
        <v>0</v>
      </c>
      <c r="G89" s="13"/>
      <c r="H89" s="4">
        <f>SUMIFS('FCPIS B'!$S$229:$S$279,'FCPIS B'!$B$229:$B$279,'PIS B'!$A89,'FCPIS B'!$C$229:$C$279,'PIS B'!$B89)*-1000</f>
        <v>0</v>
      </c>
      <c r="I89" s="13"/>
      <c r="J89" s="4">
        <f>SUMIFS('FCPIS B'!$S$389:$S$410,'FCPIS B'!$B$389:$B$410,'PIS B'!$A89,'FCPIS B'!$C$389:$C$410,'PIS B'!$B89)*1000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B'!$R$282:$R$414,'FCPIS B'!$B$282:$B$414,'PIS B'!$A89,'FCPIS B'!$C$282:$C$414,'PIS B'!$B89)*-1000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B'!$R$6:$R$135,'FCPIS B'!$B$6:$B$135,'PIS B'!$A89,'FCPIS B'!$C$6:$C$135,'PIS B'!$B89)*1000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B'!$F$6:$F$135,'FCPIS B'!$B$6:$B$135,'PIS B'!$A90,'FCPIS B'!$C$6:$C$135,'PIS B'!$B90)*1000</f>
        <v>43846468.93</v>
      </c>
      <c r="E90" s="13"/>
      <c r="F90" s="4">
        <f>SUMIFS('FCPIS B'!$S$138:$S$226,'FCPIS B'!$B$138:$B$226,'PIS B'!$A90,'FCPIS B'!$C$138:$C$226,'PIS B'!$B90)*1000</f>
        <v>3434.19</v>
      </c>
      <c r="G90" s="13"/>
      <c r="H90" s="4">
        <f>SUMIFS('FCPIS B'!$S$229:$S$279,'FCPIS B'!$B$229:$B$279,'PIS B'!$A90,'FCPIS B'!$C$229:$C$279,'PIS B'!$B90)*-1000</f>
        <v>-699.92</v>
      </c>
      <c r="I90" s="13"/>
      <c r="J90" s="4">
        <f>SUMIFS('FCPIS B'!$S$389:$S$410,'FCPIS B'!$B$389:$B$410,'PIS B'!$A90,'FCPIS B'!$C$389:$C$410,'PIS B'!$B90)*1000</f>
        <v>0</v>
      </c>
      <c r="K90" s="13"/>
      <c r="L90" s="4">
        <f t="shared" si="36"/>
        <v>2734.27</v>
      </c>
      <c r="M90" s="13"/>
      <c r="N90" s="4">
        <f t="shared" si="37"/>
        <v>43849203.200000003</v>
      </c>
      <c r="O90" s="13"/>
      <c r="P90" s="9">
        <f>SUMIFS('FCPIS B'!$R$282:$R$414,'FCPIS B'!$B$282:$B$414,'PIS B'!$A90,'FCPIS B'!$C$282:$C$414,'PIS B'!$B90)*-1000</f>
        <v>-26695118.549459398</v>
      </c>
      <c r="Q90" s="2"/>
      <c r="R90" s="9">
        <f t="shared" si="38"/>
        <v>17154084.650540605</v>
      </c>
      <c r="T90" s="9">
        <f t="shared" si="41"/>
        <v>5.4497234955118383</v>
      </c>
      <c r="U90" s="13"/>
      <c r="V90" s="9">
        <f t="shared" si="39"/>
        <v>-26695113.099735901</v>
      </c>
      <c r="W90" s="4">
        <f>SUMIFS('FCPIS B'!$R$6:$R$135,'FCPIS B'!$B$6:$B$135,'PIS B'!$A90,'FCPIS B'!$C$6:$C$135,'PIS B'!$B90)*1000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B'!$F$6:$F$135,'FCPIS B'!$B$6:$B$135,'PIS B'!$A91,'FCPIS B'!$C$6:$C$135,'PIS B'!$B91)*1000</f>
        <v>95073398.200000018</v>
      </c>
      <c r="E91" s="13"/>
      <c r="F91" s="4">
        <f>SUMIFS('FCPIS B'!$S$138:$S$226,'FCPIS B'!$B$138:$B$226,'PIS B'!$A91,'FCPIS B'!$C$138:$C$226,'PIS B'!$B91)*1000</f>
        <v>5553501.0800000001</v>
      </c>
      <c r="G91" s="13"/>
      <c r="H91" s="4">
        <f>SUMIFS('FCPIS B'!$S$229:$S$279,'FCPIS B'!$B$229:$B$279,'PIS B'!$A91,'FCPIS B'!$C$229:$C$279,'PIS B'!$B91)*-1000</f>
        <v>-152369.16000000003</v>
      </c>
      <c r="I91" s="13"/>
      <c r="J91" s="4">
        <f>SUMIFS('FCPIS B'!$S$389:$S$410,'FCPIS B'!$B$389:$B$410,'PIS B'!$A91,'FCPIS B'!$C$389:$C$410,'PIS B'!$B91)*1000</f>
        <v>0</v>
      </c>
      <c r="K91" s="13"/>
      <c r="L91" s="4">
        <f t="shared" si="36"/>
        <v>5401131.9199999999</v>
      </c>
      <c r="M91" s="13"/>
      <c r="N91" s="4">
        <f t="shared" si="37"/>
        <v>100474530.12000002</v>
      </c>
      <c r="O91" s="13"/>
      <c r="P91" s="9">
        <f>SUMIFS('FCPIS B'!$R$282:$R$414,'FCPIS B'!$B$282:$B$414,'PIS B'!$A91,'FCPIS B'!$C$282:$C$414,'PIS B'!$B91)*-1000</f>
        <v>-28311182.806056</v>
      </c>
      <c r="Q91" s="2"/>
      <c r="R91" s="9">
        <f t="shared" si="38"/>
        <v>72163347.313944012</v>
      </c>
      <c r="T91" s="9">
        <f t="shared" si="41"/>
        <v>8812.8628055018416</v>
      </c>
      <c r="U91" s="13"/>
      <c r="V91" s="9">
        <f t="shared" si="39"/>
        <v>-28302369.9432505</v>
      </c>
      <c r="W91" s="4">
        <f>SUMIFS('FCPIS B'!$R$6:$R$135,'FCPIS B'!$B$6:$B$135,'PIS B'!$A91,'FCPIS B'!$C$6:$C$135,'PIS B'!$B91)*1000</f>
        <v>100474530.12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B'!$F$6:$F$135,'FCPIS B'!$B$6:$B$135,'PIS B'!$A92,'FCPIS B'!$C$6:$C$135,'PIS B'!$B92)*1000</f>
        <v>59692007.940000005</v>
      </c>
      <c r="E92" s="13"/>
      <c r="F92" s="4">
        <f>SUMIFS('FCPIS B'!$S$138:$S$226,'FCPIS B'!$B$138:$B$226,'PIS B'!$A92,'FCPIS B'!$C$138:$C$226,'PIS B'!$B92)*1000</f>
        <v>1770698.0899999989</v>
      </c>
      <c r="G92" s="13"/>
      <c r="H92" s="4">
        <f>SUMIFS('FCPIS B'!$S$229:$S$279,'FCPIS B'!$B$229:$B$279,'PIS B'!$A92,'FCPIS B'!$C$229:$C$279,'PIS B'!$B92)*-1000</f>
        <v>-90334.329999999987</v>
      </c>
      <c r="I92" s="13"/>
      <c r="J92" s="4">
        <f>SUMIFS('FCPIS B'!$S$389:$S$410,'FCPIS B'!$B$389:$B$410,'PIS B'!$A92,'FCPIS B'!$C$389:$C$410,'PIS B'!$B92)*1000</f>
        <v>0</v>
      </c>
      <c r="K92" s="13"/>
      <c r="L92" s="4">
        <f t="shared" si="36"/>
        <v>1680363.7599999988</v>
      </c>
      <c r="M92" s="13"/>
      <c r="N92" s="4">
        <f t="shared" si="37"/>
        <v>61372371.700000003</v>
      </c>
      <c r="O92" s="13"/>
      <c r="P92" s="9">
        <f>SUMIFS('FCPIS B'!$R$282:$R$414,'FCPIS B'!$B$282:$B$414,'PIS B'!$A92,'FCPIS B'!$C$282:$C$414,'PIS B'!$B92)*-1000</f>
        <v>-30301342.640215892</v>
      </c>
      <c r="Q92" s="2"/>
      <c r="R92" s="9">
        <f t="shared" si="38"/>
        <v>31071029.059784111</v>
      </c>
      <c r="T92" s="9">
        <f t="shared" si="41"/>
        <v>2809.9246065392217</v>
      </c>
      <c r="U92" s="13"/>
      <c r="V92" s="9">
        <f t="shared" si="39"/>
        <v>-30298532.715609353</v>
      </c>
      <c r="W92" s="4">
        <f>SUMIFS('FCPIS B'!$R$6:$R$135,'FCPIS B'!$B$6:$B$135,'PIS B'!$A92,'FCPIS B'!$C$6:$C$135,'PIS B'!$B92)*1000</f>
        <v>61372371.700000003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B'!$F$6:$F$135,'FCPIS B'!$B$6:$B$135,'PIS B'!$A93,'FCPIS B'!$C$6:$C$135,'PIS B'!$B93)*1000</f>
        <v>1783443.32</v>
      </c>
      <c r="E93" s="13"/>
      <c r="F93" s="4">
        <f>SUMIFS('FCPIS B'!$S$138:$S$226,'FCPIS B'!$B$138:$B$226,'PIS B'!$A93,'FCPIS B'!$C$138:$C$226,'PIS B'!$B93)*1000</f>
        <v>-95630.36</v>
      </c>
      <c r="G93" s="13"/>
      <c r="H93" s="4">
        <f>SUMIFS('FCPIS B'!$S$229:$S$279,'FCPIS B'!$B$229:$B$279,'PIS B'!$A93,'FCPIS B'!$C$229:$C$279,'PIS B'!$B93)*-1000</f>
        <v>116245.73</v>
      </c>
      <c r="I93" s="13"/>
      <c r="J93" s="4">
        <f>SUMIFS('FCPIS B'!$S$389:$S$410,'FCPIS B'!$B$389:$B$410,'PIS B'!$A93,'FCPIS B'!$C$389:$C$410,'PIS B'!$B93)*1000</f>
        <v>0</v>
      </c>
      <c r="K93" s="13"/>
      <c r="L93" s="4">
        <f t="shared" si="36"/>
        <v>20615.369999999995</v>
      </c>
      <c r="M93" s="13"/>
      <c r="N93" s="4">
        <f t="shared" si="37"/>
        <v>1804058.69</v>
      </c>
      <c r="O93" s="13"/>
      <c r="P93" s="9">
        <f>SUMIFS('FCPIS B'!$R$282:$R$414,'FCPIS B'!$B$282:$B$414,'PIS B'!$A93,'FCPIS B'!$C$282:$C$414,'PIS B'!$B93)*-1000</f>
        <v>-766164.25701679999</v>
      </c>
      <c r="Q93" s="2"/>
      <c r="R93" s="9">
        <f t="shared" si="38"/>
        <v>1037894.4329831999</v>
      </c>
      <c r="T93" s="9">
        <f t="shared" si="41"/>
        <v>-151.75602391721353</v>
      </c>
      <c r="U93" s="13"/>
      <c r="V93" s="9">
        <f t="shared" si="39"/>
        <v>-766316.01304071723</v>
      </c>
      <c r="W93" s="4">
        <f>SUMIFS('FCPIS B'!$R$6:$R$135,'FCPIS B'!$B$6:$B$135,'PIS B'!$A93,'FCPIS B'!$C$6:$C$135,'PIS B'!$B93)*1000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B'!$F$6:$F$135,'FCPIS B'!$B$6:$B$135,'PIS B'!$A94,'FCPIS B'!$C$6:$C$135,'PIS B'!$B94)*1000</f>
        <v>7372066.1499999994</v>
      </c>
      <c r="E94" s="13"/>
      <c r="F94" s="4">
        <f>SUMIFS('FCPIS B'!$S$138:$S$226,'FCPIS B'!$B$138:$B$226,'PIS B'!$A94,'FCPIS B'!$C$138:$C$226,'PIS B'!$B94)*1000</f>
        <v>2831.17</v>
      </c>
      <c r="G94" s="13"/>
      <c r="H94" s="4">
        <f>SUMIFS('FCPIS B'!$S$229:$S$279,'FCPIS B'!$B$229:$B$279,'PIS B'!$A94,'FCPIS B'!$C$229:$C$279,'PIS B'!$B94)*-1000</f>
        <v>154272.5</v>
      </c>
      <c r="I94" s="13"/>
      <c r="J94" s="4">
        <f>SUMIFS('FCPIS B'!$S$389:$S$410,'FCPIS B'!$B$389:$B$410,'PIS B'!$A94,'FCPIS B'!$C$389:$C$410,'PIS B'!$B94)*1000</f>
        <v>0</v>
      </c>
      <c r="K94" s="13"/>
      <c r="L94" s="4">
        <f t="shared" si="36"/>
        <v>157103.67000000001</v>
      </c>
      <c r="M94" s="13"/>
      <c r="N94" s="4">
        <f t="shared" si="37"/>
        <v>7529169.8199999994</v>
      </c>
      <c r="O94" s="13"/>
      <c r="P94" s="9">
        <f>SUMIFS('FCPIS B'!$R$282:$R$414,'FCPIS B'!$B$282:$B$414,'PIS B'!$A94,'FCPIS B'!$C$282:$C$414,'PIS B'!$B94)*-1000</f>
        <v>-3616360.2241790001</v>
      </c>
      <c r="Q94" s="2"/>
      <c r="R94" s="9">
        <f t="shared" si="38"/>
        <v>3912809.5958209992</v>
      </c>
      <c r="T94" s="9">
        <f t="shared" si="41"/>
        <v>4.4927897608426601</v>
      </c>
      <c r="U94" s="13"/>
      <c r="V94" s="9">
        <f t="shared" si="39"/>
        <v>-3616355.7313892394</v>
      </c>
      <c r="W94" s="4">
        <f>SUMIFS('FCPIS B'!$R$6:$R$135,'FCPIS B'!$B$6:$B$135,'PIS B'!$A94,'FCPIS B'!$C$6:$C$135,'PIS B'!$B94)*1000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B'!$F$6:$F$135,'FCPIS B'!$B$6:$B$135,'PIS B'!$A95,'FCPIS B'!$C$6:$C$135,'PIS B'!$B95)*1000</f>
        <v>0</v>
      </c>
      <c r="E95" s="13"/>
      <c r="F95" s="4">
        <f>SUMIFS('FCPIS B'!$S$138:$S$226,'FCPIS B'!$B$138:$B$226,'PIS B'!$A95,'FCPIS B'!$C$138:$C$226,'PIS B'!$B95)*1000</f>
        <v>0</v>
      </c>
      <c r="G95" s="13"/>
      <c r="H95" s="4">
        <f>SUMIFS('FCPIS B'!$S$229:$S$279,'FCPIS B'!$B$229:$B$279,'PIS B'!$A95,'FCPIS B'!$C$229:$C$279,'PIS B'!$B95)*-1000</f>
        <v>0</v>
      </c>
      <c r="I95" s="13"/>
      <c r="J95" s="4">
        <f>SUMIFS('FCPIS B'!$S$389:$S$410,'FCPIS B'!$B$389:$B$410,'PIS B'!$A95,'FCPIS B'!$C$389:$C$410,'PIS B'!$B95)*1000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B'!$R$282:$R$414,'FCPIS B'!$B$282:$B$414,'PIS B'!$A95,'FCPIS B'!$C$282:$C$414,'PIS B'!$B95)*-1000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B'!$R$6:$R$135,'FCPIS B'!$B$6:$B$135,'PIS B'!$A95,'FCPIS B'!$C$6:$C$135,'PIS B'!$B95)*1000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B'!$F$6:$F$135,'FCPIS B'!$B$6:$B$135,'PIS B'!$A96,'FCPIS B'!$C$6:$C$135,'PIS B'!$B96)*1000</f>
        <v>197171.33000000002</v>
      </c>
      <c r="E96" s="13"/>
      <c r="F96" s="4">
        <f>SUMIFS('FCPIS B'!$S$138:$S$226,'FCPIS B'!$B$138:$B$226,'PIS B'!$A96,'FCPIS B'!$C$138:$C$226,'PIS B'!$B96)*1000</f>
        <v>0</v>
      </c>
      <c r="G96" s="13"/>
      <c r="H96" s="4">
        <f>SUMIFS('FCPIS B'!$S$229:$S$279,'FCPIS B'!$B$229:$B$279,'PIS B'!$A96,'FCPIS B'!$C$229:$C$279,'PIS B'!$B96)*-1000</f>
        <v>-1208.8799999999999</v>
      </c>
      <c r="I96" s="13"/>
      <c r="J96" s="4">
        <f>SUMIFS('FCPIS B'!$S$389:$S$410,'FCPIS B'!$B$389:$B$410,'PIS B'!$A96,'FCPIS B'!$C$389:$C$410,'PIS B'!$B96)*1000</f>
        <v>0</v>
      </c>
      <c r="K96" s="13"/>
      <c r="L96" s="4">
        <f t="shared" si="36"/>
        <v>-1208.8799999999999</v>
      </c>
      <c r="M96" s="13"/>
      <c r="N96" s="4">
        <f t="shared" si="37"/>
        <v>195962.45</v>
      </c>
      <c r="O96" s="13"/>
      <c r="P96" s="9">
        <f>SUMIFS('FCPIS B'!$R$282:$R$414,'FCPIS B'!$B$282:$B$414,'PIS B'!$A96,'FCPIS B'!$C$282:$C$414,'PIS B'!$B96)*-1000</f>
        <v>-42833.828570921003</v>
      </c>
      <c r="Q96" s="2"/>
      <c r="R96" s="9">
        <f t="shared" si="38"/>
        <v>153128.62142907901</v>
      </c>
      <c r="T96" s="9">
        <f t="shared" si="41"/>
        <v>0</v>
      </c>
      <c r="U96" s="13"/>
      <c r="V96" s="9">
        <f t="shared" si="39"/>
        <v>-42833.828570921003</v>
      </c>
      <c r="W96" s="4">
        <f>SUMIFS('FCPIS B'!$R$6:$R$135,'FCPIS B'!$B$6:$B$135,'PIS B'!$A96,'FCPIS B'!$C$6:$C$135,'PIS B'!$B96)*1000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432829790.21999997</v>
      </c>
      <c r="E97" s="130"/>
      <c r="F97" s="784">
        <f>SUM(F85:F96)</f>
        <v>44915598.599999994</v>
      </c>
      <c r="G97" s="130"/>
      <c r="H97" s="784">
        <f>SUM(H85:H96)</f>
        <v>-1986266.3099999991</v>
      </c>
      <c r="I97" s="130"/>
      <c r="J97" s="784">
        <f>SUM(J85:J96)</f>
        <v>485287</v>
      </c>
      <c r="K97" s="130"/>
      <c r="L97" s="784">
        <f>SUM(L85:L96)</f>
        <v>43414619.290000007</v>
      </c>
      <c r="M97" s="130"/>
      <c r="N97" s="784">
        <f>SUM(N85:N96)</f>
        <v>476244409.50999999</v>
      </c>
      <c r="O97" s="129"/>
      <c r="P97" s="784">
        <f>SUM(P85:P96)</f>
        <v>-165549161.06344932</v>
      </c>
      <c r="Q97" s="129"/>
      <c r="R97" s="784">
        <f>SUM(R85:R96)</f>
        <v>310695248.44655085</v>
      </c>
      <c r="S97" s="129"/>
      <c r="T97" s="784">
        <f>'FC CWIP &amp; RWIP B'!P33*1000</f>
        <v>71276.659999999596</v>
      </c>
      <c r="U97" s="2"/>
      <c r="V97" s="784">
        <f t="shared" si="39"/>
        <v>-165477884.40344933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5.75" thickBot="1">
      <c r="C100" s="131" t="s">
        <v>890</v>
      </c>
      <c r="D100" s="788">
        <f>D97+D82+D67+D55+D50+D39+D29</f>
        <v>5393473091.75</v>
      </c>
      <c r="E100" s="789"/>
      <c r="F100" s="788">
        <f>F97+F82+F67+F55+F50+F39+F29</f>
        <v>378614457.82999992</v>
      </c>
      <c r="G100" s="789"/>
      <c r="H100" s="788">
        <f>H97+H82+H67+H55+H50+H39+H29</f>
        <v>-30008251.839999985</v>
      </c>
      <c r="I100" s="789"/>
      <c r="J100" s="788">
        <f>J97+J82+J67+J55+J50+J39+J29</f>
        <v>-5344040.5999999996</v>
      </c>
      <c r="K100" s="789"/>
      <c r="L100" s="788">
        <f>L97+L82+L67+L55+L50+L39+L29</f>
        <v>343262165.38999993</v>
      </c>
      <c r="M100" s="789"/>
      <c r="N100" s="788">
        <f>N97+N82+N67+N55+N50+N39+N29</f>
        <v>5736735257.1399994</v>
      </c>
      <c r="O100" s="789"/>
      <c r="P100" s="788">
        <f>P97+P82+P67+P55+P50+P39+P29</f>
        <v>-1798477675.4558172</v>
      </c>
      <c r="Q100" s="132"/>
      <c r="R100" s="788">
        <f>R97+R82+R67+R55+R50+R39+R29</f>
        <v>3938257581.6841826</v>
      </c>
      <c r="T100" s="788">
        <f>T97+T82+T67+T55+T50+T39+T29</f>
        <v>26579227.789999999</v>
      </c>
      <c r="V100" s="788">
        <f>V97+V82+V67+V55+V50+V39+V29</f>
        <v>-1771898447.665817</v>
      </c>
      <c r="W100" s="176"/>
      <c r="X100" s="176"/>
    </row>
    <row r="101" spans="1:24" s="174" customFormat="1" ht="13.5" thickTop="1">
      <c r="C101" s="790" t="s">
        <v>1532</v>
      </c>
      <c r="D101" s="176">
        <v>5393473092.3400002</v>
      </c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176">
        <f>'FC CWIP &amp; RWIP B'!P34*1000</f>
        <v>26579227.790000003</v>
      </c>
      <c r="W101" s="176"/>
      <c r="X101" s="176"/>
    </row>
    <row r="102" spans="1:24" s="174" customFormat="1">
      <c r="D102" s="176">
        <f>D100-D101</f>
        <v>-0.59000015258789063</v>
      </c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T102" s="176">
        <f>T100-T101</f>
        <v>0</v>
      </c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B'!$F$6:$F$135,'FCPIS B'!$B$6:$B$135,'PIS B'!$A110,'FCPIS B'!$C$6:$C$135,'PIS B'!$B110)*1000*$A$4</f>
        <v>1079432.1152999999</v>
      </c>
      <c r="E110" s="13"/>
      <c r="F110" s="4">
        <f>SUMIFS('FCPIS B'!$S$138:$S$226,'FCPIS B'!$B$138:$B$226,'PIS B'!$A110,'FCPIS B'!$C$138:$C$226,'PIS B'!$B110)*1000*$A$4</f>
        <v>0</v>
      </c>
      <c r="G110" s="13"/>
      <c r="H110" s="4">
        <f>SUMIFS('FCPIS B'!$S$229:$S$279,'FCPIS B'!$B$229:$B$279,'PIS B'!$A110,'FCPIS B'!$C$229:$C$279,'PIS B'!$B110)*-1000*$A$4</f>
        <v>0</v>
      </c>
      <c r="I110" s="13"/>
      <c r="J110" s="4">
        <f>SUMIFS('FCPIS B'!$S$389:$S$410,'FCPIS B'!$B$389:$B$410,'PIS B'!$A110,'FCPIS B'!$C$389:$C$410,'PIS B'!$B110)*1000*$A$4</f>
        <v>0</v>
      </c>
      <c r="K110" s="13"/>
      <c r="L110" s="4">
        <f>SUM(F110:J110)</f>
        <v>0</v>
      </c>
      <c r="M110" s="13"/>
      <c r="N110" s="4">
        <f>D110+L110</f>
        <v>1079432.1152999999</v>
      </c>
      <c r="O110" s="13"/>
      <c r="P110" s="9">
        <f>SUMIFS('FCPIS B'!$R$282:$R$414,'FCPIS B'!$B$282:$B$414,'PIS B'!$A110,'FCPIS B'!$C$282:$C$414,'PIS B'!$B110)*-1000*$A$4</f>
        <v>0</v>
      </c>
      <c r="Q110" s="2"/>
      <c r="R110" s="9">
        <f>SUM(N110:P110)</f>
        <v>1079432.1152999999</v>
      </c>
      <c r="S110" s="6"/>
      <c r="T110" s="9">
        <f>F110/F$140*T$140</f>
        <v>0</v>
      </c>
      <c r="U110" s="13"/>
      <c r="V110" s="9">
        <f t="shared" ref="V110:V139" si="43">P110+T110</f>
        <v>0</v>
      </c>
      <c r="W110" s="4">
        <f>SUMIFS('FCPIS B'!$R$6:$R$135,'FCPIS B'!$B$6:$B$135,'PIS B'!$A110,'FCPIS B'!$C$6:$C$135,'PIS B'!$B110)*1000*$A$4</f>
        <v>1079432.1152999999</v>
      </c>
      <c r="X110" s="4">
        <f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B'!$F$6:$F$135,'FCPIS B'!$B$6:$B$135,'PIS B'!$A111,'FCPIS B'!$C$6:$C$135,'PIS B'!$B111)*1000*$A$4</f>
        <v>0</v>
      </c>
      <c r="E111" s="130"/>
      <c r="F111" s="130">
        <f>SUMIFS('FCPIS B'!$S$138:$S$226,'FCPIS B'!$B$138:$B$226,'PIS B'!$A111,'FCPIS B'!$C$138:$C$226,'PIS B'!$B111)*1000*$A$4</f>
        <v>0</v>
      </c>
      <c r="G111" s="130"/>
      <c r="H111" s="130">
        <f>SUMIFS('FCPIS B'!$S$229:$S$279,'FCPIS B'!$B$229:$B$279,'PIS B'!$A111,'FCPIS B'!$C$229:$C$279,'PIS B'!$B111)*-1000*$A$4</f>
        <v>0</v>
      </c>
      <c r="I111" s="130"/>
      <c r="J111" s="130">
        <f>SUMIFS('FCPIS B'!$S$389:$S$410,'FCPIS B'!$B$389:$B$410,'PIS B'!$A111,'FCPIS B'!$C$389:$C$410,'PIS B'!$B111)*1000*$A$4</f>
        <v>0</v>
      </c>
      <c r="K111" s="130"/>
      <c r="L111" s="130">
        <f t="shared" ref="L111:L139" si="44">SUM(F111:J111)</f>
        <v>0</v>
      </c>
      <c r="M111" s="130"/>
      <c r="N111" s="785">
        <f t="shared" ref="N111:N139" si="45">D111+L111</f>
        <v>0</v>
      </c>
      <c r="O111" s="129"/>
      <c r="P111" s="786">
        <f>SUMIFS('FCPIS B'!$R$282:$R$414,'FCPIS B'!$B$282:$B$414,'PIS B'!$A111,'FCPIS B'!$C$282:$C$414,'PIS B'!$B111)*-1000*$A$4</f>
        <v>0</v>
      </c>
      <c r="Q111" s="129"/>
      <c r="R111" s="786">
        <f t="shared" ref="R111:R139" si="46">SUM(N111:P111)</f>
        <v>0</v>
      </c>
      <c r="T111" s="9">
        <f t="shared" ref="T111:T139" si="47">F111/F$140*T$140</f>
        <v>0</v>
      </c>
      <c r="V111" s="9">
        <f t="shared" si="43"/>
        <v>0</v>
      </c>
      <c r="W111" s="176">
        <f>SUMIFS('FCPIS B'!$R$6:$R$135,'FCPIS B'!$B$6:$B$135,'PIS B'!$A111,'FCPIS B'!$C$6:$C$135,'PIS B'!$B111)*1000*$A$4</f>
        <v>0</v>
      </c>
      <c r="X111" s="176">
        <f t="shared" ref="X111:X139" si="48">W111-N111</f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B'!$F$6:$F$135,'FCPIS B'!$B$6:$B$135,'PIS B'!$A112,'FCPIS B'!$C$6:$C$135,'PIS B'!$B112)*1000*$A$4</f>
        <v>56085703.382100001</v>
      </c>
      <c r="E112" s="130"/>
      <c r="F112" s="130">
        <f>SUMIFS('FCPIS B'!$S$138:$S$226,'FCPIS B'!$B$138:$B$226,'PIS B'!$A112,'FCPIS B'!$C$138:$C$226,'PIS B'!$B112)*1000*$A$4</f>
        <v>2852866.2857999918</v>
      </c>
      <c r="G112" s="130"/>
      <c r="H112" s="130">
        <f>SUMIFS('FCPIS B'!$S$229:$S$279,'FCPIS B'!$B$229:$B$279,'PIS B'!$A112,'FCPIS B'!$C$229:$C$279,'PIS B'!$B112)*-1000*$A$4</f>
        <v>-233216.12219999998</v>
      </c>
      <c r="I112" s="130"/>
      <c r="J112" s="130">
        <f>SUMIFS('FCPIS B'!$S$389:$S$410,'FCPIS B'!$B$389:$B$410,'PIS B'!$A112,'FCPIS B'!$C$389:$C$410,'PIS B'!$B112)*1000*$A$4</f>
        <v>0</v>
      </c>
      <c r="K112" s="130"/>
      <c r="L112" s="130">
        <f t="shared" si="44"/>
        <v>2619650.1635999917</v>
      </c>
      <c r="M112" s="130"/>
      <c r="N112" s="785">
        <f t="shared" si="45"/>
        <v>58705353.545699991</v>
      </c>
      <c r="O112" s="129"/>
      <c r="P112" s="786">
        <f>SUMIFS('FCPIS B'!$R$282:$R$414,'FCPIS B'!$B$282:$B$414,'PIS B'!$A112,'FCPIS B'!$C$282:$C$414,'PIS B'!$B112)*-1000*$A$4</f>
        <v>-25861076.967865087</v>
      </c>
      <c r="Q112" s="129"/>
      <c r="R112" s="786">
        <f t="shared" si="46"/>
        <v>32844276.577834904</v>
      </c>
      <c r="T112" s="9">
        <f t="shared" si="47"/>
        <v>1.6649248579860939E-12</v>
      </c>
      <c r="V112" s="9">
        <f t="shared" si="43"/>
        <v>-25861076.967865087</v>
      </c>
      <c r="W112" s="176">
        <f>SUMIFS('FCPIS B'!$R$6:$R$135,'FCPIS B'!$B$6:$B$135,'PIS B'!$A112,'FCPIS B'!$C$6:$C$135,'PIS B'!$B112)*1000*$A$4</f>
        <v>58705353.545699924</v>
      </c>
      <c r="X112" s="176">
        <f t="shared" si="48"/>
        <v>-6.7055225372314453E-8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B'!$F$6:$F$135,'FCPIS B'!$B$6:$B$135,'PIS B'!$A113,'FCPIS B'!$C$6:$C$135,'PIS B'!$B113)*1000*$A$4</f>
        <v>0</v>
      </c>
      <c r="E113" s="130"/>
      <c r="F113" s="130">
        <f>SUMIFS('FCPIS B'!$S$138:$S$226,'FCPIS B'!$B$138:$B$226,'PIS B'!$A113,'FCPIS B'!$C$138:$C$226,'PIS B'!$B113)*1000*$A$4</f>
        <v>0</v>
      </c>
      <c r="G113" s="130"/>
      <c r="H113" s="130">
        <f>SUMIFS('FCPIS B'!$S$229:$S$279,'FCPIS B'!$B$229:$B$279,'PIS B'!$A113,'FCPIS B'!$C$229:$C$279,'PIS B'!$B113)*-1000*$A$4</f>
        <v>0</v>
      </c>
      <c r="I113" s="130"/>
      <c r="J113" s="130">
        <f>SUMIFS('FCPIS B'!$S$389:$S$410,'FCPIS B'!$B$389:$B$410,'PIS B'!$A113,'FCPIS B'!$C$389:$C$410,'PIS B'!$B113)*1000*$A$4</f>
        <v>0</v>
      </c>
      <c r="K113" s="130"/>
      <c r="L113" s="130">
        <f t="shared" si="44"/>
        <v>0</v>
      </c>
      <c r="M113" s="130"/>
      <c r="N113" s="785">
        <f t="shared" si="45"/>
        <v>0</v>
      </c>
      <c r="O113" s="129"/>
      <c r="P113" s="786">
        <f>SUMIFS('FCPIS B'!$R$282:$R$414,'FCPIS B'!$B$282:$B$414,'PIS B'!$A113,'FCPIS B'!$C$282:$C$414,'PIS B'!$B113)*-1000*$A$4</f>
        <v>0</v>
      </c>
      <c r="Q113" s="129"/>
      <c r="R113" s="786">
        <f t="shared" si="46"/>
        <v>0</v>
      </c>
      <c r="T113" s="9">
        <f t="shared" si="47"/>
        <v>0</v>
      </c>
      <c r="V113" s="9">
        <f t="shared" si="43"/>
        <v>0</v>
      </c>
      <c r="W113" s="176">
        <f>SUMIFS('FCPIS B'!$R$6:$R$135,'FCPIS B'!$B$6:$B$135,'PIS B'!$A113,'FCPIS B'!$C$6:$C$135,'PIS B'!$B113)*1000*$A$4</f>
        <v>0</v>
      </c>
      <c r="X113" s="176">
        <f t="shared" si="48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B'!$F$6:$F$135,'FCPIS B'!$B$6:$B$135,'PIS B'!$A114,'FCPIS B'!$C$6:$C$135,'PIS B'!$B114)*1000*$A$4</f>
        <v>0</v>
      </c>
      <c r="E114" s="130"/>
      <c r="F114" s="130">
        <f>SUMIFS('FCPIS B'!$S$138:$S$226,'FCPIS B'!$B$138:$B$226,'PIS B'!$A114,'FCPIS B'!$C$138:$C$226,'PIS B'!$B114)*1000*$A$4</f>
        <v>0</v>
      </c>
      <c r="G114" s="130"/>
      <c r="H114" s="130">
        <f>SUMIFS('FCPIS B'!$S$229:$S$279,'FCPIS B'!$B$229:$B$279,'PIS B'!$A114,'FCPIS B'!$C$229:$C$279,'PIS B'!$B114)*-1000*$A$4</f>
        <v>0</v>
      </c>
      <c r="I114" s="130"/>
      <c r="J114" s="130">
        <f>SUMIFS('FCPIS B'!$S$389:$S$410,'FCPIS B'!$B$389:$B$410,'PIS B'!$A114,'FCPIS B'!$C$389:$C$410,'PIS B'!$B114)*1000*$A$4</f>
        <v>0</v>
      </c>
      <c r="K114" s="130"/>
      <c r="L114" s="130">
        <f t="shared" si="44"/>
        <v>0</v>
      </c>
      <c r="M114" s="130"/>
      <c r="N114" s="785">
        <f t="shared" si="45"/>
        <v>0</v>
      </c>
      <c r="O114" s="129"/>
      <c r="P114" s="786">
        <f>SUMIFS('FCPIS B'!$R$282:$R$414,'FCPIS B'!$B$282:$B$414,'PIS B'!$A114,'FCPIS B'!$C$282:$C$414,'PIS B'!$B114)*-1000*$A$4</f>
        <v>0</v>
      </c>
      <c r="Q114" s="129"/>
      <c r="R114" s="786">
        <f t="shared" si="46"/>
        <v>0</v>
      </c>
      <c r="T114" s="9">
        <f t="shared" si="47"/>
        <v>0</v>
      </c>
      <c r="V114" s="9">
        <f t="shared" si="43"/>
        <v>0</v>
      </c>
      <c r="W114" s="176">
        <f>SUMIFS('FCPIS B'!$R$6:$R$135,'FCPIS B'!$B$6:$B$135,'PIS B'!$A114,'FCPIS B'!$C$6:$C$135,'PIS B'!$B114)*1000*$A$4</f>
        <v>0</v>
      </c>
      <c r="X114" s="176">
        <f t="shared" si="48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B'!$F$6:$F$135,'FCPIS B'!$B$6:$B$135,'PIS B'!$A115,'FCPIS B'!$C$6:$C$135,'PIS B'!$B115)*1000*$A$4</f>
        <v>0</v>
      </c>
      <c r="E115" s="130"/>
      <c r="F115" s="130">
        <f>SUMIFS('FCPIS B'!$S$138:$S$226,'FCPIS B'!$B$138:$B$226,'PIS B'!$A115,'FCPIS B'!$C$138:$C$226,'PIS B'!$B115)*1000*$A$4</f>
        <v>0</v>
      </c>
      <c r="G115" s="130"/>
      <c r="H115" s="130">
        <f>SUMIFS('FCPIS B'!$S$229:$S$279,'FCPIS B'!$B$229:$B$279,'PIS B'!$A115,'FCPIS B'!$C$229:$C$279,'PIS B'!$B115)*-1000*$A$4</f>
        <v>0</v>
      </c>
      <c r="I115" s="130"/>
      <c r="J115" s="130">
        <f>SUMIFS('FCPIS B'!$S$389:$S$410,'FCPIS B'!$B$389:$B$410,'PIS B'!$A115,'FCPIS B'!$C$389:$C$410,'PIS B'!$B115)*1000*$A$4</f>
        <v>0</v>
      </c>
      <c r="K115" s="130"/>
      <c r="L115" s="130">
        <f t="shared" si="44"/>
        <v>0</v>
      </c>
      <c r="M115" s="130"/>
      <c r="N115" s="785">
        <f t="shared" si="45"/>
        <v>0</v>
      </c>
      <c r="O115" s="129"/>
      <c r="P115" s="786">
        <f>SUMIFS('FCPIS B'!$R$282:$R$414,'FCPIS B'!$B$282:$B$414,'PIS B'!$A115,'FCPIS B'!$C$282:$C$414,'PIS B'!$B115)*-1000*$A$4</f>
        <v>0</v>
      </c>
      <c r="Q115" s="129"/>
      <c r="R115" s="786">
        <f t="shared" si="46"/>
        <v>0</v>
      </c>
      <c r="T115" s="9">
        <f t="shared" si="47"/>
        <v>0</v>
      </c>
      <c r="V115" s="9">
        <f t="shared" si="43"/>
        <v>0</v>
      </c>
      <c r="W115" s="176">
        <f>SUMIFS('FCPIS B'!$R$6:$R$135,'FCPIS B'!$B$6:$B$135,'PIS B'!$A115,'FCPIS B'!$C$6:$C$135,'PIS B'!$B115)*1000*$A$4</f>
        <v>0</v>
      </c>
      <c r="X115" s="176">
        <f t="shared" si="48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B'!$F$6:$F$135,'FCPIS B'!$B$6:$B$135,'PIS B'!$A116,'FCPIS B'!$C$6:$C$135,'PIS B'!$B116)*1000*$A$4</f>
        <v>0</v>
      </c>
      <c r="E116" s="130"/>
      <c r="F116" s="130">
        <f>SUMIFS('FCPIS B'!$S$138:$S$226,'FCPIS B'!$B$138:$B$226,'PIS B'!$A116,'FCPIS B'!$C$138:$C$226,'PIS B'!$B116)*1000*$A$4</f>
        <v>0</v>
      </c>
      <c r="G116" s="130"/>
      <c r="H116" s="130">
        <f>SUMIFS('FCPIS B'!$S$229:$S$279,'FCPIS B'!$B$229:$B$279,'PIS B'!$A116,'FCPIS B'!$C$229:$C$279,'PIS B'!$B116)*-1000*$A$4</f>
        <v>0</v>
      </c>
      <c r="I116" s="130"/>
      <c r="J116" s="130">
        <f>SUMIFS('FCPIS B'!$S$389:$S$410,'FCPIS B'!$B$389:$B$410,'PIS B'!$A116,'FCPIS B'!$C$389:$C$410,'PIS B'!$B116)*1000*$A$4</f>
        <v>0</v>
      </c>
      <c r="K116" s="130"/>
      <c r="L116" s="130">
        <f t="shared" si="44"/>
        <v>0</v>
      </c>
      <c r="M116" s="130"/>
      <c r="N116" s="785">
        <f t="shared" si="45"/>
        <v>0</v>
      </c>
      <c r="O116" s="129"/>
      <c r="P116" s="786">
        <f>SUMIFS('FCPIS B'!$R$282:$R$414,'FCPIS B'!$B$282:$B$414,'PIS B'!$A116,'FCPIS B'!$C$282:$C$414,'PIS B'!$B116)*-1000*$A$4</f>
        <v>0</v>
      </c>
      <c r="Q116" s="129"/>
      <c r="R116" s="786">
        <f t="shared" si="46"/>
        <v>0</v>
      </c>
      <c r="T116" s="9">
        <f t="shared" si="47"/>
        <v>0</v>
      </c>
      <c r="V116" s="9">
        <f t="shared" si="43"/>
        <v>0</v>
      </c>
      <c r="W116" s="176">
        <f>SUMIFS('FCPIS B'!$R$6:$R$135,'FCPIS B'!$B$6:$B$135,'PIS B'!$A116,'FCPIS B'!$C$6:$C$135,'PIS B'!$B116)*1000*$A$4</f>
        <v>0</v>
      </c>
      <c r="X116" s="176">
        <f t="shared" si="48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B'!$F$6:$F$135,'FCPIS B'!$B$6:$B$135,'PIS B'!$A117,'FCPIS B'!$C$6:$C$135,'PIS B'!$B117)*1000*$A$4</f>
        <v>24420232.1175</v>
      </c>
      <c r="E117" s="130"/>
      <c r="F117" s="130">
        <f>SUMIFS('FCPIS B'!$S$138:$S$226,'FCPIS B'!$B$138:$B$226,'PIS B'!$A117,'FCPIS B'!$C$138:$C$226,'PIS B'!$B117)*1000*$A$4</f>
        <v>8878973.6267999969</v>
      </c>
      <c r="G117" s="130"/>
      <c r="H117" s="130">
        <f>SUMIFS('FCPIS B'!$S$229:$S$279,'FCPIS B'!$B$229:$B$279,'PIS B'!$A117,'FCPIS B'!$C$229:$C$279,'PIS B'!$B117)*-1000*$A$4</f>
        <v>-3127521.1307999985</v>
      </c>
      <c r="I117" s="130"/>
      <c r="J117" s="130">
        <f>SUMIFS('FCPIS B'!$S$389:$S$410,'FCPIS B'!$B$389:$B$410,'PIS B'!$A117,'FCPIS B'!$C$389:$C$410,'PIS B'!$B117)*1000*$A$4</f>
        <v>0</v>
      </c>
      <c r="K117" s="130"/>
      <c r="L117" s="130">
        <f t="shared" si="44"/>
        <v>5751452.4959999984</v>
      </c>
      <c r="M117" s="130"/>
      <c r="N117" s="785">
        <f t="shared" si="45"/>
        <v>30171684.613499999</v>
      </c>
      <c r="O117" s="129"/>
      <c r="P117" s="786">
        <f>SUMIFS('FCPIS B'!$R$282:$R$414,'FCPIS B'!$B$282:$B$414,'PIS B'!$A117,'FCPIS B'!$C$282:$C$414,'PIS B'!$B117)*-1000*$A$4</f>
        <v>-11668041.754555646</v>
      </c>
      <c r="Q117" s="129"/>
      <c r="R117" s="786">
        <f t="shared" si="46"/>
        <v>18503642.858944353</v>
      </c>
      <c r="T117" s="9">
        <f t="shared" si="47"/>
        <v>5.1817444014965125E-12</v>
      </c>
      <c r="V117" s="9">
        <f t="shared" si="43"/>
        <v>-11668041.754555646</v>
      </c>
      <c r="W117" s="176">
        <f>SUMIFS('FCPIS B'!$R$6:$R$135,'FCPIS B'!$B$6:$B$135,'PIS B'!$A117,'FCPIS B'!$C$6:$C$135,'PIS B'!$B117)*1000*$A$4</f>
        <v>30171684.613499995</v>
      </c>
      <c r="X117" s="176">
        <f t="shared" si="48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B'!$F$6:$F$135,'FCPIS B'!$B$6:$B$135,'PIS B'!$A118,'FCPIS B'!$C$6:$C$135,'PIS B'!$B118)*1000*$A$4</f>
        <v>0</v>
      </c>
      <c r="E118" s="130"/>
      <c r="F118" s="130">
        <f>SUMIFS('FCPIS B'!$S$138:$S$226,'FCPIS B'!$B$138:$B$226,'PIS B'!$A118,'FCPIS B'!$C$138:$C$226,'PIS B'!$B118)*1000*$A$4</f>
        <v>0</v>
      </c>
      <c r="G118" s="130"/>
      <c r="H118" s="130">
        <f>SUMIFS('FCPIS B'!$S$229:$S$279,'FCPIS B'!$B$229:$B$279,'PIS B'!$A118,'FCPIS B'!$C$229:$C$279,'PIS B'!$B118)*-1000*$A$4</f>
        <v>0</v>
      </c>
      <c r="I118" s="130"/>
      <c r="J118" s="130">
        <f>SUMIFS('FCPIS B'!$S$389:$S$410,'FCPIS B'!$B$389:$B$410,'PIS B'!$A118,'FCPIS B'!$C$389:$C$410,'PIS B'!$B118)*1000*$A$4</f>
        <v>0</v>
      </c>
      <c r="K118" s="130"/>
      <c r="L118" s="130">
        <f t="shared" si="44"/>
        <v>0</v>
      </c>
      <c r="M118" s="130"/>
      <c r="N118" s="785">
        <f t="shared" si="45"/>
        <v>0</v>
      </c>
      <c r="O118" s="129"/>
      <c r="P118" s="786">
        <f>SUMIFS('FCPIS B'!$R$282:$R$414,'FCPIS B'!$B$282:$B$414,'PIS B'!$A118,'FCPIS B'!$C$282:$C$414,'PIS B'!$B118)*-1000*$A$4</f>
        <v>0</v>
      </c>
      <c r="Q118" s="129"/>
      <c r="R118" s="786">
        <f t="shared" si="46"/>
        <v>0</v>
      </c>
      <c r="T118" s="9">
        <f t="shared" si="47"/>
        <v>0</v>
      </c>
      <c r="V118" s="9">
        <f t="shared" si="43"/>
        <v>0</v>
      </c>
      <c r="W118" s="176">
        <f>SUMIFS('FCPIS B'!$R$6:$R$135,'FCPIS B'!$B$6:$B$135,'PIS B'!$A118,'FCPIS B'!$C$6:$C$135,'PIS B'!$B118)*1000*$A$4</f>
        <v>0</v>
      </c>
      <c r="X118" s="176">
        <f t="shared" si="48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B'!$F$6:$F$135,'FCPIS B'!$B$6:$B$135,'PIS B'!$A119,'FCPIS B'!$C$6:$C$135,'PIS B'!$B119)*1000*$A$4</f>
        <v>0</v>
      </c>
      <c r="E119" s="130"/>
      <c r="F119" s="130">
        <f>SUMIFS('FCPIS B'!$S$138:$S$226,'FCPIS B'!$B$138:$B$226,'PIS B'!$A119,'FCPIS B'!$C$138:$C$226,'PIS B'!$B119)*1000*$A$4</f>
        <v>0</v>
      </c>
      <c r="G119" s="130"/>
      <c r="H119" s="130">
        <f>SUMIFS('FCPIS B'!$S$229:$S$279,'FCPIS B'!$B$229:$B$279,'PIS B'!$A119,'FCPIS B'!$C$229:$C$279,'PIS B'!$B119)*-1000*$A$4</f>
        <v>0</v>
      </c>
      <c r="I119" s="130"/>
      <c r="J119" s="130">
        <f>SUMIFS('FCPIS B'!$S$389:$S$410,'FCPIS B'!$B$389:$B$410,'PIS B'!$A119,'FCPIS B'!$C$389:$C$410,'PIS B'!$B119)*1000*$A$4</f>
        <v>0</v>
      </c>
      <c r="K119" s="130"/>
      <c r="L119" s="130">
        <f t="shared" si="44"/>
        <v>0</v>
      </c>
      <c r="M119" s="130"/>
      <c r="N119" s="785">
        <f t="shared" si="45"/>
        <v>0</v>
      </c>
      <c r="O119" s="129"/>
      <c r="P119" s="786">
        <f>SUMIFS('FCPIS B'!$R$282:$R$414,'FCPIS B'!$B$282:$B$414,'PIS B'!$A119,'FCPIS B'!$C$282:$C$414,'PIS B'!$B119)*-1000*$A$4</f>
        <v>0</v>
      </c>
      <c r="Q119" s="129"/>
      <c r="R119" s="786">
        <f t="shared" si="46"/>
        <v>0</v>
      </c>
      <c r="T119" s="9">
        <f t="shared" si="47"/>
        <v>0</v>
      </c>
      <c r="V119" s="9">
        <f t="shared" si="43"/>
        <v>0</v>
      </c>
      <c r="W119" s="176">
        <f>SUMIFS('FCPIS B'!$R$6:$R$135,'FCPIS B'!$B$6:$B$135,'PIS B'!$A119,'FCPIS B'!$C$6:$C$135,'PIS B'!$B119)*1000*$A$4</f>
        <v>0</v>
      </c>
      <c r="X119" s="176">
        <f t="shared" si="48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B'!$F$6:$F$135,'FCPIS B'!$B$6:$B$135,'PIS B'!$A120,'FCPIS B'!$C$6:$C$135,'PIS B'!$B120)*1000*$A$4</f>
        <v>0</v>
      </c>
      <c r="E120" s="130"/>
      <c r="F120" s="130">
        <f>SUMIFS('FCPIS B'!$S$138:$S$226,'FCPIS B'!$B$138:$B$226,'PIS B'!$A120,'FCPIS B'!$C$138:$C$226,'PIS B'!$B120)*1000*$A$4</f>
        <v>0</v>
      </c>
      <c r="G120" s="130"/>
      <c r="H120" s="130">
        <f>SUMIFS('FCPIS B'!$S$229:$S$279,'FCPIS B'!$B$229:$B$279,'PIS B'!$A120,'FCPIS B'!$C$229:$C$279,'PIS B'!$B120)*-1000*$A$4</f>
        <v>0</v>
      </c>
      <c r="I120" s="130"/>
      <c r="J120" s="130">
        <f>SUMIFS('FCPIS B'!$S$389:$S$410,'FCPIS B'!$B$389:$B$410,'PIS B'!$A120,'FCPIS B'!$C$389:$C$410,'PIS B'!$B120)*1000*$A$4</f>
        <v>0</v>
      </c>
      <c r="K120" s="130"/>
      <c r="L120" s="130">
        <f t="shared" si="44"/>
        <v>0</v>
      </c>
      <c r="M120" s="130"/>
      <c r="N120" s="785">
        <f t="shared" si="45"/>
        <v>0</v>
      </c>
      <c r="O120" s="129"/>
      <c r="P120" s="786">
        <f>SUMIFS('FCPIS B'!$R$282:$R$414,'FCPIS B'!$B$282:$B$414,'PIS B'!$A120,'FCPIS B'!$C$282:$C$414,'PIS B'!$B120)*-1000*$A$4</f>
        <v>0</v>
      </c>
      <c r="Q120" s="129"/>
      <c r="R120" s="786">
        <f t="shared" si="46"/>
        <v>0</v>
      </c>
      <c r="T120" s="9">
        <f t="shared" si="47"/>
        <v>0</v>
      </c>
      <c r="V120" s="9">
        <f t="shared" si="43"/>
        <v>0</v>
      </c>
      <c r="W120" s="176">
        <f>SUMIFS('FCPIS B'!$R$6:$R$135,'FCPIS B'!$B$6:$B$135,'PIS B'!$A120,'FCPIS B'!$C$6:$C$135,'PIS B'!$B120)*1000*$A$4</f>
        <v>0</v>
      </c>
      <c r="X120" s="176">
        <f t="shared" si="48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B'!$F$6:$F$135,'FCPIS B'!$B$6:$B$135,'PIS B'!$A121,'FCPIS B'!$C$6:$C$135,'PIS B'!$B121)*1000*$A$4</f>
        <v>0</v>
      </c>
      <c r="E121" s="130"/>
      <c r="F121" s="130">
        <f>SUMIFS('FCPIS B'!$S$138:$S$226,'FCPIS B'!$B$138:$B$226,'PIS B'!$A121,'FCPIS B'!$C$138:$C$226,'PIS B'!$B121)*1000*$A$4</f>
        <v>0</v>
      </c>
      <c r="G121" s="130"/>
      <c r="H121" s="130">
        <f>SUMIFS('FCPIS B'!$S$229:$S$279,'FCPIS B'!$B$229:$B$279,'PIS B'!$A121,'FCPIS B'!$C$229:$C$279,'PIS B'!$B121)*-1000*$A$4</f>
        <v>0</v>
      </c>
      <c r="I121" s="130"/>
      <c r="J121" s="130">
        <f>SUMIFS('FCPIS B'!$S$389:$S$410,'FCPIS B'!$B$389:$B$410,'PIS B'!$A121,'FCPIS B'!$C$389:$C$410,'PIS B'!$B121)*1000*$A$4</f>
        <v>0</v>
      </c>
      <c r="K121" s="130"/>
      <c r="L121" s="130">
        <f t="shared" si="44"/>
        <v>0</v>
      </c>
      <c r="M121" s="130"/>
      <c r="N121" s="785">
        <f t="shared" si="45"/>
        <v>0</v>
      </c>
      <c r="O121" s="129"/>
      <c r="P121" s="786">
        <f>SUMIFS('FCPIS B'!$R$282:$R$414,'FCPIS B'!$B$282:$B$414,'PIS B'!$A121,'FCPIS B'!$C$282:$C$414,'PIS B'!$B121)*-1000*$A$4</f>
        <v>0</v>
      </c>
      <c r="Q121" s="129"/>
      <c r="R121" s="786">
        <f t="shared" si="46"/>
        <v>0</v>
      </c>
      <c r="T121" s="9">
        <f t="shared" si="47"/>
        <v>0</v>
      </c>
      <c r="V121" s="9">
        <f t="shared" si="43"/>
        <v>0</v>
      </c>
      <c r="W121" s="176">
        <f>SUMIFS('FCPIS B'!$R$6:$R$135,'FCPIS B'!$B$6:$B$135,'PIS B'!$A121,'FCPIS B'!$C$6:$C$135,'PIS B'!$B121)*1000*$A$4</f>
        <v>0</v>
      </c>
      <c r="X121" s="176">
        <f t="shared" si="48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B'!$F$6:$F$135,'FCPIS B'!$B$6:$B$135,'PIS B'!$A122,'FCPIS B'!$C$6:$C$135,'PIS B'!$B122)*1000*$A$4</f>
        <v>0</v>
      </c>
      <c r="E122" s="130"/>
      <c r="F122" s="130">
        <f>SUMIFS('FCPIS B'!$S$138:$S$226,'FCPIS B'!$B$138:$B$226,'PIS B'!$A122,'FCPIS B'!$C$138:$C$226,'PIS B'!$B122)*1000*$A$4</f>
        <v>0</v>
      </c>
      <c r="G122" s="130"/>
      <c r="H122" s="130">
        <f>SUMIFS('FCPIS B'!$S$229:$S$279,'FCPIS B'!$B$229:$B$279,'PIS B'!$A122,'FCPIS B'!$C$229:$C$279,'PIS B'!$B122)*-1000*$A$4</f>
        <v>0</v>
      </c>
      <c r="I122" s="130"/>
      <c r="J122" s="130">
        <f>SUMIFS('FCPIS B'!$S$389:$S$410,'FCPIS B'!$B$389:$B$410,'PIS B'!$A122,'FCPIS B'!$C$389:$C$410,'PIS B'!$B122)*1000*$A$4</f>
        <v>0</v>
      </c>
      <c r="K122" s="130"/>
      <c r="L122" s="130">
        <f t="shared" si="44"/>
        <v>0</v>
      </c>
      <c r="M122" s="130"/>
      <c r="N122" s="785">
        <f t="shared" si="45"/>
        <v>0</v>
      </c>
      <c r="O122" s="129"/>
      <c r="P122" s="786">
        <f>SUMIFS('FCPIS B'!$R$282:$R$414,'FCPIS B'!$B$282:$B$414,'PIS B'!$A122,'FCPIS B'!$C$282:$C$414,'PIS B'!$B122)*-1000*$A$4</f>
        <v>0</v>
      </c>
      <c r="Q122" s="129"/>
      <c r="R122" s="786">
        <f t="shared" si="46"/>
        <v>0</v>
      </c>
      <c r="T122" s="9">
        <f t="shared" si="47"/>
        <v>0</v>
      </c>
      <c r="V122" s="9">
        <f t="shared" si="43"/>
        <v>0</v>
      </c>
      <c r="W122" s="176">
        <f>SUMIFS('FCPIS B'!$R$6:$R$135,'FCPIS B'!$B$6:$B$135,'PIS B'!$A122,'FCPIS B'!$C$6:$C$135,'PIS B'!$B122)*1000*$A$4</f>
        <v>0</v>
      </c>
      <c r="X122" s="176">
        <f t="shared" si="48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B'!$F$6:$F$135,'FCPIS B'!$B$6:$B$135,'PIS B'!$A123,'FCPIS B'!$C$6:$C$135,'PIS B'!$B123)*1000*$A$4</f>
        <v>191957.99309999999</v>
      </c>
      <c r="E123" s="130"/>
      <c r="F123" s="130">
        <f>SUMIFS('FCPIS B'!$S$138:$S$226,'FCPIS B'!$B$138:$B$226,'PIS B'!$A123,'FCPIS B'!$C$138:$C$226,'PIS B'!$B123)*1000*$A$4</f>
        <v>51154.619699999996</v>
      </c>
      <c r="G123" s="130"/>
      <c r="H123" s="130">
        <f>SUMIFS('FCPIS B'!$S$229:$S$279,'FCPIS B'!$B$229:$B$279,'PIS B'!$A123,'FCPIS B'!$C$229:$C$279,'PIS B'!$B123)*-1000*$A$4</f>
        <v>-18624.680099999998</v>
      </c>
      <c r="I123" s="130"/>
      <c r="J123" s="130">
        <f>SUMIFS('FCPIS B'!$S$389:$S$410,'FCPIS B'!$B$389:$B$410,'PIS B'!$A123,'FCPIS B'!$C$389:$C$410,'PIS B'!$B123)*1000*$A$4</f>
        <v>0</v>
      </c>
      <c r="K123" s="130"/>
      <c r="L123" s="130">
        <f t="shared" si="44"/>
        <v>32529.939599999998</v>
      </c>
      <c r="M123" s="130"/>
      <c r="N123" s="785">
        <f t="shared" si="45"/>
        <v>224487.9327</v>
      </c>
      <c r="O123" s="129"/>
      <c r="P123" s="786">
        <f>SUMIFS('FCPIS B'!$R$282:$R$414,'FCPIS B'!$B$282:$B$414,'PIS B'!$A123,'FCPIS B'!$C$282:$C$414,'PIS B'!$B123)*-1000*$A$4</f>
        <v>-109242.82489394033</v>
      </c>
      <c r="Q123" s="129"/>
      <c r="R123" s="786">
        <f t="shared" si="46"/>
        <v>115245.10780605968</v>
      </c>
      <c r="T123" s="9">
        <f t="shared" si="47"/>
        <v>2.9853694287488282E-14</v>
      </c>
      <c r="V123" s="9">
        <f t="shared" si="43"/>
        <v>-109242.82489394033</v>
      </c>
      <c r="W123" s="176">
        <f>SUMIFS('FCPIS B'!$R$6:$R$135,'FCPIS B'!$B$6:$B$135,'PIS B'!$A123,'FCPIS B'!$C$6:$C$135,'PIS B'!$B123)*1000*$A$4</f>
        <v>224487.9327</v>
      </c>
      <c r="X123" s="176">
        <f t="shared" si="48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B'!$F$6:$F$135,'FCPIS B'!$B$6:$B$135,'PIS B'!$A124,'FCPIS B'!$C$6:$C$135,'PIS B'!$B124)*1000*$A$4</f>
        <v>0</v>
      </c>
      <c r="E124" s="130"/>
      <c r="F124" s="130">
        <f>SUMIFS('FCPIS B'!$S$138:$S$226,'FCPIS B'!$B$138:$B$226,'PIS B'!$A124,'FCPIS B'!$C$138:$C$226,'PIS B'!$B124)*1000*$A$4</f>
        <v>0</v>
      </c>
      <c r="G124" s="130"/>
      <c r="H124" s="130">
        <f>SUMIFS('FCPIS B'!$S$229:$S$279,'FCPIS B'!$B$229:$B$279,'PIS B'!$A124,'FCPIS B'!$C$229:$C$279,'PIS B'!$B124)*-1000*$A$4</f>
        <v>0</v>
      </c>
      <c r="I124" s="130"/>
      <c r="J124" s="130">
        <f>SUMIFS('FCPIS B'!$S$389:$S$410,'FCPIS B'!$B$389:$B$410,'PIS B'!$A124,'FCPIS B'!$C$389:$C$410,'PIS B'!$B124)*1000*$A$4</f>
        <v>0</v>
      </c>
      <c r="K124" s="130"/>
      <c r="L124" s="130">
        <f t="shared" si="44"/>
        <v>0</v>
      </c>
      <c r="M124" s="130"/>
      <c r="N124" s="785">
        <f t="shared" si="45"/>
        <v>0</v>
      </c>
      <c r="O124" s="129"/>
      <c r="P124" s="786">
        <f>SUMIFS('FCPIS B'!$R$282:$R$414,'FCPIS B'!$B$282:$B$414,'PIS B'!$A124,'FCPIS B'!$C$282:$C$414,'PIS B'!$B124)*-1000*$A$4</f>
        <v>0</v>
      </c>
      <c r="Q124" s="129"/>
      <c r="R124" s="786">
        <f t="shared" si="46"/>
        <v>0</v>
      </c>
      <c r="T124" s="9">
        <f t="shared" si="47"/>
        <v>0</v>
      </c>
      <c r="V124" s="9">
        <f t="shared" si="43"/>
        <v>0</v>
      </c>
      <c r="W124" s="176">
        <f>SUMIFS('FCPIS B'!$R$6:$R$135,'FCPIS B'!$B$6:$B$135,'PIS B'!$A124,'FCPIS B'!$C$6:$C$135,'PIS B'!$B124)*1000*$A$4</f>
        <v>0</v>
      </c>
      <c r="X124" s="176">
        <f t="shared" si="48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B'!$F$6:$F$135,'FCPIS B'!$B$6:$B$135,'PIS B'!$A125,'FCPIS B'!$C$6:$C$135,'PIS B'!$B125)*1000*$A$4</f>
        <v>0</v>
      </c>
      <c r="E125" s="130"/>
      <c r="F125" s="130">
        <f>SUMIFS('FCPIS B'!$S$138:$S$226,'FCPIS B'!$B$138:$B$226,'PIS B'!$A125,'FCPIS B'!$C$138:$C$226,'PIS B'!$B125)*1000*$A$4</f>
        <v>0</v>
      </c>
      <c r="G125" s="130"/>
      <c r="H125" s="130">
        <f>SUMIFS('FCPIS B'!$S$229:$S$279,'FCPIS B'!$B$229:$B$279,'PIS B'!$A125,'FCPIS B'!$C$229:$C$279,'PIS B'!$B125)*-1000*$A$4</f>
        <v>0</v>
      </c>
      <c r="I125" s="130"/>
      <c r="J125" s="130">
        <f>SUMIFS('FCPIS B'!$S$389:$S$410,'FCPIS B'!$B$389:$B$410,'PIS B'!$A125,'FCPIS B'!$C$389:$C$410,'PIS B'!$B125)*1000*$A$4</f>
        <v>0</v>
      </c>
      <c r="K125" s="130"/>
      <c r="L125" s="130">
        <f t="shared" si="44"/>
        <v>0</v>
      </c>
      <c r="M125" s="130"/>
      <c r="N125" s="785">
        <f t="shared" si="45"/>
        <v>0</v>
      </c>
      <c r="O125" s="129"/>
      <c r="P125" s="786">
        <f>SUMIFS('FCPIS B'!$R$282:$R$414,'FCPIS B'!$B$282:$B$414,'PIS B'!$A125,'FCPIS B'!$C$282:$C$414,'PIS B'!$B125)*-1000*$A$4</f>
        <v>0</v>
      </c>
      <c r="Q125" s="129"/>
      <c r="R125" s="786">
        <f t="shared" si="46"/>
        <v>0</v>
      </c>
      <c r="T125" s="9">
        <f t="shared" si="47"/>
        <v>0</v>
      </c>
      <c r="V125" s="9">
        <f t="shared" si="43"/>
        <v>0</v>
      </c>
      <c r="W125" s="176">
        <f>SUMIFS('FCPIS B'!$R$6:$R$135,'FCPIS B'!$B$6:$B$135,'PIS B'!$A125,'FCPIS B'!$C$6:$C$135,'PIS B'!$B125)*1000*$A$4</f>
        <v>0</v>
      </c>
      <c r="X125" s="176">
        <f t="shared" si="48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B'!$F$6:$F$135,'FCPIS B'!$B$6:$B$135,'PIS B'!$A126,'FCPIS B'!$C$6:$C$135,'PIS B'!$B126)*1000*$A$4</f>
        <v>1015041.7638</v>
      </c>
      <c r="E126" s="130"/>
      <c r="F126" s="130">
        <f>SUMIFS('FCPIS B'!$S$138:$S$226,'FCPIS B'!$B$138:$B$226,'PIS B'!$A126,'FCPIS B'!$C$138:$C$226,'PIS B'!$B126)*1000*$A$4</f>
        <v>166390.91939999998</v>
      </c>
      <c r="G126" s="130"/>
      <c r="H126" s="130">
        <f>SUMIFS('FCPIS B'!$S$229:$S$279,'FCPIS B'!$B$229:$B$279,'PIS B'!$A126,'FCPIS B'!$C$229:$C$279,'PIS B'!$B126)*-1000*$A$4</f>
        <v>0</v>
      </c>
      <c r="I126" s="130"/>
      <c r="J126" s="130">
        <f>SUMIFS('FCPIS B'!$S$389:$S$410,'FCPIS B'!$B$389:$B$410,'PIS B'!$A126,'FCPIS B'!$C$389:$C$410,'PIS B'!$B126)*1000*$A$4</f>
        <v>0</v>
      </c>
      <c r="K126" s="130"/>
      <c r="L126" s="130">
        <f t="shared" si="44"/>
        <v>166390.91939999998</v>
      </c>
      <c r="M126" s="130"/>
      <c r="N126" s="785">
        <f t="shared" si="45"/>
        <v>1181432.6831999999</v>
      </c>
      <c r="O126" s="129"/>
      <c r="P126" s="786">
        <f>SUMIFS('FCPIS B'!$R$282:$R$414,'FCPIS B'!$B$282:$B$414,'PIS B'!$A126,'FCPIS B'!$C$282:$C$414,'PIS B'!$B126)*-1000*$A$4</f>
        <v>-745483.40083443001</v>
      </c>
      <c r="Q126" s="129"/>
      <c r="R126" s="786">
        <f t="shared" si="46"/>
        <v>435949.28236556984</v>
      </c>
      <c r="T126" s="9">
        <f t="shared" si="47"/>
        <v>9.7105279427611558E-14</v>
      </c>
      <c r="V126" s="9">
        <f t="shared" si="43"/>
        <v>-745483.40083443001</v>
      </c>
      <c r="W126" s="176">
        <f>SUMIFS('FCPIS B'!$R$6:$R$135,'FCPIS B'!$B$6:$B$135,'PIS B'!$A126,'FCPIS B'!$C$6:$C$135,'PIS B'!$B126)*1000*$A$4</f>
        <v>1181432.6831999999</v>
      </c>
      <c r="X126" s="176">
        <f t="shared" si="48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B'!$F$6:$F$135,'FCPIS B'!$B$6:$B$135,'PIS B'!$A127,'FCPIS B'!$C$6:$C$135,'PIS B'!$B127)*1000*$A$4</f>
        <v>2898038.3294999995</v>
      </c>
      <c r="E127" s="130"/>
      <c r="F127" s="130">
        <f>SUMIFS('FCPIS B'!$S$138:$S$226,'FCPIS B'!$B$138:$B$226,'PIS B'!$A127,'FCPIS B'!$C$138:$C$226,'PIS B'!$B127)*1000*$A$4</f>
        <v>97615.78349999999</v>
      </c>
      <c r="G127" s="130"/>
      <c r="H127" s="130">
        <f>SUMIFS('FCPIS B'!$S$229:$S$279,'FCPIS B'!$B$229:$B$279,'PIS B'!$A127,'FCPIS B'!$C$229:$C$279,'PIS B'!$B127)*-1000*$A$4</f>
        <v>-91542.679499999984</v>
      </c>
      <c r="I127" s="130"/>
      <c r="J127" s="130">
        <f>SUMIFS('FCPIS B'!$S$389:$S$410,'FCPIS B'!$B$389:$B$410,'PIS B'!$A127,'FCPIS B'!$C$389:$C$410,'PIS B'!$B127)*1000*$A$4</f>
        <v>0</v>
      </c>
      <c r="K127" s="130"/>
      <c r="L127" s="130">
        <f t="shared" si="44"/>
        <v>6073.1040000000066</v>
      </c>
      <c r="M127" s="130"/>
      <c r="N127" s="785">
        <f t="shared" si="45"/>
        <v>2904111.4334999993</v>
      </c>
      <c r="O127" s="129"/>
      <c r="P127" s="786">
        <f>SUMIFS('FCPIS B'!$R$282:$R$414,'FCPIS B'!$B$282:$B$414,'PIS B'!$A127,'FCPIS B'!$C$282:$C$414,'PIS B'!$B127)*-1000*$A$4</f>
        <v>-1688152.6009974</v>
      </c>
      <c r="Q127" s="129"/>
      <c r="R127" s="786">
        <f t="shared" si="46"/>
        <v>1215958.8325025993</v>
      </c>
      <c r="T127" s="9">
        <f t="shared" si="47"/>
        <v>5.6968300719136089E-14</v>
      </c>
      <c r="V127" s="9">
        <f t="shared" si="43"/>
        <v>-1688152.6009974</v>
      </c>
      <c r="W127" s="176">
        <f>SUMIFS('FCPIS B'!$R$6:$R$135,'FCPIS B'!$B$6:$B$135,'PIS B'!$A127,'FCPIS B'!$C$6:$C$135,'PIS B'!$B127)*1000*$A$4</f>
        <v>2904111.4334999993</v>
      </c>
      <c r="X127" s="176">
        <f t="shared" si="48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B'!$F$6:$F$135,'FCPIS B'!$B$6:$B$135,'PIS B'!$A128,'FCPIS B'!$C$6:$C$135,'PIS B'!$B128)*1000*$A$4</f>
        <v>0</v>
      </c>
      <c r="E128" s="130"/>
      <c r="F128" s="130">
        <f>SUMIFS('FCPIS B'!$S$138:$S$226,'FCPIS B'!$B$138:$B$226,'PIS B'!$A128,'FCPIS B'!$C$138:$C$226,'PIS B'!$B128)*1000*$A$4</f>
        <v>0</v>
      </c>
      <c r="G128" s="130"/>
      <c r="H128" s="130">
        <f>SUMIFS('FCPIS B'!$S$229:$S$279,'FCPIS B'!$B$229:$B$279,'PIS B'!$A128,'FCPIS B'!$C$229:$C$279,'PIS B'!$B128)*-1000*$A$4</f>
        <v>0</v>
      </c>
      <c r="I128" s="130"/>
      <c r="J128" s="130">
        <f>SUMIFS('FCPIS B'!$S$389:$S$410,'FCPIS B'!$B$389:$B$410,'PIS B'!$A128,'FCPIS B'!$C$389:$C$410,'PIS B'!$B128)*1000*$A$4</f>
        <v>0</v>
      </c>
      <c r="K128" s="130"/>
      <c r="L128" s="130">
        <f t="shared" si="44"/>
        <v>0</v>
      </c>
      <c r="M128" s="130"/>
      <c r="N128" s="785">
        <f t="shared" si="45"/>
        <v>0</v>
      </c>
      <c r="O128" s="129"/>
      <c r="P128" s="786">
        <f>SUMIFS('FCPIS B'!$R$282:$R$414,'FCPIS B'!$B$282:$B$414,'PIS B'!$A128,'FCPIS B'!$C$282:$C$414,'PIS B'!$B128)*-1000*$A$4</f>
        <v>0</v>
      </c>
      <c r="Q128" s="129"/>
      <c r="R128" s="786">
        <f t="shared" si="46"/>
        <v>0</v>
      </c>
      <c r="T128" s="9">
        <f t="shared" si="47"/>
        <v>0</v>
      </c>
      <c r="V128" s="9">
        <f t="shared" si="43"/>
        <v>0</v>
      </c>
      <c r="W128" s="176">
        <f>SUMIFS('FCPIS B'!$R$6:$R$135,'FCPIS B'!$B$6:$B$135,'PIS B'!$A128,'FCPIS B'!$C$6:$C$135,'PIS B'!$B128)*1000*$A$4</f>
        <v>0</v>
      </c>
      <c r="X128" s="176">
        <f t="shared" si="48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B'!$F$6:$F$135,'FCPIS B'!$B$6:$B$135,'PIS B'!$A129,'FCPIS B'!$C$6:$C$135,'PIS B'!$B129)*1000*$A$4</f>
        <v>373784.22629999928</v>
      </c>
      <c r="E129" s="130"/>
      <c r="F129" s="130">
        <f>SUMIFS('FCPIS B'!$S$138:$S$226,'FCPIS B'!$B$138:$B$226,'PIS B'!$A129,'FCPIS B'!$C$138:$C$226,'PIS B'!$B129)*1000*$A$4</f>
        <v>41799.806699999994</v>
      </c>
      <c r="G129" s="130"/>
      <c r="H129" s="130">
        <f>SUMIFS('FCPIS B'!$S$229:$S$279,'FCPIS B'!$B$229:$B$279,'PIS B'!$A129,'FCPIS B'!$C$229:$C$279,'PIS B'!$B129)*-1000*$A$4</f>
        <v>-49988.429999999993</v>
      </c>
      <c r="I129" s="130"/>
      <c r="J129" s="130">
        <f>SUMIFS('FCPIS B'!$S$389:$S$410,'FCPIS B'!$B$389:$B$410,'PIS B'!$A129,'FCPIS B'!$C$389:$C$410,'PIS B'!$B129)*1000*$A$4</f>
        <v>0</v>
      </c>
      <c r="K129" s="130"/>
      <c r="L129" s="130">
        <f t="shared" si="44"/>
        <v>-8188.6232999999993</v>
      </c>
      <c r="M129" s="130"/>
      <c r="N129" s="785">
        <f t="shared" si="45"/>
        <v>365595.6029999993</v>
      </c>
      <c r="O129" s="129"/>
      <c r="P129" s="786">
        <f>SUMIFS('FCPIS B'!$R$282:$R$414,'FCPIS B'!$B$282:$B$414,'PIS B'!$A129,'FCPIS B'!$C$282:$C$414,'PIS B'!$B129)*-1000*$A$4</f>
        <v>-173089.6855721825</v>
      </c>
      <c r="Q129" s="129"/>
      <c r="R129" s="786">
        <f t="shared" si="46"/>
        <v>192505.91742781681</v>
      </c>
      <c r="T129" s="9">
        <f t="shared" si="47"/>
        <v>2.4394251346529009E-14</v>
      </c>
      <c r="V129" s="9">
        <f t="shared" si="43"/>
        <v>-173089.6855721825</v>
      </c>
      <c r="W129" s="176">
        <f>SUMIFS('FCPIS B'!$R$6:$R$135,'FCPIS B'!$B$6:$B$135,'PIS B'!$A129,'FCPIS B'!$C$6:$C$135,'PIS B'!$B129)*1000*$A$4</f>
        <v>365595.60299999994</v>
      </c>
      <c r="X129" s="176">
        <f t="shared" si="48"/>
        <v>6.4028427004814148E-10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B'!$F$6:$F$135,'FCPIS B'!$B$6:$B$135,'PIS B'!$A130,'FCPIS B'!$C$6:$C$135,'PIS B'!$B130)*1000*$A$4</f>
        <v>0</v>
      </c>
      <c r="E130" s="130"/>
      <c r="F130" s="130">
        <f>SUMIFS('FCPIS B'!$S$138:$S$226,'FCPIS B'!$B$138:$B$226,'PIS B'!$A130,'FCPIS B'!$C$138:$C$226,'PIS B'!$B130)*1000*$A$4</f>
        <v>0</v>
      </c>
      <c r="G130" s="130"/>
      <c r="H130" s="130">
        <f>SUMIFS('FCPIS B'!$S$229:$S$279,'FCPIS B'!$B$229:$B$279,'PIS B'!$A130,'FCPIS B'!$C$229:$C$279,'PIS B'!$B130)*-1000*$A$4</f>
        <v>0</v>
      </c>
      <c r="I130" s="130"/>
      <c r="J130" s="130">
        <f>SUMIFS('FCPIS B'!$S$389:$S$410,'FCPIS B'!$B$389:$B$410,'PIS B'!$A130,'FCPIS B'!$C$389:$C$410,'PIS B'!$B130)*1000*$A$4</f>
        <v>0</v>
      </c>
      <c r="K130" s="130"/>
      <c r="L130" s="130">
        <f t="shared" si="44"/>
        <v>0</v>
      </c>
      <c r="M130" s="130"/>
      <c r="N130" s="785">
        <f t="shared" si="45"/>
        <v>0</v>
      </c>
      <c r="O130" s="129"/>
      <c r="P130" s="786">
        <f>SUMIFS('FCPIS B'!$R$282:$R$414,'FCPIS B'!$B$282:$B$414,'PIS B'!$A130,'FCPIS B'!$C$282:$C$414,'PIS B'!$B130)*-1000*$A$4</f>
        <v>0</v>
      </c>
      <c r="Q130" s="129"/>
      <c r="R130" s="786">
        <f t="shared" si="46"/>
        <v>0</v>
      </c>
      <c r="T130" s="9">
        <f t="shared" si="47"/>
        <v>0</v>
      </c>
      <c r="V130" s="9">
        <f t="shared" si="43"/>
        <v>0</v>
      </c>
      <c r="W130" s="176">
        <f>SUMIFS('FCPIS B'!$R$6:$R$135,'FCPIS B'!$B$6:$B$135,'PIS B'!$A130,'FCPIS B'!$C$6:$C$135,'PIS B'!$B130)*1000*$A$4</f>
        <v>0</v>
      </c>
      <c r="X130" s="176">
        <f t="shared" si="48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B'!$F$6:$F$135,'FCPIS B'!$B$6:$B$135,'PIS B'!$A131,'FCPIS B'!$C$6:$C$135,'PIS B'!$B131)*1000*$A$4</f>
        <v>23523646.434899997</v>
      </c>
      <c r="E131" s="130"/>
      <c r="F131" s="130">
        <f>SUMIFS('FCPIS B'!$S$138:$S$226,'FCPIS B'!$B$138:$B$226,'PIS B'!$A131,'FCPIS B'!$C$138:$C$226,'PIS B'!$B131)*1000*$A$4</f>
        <v>2011919.9331</v>
      </c>
      <c r="G131" s="130"/>
      <c r="H131" s="130">
        <f>SUMIFS('FCPIS B'!$S$229:$S$279,'FCPIS B'!$B$229:$B$279,'PIS B'!$A131,'FCPIS B'!$C$229:$C$279,'PIS B'!$B131)*-1000*$A$4</f>
        <v>0</v>
      </c>
      <c r="I131" s="130"/>
      <c r="J131" s="130">
        <f>SUMIFS('FCPIS B'!$S$389:$S$410,'FCPIS B'!$B$389:$B$410,'PIS B'!$A131,'FCPIS B'!$C$389:$C$410,'PIS B'!$B131)*1000*$A$4</f>
        <v>0</v>
      </c>
      <c r="K131" s="130"/>
      <c r="L131" s="130">
        <f t="shared" si="44"/>
        <v>2011919.9331</v>
      </c>
      <c r="M131" s="130"/>
      <c r="N131" s="785">
        <f t="shared" si="45"/>
        <v>25535566.367999997</v>
      </c>
      <c r="O131" s="129"/>
      <c r="P131" s="786">
        <f>SUMIFS('FCPIS B'!$R$282:$R$414,'FCPIS B'!$B$282:$B$414,'PIS B'!$A131,'FCPIS B'!$C$282:$C$414,'PIS B'!$B131)*-1000*$A$4</f>
        <v>-18630745.887479763</v>
      </c>
      <c r="Q131" s="129"/>
      <c r="R131" s="786">
        <f t="shared" si="46"/>
        <v>6904820.4805202335</v>
      </c>
      <c r="T131" s="9">
        <f t="shared" si="47"/>
        <v>1.174150897141188E-12</v>
      </c>
      <c r="V131" s="9">
        <f t="shared" si="43"/>
        <v>-18630745.887479763</v>
      </c>
      <c r="W131" s="176">
        <f>SUMIFS('FCPIS B'!$R$6:$R$135,'FCPIS B'!$B$6:$B$135,'PIS B'!$A131,'FCPIS B'!$C$6:$C$135,'PIS B'!$B131)*1000*$A$4</f>
        <v>25535566.367999934</v>
      </c>
      <c r="X131" s="176">
        <f t="shared" si="48"/>
        <v>-6.3329935073852539E-8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B'!$F$6:$F$135,'FCPIS B'!$B$6:$B$135,'PIS B'!$A132,'FCPIS B'!$C$6:$C$135,'PIS B'!$B132)*1000*$A$4</f>
        <v>0</v>
      </c>
      <c r="E132" s="130"/>
      <c r="F132" s="130">
        <f>SUMIFS('FCPIS B'!$S$138:$S$226,'FCPIS B'!$B$138:$B$226,'PIS B'!$A132,'FCPIS B'!$C$138:$C$226,'PIS B'!$B132)*1000*$A$4</f>
        <v>0</v>
      </c>
      <c r="G132" s="130"/>
      <c r="H132" s="130">
        <f>SUMIFS('FCPIS B'!$S$229:$S$279,'FCPIS B'!$B$229:$B$279,'PIS B'!$A132,'FCPIS B'!$C$229:$C$279,'PIS B'!$B132)*-1000*$A$4</f>
        <v>0</v>
      </c>
      <c r="I132" s="130"/>
      <c r="J132" s="130">
        <f>SUMIFS('FCPIS B'!$S$389:$S$410,'FCPIS B'!$B$389:$B$410,'PIS B'!$A132,'FCPIS B'!$C$389:$C$410,'PIS B'!$B132)*1000*$A$4</f>
        <v>0</v>
      </c>
      <c r="K132" s="130"/>
      <c r="L132" s="130">
        <f t="shared" si="44"/>
        <v>0</v>
      </c>
      <c r="M132" s="130"/>
      <c r="N132" s="785">
        <f t="shared" si="45"/>
        <v>0</v>
      </c>
      <c r="O132" s="129"/>
      <c r="P132" s="786">
        <f>SUMIFS('FCPIS B'!$R$282:$R$414,'FCPIS B'!$B$282:$B$414,'PIS B'!$A132,'FCPIS B'!$C$282:$C$414,'PIS B'!$B132)*-1000*$A$4</f>
        <v>0</v>
      </c>
      <c r="Q132" s="129"/>
      <c r="R132" s="786">
        <f t="shared" si="46"/>
        <v>0</v>
      </c>
      <c r="T132" s="9">
        <f t="shared" si="47"/>
        <v>0</v>
      </c>
      <c r="V132" s="9">
        <f t="shared" si="43"/>
        <v>0</v>
      </c>
      <c r="W132" s="176">
        <f>SUMIFS('FCPIS B'!$R$6:$R$135,'FCPIS B'!$B$6:$B$135,'PIS B'!$A132,'FCPIS B'!$C$6:$C$135,'PIS B'!$B132)*1000*$A$4</f>
        <v>0</v>
      </c>
      <c r="X132" s="176">
        <f t="shared" si="48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B'!$F$6:$F$135,'FCPIS B'!$B$6:$B$135,'PIS B'!$A133,'FCPIS B'!$C$6:$C$135,'PIS B'!$B133)*1000*$A$4</f>
        <v>0</v>
      </c>
      <c r="E133" s="130"/>
      <c r="F133" s="130">
        <f>SUMIFS('FCPIS B'!$S$138:$S$226,'FCPIS B'!$B$138:$B$226,'PIS B'!$A133,'FCPIS B'!$C$138:$C$226,'PIS B'!$B133)*1000*$A$4</f>
        <v>0</v>
      </c>
      <c r="G133" s="130"/>
      <c r="H133" s="130">
        <f>SUMIFS('FCPIS B'!$S$229:$S$279,'FCPIS B'!$B$229:$B$279,'PIS B'!$A133,'FCPIS B'!$C$229:$C$279,'PIS B'!$B133)*-1000*$A$4</f>
        <v>0</v>
      </c>
      <c r="I133" s="130"/>
      <c r="J133" s="130">
        <f>SUMIFS('FCPIS B'!$S$389:$S$410,'FCPIS B'!$B$389:$B$410,'PIS B'!$A133,'FCPIS B'!$C$389:$C$410,'PIS B'!$B133)*1000*$A$4</f>
        <v>0</v>
      </c>
      <c r="K133" s="130"/>
      <c r="L133" s="130">
        <f t="shared" si="44"/>
        <v>0</v>
      </c>
      <c r="M133" s="130"/>
      <c r="N133" s="785">
        <f t="shared" si="45"/>
        <v>0</v>
      </c>
      <c r="O133" s="129"/>
      <c r="P133" s="786">
        <f>SUMIFS('FCPIS B'!$R$282:$R$414,'FCPIS B'!$B$282:$B$414,'PIS B'!$A133,'FCPIS B'!$C$282:$C$414,'PIS B'!$B133)*-1000*$A$4</f>
        <v>0</v>
      </c>
      <c r="Q133" s="129"/>
      <c r="R133" s="786">
        <f t="shared" si="46"/>
        <v>0</v>
      </c>
      <c r="T133" s="9">
        <f t="shared" si="47"/>
        <v>0</v>
      </c>
      <c r="V133" s="9">
        <f t="shared" si="43"/>
        <v>0</v>
      </c>
      <c r="W133" s="176">
        <f>SUMIFS('FCPIS B'!$R$6:$R$135,'FCPIS B'!$B$6:$B$135,'PIS B'!$A133,'FCPIS B'!$C$6:$C$135,'PIS B'!$B133)*1000*$A$4</f>
        <v>0</v>
      </c>
      <c r="X133" s="176">
        <f t="shared" si="48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B'!$F$6:$F$135,'FCPIS B'!$B$6:$B$135,'PIS B'!$A134,'FCPIS B'!$C$6:$C$135,'PIS B'!$B134)*1000*$A$4</f>
        <v>0</v>
      </c>
      <c r="E134" s="130"/>
      <c r="F134" s="130">
        <f>SUMIFS('FCPIS B'!$S$138:$S$226,'FCPIS B'!$B$138:$B$226,'PIS B'!$A134,'FCPIS B'!$C$138:$C$226,'PIS B'!$B134)*1000*$A$4</f>
        <v>0</v>
      </c>
      <c r="G134" s="130"/>
      <c r="H134" s="130">
        <f>SUMIFS('FCPIS B'!$S$229:$S$279,'FCPIS B'!$B$229:$B$279,'PIS B'!$A134,'FCPIS B'!$C$229:$C$279,'PIS B'!$B134)*-1000*$A$4</f>
        <v>0</v>
      </c>
      <c r="I134" s="130"/>
      <c r="J134" s="130">
        <f>SUMIFS('FCPIS B'!$S$389:$S$410,'FCPIS B'!$B$389:$B$410,'PIS B'!$A134,'FCPIS B'!$C$389:$C$410,'PIS B'!$B134)*1000*$A$4</f>
        <v>0</v>
      </c>
      <c r="K134" s="130"/>
      <c r="L134" s="130">
        <f t="shared" si="44"/>
        <v>0</v>
      </c>
      <c r="M134" s="130"/>
      <c r="N134" s="785">
        <f t="shared" si="45"/>
        <v>0</v>
      </c>
      <c r="O134" s="129"/>
      <c r="P134" s="786">
        <f>SUMIFS('FCPIS B'!$R$282:$R$414,'FCPIS B'!$B$282:$B$414,'PIS B'!$A134,'FCPIS B'!$C$282:$C$414,'PIS B'!$B134)*-1000*$A$4</f>
        <v>0</v>
      </c>
      <c r="Q134" s="129"/>
      <c r="R134" s="786">
        <f t="shared" si="46"/>
        <v>0</v>
      </c>
      <c r="T134" s="9">
        <f t="shared" si="47"/>
        <v>0</v>
      </c>
      <c r="V134" s="9">
        <f t="shared" si="43"/>
        <v>0</v>
      </c>
      <c r="W134" s="176">
        <f>SUMIFS('FCPIS B'!$R$6:$R$135,'FCPIS B'!$B$6:$B$135,'PIS B'!$A134,'FCPIS B'!$C$6:$C$135,'PIS B'!$B134)*1000*$A$4</f>
        <v>0</v>
      </c>
      <c r="X134" s="176">
        <f t="shared" si="48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B'!$F$6:$F$135,'FCPIS B'!$B$6:$B$135,'PIS B'!$A135,'FCPIS B'!$C$6:$C$135,'PIS B'!$B135)*1000*$A$4</f>
        <v>57809.780099999931</v>
      </c>
      <c r="E135" s="130"/>
      <c r="F135" s="130">
        <f>SUMIFS('FCPIS B'!$S$138:$S$226,'FCPIS B'!$B$138:$B$226,'PIS B'!$A135,'FCPIS B'!$C$138:$C$226,'PIS B'!$B135)*1000*$A$4</f>
        <v>0</v>
      </c>
      <c r="G135" s="130"/>
      <c r="H135" s="130">
        <f>SUMIFS('FCPIS B'!$S$229:$S$279,'FCPIS B'!$B$229:$B$279,'PIS B'!$A135,'FCPIS B'!$C$229:$C$279,'PIS B'!$B135)*-1000*$A$4</f>
        <v>0</v>
      </c>
      <c r="I135" s="130"/>
      <c r="J135" s="130">
        <f>SUMIFS('FCPIS B'!$S$389:$S$410,'FCPIS B'!$B$389:$B$410,'PIS B'!$A135,'FCPIS B'!$C$389:$C$410,'PIS B'!$B135)*1000*$A$4</f>
        <v>0</v>
      </c>
      <c r="K135" s="130"/>
      <c r="L135" s="130">
        <f t="shared" si="44"/>
        <v>0</v>
      </c>
      <c r="M135" s="130"/>
      <c r="N135" s="785">
        <f t="shared" si="45"/>
        <v>57809.780099999931</v>
      </c>
      <c r="O135" s="129"/>
      <c r="P135" s="786">
        <f>SUMIFS('FCPIS B'!$R$282:$R$414,'FCPIS B'!$B$282:$B$414,'PIS B'!$A135,'FCPIS B'!$C$282:$C$414,'PIS B'!$B135)*-1000*$A$4</f>
        <v>0</v>
      </c>
      <c r="Q135" s="129"/>
      <c r="R135" s="786">
        <f t="shared" si="46"/>
        <v>57809.780099999931</v>
      </c>
      <c r="T135" s="9">
        <f t="shared" si="47"/>
        <v>0</v>
      </c>
      <c r="V135" s="9">
        <f t="shared" si="43"/>
        <v>0</v>
      </c>
      <c r="W135" s="176">
        <f>SUMIFS('FCPIS B'!$R$6:$R$135,'FCPIS B'!$B$6:$B$135,'PIS B'!$A135,'FCPIS B'!$C$6:$C$135,'PIS B'!$B135)*1000*$A$4</f>
        <v>57809.780099999931</v>
      </c>
      <c r="X135" s="176">
        <f t="shared" si="48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B'!$F$6:$F$135,'FCPIS B'!$B$6:$B$135,'PIS B'!$A136,'FCPIS B'!$C$6:$C$135,'PIS B'!$B136)*1000*$A$4</f>
        <v>0</v>
      </c>
      <c r="E136" s="130"/>
      <c r="F136" s="130">
        <f>SUMIFS('FCPIS B'!$S$138:$S$226,'FCPIS B'!$B$138:$B$226,'PIS B'!$A136,'FCPIS B'!$C$138:$C$226,'PIS B'!$B136)*1000*$A$4</f>
        <v>0</v>
      </c>
      <c r="G136" s="130"/>
      <c r="H136" s="130">
        <f>SUMIFS('FCPIS B'!$S$229:$S$279,'FCPIS B'!$B$229:$B$279,'PIS B'!$A136,'FCPIS B'!$C$229:$C$279,'PIS B'!$B136)*-1000*$A$4</f>
        <v>0</v>
      </c>
      <c r="I136" s="130"/>
      <c r="J136" s="130">
        <f>SUMIFS('FCPIS B'!$S$389:$S$410,'FCPIS B'!$B$389:$B$410,'PIS B'!$A136,'FCPIS B'!$C$389:$C$410,'PIS B'!$B136)*1000*$A$4</f>
        <v>0</v>
      </c>
      <c r="K136" s="130"/>
      <c r="L136" s="130">
        <f t="shared" si="44"/>
        <v>0</v>
      </c>
      <c r="M136" s="130"/>
      <c r="N136" s="785">
        <f t="shared" si="45"/>
        <v>0</v>
      </c>
      <c r="O136" s="129"/>
      <c r="P136" s="786">
        <f>SUMIFS('FCPIS B'!$R$282:$R$414,'FCPIS B'!$B$282:$B$414,'PIS B'!$A136,'FCPIS B'!$C$282:$C$414,'PIS B'!$B136)*-1000*$A$4</f>
        <v>0</v>
      </c>
      <c r="Q136" s="129"/>
      <c r="R136" s="786">
        <f t="shared" si="46"/>
        <v>0</v>
      </c>
      <c r="T136" s="9">
        <f t="shared" si="47"/>
        <v>0</v>
      </c>
      <c r="V136" s="9">
        <f t="shared" si="43"/>
        <v>0</v>
      </c>
      <c r="W136" s="176">
        <f>SUMIFS('FCPIS B'!$R$6:$R$135,'FCPIS B'!$B$6:$B$135,'PIS B'!$A136,'FCPIS B'!$C$6:$C$135,'PIS B'!$B136)*1000*$A$4</f>
        <v>0</v>
      </c>
      <c r="X136" s="176">
        <f t="shared" si="48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B'!$F$6:$F$135,'FCPIS B'!$B$6:$B$135,'PIS B'!$A137,'FCPIS B'!$C$6:$C$135,'PIS B'!$B137)*1000*$A$4</f>
        <v>78447968.706299931</v>
      </c>
      <c r="E137" s="130"/>
      <c r="F137" s="130">
        <f>SUMIFS('FCPIS B'!$S$138:$S$226,'FCPIS B'!$B$138:$B$226,'PIS B'!$A137,'FCPIS B'!$C$138:$C$226,'PIS B'!$B137)*1000*$A$4</f>
        <v>13202220.280199982</v>
      </c>
      <c r="G137" s="130"/>
      <c r="H137" s="130">
        <f>SUMIFS('FCPIS B'!$S$229:$S$279,'FCPIS B'!$B$229:$B$279,'PIS B'!$A137,'FCPIS B'!$C$229:$C$279,'PIS B'!$B137)*-1000*$A$4</f>
        <v>-4725375.2447999986</v>
      </c>
      <c r="I137" s="130"/>
      <c r="J137" s="130">
        <f>SUMIFS('FCPIS B'!$S$389:$S$410,'FCPIS B'!$B$389:$B$410,'PIS B'!$A137,'FCPIS B'!$C$389:$C$410,'PIS B'!$B137)*1000*$A$4</f>
        <v>0</v>
      </c>
      <c r="K137" s="130"/>
      <c r="L137" s="130">
        <f t="shared" si="44"/>
        <v>8476845.0353999846</v>
      </c>
      <c r="M137" s="130"/>
      <c r="N137" s="785">
        <f t="shared" si="45"/>
        <v>86924813.741699919</v>
      </c>
      <c r="O137" s="129"/>
      <c r="P137" s="786">
        <f>SUMIFS('FCPIS B'!$R$282:$R$414,'FCPIS B'!$B$282:$B$414,'PIS B'!$A137,'FCPIS B'!$C$282:$C$414,'PIS B'!$B137)*-1000*$A$4</f>
        <v>-48301086.764558993</v>
      </c>
      <c r="Q137" s="129"/>
      <c r="R137" s="786">
        <f t="shared" si="46"/>
        <v>38623726.977140926</v>
      </c>
      <c r="T137" s="9">
        <f t="shared" si="47"/>
        <v>7.7047791670156474E-12</v>
      </c>
      <c r="V137" s="9">
        <f t="shared" si="43"/>
        <v>-48301086.764558993</v>
      </c>
      <c r="W137" s="176">
        <f>SUMIFS('FCPIS B'!$R$6:$R$135,'FCPIS B'!$B$6:$B$135,'PIS B'!$A137,'FCPIS B'!$C$6:$C$135,'PIS B'!$B137)*1000*$A$4</f>
        <v>86924813.741699934</v>
      </c>
      <c r="X137" s="176">
        <f t="shared" si="48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B'!$F$6:$F$135,'FCPIS B'!$B$6:$B$135,'PIS B'!$A138,'FCPIS B'!$C$6:$C$135,'PIS B'!$B138)*1000*$A$4</f>
        <v>0</v>
      </c>
      <c r="E138" s="130"/>
      <c r="F138" s="130">
        <f>SUMIFS('FCPIS B'!$S$138:$S$226,'FCPIS B'!$B$138:$B$226,'PIS B'!$A138,'FCPIS B'!$C$138:$C$226,'PIS B'!$B138)*1000*$A$4</f>
        <v>0</v>
      </c>
      <c r="G138" s="130"/>
      <c r="H138" s="130">
        <f>SUMIFS('FCPIS B'!$S$229:$S$279,'FCPIS B'!$B$229:$B$279,'PIS B'!$A138,'FCPIS B'!$C$229:$C$279,'PIS B'!$B138)*-1000*$A$4</f>
        <v>0</v>
      </c>
      <c r="I138" s="130"/>
      <c r="J138" s="130">
        <f>SUMIFS('FCPIS B'!$S$389:$S$410,'FCPIS B'!$B$389:$B$410,'PIS B'!$A138,'FCPIS B'!$C$389:$C$410,'PIS B'!$B138)*1000*$A$4</f>
        <v>0</v>
      </c>
      <c r="K138" s="130"/>
      <c r="L138" s="130">
        <f t="shared" si="44"/>
        <v>0</v>
      </c>
      <c r="M138" s="130"/>
      <c r="N138" s="785">
        <f t="shared" si="45"/>
        <v>0</v>
      </c>
      <c r="O138" s="129"/>
      <c r="P138" s="786">
        <f>SUMIFS('FCPIS B'!$R$282:$R$414,'FCPIS B'!$B$282:$B$414,'PIS B'!$A138,'FCPIS B'!$C$282:$C$414,'PIS B'!$B138)*-1000*$A$4</f>
        <v>0</v>
      </c>
      <c r="Q138" s="129"/>
      <c r="R138" s="786">
        <f t="shared" si="46"/>
        <v>0</v>
      </c>
      <c r="T138" s="9">
        <f t="shared" si="47"/>
        <v>0</v>
      </c>
      <c r="V138" s="9">
        <f t="shared" si="43"/>
        <v>0</v>
      </c>
      <c r="W138" s="176">
        <f>SUMIFS('FCPIS B'!$R$6:$R$135,'FCPIS B'!$B$6:$B$135,'PIS B'!$A138,'FCPIS B'!$C$6:$C$135,'PIS B'!$B138)*1000*$A$4</f>
        <v>0</v>
      </c>
      <c r="X138" s="176">
        <f t="shared" si="48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B'!$F$6:$F$135,'FCPIS B'!$B$6:$B$135,'PIS B'!$A139,'FCPIS B'!$C$6:$C$135,'PIS B'!$B139)*1000*$A$4</f>
        <v>0</v>
      </c>
      <c r="E139" s="130"/>
      <c r="F139" s="794">
        <f>SUMIFS('FCPIS B'!$S$138:$S$226,'FCPIS B'!$B$138:$B$226,'PIS B'!$A139,'FCPIS B'!$C$138:$C$226,'PIS B'!$B139)*1000*$A$4</f>
        <v>0</v>
      </c>
      <c r="G139" s="130"/>
      <c r="H139" s="794">
        <f>SUMIFS('FCPIS B'!$S$229:$S$279,'FCPIS B'!$B$229:$B$279,'PIS B'!$A139,'FCPIS B'!$C$229:$C$279,'PIS B'!$B139)*-1000*$A$4</f>
        <v>0</v>
      </c>
      <c r="I139" s="130"/>
      <c r="J139" s="794">
        <f>SUMIFS('FCPIS B'!$S$389:$S$410,'FCPIS B'!$B$389:$B$410,'PIS B'!$A139,'FCPIS B'!$C$389:$C$410,'PIS B'!$B139)*1000*$A$4</f>
        <v>0</v>
      </c>
      <c r="K139" s="130"/>
      <c r="L139" s="794">
        <f t="shared" si="44"/>
        <v>0</v>
      </c>
      <c r="M139" s="130"/>
      <c r="N139" s="794">
        <f t="shared" si="45"/>
        <v>0</v>
      </c>
      <c r="O139" s="129"/>
      <c r="P139" s="795">
        <f>SUMIFS('FCPIS B'!$R$282:$R$414,'FCPIS B'!$B$282:$B$414,'PIS B'!$A139,'FCPIS B'!$C$282:$C$414,'PIS B'!$B139)*-1000*$A$4</f>
        <v>0</v>
      </c>
      <c r="Q139" s="129"/>
      <c r="R139" s="795">
        <f t="shared" si="46"/>
        <v>0</v>
      </c>
      <c r="T139" s="9">
        <f t="shared" si="47"/>
        <v>0</v>
      </c>
      <c r="V139" s="9">
        <f t="shared" si="43"/>
        <v>0</v>
      </c>
      <c r="W139" s="176">
        <f>SUMIFS('FCPIS B'!$R$6:$R$135,'FCPIS B'!$B$6:$B$135,'PIS B'!$A139,'FCPIS B'!$C$6:$C$135,'PIS B'!$B139)*1000*$A$4</f>
        <v>0</v>
      </c>
      <c r="X139" s="176">
        <f t="shared" si="48"/>
        <v>0</v>
      </c>
    </row>
    <row r="140" spans="1:24" s="174" customFormat="1" ht="15">
      <c r="C140" s="129"/>
      <c r="D140" s="130">
        <f>SUM(D110:D139)</f>
        <v>188093614.84889993</v>
      </c>
      <c r="E140" s="130"/>
      <c r="F140" s="130">
        <f>SUM(F110:F139)</f>
        <v>27302941.255199969</v>
      </c>
      <c r="G140" s="130"/>
      <c r="H140" s="130">
        <f>SUM(H110:H139)</f>
        <v>-8246268.2873999979</v>
      </c>
      <c r="I140" s="130"/>
      <c r="J140" s="130">
        <f>SUM(J110:J139)</f>
        <v>0</v>
      </c>
      <c r="K140" s="130"/>
      <c r="L140" s="130">
        <f>SUM(L110:L139)</f>
        <v>19056672.967799976</v>
      </c>
      <c r="M140" s="130"/>
      <c r="N140" s="130">
        <f>SUM(N110:N139)</f>
        <v>207150287.81669992</v>
      </c>
      <c r="O140" s="789"/>
      <c r="P140" s="130">
        <f>SUM(P110:P139)</f>
        <v>-107176919.88675746</v>
      </c>
      <c r="Q140" s="132"/>
      <c r="R140" s="130">
        <f>SUM(R110:R139)</f>
        <v>99973367.929942459</v>
      </c>
      <c r="T140" s="784">
        <f>'FC CWIP &amp; RWIP B'!P23*1000*A4</f>
        <v>1.5933920849420205E-11</v>
      </c>
      <c r="U140" s="2"/>
      <c r="V140" s="784">
        <f>P140+T140</f>
        <v>-107176919.88675746</v>
      </c>
      <c r="W140" s="176"/>
      <c r="X140" s="176"/>
    </row>
    <row r="141" spans="1:24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5.75" thickBot="1">
      <c r="C143" s="131" t="s">
        <v>922</v>
      </c>
      <c r="D143" s="788">
        <f>D140</f>
        <v>188093614.84889993</v>
      </c>
      <c r="E143" s="789"/>
      <c r="F143" s="788">
        <f>F140</f>
        <v>27302941.255199969</v>
      </c>
      <c r="G143" s="789"/>
      <c r="H143" s="788">
        <f>H140</f>
        <v>-8246268.2873999979</v>
      </c>
      <c r="I143" s="789"/>
      <c r="J143" s="788">
        <f>J140</f>
        <v>0</v>
      </c>
      <c r="K143" s="789"/>
      <c r="L143" s="788">
        <f>L140</f>
        <v>19056672.967799976</v>
      </c>
      <c r="M143" s="789"/>
      <c r="N143" s="788">
        <f>N140</f>
        <v>207150287.81669992</v>
      </c>
      <c r="O143" s="789"/>
      <c r="P143" s="788">
        <f>P140</f>
        <v>-107176919.88675746</v>
      </c>
      <c r="Q143" s="132"/>
      <c r="R143" s="788">
        <f>R140</f>
        <v>99973367.929942459</v>
      </c>
      <c r="T143" s="788">
        <f>T140</f>
        <v>1.5933920849420205E-11</v>
      </c>
      <c r="V143" s="788">
        <f>V140</f>
        <v>-107176919.88675746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5.75" thickBot="1">
      <c r="C145" s="131" t="s">
        <v>890</v>
      </c>
      <c r="D145" s="788">
        <f>D100+D143</f>
        <v>5581566706.5988998</v>
      </c>
      <c r="E145" s="789"/>
      <c r="F145" s="788">
        <f>F100+F143</f>
        <v>405917399.08519989</v>
      </c>
      <c r="G145" s="789"/>
      <c r="H145" s="788">
        <f>H100+H143</f>
        <v>-38254520.127399981</v>
      </c>
      <c r="I145" s="789"/>
      <c r="J145" s="788">
        <f>J100+J143</f>
        <v>-5344040.5999999996</v>
      </c>
      <c r="K145" s="789"/>
      <c r="L145" s="788">
        <f>L100+L143</f>
        <v>362318838.35779989</v>
      </c>
      <c r="M145" s="789"/>
      <c r="N145" s="788">
        <f>N100+N143</f>
        <v>5943885544.9566994</v>
      </c>
      <c r="O145" s="789"/>
      <c r="P145" s="788">
        <f>P100+P143</f>
        <v>-1905654595.3425746</v>
      </c>
      <c r="Q145" s="132"/>
      <c r="R145" s="788">
        <f>R100+R143</f>
        <v>4038230949.6141253</v>
      </c>
      <c r="T145" s="788">
        <f>T100+T143</f>
        <v>26579227.789999999</v>
      </c>
      <c r="V145" s="788">
        <f>V100+V143</f>
        <v>-1879075367.5525744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 ht="15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798">
        <v>360</v>
      </c>
      <c r="C157" s="129" t="s">
        <v>929</v>
      </c>
      <c r="D157" s="799">
        <f>SUMIFS('FCPIS B'!$F$6:$F$135,'FCPIS B'!$B$6:$B$135,'PIS B'!$A157,'FCPIS B'!$C$6:$C$135,'PIS B'!$B157)*1000</f>
        <v>2903591.6900000004</v>
      </c>
      <c r="E157" s="799"/>
      <c r="F157" s="799">
        <f>SUMIFS('FCPIS B'!$S$138:$S$226,'FCPIS B'!$B$138:$B$226,'PIS B'!$A157,'FCPIS B'!$C$138:$C$226,'PIS B'!$B157)*1000</f>
        <v>0</v>
      </c>
      <c r="G157" s="799"/>
      <c r="H157" s="799">
        <f>SUMIFS('FCPIS B'!$S$229:$S$279,'FCPIS B'!$B$229:$B$279,'PIS B'!$A157,'FCPIS B'!$C$229:$C$279,'PIS B'!$B157)*-1000</f>
        <v>-6599.59</v>
      </c>
      <c r="I157" s="799"/>
      <c r="J157" s="799">
        <f>SUMIFS('FCPIS B'!$S$389:$S$410,'FCPIS B'!$B$389:$B$410,'PIS B'!$A157,'FCPIS B'!$C$389:$C$410,'PIS B'!$B157)*1000</f>
        <v>0</v>
      </c>
      <c r="K157" s="799"/>
      <c r="L157" s="799">
        <f>SUM(F157:J157)</f>
        <v>-6599.59</v>
      </c>
      <c r="M157" s="799"/>
      <c r="N157" s="799">
        <f>D157+L157</f>
        <v>2896992.1000000006</v>
      </c>
      <c r="P157" s="799">
        <f>SUMIFS('FCPIS B'!$R$282:$R$414,'FCPIS B'!$B$282:$B$414,'PIS B'!$A157,'FCPIS B'!$C$282:$C$414,'PIS B'!$B157)*-1000</f>
        <v>0</v>
      </c>
      <c r="Q157" s="799"/>
      <c r="R157" s="799">
        <f>SUM(N157:P157)</f>
        <v>2896992.1000000006</v>
      </c>
      <c r="S157" s="799"/>
      <c r="T157" s="799"/>
      <c r="U157" s="799"/>
      <c r="V157" s="799">
        <f>P157+T157</f>
        <v>0</v>
      </c>
      <c r="W157" s="176">
        <f>SUMIFS('FCPIS B'!$R$6:$R$135,'FCPIS B'!$B$6:$B$135,'PIS B'!$A157,'FCPIS B'!$C$6:$C$135,'PIS B'!$B157)*1000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B'!$F$6:$F$135,'FCPIS B'!$B$6:$B$135,'PIS B'!$A158,'FCPIS B'!$C$6:$C$135,'PIS B'!$B158)*1000</f>
        <v>11748.709999999899</v>
      </c>
      <c r="E158" s="176"/>
      <c r="F158" s="175">
        <f>SUMIFS('FCPIS B'!$S$138:$S$226,'FCPIS B'!$B$138:$B$226,'PIS B'!$A158,'FCPIS B'!$C$138:$C$226,'PIS B'!$B158)*1000</f>
        <v>0</v>
      </c>
      <c r="G158" s="176"/>
      <c r="H158" s="175">
        <f>SUMIFS('FCPIS B'!$S$229:$S$279,'FCPIS B'!$B$229:$B$279,'PIS B'!$A158,'FCPIS B'!$C$229:$C$279,'PIS B'!$B158)*-1000</f>
        <v>0</v>
      </c>
      <c r="I158" s="176"/>
      <c r="J158" s="175">
        <f>SUMIFS('FCPIS B'!$S$389:$S$410,'FCPIS B'!$B$389:$B$410,'PIS B'!$A158,'FCPIS B'!$C$389:$C$410,'PIS B'!$B158)*1000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B'!$R$282:$R$414,'FCPIS B'!$B$282:$B$414,'PIS B'!$A158,'FCPIS B'!$C$282:$C$414,'PIS B'!$B158)*-1000</f>
        <v>-9.8899999999999988</v>
      </c>
      <c r="Q158" s="176"/>
      <c r="R158" s="175">
        <f>SUM(N158:P158)</f>
        <v>11738.8199999999</v>
      </c>
      <c r="S158" s="176"/>
      <c r="T158" s="175"/>
      <c r="U158" s="176"/>
      <c r="V158" s="175">
        <f>P158+T158</f>
        <v>-9.8899999999999988</v>
      </c>
      <c r="W158" s="176">
        <f>SUMIFS('FCPIS B'!$R$6:$R$135,'FCPIS B'!$B$6:$B$135,'PIS B'!$A158,'FCPIS B'!$C$6:$C$135,'PIS B'!$B158)*1000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2915340.4000000004</v>
      </c>
      <c r="E159" s="176"/>
      <c r="F159" s="176">
        <f>SUM(F157:F158)</f>
        <v>0</v>
      </c>
      <c r="G159" s="176"/>
      <c r="H159" s="176">
        <f>SUM(H157:H158)</f>
        <v>-6599.59</v>
      </c>
      <c r="I159" s="176"/>
      <c r="J159" s="176">
        <f>SUM(J157:J158)</f>
        <v>0</v>
      </c>
      <c r="K159" s="176"/>
      <c r="L159" s="176">
        <f>SUM(L157:L158)</f>
        <v>-6599.59</v>
      </c>
      <c r="M159" s="176"/>
      <c r="N159" s="176">
        <f>SUM(N157:N158)</f>
        <v>2908740.8100000005</v>
      </c>
      <c r="O159" s="11"/>
      <c r="P159" s="176">
        <f>SUM(P157:P158)</f>
        <v>-9.8899999999999988</v>
      </c>
      <c r="Q159" s="176"/>
      <c r="R159" s="176">
        <f>SUM(R157:R158)</f>
        <v>2908730.9200000004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B'!$F$6:$F$135,'FCPIS B'!$B$6:$B$135,'PIS B'!$A162,'FCPIS B'!$C$6:$C$135,'PIS B'!$B162)*1000</f>
        <v>0</v>
      </c>
      <c r="E162" s="176"/>
      <c r="F162" s="176">
        <f>SUMIFS('FCPIS B'!$S$138:$S$226,'FCPIS B'!$B$138:$B$226,'PIS B'!$A162,'FCPIS B'!$C$138:$C$226,'PIS B'!$B162)*1000</f>
        <v>0</v>
      </c>
      <c r="G162" s="176"/>
      <c r="H162" s="176">
        <f>SUMIFS('FCPIS B'!$S$229:$S$279,'FCPIS B'!$B$229:$B$279,'PIS B'!$A162,'FCPIS B'!$C$229:$C$279,'PIS B'!$B162)*-1000</f>
        <v>0</v>
      </c>
      <c r="I162" s="176"/>
      <c r="J162" s="176">
        <f>SUMIFS('FCPIS B'!$S$389:$S$410,'FCPIS B'!$B$389:$B$410,'PIS B'!$A162,'FCPIS B'!$C$389:$C$410,'PIS B'!$B162)*1000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B'!$R$282:$R$414,'FCPIS B'!$B$282:$B$414,'PIS B'!$A162,'FCPIS B'!$C$282:$C$414,'PIS B'!$B162)*-1000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B'!$R$6:$R$135,'FCPIS B'!$B$6:$B$135,'PIS B'!$A162,'FCPIS B'!$C$6:$C$135,'PIS B'!$B162)*1000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B'!$F$6:$F$135,'FCPIS B'!$B$6:$B$135,'PIS B'!$A163,'FCPIS B'!$C$6:$C$135,'PIS B'!$B163)*1000</f>
        <v>0</v>
      </c>
      <c r="E163" s="176"/>
      <c r="F163" s="176">
        <f>SUMIFS('FCPIS B'!$S$138:$S$226,'FCPIS B'!$B$138:$B$226,'PIS B'!$A163,'FCPIS B'!$C$138:$C$226,'PIS B'!$B163)*1000</f>
        <v>0</v>
      </c>
      <c r="G163" s="176"/>
      <c r="H163" s="176">
        <f>SUMIFS('FCPIS B'!$S$229:$S$279,'FCPIS B'!$B$229:$B$279,'PIS B'!$A163,'FCPIS B'!$C$229:$C$279,'PIS B'!$B163)*-1000</f>
        <v>0</v>
      </c>
      <c r="I163" s="176"/>
      <c r="J163" s="176">
        <f>SUMIFS('FCPIS B'!$S$389:$S$410,'FCPIS B'!$B$389:$B$410,'PIS B'!$A163,'FCPIS B'!$C$389:$C$410,'PIS B'!$B163)*1000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B'!$R$282:$R$414,'FCPIS B'!$B$282:$B$414,'PIS B'!$A163,'FCPIS B'!$C$282:$C$414,'PIS B'!$B163)*-1000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B'!$R$6:$R$135,'FCPIS B'!$B$6:$B$135,'PIS B'!$A163,'FCPIS B'!$C$6:$C$135,'PIS B'!$B163)*1000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B'!$F$6:$F$135,'FCPIS B'!$B$6:$B$135,'PIS B'!$A164,'FCPIS B'!$C$6:$C$135,'PIS B'!$B164)*1000</f>
        <v>0</v>
      </c>
      <c r="E164" s="176"/>
      <c r="F164" s="176">
        <f>SUMIFS('FCPIS B'!$S$138:$S$226,'FCPIS B'!$B$138:$B$226,'PIS B'!$A164,'FCPIS B'!$C$138:$C$226,'PIS B'!$B164)*1000</f>
        <v>0</v>
      </c>
      <c r="G164" s="176"/>
      <c r="H164" s="176">
        <f>SUMIFS('FCPIS B'!$S$229:$S$279,'FCPIS B'!$B$229:$B$279,'PIS B'!$A164,'FCPIS B'!$C$229:$C$279,'PIS B'!$B164)*-1000</f>
        <v>0</v>
      </c>
      <c r="I164" s="176"/>
      <c r="J164" s="176">
        <f>SUMIFS('FCPIS B'!$S$389:$S$410,'FCPIS B'!$B$389:$B$410,'PIS B'!$A164,'FCPIS B'!$C$389:$C$410,'PIS B'!$B164)*1000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B'!$R$282:$R$414,'FCPIS B'!$B$282:$B$414,'PIS B'!$A164,'FCPIS B'!$C$282:$C$414,'PIS B'!$B164)*-1000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B'!$R$6:$R$135,'FCPIS B'!$B$6:$B$135,'PIS B'!$A164,'FCPIS B'!$C$6:$C$135,'PIS B'!$B164)*1000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B'!$F$6:$F$135,'FCPIS B'!$B$6:$B$135,'PIS B'!$A165,'FCPIS B'!$C$6:$C$135,'PIS B'!$B165)*1000</f>
        <v>0</v>
      </c>
      <c r="E165" s="176"/>
      <c r="F165" s="176">
        <f>SUMIFS('FCPIS B'!$S$138:$S$226,'FCPIS B'!$B$138:$B$226,'PIS B'!$A165,'FCPIS B'!$C$138:$C$226,'PIS B'!$B165)*1000</f>
        <v>0</v>
      </c>
      <c r="G165" s="176"/>
      <c r="H165" s="176">
        <f>SUMIFS('FCPIS B'!$S$229:$S$279,'FCPIS B'!$B$229:$B$279,'PIS B'!$A165,'FCPIS B'!$C$229:$C$279,'PIS B'!$B165)*-1000</f>
        <v>0</v>
      </c>
      <c r="I165" s="176"/>
      <c r="J165" s="176">
        <f>SUMIFS('FCPIS B'!$S$389:$S$410,'FCPIS B'!$B$389:$B$410,'PIS B'!$A165,'FCPIS B'!$C$389:$C$410,'PIS B'!$B165)*1000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B'!$R$282:$R$414,'FCPIS B'!$B$282:$B$414,'PIS B'!$A165,'FCPIS B'!$C$282:$C$414,'PIS B'!$B165)*-1000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B'!$R$6:$R$135,'FCPIS B'!$B$6:$B$135,'PIS B'!$A165,'FCPIS B'!$C$6:$C$135,'PIS B'!$B165)*1000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B'!$F$6:$F$135,'FCPIS B'!$B$6:$B$135,'PIS B'!$A166,'FCPIS B'!$C$6:$C$135,'PIS B'!$B166)*1000</f>
        <v>0</v>
      </c>
      <c r="E166" s="176"/>
      <c r="F166" s="176">
        <f>SUMIFS('FCPIS B'!$S$138:$S$226,'FCPIS B'!$B$138:$B$226,'PIS B'!$A166,'FCPIS B'!$C$138:$C$226,'PIS B'!$B166)*1000</f>
        <v>0</v>
      </c>
      <c r="G166" s="176"/>
      <c r="H166" s="176">
        <f>SUMIFS('FCPIS B'!$S$229:$S$279,'FCPIS B'!$B$229:$B$279,'PIS B'!$A166,'FCPIS B'!$C$229:$C$279,'PIS B'!$B166)*-1000</f>
        <v>0</v>
      </c>
      <c r="I166" s="176"/>
      <c r="J166" s="176">
        <f>SUMIFS('FCPIS B'!$S$389:$S$410,'FCPIS B'!$B$389:$B$410,'PIS B'!$A166,'FCPIS B'!$C$389:$C$410,'PIS B'!$B166)*1000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B'!$R$282:$R$414,'FCPIS B'!$B$282:$B$414,'PIS B'!$A166,'FCPIS B'!$C$282:$C$414,'PIS B'!$B166)*-1000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B'!$R$6:$R$135,'FCPIS B'!$B$6:$B$135,'PIS B'!$A166,'FCPIS B'!$C$6:$C$135,'PIS B'!$B166)*1000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B'!$F$6:$F$135,'FCPIS B'!$B$6:$B$135,'PIS B'!$A167,'FCPIS B'!$C$6:$C$135,'PIS B'!$B167)*1000</f>
        <v>0</v>
      </c>
      <c r="E167" s="176"/>
      <c r="F167" s="175">
        <f>SUMIFS('FCPIS B'!$S$138:$S$226,'FCPIS B'!$B$138:$B$226,'PIS B'!$A167,'FCPIS B'!$C$138:$C$226,'PIS B'!$B167)*1000</f>
        <v>0</v>
      </c>
      <c r="G167" s="176"/>
      <c r="H167" s="175">
        <f>SUMIFS('FCPIS B'!$S$229:$S$279,'FCPIS B'!$B$229:$B$279,'PIS B'!$A167,'FCPIS B'!$C$229:$C$279,'PIS B'!$B167)*-1000</f>
        <v>0</v>
      </c>
      <c r="I167" s="176"/>
      <c r="J167" s="175">
        <f>SUMIFS('FCPIS B'!$S$389:$S$410,'FCPIS B'!$B$389:$B$410,'PIS B'!$A167,'FCPIS B'!$C$389:$C$410,'PIS B'!$B167)*1000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B'!$R$282:$R$414,'FCPIS B'!$B$282:$B$414,'PIS B'!$A167,'FCPIS B'!$C$282:$C$414,'PIS B'!$B167)*-1000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B'!$R$6:$R$135,'FCPIS B'!$B$6:$B$135,'PIS B'!$A167,'FCPIS B'!$C$6:$C$135,'PIS B'!$B167)*1000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 t="s">
        <v>44</v>
      </c>
      <c r="E170" s="799"/>
      <c r="G170" s="799"/>
      <c r="I170" s="799"/>
      <c r="K170" s="799"/>
      <c r="M170" s="799"/>
    </row>
    <row r="171" spans="1:24">
      <c r="A171" s="174" t="s">
        <v>924</v>
      </c>
      <c r="B171" s="798">
        <v>340</v>
      </c>
      <c r="C171" s="129" t="s">
        <v>1531</v>
      </c>
      <c r="D171" s="799">
        <f>SUMIFS('FCPIS B'!$F$6:$F$135,'FCPIS B'!$B$6:$B$135,'PIS B'!$A171,'FCPIS B'!$C$6:$C$135,'PIS B'!$B171)*1000</f>
        <v>211410</v>
      </c>
      <c r="E171" s="799"/>
      <c r="F171" s="799">
        <f>SUMIFS('FCPIS B'!$S$138:$S$226,'FCPIS B'!$B$138:$B$226,'PIS B'!$A171,'FCPIS B'!$C$138:$C$226,'PIS B'!$B171)*1000</f>
        <v>0</v>
      </c>
      <c r="G171" s="799"/>
      <c r="H171" s="799">
        <f>SUMIFS('FCPIS B'!$S$229:$S$279,'FCPIS B'!$B$229:$B$279,'PIS B'!$A171,'FCPIS B'!$C$229:$C$279,'PIS B'!$B171)*-1000</f>
        <v>0</v>
      </c>
      <c r="I171" s="799"/>
      <c r="J171" s="799">
        <f>SUMIFS('FCPIS B'!$S$389:$S$410,'FCPIS B'!$B$389:$B$410,'PIS B'!$A171,'FCPIS B'!$C$389:$C$410,'PIS B'!$B171)*1000</f>
        <v>0</v>
      </c>
      <c r="K171" s="799"/>
      <c r="L171" s="799">
        <f>SUM(F171:J171)</f>
        <v>0</v>
      </c>
      <c r="M171" s="799"/>
      <c r="N171" s="799">
        <f>D171+L171</f>
        <v>211410</v>
      </c>
      <c r="P171" s="175">
        <f>SUMIFS('FCPIS B'!$R$282:$R$414,'FCPIS B'!$B$282:$B$414,'PIS B'!$A171,'FCPIS B'!$C$282:$C$414,'PIS B'!$B171)*-1000</f>
        <v>0</v>
      </c>
      <c r="Q171" s="176"/>
      <c r="R171" s="175">
        <f>SUM(N171:P171)</f>
        <v>211410</v>
      </c>
      <c r="S171" s="176"/>
      <c r="T171" s="175">
        <v>0</v>
      </c>
      <c r="U171" s="176"/>
      <c r="V171" s="175">
        <f>P171+T171</f>
        <v>0</v>
      </c>
      <c r="W171" s="799">
        <f>SUMIFS('FCPIS B'!$R$6:$R$135,'FCPIS B'!$B$6:$B$135,'PIS B'!$A171,'FCPIS B'!$C$6:$C$135,'PIS B'!$B171)*1000</f>
        <v>211410</v>
      </c>
      <c r="X171" s="799">
        <f>W171-N171</f>
        <v>0</v>
      </c>
    </row>
    <row r="172" spans="1:24">
      <c r="C172" s="129"/>
      <c r="D172" s="800">
        <f>SUM(D171:D171)</f>
        <v>211410</v>
      </c>
      <c r="E172" s="176"/>
      <c r="F172" s="800">
        <f>SUM(F171:F171)</f>
        <v>0</v>
      </c>
      <c r="G172" s="176"/>
      <c r="H172" s="800">
        <f>SUM(H171:H171)</f>
        <v>0</v>
      </c>
      <c r="I172" s="176"/>
      <c r="J172" s="800">
        <f>SUM(J171:J171)</f>
        <v>0</v>
      </c>
      <c r="K172" s="176"/>
      <c r="L172" s="800">
        <f>SUM(L171:L171)</f>
        <v>0</v>
      </c>
      <c r="M172" s="176"/>
      <c r="N172" s="800">
        <f>SUM(N171:N171)</f>
        <v>211410</v>
      </c>
      <c r="R172" s="800">
        <f>SUM(R171:R171)</f>
        <v>211410</v>
      </c>
    </row>
    <row r="173" spans="1:24">
      <c r="C173" s="129"/>
      <c r="E173" s="799"/>
      <c r="G173" s="799"/>
      <c r="I173" s="799"/>
      <c r="K173" s="799"/>
      <c r="M173" s="799"/>
    </row>
    <row r="174" spans="1:24" ht="13.5" thickBot="1">
      <c r="C174" s="129" t="s">
        <v>80</v>
      </c>
      <c r="D174" s="801">
        <f>D168+D159+D172</f>
        <v>3126750.4000000004</v>
      </c>
      <c r="E174" s="799"/>
      <c r="F174" s="801">
        <f>F168+F159+F172</f>
        <v>0</v>
      </c>
      <c r="G174" s="799"/>
      <c r="H174" s="801">
        <f>H168+H159+H172</f>
        <v>-6599.59</v>
      </c>
      <c r="I174" s="799"/>
      <c r="J174" s="801">
        <f>J168+J159+J172</f>
        <v>0</v>
      </c>
      <c r="K174" s="799"/>
      <c r="L174" s="801">
        <f>L168+L159+L172</f>
        <v>-6599.59</v>
      </c>
      <c r="M174" s="799"/>
      <c r="N174" s="801">
        <f>N168+N159+N172</f>
        <v>3120150.8100000005</v>
      </c>
      <c r="P174" s="801">
        <f>P168+P159+P172</f>
        <v>-9.8899999999999988</v>
      </c>
      <c r="R174" s="801">
        <f>R168+R159+R172</f>
        <v>3120140.9200000004</v>
      </c>
      <c r="T174" s="801">
        <f>T168+T159+T172</f>
        <v>0</v>
      </c>
      <c r="V174" s="801">
        <f>V168+V159+V172</f>
        <v>-9.8899999999999988</v>
      </c>
    </row>
    <row r="175" spans="1:24" ht="13.5" thickTop="1"/>
    <row r="176" spans="1:24" s="174" customFormat="1" ht="15.75" thickBot="1">
      <c r="C176" s="131" t="s">
        <v>943</v>
      </c>
      <c r="D176" s="788">
        <f>D145+D174</f>
        <v>5584693456.9988995</v>
      </c>
      <c r="E176" s="789"/>
      <c r="F176" s="788">
        <f>F145+F174</f>
        <v>405917399.08519989</v>
      </c>
      <c r="G176" s="789"/>
      <c r="H176" s="788">
        <f>H145+H174</f>
        <v>-38261119.717399985</v>
      </c>
      <c r="I176" s="789"/>
      <c r="J176" s="788">
        <f>J145+J174</f>
        <v>-5344040.5999999996</v>
      </c>
      <c r="K176" s="789"/>
      <c r="L176" s="788">
        <f>L145+L174</f>
        <v>362312238.76779991</v>
      </c>
      <c r="M176" s="789"/>
      <c r="N176" s="788">
        <f>N145+N174</f>
        <v>5947005695.7666998</v>
      </c>
      <c r="O176" s="789"/>
      <c r="P176" s="788">
        <f>P145+P174</f>
        <v>-1905654605.2325747</v>
      </c>
      <c r="Q176" s="132"/>
      <c r="R176" s="788">
        <f>R145+R174</f>
        <v>4041351090.5341253</v>
      </c>
      <c r="T176" s="788">
        <f>T145+T174</f>
        <v>26579227.789999999</v>
      </c>
      <c r="V176" s="788">
        <f>V145+V174</f>
        <v>-1879075377.4425745</v>
      </c>
      <c r="W176" s="176"/>
      <c r="X176" s="176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S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22" sqref="I22"/>
    </sheetView>
  </sheetViews>
  <sheetFormatPr defaultColWidth="7.77734375" defaultRowHeight="15"/>
  <cols>
    <col min="1" max="2" width="5.21875" style="137" customWidth="1"/>
    <col min="3" max="3" width="4.21875" style="137" customWidth="1"/>
    <col min="4" max="4" width="58.33203125" style="134" bestFit="1" customWidth="1"/>
    <col min="5" max="5" width="12.109375" style="134" customWidth="1"/>
    <col min="6" max="19" width="9.33203125" style="137" customWidth="1"/>
    <col min="20" max="16384" width="7.77734375" style="137"/>
  </cols>
  <sheetData>
    <row r="1" spans="1:19" s="136" customFormat="1">
      <c r="D1" s="180"/>
      <c r="E1" s="180"/>
    </row>
    <row r="2" spans="1:19" s="136" customFormat="1" ht="3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1819</v>
      </c>
      <c r="G2" s="136" t="s">
        <v>1820</v>
      </c>
      <c r="H2" s="136" t="s">
        <v>1821</v>
      </c>
      <c r="I2" s="136" t="s">
        <v>1822</v>
      </c>
      <c r="J2" s="136" t="s">
        <v>1823</v>
      </c>
      <c r="K2" s="136" t="s">
        <v>1824</v>
      </c>
      <c r="L2" s="136" t="s">
        <v>1825</v>
      </c>
      <c r="M2" s="136" t="s">
        <v>1715</v>
      </c>
      <c r="N2" s="136" t="s">
        <v>1716</v>
      </c>
      <c r="O2" s="136" t="s">
        <v>1717</v>
      </c>
      <c r="P2" s="136" t="s">
        <v>1718</v>
      </c>
      <c r="Q2" s="136" t="s">
        <v>1719</v>
      </c>
      <c r="R2" s="136" t="s">
        <v>1720</v>
      </c>
      <c r="S2" s="136" t="s">
        <v>1826</v>
      </c>
    </row>
    <row r="3" spans="1:19" s="136" customFormat="1">
      <c r="D3" s="180"/>
      <c r="E3" s="180"/>
    </row>
    <row r="5" spans="1:19">
      <c r="D5" s="134" t="s">
        <v>689</v>
      </c>
    </row>
    <row r="6" spans="1:19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</row>
    <row r="7" spans="1:19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1245.24209</v>
      </c>
      <c r="G7" s="137">
        <v>1245.24209</v>
      </c>
      <c r="H7" s="137">
        <v>1245.24209</v>
      </c>
      <c r="I7" s="137">
        <v>1245.24209</v>
      </c>
      <c r="J7" s="137">
        <v>1245.24209</v>
      </c>
      <c r="K7" s="137">
        <v>1245.24209</v>
      </c>
      <c r="L7" s="137">
        <v>1245.24209</v>
      </c>
      <c r="M7" s="137">
        <v>1248.7975200000001</v>
      </c>
      <c r="N7" s="137">
        <v>1323.43804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</row>
    <row r="8" spans="1:19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</row>
    <row r="9" spans="1:19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2267.6315099999902</v>
      </c>
    </row>
    <row r="10" spans="1:19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</row>
    <row r="11" spans="1:19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</row>
    <row r="12" spans="1:19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30782.241419999998</v>
      </c>
      <c r="G12" s="137">
        <v>30782.241419999998</v>
      </c>
      <c r="H12" s="137">
        <v>30782.241419999998</v>
      </c>
      <c r="I12" s="137">
        <v>30782.241419999998</v>
      </c>
      <c r="J12" s="137">
        <v>30782.241419999998</v>
      </c>
      <c r="K12" s="137">
        <v>30782.241419999998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</row>
    <row r="13" spans="1:19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270742.49777999998</v>
      </c>
      <c r="G13" s="137">
        <v>270739.32563999901</v>
      </c>
      <c r="H13" s="137">
        <v>270007.68963999901</v>
      </c>
      <c r="I13" s="137">
        <v>270023.14897999901</v>
      </c>
      <c r="J13" s="137">
        <v>270022.09197999898</v>
      </c>
      <c r="K13" s="137">
        <v>277695.79920999898</v>
      </c>
      <c r="L13" s="137">
        <v>278027.12767000002</v>
      </c>
      <c r="M13" s="137">
        <v>278501.62689000001</v>
      </c>
      <c r="N13" s="137">
        <v>278527.62689000001</v>
      </c>
      <c r="O13" s="137">
        <v>278912.5062</v>
      </c>
      <c r="P13" s="137">
        <v>279056.59042000002</v>
      </c>
      <c r="Q13" s="137">
        <v>279331.59042000002</v>
      </c>
      <c r="R13" s="137">
        <v>279790.19478000002</v>
      </c>
    </row>
    <row r="14" spans="1:19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1098231.9151000001</v>
      </c>
      <c r="G14" s="137">
        <v>1098251.1368499999</v>
      </c>
      <c r="H14" s="137">
        <v>1092307.2670700001</v>
      </c>
      <c r="I14" s="137">
        <v>1092821.3181</v>
      </c>
      <c r="J14" s="137">
        <v>1094837.6206</v>
      </c>
      <c r="K14" s="137">
        <v>1095557.1244399999</v>
      </c>
      <c r="L14" s="137">
        <v>1096218.8527899999</v>
      </c>
      <c r="M14" s="137">
        <v>1096477.60274</v>
      </c>
      <c r="N14" s="137">
        <v>1096851.53308</v>
      </c>
      <c r="O14" s="137">
        <v>1097623.87836</v>
      </c>
      <c r="P14" s="137">
        <v>1171540.86228</v>
      </c>
      <c r="Q14" s="137">
        <v>1181759.8706700001</v>
      </c>
      <c r="R14" s="137">
        <v>1183687.9888800001</v>
      </c>
    </row>
    <row r="15" spans="1:19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32342.90727</v>
      </c>
      <c r="G15" s="137">
        <v>32342.90727</v>
      </c>
      <c r="H15" s="137">
        <v>32342.90727</v>
      </c>
      <c r="I15" s="137">
        <v>32342.90727</v>
      </c>
      <c r="J15" s="137">
        <v>32342.90727</v>
      </c>
      <c r="K15" s="137">
        <v>32342.90727</v>
      </c>
      <c r="L15" s="137">
        <v>32342.90727</v>
      </c>
      <c r="M15" s="137">
        <v>33830.395799999998</v>
      </c>
      <c r="N15" s="137">
        <v>68545.917870000005</v>
      </c>
      <c r="O15" s="137">
        <v>97597.517269999997</v>
      </c>
      <c r="P15" s="137">
        <v>99288.574120000005</v>
      </c>
      <c r="Q15" s="137">
        <v>97714.008790000007</v>
      </c>
      <c r="R15" s="137">
        <v>99580.023390000002</v>
      </c>
    </row>
    <row r="16" spans="1:19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1042938.88244</v>
      </c>
      <c r="G16" s="137">
        <v>1042938.88244</v>
      </c>
      <c r="H16" s="137">
        <v>1042938.88244</v>
      </c>
      <c r="I16" s="137">
        <v>1042938.88244</v>
      </c>
      <c r="J16" s="137">
        <v>1042938.88244</v>
      </c>
      <c r="K16" s="137">
        <v>1042938.88244</v>
      </c>
      <c r="L16" s="137">
        <v>1052808.87644</v>
      </c>
      <c r="M16" s="137">
        <v>1057497.04101</v>
      </c>
      <c r="N16" s="137">
        <v>1058621.0274700001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</row>
    <row r="17" spans="1:18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13116.6612899999</v>
      </c>
      <c r="G17" s="137">
        <v>13642.211009999901</v>
      </c>
      <c r="H17" s="137">
        <v>13642.211009999901</v>
      </c>
      <c r="I17" s="137">
        <v>13642.211009999901</v>
      </c>
      <c r="J17" s="137">
        <v>13642.211009999901</v>
      </c>
      <c r="K17" s="137">
        <v>13642.211009999901</v>
      </c>
      <c r="L17" s="137">
        <v>13642.211009999901</v>
      </c>
      <c r="M17" s="137">
        <v>15554.26152</v>
      </c>
      <c r="N17" s="137">
        <v>15789.26153</v>
      </c>
      <c r="O17" s="137">
        <v>15966.261549999999</v>
      </c>
      <c r="P17" s="137">
        <v>16071.261559999901</v>
      </c>
      <c r="Q17" s="137">
        <v>16268.062459999999</v>
      </c>
      <c r="R17" s="137">
        <v>17294.86118</v>
      </c>
    </row>
    <row r="18" spans="1:18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226849.69317000001</v>
      </c>
      <c r="G18" s="137">
        <v>226872.63965999999</v>
      </c>
      <c r="H18" s="137">
        <v>226874.44914000001</v>
      </c>
      <c r="I18" s="137">
        <v>226957.74119</v>
      </c>
      <c r="J18" s="137">
        <v>226975.90912</v>
      </c>
      <c r="K18" s="137">
        <v>229916.25563</v>
      </c>
      <c r="L18" s="137">
        <v>230427.96536999999</v>
      </c>
      <c r="M18" s="137">
        <v>230435.76191999999</v>
      </c>
      <c r="N18" s="137">
        <v>230745.77159999899</v>
      </c>
      <c r="O18" s="137">
        <v>230787.60647999999</v>
      </c>
      <c r="P18" s="137">
        <v>230813.96897999899</v>
      </c>
      <c r="Q18" s="137">
        <v>234607.76049999901</v>
      </c>
      <c r="R18" s="137">
        <v>234779.17268999899</v>
      </c>
    </row>
    <row r="19" spans="1:18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135594.51624999999</v>
      </c>
      <c r="G19" s="137">
        <v>135701.48589000001</v>
      </c>
      <c r="H19" s="137">
        <v>135085.99486000001</v>
      </c>
      <c r="I19" s="137">
        <v>135113.40065</v>
      </c>
      <c r="J19" s="137">
        <v>135108.81708000001</v>
      </c>
      <c r="K19" s="137">
        <v>135360.88951000001</v>
      </c>
      <c r="L19" s="137">
        <v>135320.61014</v>
      </c>
      <c r="M19" s="137">
        <v>135614.14470999999</v>
      </c>
      <c r="N19" s="137">
        <v>135614.14470999999</v>
      </c>
      <c r="O19" s="137">
        <v>135614.14470999999</v>
      </c>
      <c r="P19" s="137">
        <v>135698.91884</v>
      </c>
      <c r="Q19" s="137">
        <v>135756.04384</v>
      </c>
      <c r="R19" s="137">
        <v>135920.22042</v>
      </c>
    </row>
    <row r="20" spans="1:18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</row>
    <row r="21" spans="1:18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45428.19904</v>
      </c>
      <c r="G21" s="137">
        <v>45428.19904</v>
      </c>
      <c r="H21" s="137">
        <v>45428.19904</v>
      </c>
      <c r="I21" s="137">
        <v>45428.19904</v>
      </c>
      <c r="J21" s="137">
        <v>45428.19904</v>
      </c>
      <c r="K21" s="137">
        <v>45428.19904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</row>
    <row r="22" spans="1:18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910.10701999999901</v>
      </c>
      <c r="G22" s="137">
        <v>910.10701999999901</v>
      </c>
      <c r="H22" s="137">
        <v>910.10701999999901</v>
      </c>
      <c r="I22" s="137">
        <v>910.10701999999901</v>
      </c>
      <c r="J22" s="137">
        <v>910.10701999999901</v>
      </c>
      <c r="K22" s="137">
        <v>910.10701999999901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</row>
    <row r="23" spans="1:18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19407.567789999899</v>
      </c>
      <c r="G23" s="137">
        <v>19085.237219999999</v>
      </c>
      <c r="H23" s="137">
        <v>19056.740409999999</v>
      </c>
      <c r="I23" s="137">
        <v>19060.52305</v>
      </c>
      <c r="J23" s="137">
        <v>19053.3066</v>
      </c>
      <c r="K23" s="137">
        <v>18332.250169999999</v>
      </c>
      <c r="L23" s="137">
        <v>18452.578089999999</v>
      </c>
      <c r="M23" s="137">
        <v>18495.905869999999</v>
      </c>
      <c r="N23" s="137">
        <v>18612.111719999899</v>
      </c>
      <c r="O23" s="137">
        <v>18655.494309999998</v>
      </c>
      <c r="P23" s="137">
        <v>18683.941869999999</v>
      </c>
      <c r="Q23" s="137">
        <v>19296.941869999999</v>
      </c>
      <c r="R23" s="137">
        <v>19517.815059999899</v>
      </c>
    </row>
    <row r="24" spans="1:18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23400.114379999999</v>
      </c>
      <c r="G24" s="137">
        <v>23400.114379999999</v>
      </c>
      <c r="H24" s="137">
        <v>23400.114379999999</v>
      </c>
      <c r="I24" s="137">
        <v>20729.58844</v>
      </c>
      <c r="J24" s="137">
        <v>20543.864460000001</v>
      </c>
      <c r="K24" s="137">
        <v>20543.864460000001</v>
      </c>
      <c r="L24" s="137">
        <v>20543.864460000001</v>
      </c>
      <c r="M24" s="137">
        <v>20543.864460000001</v>
      </c>
      <c r="N24" s="137">
        <v>20543.864460000001</v>
      </c>
      <c r="O24" s="137">
        <v>20543.864460000001</v>
      </c>
      <c r="P24" s="137">
        <v>20543.864460000001</v>
      </c>
      <c r="Q24" s="137">
        <v>20543.864460000001</v>
      </c>
      <c r="R24" s="137">
        <v>20543.864460000001</v>
      </c>
    </row>
    <row r="25" spans="1:18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73595.9954</v>
      </c>
      <c r="G25" s="137">
        <v>73595.9954</v>
      </c>
      <c r="H25" s="137">
        <v>73595.9954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</row>
    <row r="26" spans="1:18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</row>
    <row r="27" spans="1:18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12870.708210000001</v>
      </c>
      <c r="G27" s="137">
        <v>12876.376850000001</v>
      </c>
      <c r="H27" s="137">
        <v>12896.111290000001</v>
      </c>
      <c r="I27" s="137">
        <v>12835.26094</v>
      </c>
      <c r="J27" s="137">
        <v>12834.630009999901</v>
      </c>
      <c r="K27" s="137">
        <v>12839.046490000001</v>
      </c>
      <c r="L27" s="137">
        <v>12835.08475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</row>
    <row r="28" spans="1:18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24492.83942</v>
      </c>
      <c r="G28" s="137">
        <v>24501.342399999899</v>
      </c>
      <c r="H28" s="137">
        <v>24519.426390000001</v>
      </c>
      <c r="I28" s="137">
        <v>24423.60181</v>
      </c>
      <c r="J28" s="137">
        <v>24422.655439999999</v>
      </c>
      <c r="K28" s="137">
        <v>24429.280139999999</v>
      </c>
      <c r="L28" s="137">
        <v>24423.33754</v>
      </c>
      <c r="M28" s="137">
        <v>24423.33754</v>
      </c>
      <c r="N28" s="137">
        <v>24423.33754</v>
      </c>
      <c r="O28" s="137">
        <v>24423.33754</v>
      </c>
      <c r="P28" s="137">
        <v>26209.847310000001</v>
      </c>
      <c r="Q28" s="137">
        <v>26209.847310000001</v>
      </c>
      <c r="R28" s="137">
        <v>26209.847310000001</v>
      </c>
    </row>
    <row r="29" spans="1:18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91627.246079999997</v>
      </c>
      <c r="G29" s="137">
        <v>91661.257970000006</v>
      </c>
      <c r="H29" s="137">
        <v>91127.080619999993</v>
      </c>
      <c r="I29" s="137">
        <v>90944.530849999996</v>
      </c>
      <c r="J29" s="137">
        <v>90803.52334</v>
      </c>
      <c r="K29" s="137">
        <v>90830.022129999998</v>
      </c>
      <c r="L29" s="137">
        <v>90806.251709999997</v>
      </c>
      <c r="M29" s="137">
        <v>96459.93849</v>
      </c>
      <c r="N29" s="137">
        <v>97540.914499999999</v>
      </c>
      <c r="O29" s="137">
        <v>98788.914499999999</v>
      </c>
      <c r="P29" s="137">
        <v>99889.448199999999</v>
      </c>
      <c r="Q29" s="137">
        <v>100539.4482</v>
      </c>
      <c r="R29" s="137">
        <v>101920.4482</v>
      </c>
    </row>
    <row r="30" spans="1:18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13070.38969</v>
      </c>
      <c r="G30" s="137">
        <v>13076.05833</v>
      </c>
      <c r="H30" s="137">
        <v>13088.114320000001</v>
      </c>
      <c r="I30" s="137">
        <v>13024.23126</v>
      </c>
      <c r="J30" s="137">
        <v>13159.86894</v>
      </c>
      <c r="K30" s="137">
        <v>13164.28542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</row>
    <row r="31" spans="1:18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3586.29304</v>
      </c>
      <c r="G31" s="137">
        <v>3589.1273900000001</v>
      </c>
      <c r="H31" s="137">
        <v>3595.1554000000001</v>
      </c>
      <c r="I31" s="137">
        <v>3563.2138500000001</v>
      </c>
      <c r="J31" s="137">
        <v>3562.8984399999999</v>
      </c>
      <c r="K31" s="137">
        <v>3565.10664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</row>
    <row r="32" spans="1:18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29.930610000000001</v>
      </c>
      <c r="M32" s="137">
        <v>29.930610000000001</v>
      </c>
      <c r="N32" s="137">
        <v>29.930610000000001</v>
      </c>
      <c r="O32" s="137">
        <v>29.930610000000001</v>
      </c>
      <c r="P32" s="137">
        <v>29.930610000000001</v>
      </c>
      <c r="Q32" s="137">
        <v>29.930610000000001</v>
      </c>
      <c r="R32" s="137">
        <v>29.930610000000001</v>
      </c>
    </row>
    <row r="33" spans="1:18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466.64573000000001</v>
      </c>
      <c r="G33" s="137">
        <v>466.64573000000001</v>
      </c>
      <c r="H33" s="137">
        <v>466.64573000000001</v>
      </c>
      <c r="I33" s="137">
        <v>466.64573000000001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</row>
    <row r="34" spans="1:18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</row>
    <row r="35" spans="1:18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123.87815999999999</v>
      </c>
      <c r="G35" s="137">
        <v>123.87815999999999</v>
      </c>
      <c r="H35" s="137">
        <v>123.87815999999999</v>
      </c>
      <c r="I35" s="137">
        <v>123.87815999999999</v>
      </c>
      <c r="J35" s="137">
        <v>123.87815999999999</v>
      </c>
      <c r="K35" s="137">
        <v>123.87815999999999</v>
      </c>
      <c r="L35" s="137">
        <v>123.87815999999999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</row>
    <row r="36" spans="1:18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15741.8161</v>
      </c>
      <c r="G36" s="137">
        <v>15741.8161</v>
      </c>
      <c r="H36" s="137">
        <v>15741.8161</v>
      </c>
      <c r="I36" s="137">
        <v>15741.8161</v>
      </c>
      <c r="J36" s="137">
        <v>15741.8161</v>
      </c>
      <c r="K36" s="137">
        <v>15741.8161</v>
      </c>
      <c r="L36" s="137">
        <v>15741.8161</v>
      </c>
      <c r="M36" s="137">
        <v>15751.8177</v>
      </c>
      <c r="N36" s="137">
        <v>15751.8177</v>
      </c>
      <c r="O36" s="137">
        <v>15751.8177</v>
      </c>
      <c r="P36" s="137">
        <v>15778.08143</v>
      </c>
      <c r="Q36" s="137">
        <v>15778.08143</v>
      </c>
      <c r="R36" s="137">
        <v>15778.08143</v>
      </c>
    </row>
    <row r="37" spans="1:18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16949.58107</v>
      </c>
      <c r="G37" s="137">
        <v>16949.58107</v>
      </c>
      <c r="H37" s="137">
        <v>16949.58107</v>
      </c>
      <c r="I37" s="137">
        <v>16949.58107</v>
      </c>
      <c r="J37" s="137">
        <v>16949.892449999999</v>
      </c>
      <c r="K37" s="137">
        <v>16949.892449999999</v>
      </c>
      <c r="L37" s="137">
        <v>17113.51367</v>
      </c>
      <c r="M37" s="137">
        <v>17223.50517</v>
      </c>
      <c r="N37" s="137">
        <v>17223.50517</v>
      </c>
      <c r="O37" s="137">
        <v>17235.205170000001</v>
      </c>
      <c r="P37" s="137">
        <v>17240.155170000002</v>
      </c>
      <c r="Q37" s="137">
        <v>17240.155170000002</v>
      </c>
      <c r="R37" s="137">
        <v>17240.155170000002</v>
      </c>
    </row>
    <row r="38" spans="1:18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</row>
    <row r="39" spans="1:18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6264.5590400000001</v>
      </c>
      <c r="G39" s="137">
        <v>6264.5590400000001</v>
      </c>
      <c r="H39" s="137">
        <v>6264.5590400000001</v>
      </c>
      <c r="I39" s="137">
        <v>6281.1394799999998</v>
      </c>
      <c r="J39" s="137">
        <v>6281.1394799999998</v>
      </c>
      <c r="K39" s="137">
        <v>6281.1394799999998</v>
      </c>
      <c r="L39" s="137">
        <v>6281.1394799999998</v>
      </c>
      <c r="M39" s="137">
        <v>6305.7238399999997</v>
      </c>
      <c r="N39" s="137">
        <v>6305.7238399999997</v>
      </c>
      <c r="O39" s="137">
        <v>6305.7238399999997</v>
      </c>
      <c r="P39" s="137">
        <v>6389.7257399999999</v>
      </c>
      <c r="Q39" s="137">
        <v>6389.7257399999999</v>
      </c>
      <c r="R39" s="137">
        <v>6389.7257399999999</v>
      </c>
    </row>
    <row r="40" spans="1:18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</row>
    <row r="41" spans="1:18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</row>
    <row r="42" spans="1:18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170139.27778999999</v>
      </c>
      <c r="G42" s="137">
        <v>170113.19419000001</v>
      </c>
      <c r="H42" s="137">
        <v>168181.62628999999</v>
      </c>
      <c r="I42" s="137">
        <v>168181.62628999999</v>
      </c>
      <c r="J42" s="137">
        <v>168252.77142999999</v>
      </c>
      <c r="K42" s="137">
        <v>168252.77666999999</v>
      </c>
      <c r="L42" s="137">
        <v>168253.44646000001</v>
      </c>
      <c r="M42" s="137">
        <v>168253.44646000001</v>
      </c>
      <c r="N42" s="137">
        <v>168298.77698</v>
      </c>
      <c r="O42" s="137">
        <v>168298.77698</v>
      </c>
      <c r="P42" s="137">
        <v>168428.67202999999</v>
      </c>
      <c r="Q42" s="137">
        <v>168554.49627999999</v>
      </c>
      <c r="R42" s="137">
        <v>170356.01507999899</v>
      </c>
    </row>
    <row r="43" spans="1:18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73913.816089999993</v>
      </c>
      <c r="G43" s="137">
        <v>73920.86219</v>
      </c>
      <c r="H43" s="137">
        <v>72095.282430000007</v>
      </c>
      <c r="I43" s="137">
        <v>72098.893899999995</v>
      </c>
      <c r="J43" s="137">
        <v>72098.893899999995</v>
      </c>
      <c r="K43" s="137">
        <v>72098.278630000001</v>
      </c>
      <c r="L43" s="137">
        <v>72097.816789999997</v>
      </c>
      <c r="M43" s="137">
        <v>73432.617920000004</v>
      </c>
      <c r="N43" s="137">
        <v>73432.617920000004</v>
      </c>
      <c r="O43" s="137">
        <v>73445.249989999997</v>
      </c>
      <c r="P43" s="137">
        <v>73482.449980000005</v>
      </c>
      <c r="Q43" s="137">
        <v>73482.449980000005</v>
      </c>
      <c r="R43" s="137">
        <v>73579.552660000001</v>
      </c>
    </row>
    <row r="44" spans="1:18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34425.840459999999</v>
      </c>
      <c r="G44" s="137">
        <v>34450.778810000003</v>
      </c>
      <c r="H44" s="137">
        <v>34450.778810000003</v>
      </c>
      <c r="I44" s="137">
        <v>34464.941339999998</v>
      </c>
      <c r="J44" s="137">
        <v>34464.941339999998</v>
      </c>
      <c r="K44" s="137">
        <v>34464.941339999998</v>
      </c>
      <c r="L44" s="137">
        <v>34464.941339999998</v>
      </c>
      <c r="M44" s="137">
        <v>34464.941339999998</v>
      </c>
      <c r="N44" s="137">
        <v>34464.941339999998</v>
      </c>
      <c r="O44" s="137">
        <v>34549.781790000001</v>
      </c>
      <c r="P44" s="137">
        <v>34799.723019999998</v>
      </c>
      <c r="Q44" s="137">
        <v>34799.723019999998</v>
      </c>
      <c r="R44" s="137">
        <v>34931.443019999999</v>
      </c>
    </row>
    <row r="45" spans="1:18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16236.407939999999</v>
      </c>
      <c r="G45" s="137">
        <v>16236.970949999901</v>
      </c>
      <c r="H45" s="137">
        <v>16237.15446</v>
      </c>
      <c r="I45" s="137">
        <v>16237.15446</v>
      </c>
      <c r="J45" s="137">
        <v>16237.15446</v>
      </c>
      <c r="K45" s="137">
        <v>16237.15446</v>
      </c>
      <c r="L45" s="137">
        <v>16237.15446</v>
      </c>
      <c r="M45" s="137">
        <v>16237.15446</v>
      </c>
      <c r="N45" s="137">
        <v>16237.15446</v>
      </c>
      <c r="O45" s="137">
        <v>16251.61491</v>
      </c>
      <c r="P45" s="137">
        <v>16282.376130000001</v>
      </c>
      <c r="Q45" s="137">
        <v>16282.376130000001</v>
      </c>
      <c r="R45" s="137">
        <v>16282.376130000001</v>
      </c>
    </row>
    <row r="46" spans="1:18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8363.1033599999992</v>
      </c>
      <c r="G46" s="137">
        <v>8363.1033599999992</v>
      </c>
      <c r="H46" s="137">
        <v>8363.1033599999992</v>
      </c>
      <c r="I46" s="137">
        <v>8363.1033599999992</v>
      </c>
      <c r="J46" s="137">
        <v>8363.1033599999992</v>
      </c>
      <c r="K46" s="137">
        <v>8363.1033599999992</v>
      </c>
      <c r="L46" s="137">
        <v>8363.1033599999992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</row>
    <row r="47" spans="1:18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24414.798729999999</v>
      </c>
      <c r="G47" s="137">
        <v>24416.400750000001</v>
      </c>
      <c r="H47" s="137">
        <v>24417.186280000002</v>
      </c>
      <c r="I47" s="137">
        <v>24419.441030000002</v>
      </c>
      <c r="J47" s="137">
        <v>24419.441030000002</v>
      </c>
      <c r="K47" s="137">
        <v>24419.52794</v>
      </c>
      <c r="L47" s="137">
        <v>24419.440030000002</v>
      </c>
      <c r="M47" s="137">
        <v>24444.944630000002</v>
      </c>
      <c r="N47" s="137">
        <v>24444.944630000002</v>
      </c>
      <c r="O47" s="137">
        <v>24444.944630000002</v>
      </c>
      <c r="P47" s="137">
        <v>24444.944630000002</v>
      </c>
      <c r="Q47" s="137">
        <v>24444.944630000002</v>
      </c>
      <c r="R47" s="137">
        <v>24444.944630000002</v>
      </c>
    </row>
    <row r="48" spans="1:18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7364.1890599999997</v>
      </c>
      <c r="G48" s="137">
        <v>7364.4641899999997</v>
      </c>
      <c r="H48" s="137">
        <v>7364.4763000000003</v>
      </c>
      <c r="I48" s="137">
        <v>7364.4763000000003</v>
      </c>
      <c r="J48" s="137">
        <v>7364.5493999999999</v>
      </c>
      <c r="K48" s="137">
        <v>7364.5140799999999</v>
      </c>
      <c r="L48" s="137">
        <v>7364.4075800000001</v>
      </c>
      <c r="M48" s="137">
        <v>7364.4075800000001</v>
      </c>
      <c r="N48" s="137">
        <v>7364.4075800000001</v>
      </c>
      <c r="O48" s="137">
        <v>7364.4075800000001</v>
      </c>
      <c r="P48" s="137">
        <v>7369.8190000000004</v>
      </c>
      <c r="Q48" s="137">
        <v>7369.8190000000004</v>
      </c>
      <c r="R48" s="137">
        <v>7369.8190000000004</v>
      </c>
    </row>
    <row r="49" spans="1:18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285.07202000000001</v>
      </c>
      <c r="O49" s="137">
        <v>285.07202000000001</v>
      </c>
      <c r="P49" s="137">
        <v>285.07202000000001</v>
      </c>
      <c r="Q49" s="137">
        <v>285.07202000000001</v>
      </c>
      <c r="R49" s="137">
        <v>285.07202000000001</v>
      </c>
    </row>
    <row r="50" spans="1:18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3824.2827000000002</v>
      </c>
      <c r="G50" s="137">
        <v>3824.2827000000002</v>
      </c>
      <c r="H50" s="137">
        <v>3830.5027100000002</v>
      </c>
      <c r="I50" s="137">
        <v>3830.5027100000002</v>
      </c>
      <c r="J50" s="137">
        <v>3830.5027100000002</v>
      </c>
      <c r="K50" s="137">
        <v>3830.5027100000002</v>
      </c>
      <c r="L50" s="137">
        <v>3830.5027100000002</v>
      </c>
      <c r="M50" s="137">
        <v>3830.5027100000002</v>
      </c>
      <c r="N50" s="137">
        <v>3830.5027100000002</v>
      </c>
      <c r="O50" s="137">
        <v>3830.5027100000002</v>
      </c>
      <c r="P50" s="137">
        <v>3830.5027100000002</v>
      </c>
      <c r="Q50" s="137">
        <v>3865.09708</v>
      </c>
      <c r="R50" s="137">
        <v>3865.09708</v>
      </c>
    </row>
    <row r="51" spans="1:18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906.08809999999903</v>
      </c>
      <c r="G51" s="137">
        <v>906.08809999999903</v>
      </c>
      <c r="H51" s="137">
        <v>913.27587000000005</v>
      </c>
      <c r="I51" s="137">
        <v>913.27587000000005</v>
      </c>
      <c r="J51" s="137">
        <v>913.27587000000005</v>
      </c>
      <c r="K51" s="137">
        <v>913.27587000000005</v>
      </c>
      <c r="L51" s="137">
        <v>913.27587000000005</v>
      </c>
      <c r="M51" s="137">
        <v>913.27587000000005</v>
      </c>
      <c r="N51" s="137">
        <v>913.27587000000005</v>
      </c>
      <c r="O51" s="137">
        <v>918.77588000000003</v>
      </c>
      <c r="P51" s="137">
        <v>918.77588000000003</v>
      </c>
      <c r="Q51" s="137">
        <v>1051.6500699999999</v>
      </c>
      <c r="R51" s="137">
        <v>1096.6400699999999</v>
      </c>
    </row>
    <row r="52" spans="1:18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</row>
    <row r="53" spans="1:18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</row>
    <row r="54" spans="1:18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</row>
    <row r="55" spans="1:18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</row>
    <row r="56" spans="1:18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222.95858999999999</v>
      </c>
      <c r="G56" s="137">
        <v>222.95858999999999</v>
      </c>
      <c r="H56" s="137">
        <v>222.95858999999999</v>
      </c>
      <c r="I56" s="137">
        <v>222.95858999999999</v>
      </c>
      <c r="J56" s="137">
        <v>222.95858999999999</v>
      </c>
      <c r="K56" s="137">
        <v>222.95858999999999</v>
      </c>
      <c r="L56" s="137">
        <v>222.95858999999999</v>
      </c>
      <c r="M56" s="137">
        <v>226.07875000000001</v>
      </c>
      <c r="N56" s="137">
        <v>226.07875000000001</v>
      </c>
      <c r="O56" s="137">
        <v>226.07875000000001</v>
      </c>
      <c r="P56" s="137">
        <v>226.07875000000001</v>
      </c>
      <c r="Q56" s="137">
        <v>226.07875000000001</v>
      </c>
      <c r="R56" s="137">
        <v>226.07875000000001</v>
      </c>
    </row>
    <row r="57" spans="1:18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</row>
    <row r="58" spans="1:18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7995.7451700000001</v>
      </c>
      <c r="G58" s="137">
        <v>7995.7451700000001</v>
      </c>
      <c r="H58" s="137">
        <v>7995.7451700000001</v>
      </c>
      <c r="I58" s="137">
        <v>8139.9952599999997</v>
      </c>
      <c r="J58" s="137">
        <v>8156.3934399999998</v>
      </c>
      <c r="K58" s="137">
        <v>8204.88148</v>
      </c>
      <c r="L58" s="137">
        <v>8204.4208199999994</v>
      </c>
      <c r="M58" s="137">
        <v>8204.4208199999994</v>
      </c>
      <c r="N58" s="137">
        <v>8204.4208199999994</v>
      </c>
      <c r="O58" s="137">
        <v>8204.4208199999994</v>
      </c>
      <c r="P58" s="137">
        <v>8204.4208199999994</v>
      </c>
      <c r="Q58" s="137">
        <v>8204.4208199999994</v>
      </c>
      <c r="R58" s="137">
        <v>8571.0786700000008</v>
      </c>
    </row>
    <row r="59" spans="1:18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614.24644999999998</v>
      </c>
      <c r="G59" s="137">
        <v>614.24644999999998</v>
      </c>
      <c r="H59" s="137">
        <v>614.24644999999998</v>
      </c>
      <c r="I59" s="137">
        <v>614.24644999999998</v>
      </c>
      <c r="J59" s="137">
        <v>614.24644999999998</v>
      </c>
      <c r="K59" s="137">
        <v>614.24644999999998</v>
      </c>
      <c r="L59" s="137">
        <v>614.24644999999998</v>
      </c>
      <c r="M59" s="137">
        <v>614.24644999999998</v>
      </c>
      <c r="N59" s="137">
        <v>614.24644999999998</v>
      </c>
      <c r="O59" s="137">
        <v>614.24644999999998</v>
      </c>
      <c r="P59" s="137">
        <v>614.24644999999998</v>
      </c>
      <c r="Q59" s="137">
        <v>614.24644999999998</v>
      </c>
      <c r="R59" s="137">
        <v>616.18900999999903</v>
      </c>
    </row>
    <row r="60" spans="1:18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18484.420849999999</v>
      </c>
      <c r="G60" s="137">
        <v>18484.420849999999</v>
      </c>
      <c r="H60" s="137">
        <v>18613.579669999999</v>
      </c>
      <c r="I60" s="137">
        <v>18631.377270000001</v>
      </c>
      <c r="J60" s="137">
        <v>18605.47941</v>
      </c>
      <c r="K60" s="137">
        <v>18615.91563</v>
      </c>
      <c r="L60" s="137">
        <v>18615.91563</v>
      </c>
      <c r="M60" s="137">
        <v>18663.639579999999</v>
      </c>
      <c r="N60" s="137">
        <v>18663.639579999999</v>
      </c>
      <c r="O60" s="137">
        <v>18663.639579999999</v>
      </c>
      <c r="P60" s="137">
        <v>18663.639579999999</v>
      </c>
      <c r="Q60" s="137">
        <v>18663.639579999999</v>
      </c>
      <c r="R60" s="137">
        <v>18663.639579999999</v>
      </c>
    </row>
    <row r="61" spans="1:18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177496.38829999999</v>
      </c>
      <c r="G61" s="137">
        <v>177519.9847</v>
      </c>
      <c r="H61" s="137">
        <v>177368.7248</v>
      </c>
      <c r="I61" s="137">
        <v>177155.58790000001</v>
      </c>
      <c r="J61" s="137">
        <v>179955.80729999999</v>
      </c>
      <c r="K61" s="137">
        <v>180386.9694</v>
      </c>
      <c r="L61" s="137">
        <v>180479.9093</v>
      </c>
      <c r="M61" s="137">
        <v>196119.13106000001</v>
      </c>
      <c r="N61" s="137">
        <v>198787.78580000001</v>
      </c>
      <c r="O61" s="137">
        <v>202009.07732000001</v>
      </c>
      <c r="P61" s="137">
        <v>203863.84349</v>
      </c>
      <c r="Q61" s="137">
        <v>203915.89908999999</v>
      </c>
      <c r="R61" s="137">
        <v>212890.65247999999</v>
      </c>
    </row>
    <row r="62" spans="1:18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</row>
    <row r="63" spans="1:18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30040.966499999999</v>
      </c>
      <c r="G63" s="137">
        <v>30040.966499999999</v>
      </c>
      <c r="H63" s="137">
        <v>30040.966499999999</v>
      </c>
      <c r="I63" s="137">
        <v>30040.966499999999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</row>
    <row r="64" spans="1:18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13877.671050000001</v>
      </c>
      <c r="H64" s="137">
        <v>13877.671050000001</v>
      </c>
      <c r="I64" s="137">
        <v>13877.671050000001</v>
      </c>
      <c r="J64" s="137">
        <v>13877.671050000001</v>
      </c>
      <c r="K64" s="137">
        <v>13877.671050000001</v>
      </c>
      <c r="L64" s="137">
        <v>13877.671050000001</v>
      </c>
      <c r="M64" s="137">
        <v>13877.671050000001</v>
      </c>
      <c r="N64" s="137">
        <v>13877.671050000001</v>
      </c>
      <c r="O64" s="137">
        <v>13877.671050000001</v>
      </c>
      <c r="P64" s="137">
        <v>13877.671050000001</v>
      </c>
      <c r="Q64" s="137">
        <v>13877.671050000001</v>
      </c>
      <c r="R64" s="137">
        <v>13877.671050000001</v>
      </c>
    </row>
    <row r="65" spans="1:18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81195.727150000006</v>
      </c>
      <c r="G65" s="137">
        <v>81347.823499999999</v>
      </c>
      <c r="H65" s="137">
        <v>81363.160650000005</v>
      </c>
      <c r="I65" s="137">
        <v>81401.538419999997</v>
      </c>
      <c r="J65" s="137">
        <v>81924.992360000004</v>
      </c>
      <c r="K65" s="137">
        <v>82121.300810000001</v>
      </c>
      <c r="L65" s="137">
        <v>82810.876919999995</v>
      </c>
      <c r="M65" s="137">
        <v>85034.162030000007</v>
      </c>
      <c r="N65" s="137">
        <v>85094.145709999997</v>
      </c>
      <c r="O65" s="137">
        <v>85118.238200000007</v>
      </c>
      <c r="P65" s="137">
        <v>85128.97524</v>
      </c>
      <c r="Q65" s="137">
        <v>86554.578859999994</v>
      </c>
      <c r="R65" s="137">
        <v>86596.859070000006</v>
      </c>
    </row>
    <row r="66" spans="1:18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</row>
    <row r="67" spans="1:18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53369.333700000003</v>
      </c>
      <c r="G67" s="137">
        <v>53531.542809999999</v>
      </c>
      <c r="H67" s="137">
        <v>53677.0546599999</v>
      </c>
      <c r="I67" s="137">
        <v>53695.206409999999</v>
      </c>
      <c r="J67" s="137">
        <v>53417.863649999999</v>
      </c>
      <c r="K67" s="137">
        <v>54539.078569999998</v>
      </c>
      <c r="L67" s="137">
        <v>55049.697460000003</v>
      </c>
      <c r="M67" s="137">
        <v>55049.697460000003</v>
      </c>
      <c r="N67" s="137">
        <v>55049.697460000003</v>
      </c>
      <c r="O67" s="137">
        <v>55049.697460000003</v>
      </c>
      <c r="P67" s="137">
        <v>55049.697460000003</v>
      </c>
      <c r="Q67" s="137">
        <v>55049.697460000003</v>
      </c>
      <c r="R67" s="137">
        <v>55049.697460000003</v>
      </c>
    </row>
    <row r="68" spans="1:18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1783.4433200000001</v>
      </c>
      <c r="G68" s="137">
        <v>1783.4433200000001</v>
      </c>
      <c r="H68" s="137">
        <v>1783.4433200000001</v>
      </c>
      <c r="I68" s="137">
        <v>1783.4433200000001</v>
      </c>
      <c r="J68" s="137">
        <v>1899.68905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</row>
    <row r="69" spans="1:18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7372.0661499999997</v>
      </c>
      <c r="G69" s="137">
        <v>7372.0661499999997</v>
      </c>
      <c r="H69" s="137">
        <v>7372.0661499999997</v>
      </c>
      <c r="I69" s="137">
        <v>7372.0661499999997</v>
      </c>
      <c r="J69" s="137">
        <v>7526.6246000000001</v>
      </c>
      <c r="K69" s="137">
        <v>7526.6246000000001</v>
      </c>
      <c r="L69" s="137">
        <v>7526.6246000000001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</row>
    <row r="70" spans="1:18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52" si="3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197.17133000000001</v>
      </c>
      <c r="G70" s="137">
        <v>197.17133000000001</v>
      </c>
      <c r="H70" s="137">
        <v>197.17133000000001</v>
      </c>
      <c r="I70" s="137">
        <v>197.17133000000001</v>
      </c>
      <c r="J70" s="137">
        <v>197.17133000000001</v>
      </c>
      <c r="K70" s="137">
        <v>197.17133000000001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</row>
    <row r="71" spans="1:18">
      <c r="A71" s="137" t="str">
        <f t="shared" ref="A71:A92" si="4">MID($D71,4,3)</f>
        <v>LGE</v>
      </c>
      <c r="B71" s="137" t="s">
        <v>924</v>
      </c>
      <c r="C71" s="137" t="str">
        <f t="shared" ref="C71:C92" si="5">MID($D71,9,3)</f>
        <v>360</v>
      </c>
      <c r="D71" s="134" t="s">
        <v>833</v>
      </c>
      <c r="E71" s="134" t="str">
        <f t="shared" si="3"/>
        <v>FUTURE USE</v>
      </c>
      <c r="F71" s="137">
        <v>2903.5916900000002</v>
      </c>
      <c r="G71" s="137">
        <v>2903.5916900000002</v>
      </c>
      <c r="H71" s="137">
        <v>2903.5916900000002</v>
      </c>
      <c r="I71" s="137">
        <v>2903.5916900000002</v>
      </c>
      <c r="J71" s="137">
        <v>2903.5916900000002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</row>
    <row r="72" spans="1:18">
      <c r="A72" s="137" t="str">
        <f t="shared" si="4"/>
        <v>LGE</v>
      </c>
      <c r="B72" s="137" t="s">
        <v>923</v>
      </c>
      <c r="C72" s="137" t="str">
        <f t="shared" si="5"/>
        <v>360</v>
      </c>
      <c r="D72" s="134" t="s">
        <v>834</v>
      </c>
      <c r="E72" s="134" t="str">
        <f t="shared" si="3"/>
        <v/>
      </c>
      <c r="F72" s="137">
        <v>4100.6544700000004</v>
      </c>
      <c r="G72" s="137">
        <v>4100.6544700000004</v>
      </c>
      <c r="H72" s="137">
        <v>4100.6544700000004</v>
      </c>
      <c r="I72" s="137">
        <v>4100.6544700000004</v>
      </c>
      <c r="J72" s="137">
        <v>4100.6544700000004</v>
      </c>
      <c r="K72" s="137">
        <v>4100.6544700000004</v>
      </c>
      <c r="L72" s="137">
        <v>4100.6544700000004</v>
      </c>
      <c r="M72" s="137">
        <v>4103.25162</v>
      </c>
      <c r="N72" s="137">
        <v>4103.25162</v>
      </c>
      <c r="O72" s="137">
        <v>4103.25162</v>
      </c>
      <c r="P72" s="137">
        <v>4103.25162</v>
      </c>
      <c r="Q72" s="137">
        <v>4103.25162</v>
      </c>
      <c r="R72" s="137">
        <v>4103.2527200000004</v>
      </c>
    </row>
    <row r="73" spans="1:18">
      <c r="A73" s="137" t="str">
        <f t="shared" si="4"/>
        <v>LGE</v>
      </c>
      <c r="B73" s="137" t="s">
        <v>923</v>
      </c>
      <c r="C73" s="137" t="str">
        <f t="shared" si="5"/>
        <v>361</v>
      </c>
      <c r="D73" s="134" t="s">
        <v>835</v>
      </c>
      <c r="E73" s="134" t="str">
        <f t="shared" si="3"/>
        <v/>
      </c>
      <c r="F73" s="137">
        <v>6974.5527000000002</v>
      </c>
      <c r="G73" s="137">
        <v>6974.5527000000002</v>
      </c>
      <c r="H73" s="137">
        <v>6974.5527000000002</v>
      </c>
      <c r="I73" s="137">
        <v>6974.5527000000002</v>
      </c>
      <c r="J73" s="137">
        <v>7059.6470099999997</v>
      </c>
      <c r="K73" s="137">
        <v>7101.1751199999999</v>
      </c>
      <c r="L73" s="137">
        <v>7101.1751199999999</v>
      </c>
      <c r="M73" s="137">
        <v>8366.8776099999995</v>
      </c>
      <c r="N73" s="137">
        <v>9617.0782099999997</v>
      </c>
      <c r="O73" s="137">
        <v>10817.07821</v>
      </c>
      <c r="P73" s="137">
        <v>12017.07821</v>
      </c>
      <c r="Q73" s="137">
        <v>13217.87861</v>
      </c>
      <c r="R73" s="137">
        <v>14978.15012</v>
      </c>
    </row>
    <row r="74" spans="1:18">
      <c r="A74" s="137" t="str">
        <f t="shared" si="4"/>
        <v>LGE</v>
      </c>
      <c r="B74" s="137" t="s">
        <v>924</v>
      </c>
      <c r="C74" s="137" t="str">
        <f t="shared" si="5"/>
        <v>362</v>
      </c>
      <c r="D74" s="134" t="s">
        <v>836</v>
      </c>
      <c r="E74" s="134" t="str">
        <f t="shared" si="3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</row>
    <row r="75" spans="1:18">
      <c r="A75" s="137" t="str">
        <f t="shared" si="4"/>
        <v>LGE</v>
      </c>
      <c r="B75" s="137" t="s">
        <v>923</v>
      </c>
      <c r="C75" s="137" t="str">
        <f t="shared" si="5"/>
        <v>362</v>
      </c>
      <c r="D75" s="134" t="s">
        <v>837</v>
      </c>
      <c r="E75" s="134" t="str">
        <f t="shared" si="3"/>
        <v/>
      </c>
      <c r="F75" s="137">
        <v>139539.8033</v>
      </c>
      <c r="G75" s="137">
        <v>139465.49900000001</v>
      </c>
      <c r="H75" s="137">
        <v>139428.61859999999</v>
      </c>
      <c r="I75" s="137">
        <v>139516.80840000001</v>
      </c>
      <c r="J75" s="137">
        <v>140210.59049999999</v>
      </c>
      <c r="K75" s="137">
        <v>139554.95199999999</v>
      </c>
      <c r="L75" s="137">
        <v>139420.40710000001</v>
      </c>
      <c r="M75" s="137">
        <v>140173.75800999999</v>
      </c>
      <c r="N75" s="137">
        <v>140411.03654</v>
      </c>
      <c r="O75" s="137">
        <v>140456.05963</v>
      </c>
      <c r="P75" s="137">
        <v>140590.44652</v>
      </c>
      <c r="Q75" s="137">
        <v>140827.34195</v>
      </c>
      <c r="R75" s="137">
        <v>144316.57827</v>
      </c>
    </row>
    <row r="76" spans="1:18">
      <c r="A76" s="137" t="str">
        <f t="shared" si="4"/>
        <v>LGE</v>
      </c>
      <c r="B76" s="137" t="s">
        <v>923</v>
      </c>
      <c r="C76" s="137" t="str">
        <f t="shared" si="5"/>
        <v>364</v>
      </c>
      <c r="D76" s="134" t="s">
        <v>838</v>
      </c>
      <c r="E76" s="134" t="str">
        <f t="shared" si="3"/>
        <v/>
      </c>
      <c r="F76" s="137">
        <v>201966.68119999999</v>
      </c>
      <c r="G76" s="137">
        <v>202822.41200000001</v>
      </c>
      <c r="H76" s="137">
        <v>204035.28829999999</v>
      </c>
      <c r="I76" s="137">
        <v>203935.70259999999</v>
      </c>
      <c r="J76" s="137">
        <v>205312.35949999999</v>
      </c>
      <c r="K76" s="137">
        <v>204339.97399999999</v>
      </c>
      <c r="L76" s="137">
        <v>202322.97099999999</v>
      </c>
      <c r="M76" s="137">
        <v>203215.360469999</v>
      </c>
      <c r="N76" s="137">
        <v>203650.01693999901</v>
      </c>
      <c r="O76" s="137">
        <v>204076.615499999</v>
      </c>
      <c r="P76" s="137">
        <v>204505.45264999999</v>
      </c>
      <c r="Q76" s="137">
        <v>204888.79842000001</v>
      </c>
      <c r="R76" s="137">
        <v>208981.29644000001</v>
      </c>
    </row>
    <row r="77" spans="1:18">
      <c r="A77" s="137" t="str">
        <f t="shared" si="4"/>
        <v>LGE</v>
      </c>
      <c r="B77" s="137" t="s">
        <v>923</v>
      </c>
      <c r="C77" s="137" t="str">
        <f t="shared" si="5"/>
        <v>365</v>
      </c>
      <c r="D77" s="134" t="s">
        <v>839</v>
      </c>
      <c r="E77" s="134" t="str">
        <f t="shared" si="3"/>
        <v/>
      </c>
      <c r="F77" s="137">
        <v>325928.9314</v>
      </c>
      <c r="G77" s="137">
        <v>327679.98019999999</v>
      </c>
      <c r="H77" s="137">
        <v>329586.78649999999</v>
      </c>
      <c r="I77" s="137">
        <v>330352.2084</v>
      </c>
      <c r="J77" s="137">
        <v>333458.53480000002</v>
      </c>
      <c r="K77" s="137">
        <v>335319.45539999998</v>
      </c>
      <c r="L77" s="137">
        <v>336868.51419999998</v>
      </c>
      <c r="M77" s="137">
        <v>340963.08718999999</v>
      </c>
      <c r="N77" s="137">
        <v>342276.38844000001</v>
      </c>
      <c r="O77" s="137">
        <v>343539.69754999998</v>
      </c>
      <c r="P77" s="137">
        <v>344750.04783999902</v>
      </c>
      <c r="Q77" s="137">
        <v>346284.59040999901</v>
      </c>
      <c r="R77" s="137">
        <v>355099.507619999</v>
      </c>
    </row>
    <row r="78" spans="1:18">
      <c r="A78" s="137" t="str">
        <f t="shared" si="4"/>
        <v>LGE</v>
      </c>
      <c r="B78" s="137" t="s">
        <v>923</v>
      </c>
      <c r="C78" s="137" t="str">
        <f t="shared" si="5"/>
        <v>366</v>
      </c>
      <c r="D78" s="134" t="s">
        <v>840</v>
      </c>
      <c r="E78" s="134" t="str">
        <f t="shared" si="3"/>
        <v/>
      </c>
      <c r="F78" s="137">
        <v>84150.16459</v>
      </c>
      <c r="G78" s="137">
        <v>84207.725489999997</v>
      </c>
      <c r="H78" s="137">
        <v>84253.452819999904</v>
      </c>
      <c r="I78" s="137">
        <v>84252.928090000001</v>
      </c>
      <c r="J78" s="137">
        <v>84349.758520000003</v>
      </c>
      <c r="K78" s="137">
        <v>85087.728140000007</v>
      </c>
      <c r="L78" s="137">
        <v>84920.905469999998</v>
      </c>
      <c r="M78" s="137">
        <v>85340.858379999903</v>
      </c>
      <c r="N78" s="137">
        <v>85340.858379999903</v>
      </c>
      <c r="O78" s="137">
        <v>85340.858379999903</v>
      </c>
      <c r="P78" s="137">
        <v>85340.858379999903</v>
      </c>
      <c r="Q78" s="137">
        <v>85340.858379999903</v>
      </c>
      <c r="R78" s="137">
        <v>96674.999529999899</v>
      </c>
    </row>
    <row r="79" spans="1:18">
      <c r="A79" s="137" t="str">
        <f t="shared" si="4"/>
        <v>LGE</v>
      </c>
      <c r="B79" s="137" t="s">
        <v>923</v>
      </c>
      <c r="C79" s="137" t="str">
        <f t="shared" si="5"/>
        <v>367</v>
      </c>
      <c r="D79" s="134" t="s">
        <v>841</v>
      </c>
      <c r="E79" s="134" t="str">
        <f t="shared" si="3"/>
        <v/>
      </c>
      <c r="F79" s="137">
        <v>254218.95689999999</v>
      </c>
      <c r="G79" s="137">
        <v>255388.89249999999</v>
      </c>
      <c r="H79" s="137">
        <v>254926.57</v>
      </c>
      <c r="I79" s="137">
        <v>254819.06169999999</v>
      </c>
      <c r="J79" s="137">
        <v>256286.0673</v>
      </c>
      <c r="K79" s="137">
        <v>257343.88380000001</v>
      </c>
      <c r="L79" s="137">
        <v>258682.12890000001</v>
      </c>
      <c r="M79" s="137">
        <v>262399.05407999997</v>
      </c>
      <c r="N79" s="137">
        <v>263957.43602000002</v>
      </c>
      <c r="O79" s="137">
        <v>266338.41824999999</v>
      </c>
      <c r="P79" s="137">
        <v>268026.49537999998</v>
      </c>
      <c r="Q79" s="137">
        <v>269704.99751000002</v>
      </c>
      <c r="R79" s="137">
        <v>276659.56151000003</v>
      </c>
    </row>
    <row r="80" spans="1:18">
      <c r="A80" s="137" t="str">
        <f t="shared" si="4"/>
        <v>LGE</v>
      </c>
      <c r="B80" s="137" t="s">
        <v>923</v>
      </c>
      <c r="C80" s="137" t="str">
        <f t="shared" si="5"/>
        <v>368</v>
      </c>
      <c r="D80" s="134" t="s">
        <v>842</v>
      </c>
      <c r="E80" s="134" t="str">
        <f t="shared" si="3"/>
        <v/>
      </c>
      <c r="F80" s="137">
        <v>165811.2555</v>
      </c>
      <c r="G80" s="137">
        <v>166044.41579999999</v>
      </c>
      <c r="H80" s="137">
        <v>166418.6366</v>
      </c>
      <c r="I80" s="137">
        <v>166753.35459999999</v>
      </c>
      <c r="J80" s="137">
        <v>167090.35010000001</v>
      </c>
      <c r="K80" s="137">
        <v>167446.06269999899</v>
      </c>
      <c r="L80" s="137">
        <v>167446.06269999899</v>
      </c>
      <c r="M80" s="137">
        <v>168492.57425999999</v>
      </c>
      <c r="N80" s="137">
        <v>169041.84372999999</v>
      </c>
      <c r="O80" s="137">
        <v>169836.35835999899</v>
      </c>
      <c r="P80" s="137">
        <v>170626.25644</v>
      </c>
      <c r="Q80" s="137">
        <v>171427.09774</v>
      </c>
      <c r="R80" s="137">
        <v>171974.83723999999</v>
      </c>
    </row>
    <row r="81" spans="1:18">
      <c r="A81" s="137" t="str">
        <f t="shared" si="4"/>
        <v>LGE</v>
      </c>
      <c r="B81" s="137" t="s">
        <v>923</v>
      </c>
      <c r="C81" s="137" t="str">
        <f t="shared" si="5"/>
        <v>369</v>
      </c>
      <c r="D81" s="134" t="s">
        <v>843</v>
      </c>
      <c r="E81" s="134" t="str">
        <f t="shared" si="3"/>
        <v/>
      </c>
      <c r="F81" s="137">
        <v>35226.840210000002</v>
      </c>
      <c r="G81" s="137">
        <v>35278.445520000001</v>
      </c>
      <c r="H81" s="137">
        <v>35317.859219999998</v>
      </c>
      <c r="I81" s="137">
        <v>35317.859219999998</v>
      </c>
      <c r="J81" s="137">
        <v>35405.948669999998</v>
      </c>
      <c r="K81" s="137">
        <v>35449.351949999997</v>
      </c>
      <c r="L81" s="137">
        <v>35325.058449999997</v>
      </c>
      <c r="M81" s="137">
        <v>35363.501759999999</v>
      </c>
      <c r="N81" s="137">
        <v>35363.501759999999</v>
      </c>
      <c r="O81" s="137">
        <v>35363.501759999999</v>
      </c>
      <c r="P81" s="137">
        <v>35363.501759999999</v>
      </c>
      <c r="Q81" s="137">
        <v>35363.501759999999</v>
      </c>
      <c r="R81" s="137">
        <v>37462.116849999999</v>
      </c>
    </row>
    <row r="82" spans="1:18">
      <c r="A82" s="137" t="str">
        <f t="shared" si="4"/>
        <v>LGE</v>
      </c>
      <c r="B82" s="137" t="s">
        <v>923</v>
      </c>
      <c r="C82" s="137" t="str">
        <f t="shared" si="5"/>
        <v>370</v>
      </c>
      <c r="D82" s="134" t="s">
        <v>844</v>
      </c>
      <c r="E82" s="134" t="str">
        <f t="shared" si="3"/>
        <v/>
      </c>
      <c r="F82" s="137">
        <v>40015.02362</v>
      </c>
      <c r="G82" s="137">
        <v>40068.69139</v>
      </c>
      <c r="H82" s="137">
        <v>40186.299229999997</v>
      </c>
      <c r="I82" s="137">
        <v>40189.17712</v>
      </c>
      <c r="J82" s="137">
        <v>40253.177830000001</v>
      </c>
      <c r="K82" s="137">
        <v>40350.7386799999</v>
      </c>
      <c r="L82" s="137">
        <v>40350.7386799999</v>
      </c>
      <c r="M82" s="137">
        <v>40573.928669999899</v>
      </c>
      <c r="N82" s="137">
        <v>40598.155669999898</v>
      </c>
      <c r="O82" s="137">
        <v>40604.534669999899</v>
      </c>
      <c r="P82" s="137">
        <v>41030.575819999904</v>
      </c>
      <c r="Q82" s="137">
        <v>41033.147819999896</v>
      </c>
      <c r="R82" s="137">
        <v>41036.596819999897</v>
      </c>
    </row>
    <row r="83" spans="1:18">
      <c r="A83" s="137" t="str">
        <f t="shared" si="4"/>
        <v>LGE</v>
      </c>
      <c r="B83" s="137" t="s">
        <v>923</v>
      </c>
      <c r="C83" s="137" t="str">
        <f t="shared" si="5"/>
        <v>370</v>
      </c>
      <c r="D83" s="134" t="s">
        <v>1818</v>
      </c>
      <c r="E83" s="134" t="str">
        <f t="shared" si="3"/>
        <v>DSM</v>
      </c>
      <c r="F83" s="137">
        <v>1740.5241000000001</v>
      </c>
      <c r="G83" s="137">
        <v>1741.4820199999999</v>
      </c>
      <c r="H83" s="137">
        <v>1741.9911299999901</v>
      </c>
      <c r="I83" s="137">
        <v>1652.54079</v>
      </c>
      <c r="J83" s="137">
        <v>1652.6547</v>
      </c>
      <c r="K83" s="137">
        <v>1652.6547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</row>
    <row r="84" spans="1:18">
      <c r="A84" s="137" t="str">
        <f t="shared" si="4"/>
        <v>LGE</v>
      </c>
      <c r="B84" s="137" t="s">
        <v>923</v>
      </c>
      <c r="C84" s="137" t="str">
        <f t="shared" si="5"/>
        <v>371</v>
      </c>
      <c r="D84" s="134" t="s">
        <v>2572</v>
      </c>
      <c r="E84" s="134" t="str">
        <f t="shared" si="3"/>
        <v/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95.273150000000001</v>
      </c>
      <c r="N84" s="137">
        <v>102.29873000000001</v>
      </c>
      <c r="O84" s="137">
        <v>109.32431</v>
      </c>
      <c r="P84" s="137">
        <v>116.34989</v>
      </c>
      <c r="Q84" s="137">
        <v>123.37547000000001</v>
      </c>
      <c r="R84" s="137">
        <v>156.53614999999999</v>
      </c>
    </row>
    <row r="85" spans="1:18">
      <c r="A85" s="137" t="str">
        <f t="shared" si="4"/>
        <v>LGE</v>
      </c>
      <c r="B85" s="137" t="s">
        <v>923</v>
      </c>
      <c r="C85" s="137" t="str">
        <f t="shared" si="5"/>
        <v>373</v>
      </c>
      <c r="D85" s="134" t="s">
        <v>845</v>
      </c>
      <c r="E85" s="134" t="str">
        <f t="shared" si="3"/>
        <v/>
      </c>
      <c r="F85" s="137">
        <v>110508.57037</v>
      </c>
      <c r="G85" s="137">
        <v>110856.45697</v>
      </c>
      <c r="H85" s="137">
        <v>111231.053989999</v>
      </c>
      <c r="I85" s="137">
        <v>111225.89459</v>
      </c>
      <c r="J85" s="137">
        <v>111944.74875</v>
      </c>
      <c r="K85" s="137">
        <v>112554.46838999999</v>
      </c>
      <c r="L85" s="137">
        <v>112555.94701</v>
      </c>
      <c r="M85" s="137">
        <v>113706.78479999999</v>
      </c>
      <c r="N85" s="137">
        <v>114158.45129</v>
      </c>
      <c r="O85" s="137">
        <v>114609.47156999999</v>
      </c>
      <c r="P85" s="137">
        <v>115068.68786000001</v>
      </c>
      <c r="Q85" s="137">
        <v>115522.81147</v>
      </c>
      <c r="R85" s="137">
        <v>116040.70405</v>
      </c>
    </row>
    <row r="86" spans="1:18">
      <c r="A86" s="137" t="str">
        <f t="shared" si="4"/>
        <v>LGE</v>
      </c>
      <c r="B86" s="137" t="s">
        <v>923</v>
      </c>
      <c r="C86" s="137" t="str">
        <f t="shared" si="5"/>
        <v>374</v>
      </c>
      <c r="D86" s="134" t="s">
        <v>846</v>
      </c>
      <c r="E86" s="134" t="str">
        <f t="shared" si="3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</row>
    <row r="87" spans="1:18">
      <c r="A87" s="137" t="str">
        <f t="shared" si="4"/>
        <v>LGE</v>
      </c>
      <c r="B87" s="137" t="s">
        <v>923</v>
      </c>
      <c r="C87" s="137" t="str">
        <f t="shared" si="5"/>
        <v>392</v>
      </c>
      <c r="D87" s="134" t="s">
        <v>1527</v>
      </c>
      <c r="E87" s="134" t="str">
        <f t="shared" si="3"/>
        <v/>
      </c>
      <c r="F87" s="137">
        <v>518.28602000000001</v>
      </c>
      <c r="G87" s="137">
        <v>518.28602000000001</v>
      </c>
      <c r="H87" s="137">
        <v>481.48603000000003</v>
      </c>
      <c r="I87" s="137">
        <v>481.48603000000003</v>
      </c>
      <c r="J87" s="137">
        <v>481.48603000000003</v>
      </c>
      <c r="K87" s="137">
        <v>481.48603000000003</v>
      </c>
      <c r="L87" s="137">
        <v>543.18614000000002</v>
      </c>
      <c r="M87" s="137">
        <v>628.88322000000005</v>
      </c>
      <c r="N87" s="137">
        <v>628.88322000000005</v>
      </c>
      <c r="O87" s="137">
        <v>628.88322000000005</v>
      </c>
      <c r="P87" s="137">
        <v>628.88322000000005</v>
      </c>
      <c r="Q87" s="137">
        <v>628.88322000000005</v>
      </c>
      <c r="R87" s="137">
        <v>628.88322000000005</v>
      </c>
    </row>
    <row r="88" spans="1:18">
      <c r="A88" s="137" t="str">
        <f t="shared" si="4"/>
        <v>LGE</v>
      </c>
      <c r="B88" s="137" t="s">
        <v>923</v>
      </c>
      <c r="C88" s="137" t="str">
        <f t="shared" si="5"/>
        <v>392</v>
      </c>
      <c r="D88" s="134" t="s">
        <v>847</v>
      </c>
      <c r="E88" s="134" t="str">
        <f t="shared" si="3"/>
        <v/>
      </c>
      <c r="F88" s="137">
        <v>5550.0832599999903</v>
      </c>
      <c r="G88" s="137">
        <v>5550.0832599999903</v>
      </c>
      <c r="H88" s="137">
        <v>6060.0990400000001</v>
      </c>
      <c r="I88" s="137">
        <v>6060.0990400000001</v>
      </c>
      <c r="J88" s="137">
        <v>6060.0990400000001</v>
      </c>
      <c r="K88" s="137">
        <v>6085.6827899999998</v>
      </c>
      <c r="L88" s="137">
        <v>6144.0787300000002</v>
      </c>
      <c r="M88" s="137">
        <v>6297.2728200000001</v>
      </c>
      <c r="N88" s="137">
        <v>6297.2728200000001</v>
      </c>
      <c r="O88" s="137">
        <v>6297.2728200000001</v>
      </c>
      <c r="P88" s="137">
        <v>6347.2728200000001</v>
      </c>
      <c r="Q88" s="137">
        <v>6347.2728200000001</v>
      </c>
      <c r="R88" s="137">
        <v>6505.6492200000002</v>
      </c>
    </row>
    <row r="89" spans="1:18">
      <c r="A89" s="137" t="str">
        <f t="shared" si="4"/>
        <v>LGE</v>
      </c>
      <c r="B89" s="137" t="s">
        <v>923</v>
      </c>
      <c r="C89" s="137" t="str">
        <f t="shared" si="5"/>
        <v>394</v>
      </c>
      <c r="D89" s="134" t="s">
        <v>848</v>
      </c>
      <c r="E89" s="134" t="str">
        <f t="shared" si="3"/>
        <v/>
      </c>
      <c r="F89" s="137">
        <v>6291.79511</v>
      </c>
      <c r="G89" s="137">
        <v>6298.57485</v>
      </c>
      <c r="H89" s="137">
        <v>6326.6491900000001</v>
      </c>
      <c r="I89" s="137">
        <v>6348.97919</v>
      </c>
      <c r="J89" s="137">
        <v>6375.9876299999996</v>
      </c>
      <c r="K89" s="137">
        <v>6503.3829999999998</v>
      </c>
      <c r="L89" s="137">
        <v>6384.5213899999999</v>
      </c>
      <c r="M89" s="137">
        <v>6393.02261</v>
      </c>
      <c r="N89" s="137">
        <v>6429.02261</v>
      </c>
      <c r="O89" s="137">
        <v>6482.4993599999998</v>
      </c>
      <c r="P89" s="137">
        <v>6487.9359399999903</v>
      </c>
      <c r="Q89" s="137">
        <v>6487.9359399999903</v>
      </c>
      <c r="R89" s="137">
        <v>6786.0231999999996</v>
      </c>
    </row>
    <row r="90" spans="1:18">
      <c r="A90" s="137" t="str">
        <f t="shared" si="4"/>
        <v>LGE</v>
      </c>
      <c r="B90" s="137" t="s">
        <v>923</v>
      </c>
      <c r="C90" s="137" t="str">
        <f t="shared" si="5"/>
        <v>396</v>
      </c>
      <c r="D90" s="134" t="s">
        <v>849</v>
      </c>
      <c r="E90" s="134" t="str">
        <f t="shared" si="3"/>
        <v/>
      </c>
      <c r="F90" s="137">
        <v>196.24823999999899</v>
      </c>
      <c r="G90" s="137">
        <v>196.24823999999899</v>
      </c>
      <c r="H90" s="137">
        <v>196.24823999999899</v>
      </c>
      <c r="I90" s="137">
        <v>196.24823999999899</v>
      </c>
      <c r="J90" s="137">
        <v>196.24823999999899</v>
      </c>
      <c r="K90" s="137">
        <v>196.24823999999899</v>
      </c>
      <c r="L90" s="137">
        <v>196.24823999999899</v>
      </c>
      <c r="M90" s="137">
        <v>196.24823999999899</v>
      </c>
      <c r="N90" s="137">
        <v>196.24823999999899</v>
      </c>
      <c r="O90" s="137">
        <v>196.24823999999899</v>
      </c>
      <c r="P90" s="137">
        <v>196.24823999999899</v>
      </c>
      <c r="Q90" s="137">
        <v>196.24823999999899</v>
      </c>
      <c r="R90" s="137">
        <v>281.35563999999999</v>
      </c>
    </row>
    <row r="91" spans="1:18">
      <c r="A91" s="137" t="str">
        <f t="shared" si="4"/>
        <v>LGE</v>
      </c>
      <c r="B91" s="137" t="s">
        <v>923</v>
      </c>
      <c r="C91" s="137" t="str">
        <f t="shared" si="5"/>
        <v>396</v>
      </c>
      <c r="D91" s="134" t="s">
        <v>1528</v>
      </c>
      <c r="E91" s="134" t="str">
        <f t="shared" si="3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</row>
    <row r="92" spans="1:18">
      <c r="A92" s="137" t="str">
        <f t="shared" si="4"/>
        <v>LGE</v>
      </c>
      <c r="B92" s="137" t="s">
        <v>923</v>
      </c>
      <c r="C92" s="137" t="str">
        <f t="shared" si="5"/>
        <v>397</v>
      </c>
      <c r="D92" s="134" t="s">
        <v>850</v>
      </c>
      <c r="E92" s="134" t="str">
        <f t="shared" si="3"/>
        <v>DSM</v>
      </c>
      <c r="F92" s="137">
        <v>6852.2927399999999</v>
      </c>
      <c r="G92" s="137">
        <v>6793.4479099999999</v>
      </c>
      <c r="H92" s="137">
        <v>6793.8857200000002</v>
      </c>
      <c r="I92" s="137">
        <v>6794.4324699999997</v>
      </c>
      <c r="J92" s="137">
        <v>6795.3209399999996</v>
      </c>
      <c r="K92" s="137">
        <v>6796.1397500000003</v>
      </c>
      <c r="L92" s="137">
        <v>6799.9334099999996</v>
      </c>
      <c r="M92" s="137">
        <v>6804.9334099999996</v>
      </c>
      <c r="N92" s="137">
        <v>6809.6798799999997</v>
      </c>
      <c r="O92" s="137">
        <v>6916.924</v>
      </c>
      <c r="P92" s="137">
        <v>6921.674</v>
      </c>
      <c r="Q92" s="137">
        <v>6926.424</v>
      </c>
      <c r="R92" s="137">
        <v>6978.0868700000001</v>
      </c>
    </row>
    <row r="94" spans="1:18">
      <c r="E94" s="134" t="str">
        <f t="shared" si="3"/>
        <v/>
      </c>
    </row>
    <row r="95" spans="1:18">
      <c r="E95" s="134" t="str">
        <f t="shared" si="3"/>
        <v/>
      </c>
    </row>
    <row r="96" spans="1:18">
      <c r="E96" s="134" t="str">
        <f t="shared" si="3"/>
        <v/>
      </c>
    </row>
    <row r="97" spans="1:18">
      <c r="E97" s="134" t="str">
        <f t="shared" si="3"/>
        <v/>
      </c>
    </row>
    <row r="98" spans="1:18">
      <c r="E98" s="134" t="str">
        <f t="shared" si="3"/>
        <v/>
      </c>
    </row>
    <row r="99" spans="1:18">
      <c r="E99" s="134" t="str">
        <f t="shared" si="3"/>
        <v/>
      </c>
    </row>
    <row r="100" spans="1:18">
      <c r="D100" s="134" t="s">
        <v>865</v>
      </c>
      <c r="E100" s="134" t="str">
        <f t="shared" si="3"/>
        <v/>
      </c>
    </row>
    <row r="101" spans="1:18">
      <c r="A101" s="137" t="str">
        <f t="shared" ref="A101:A116" si="6">MID($D101,4,3)</f>
        <v>LGE</v>
      </c>
      <c r="B101" s="137" t="s">
        <v>867</v>
      </c>
      <c r="C101" s="137" t="str">
        <f t="shared" ref="C101:C116" si="7">MID($D101,9,3)</f>
        <v>121</v>
      </c>
      <c r="D101" s="134" t="s">
        <v>851</v>
      </c>
      <c r="E101" s="134" t="str">
        <f t="shared" si="3"/>
        <v/>
      </c>
      <c r="F101" s="137">
        <v>630.89697999999999</v>
      </c>
      <c r="G101" s="137">
        <v>630.89697999999999</v>
      </c>
      <c r="H101" s="137">
        <v>630.89697999999999</v>
      </c>
      <c r="I101" s="137">
        <v>630.89697999999999</v>
      </c>
      <c r="J101" s="137">
        <v>630.89697999999999</v>
      </c>
      <c r="K101" s="137">
        <v>630.89697999999999</v>
      </c>
      <c r="L101" s="137">
        <v>630.89697999999999</v>
      </c>
      <c r="M101" s="137">
        <v>630.89697999999999</v>
      </c>
      <c r="N101" s="137">
        <v>630.89697999999999</v>
      </c>
      <c r="O101" s="137">
        <v>630.89697999999999</v>
      </c>
      <c r="P101" s="137">
        <v>630.89697999999999</v>
      </c>
      <c r="Q101" s="137">
        <v>630.89697999999999</v>
      </c>
      <c r="R101" s="137">
        <v>630.89697999999999</v>
      </c>
    </row>
    <row r="102" spans="1:18">
      <c r="A102" s="137" t="str">
        <f t="shared" si="6"/>
        <v>LGE</v>
      </c>
      <c r="B102" s="137" t="s">
        <v>867</v>
      </c>
      <c r="C102" s="137" t="str">
        <f t="shared" si="7"/>
        <v>301</v>
      </c>
      <c r="D102" s="134" t="s">
        <v>852</v>
      </c>
      <c r="E102" s="134" t="str">
        <f t="shared" si="3"/>
        <v/>
      </c>
      <c r="F102" s="137">
        <v>83.782289999999904</v>
      </c>
      <c r="G102" s="137">
        <v>83.782289999999904</v>
      </c>
      <c r="H102" s="137">
        <v>83.782289999999904</v>
      </c>
      <c r="I102" s="137">
        <v>83.782289999999904</v>
      </c>
      <c r="J102" s="137">
        <v>83.782289999999904</v>
      </c>
      <c r="K102" s="137">
        <v>83.782289999999904</v>
      </c>
      <c r="L102" s="137">
        <v>83.782289999999904</v>
      </c>
      <c r="M102" s="137">
        <v>83.782289999999904</v>
      </c>
      <c r="N102" s="137">
        <v>83.782289999999904</v>
      </c>
      <c r="O102" s="137">
        <v>83.782289999999904</v>
      </c>
      <c r="P102" s="137">
        <v>83.782289999999904</v>
      </c>
      <c r="Q102" s="137">
        <v>83.782289999999904</v>
      </c>
      <c r="R102" s="137">
        <v>83.782289999999904</v>
      </c>
    </row>
    <row r="103" spans="1:18">
      <c r="A103" s="137" t="str">
        <f t="shared" si="6"/>
        <v>LGE</v>
      </c>
      <c r="B103" s="137" t="s">
        <v>867</v>
      </c>
      <c r="C103" s="137" t="str">
        <f t="shared" si="7"/>
        <v>303</v>
      </c>
      <c r="D103" s="134" t="s">
        <v>853</v>
      </c>
      <c r="E103" s="134" t="str">
        <f t="shared" si="3"/>
        <v/>
      </c>
      <c r="F103" s="137">
        <v>56989.992969999999</v>
      </c>
      <c r="G103" s="137">
        <v>58089.356800000001</v>
      </c>
      <c r="H103" s="137">
        <v>57317.895299999996</v>
      </c>
      <c r="I103" s="137">
        <v>57283.497179999998</v>
      </c>
      <c r="J103" s="137">
        <v>56574.928350000002</v>
      </c>
      <c r="K103" s="137">
        <v>56903.401319999997</v>
      </c>
      <c r="L103" s="137">
        <v>55961.598979999901</v>
      </c>
      <c r="M103" s="137">
        <v>58788.1230499999</v>
      </c>
      <c r="N103" s="137">
        <v>59184.345589999997</v>
      </c>
      <c r="O103" s="137">
        <v>59048.005749999997</v>
      </c>
      <c r="P103" s="137">
        <v>63763.944960000001</v>
      </c>
      <c r="Q103" s="137">
        <v>65353.615409999999</v>
      </c>
      <c r="R103" s="137">
        <v>68829.196360000002</v>
      </c>
    </row>
    <row r="104" spans="1:18">
      <c r="A104" s="137" t="str">
        <f t="shared" si="6"/>
        <v>LGE</v>
      </c>
      <c r="B104" s="137" t="s">
        <v>867</v>
      </c>
      <c r="C104" s="137" t="str">
        <f t="shared" si="7"/>
        <v>303</v>
      </c>
      <c r="D104" s="134" t="s">
        <v>854</v>
      </c>
      <c r="E104" s="134" t="str">
        <f t="shared" si="3"/>
        <v/>
      </c>
      <c r="F104" s="137">
        <v>56702.715299999902</v>
      </c>
      <c r="G104" s="137">
        <v>56702.715299999902</v>
      </c>
      <c r="H104" s="137">
        <v>56702.715299999902</v>
      </c>
      <c r="I104" s="137">
        <v>56702.715299999902</v>
      </c>
      <c r="J104" s="137">
        <v>56702.715299999902</v>
      </c>
      <c r="K104" s="137">
        <v>56702.715299999902</v>
      </c>
      <c r="L104" s="137">
        <v>56702.715299999902</v>
      </c>
      <c r="M104" s="137">
        <v>56702.715299999902</v>
      </c>
      <c r="N104" s="137">
        <v>56702.715299999902</v>
      </c>
      <c r="O104" s="137">
        <v>57014.434609999997</v>
      </c>
      <c r="P104" s="137">
        <v>57030.317659999899</v>
      </c>
      <c r="Q104" s="137">
        <v>57039.492969999897</v>
      </c>
      <c r="R104" s="137">
        <v>57148.794569999904</v>
      </c>
    </row>
    <row r="105" spans="1:18">
      <c r="A105" s="137" t="str">
        <f t="shared" si="6"/>
        <v>LGE</v>
      </c>
      <c r="B105" s="137" t="s">
        <v>867</v>
      </c>
      <c r="C105" s="137" t="str">
        <f t="shared" si="7"/>
        <v>389</v>
      </c>
      <c r="D105" s="134" t="s">
        <v>855</v>
      </c>
      <c r="E105" s="134" t="str">
        <f t="shared" si="3"/>
        <v/>
      </c>
      <c r="F105" s="137">
        <v>1564.39437</v>
      </c>
      <c r="G105" s="137">
        <v>1564.39437</v>
      </c>
      <c r="H105" s="137">
        <v>1564.39437</v>
      </c>
      <c r="I105" s="137">
        <v>1564.39437</v>
      </c>
      <c r="J105" s="137">
        <v>1564.39437</v>
      </c>
      <c r="K105" s="137">
        <v>1564.39437</v>
      </c>
      <c r="L105" s="137">
        <v>1564.39437</v>
      </c>
      <c r="M105" s="137">
        <v>1564.39437</v>
      </c>
      <c r="N105" s="137">
        <v>1564.39437</v>
      </c>
      <c r="O105" s="137">
        <v>1564.39437</v>
      </c>
      <c r="P105" s="137">
        <v>1564.39437</v>
      </c>
      <c r="Q105" s="137">
        <v>1564.39437</v>
      </c>
      <c r="R105" s="137">
        <v>1564.39437</v>
      </c>
    </row>
    <row r="106" spans="1:18">
      <c r="A106" s="137" t="str">
        <f t="shared" si="6"/>
        <v>LGE</v>
      </c>
      <c r="B106" s="137" t="s">
        <v>867</v>
      </c>
      <c r="C106" s="137" t="str">
        <f t="shared" si="7"/>
        <v>390</v>
      </c>
      <c r="D106" s="134" t="s">
        <v>856</v>
      </c>
      <c r="E106" s="134" t="str">
        <f t="shared" si="3"/>
        <v/>
      </c>
      <c r="F106" s="137">
        <v>81283.628089999998</v>
      </c>
      <c r="G106" s="137">
        <v>81319.18694</v>
      </c>
      <c r="H106" s="137">
        <v>81400.624739999999</v>
      </c>
      <c r="I106" s="137">
        <v>81740.442049999896</v>
      </c>
      <c r="J106" s="137">
        <v>81479.513189999896</v>
      </c>
      <c r="K106" s="137">
        <v>81501.387769999899</v>
      </c>
      <c r="L106" s="137">
        <v>81475.763809999902</v>
      </c>
      <c r="M106" s="137">
        <v>81528.4070299999</v>
      </c>
      <c r="N106" s="137">
        <v>82746.172569999893</v>
      </c>
      <c r="O106" s="137">
        <v>83369.325079999893</v>
      </c>
      <c r="P106" s="137">
        <v>83588.330719999896</v>
      </c>
      <c r="Q106" s="137">
        <v>83948.777239999894</v>
      </c>
      <c r="R106" s="137">
        <v>85080.222529999897</v>
      </c>
    </row>
    <row r="107" spans="1:18">
      <c r="A107" s="137" t="str">
        <f t="shared" si="6"/>
        <v>LGE</v>
      </c>
      <c r="B107" s="137" t="s">
        <v>867</v>
      </c>
      <c r="C107" s="137" t="str">
        <f t="shared" si="7"/>
        <v>391</v>
      </c>
      <c r="D107" s="134" t="s">
        <v>857</v>
      </c>
      <c r="E107" s="134" t="str">
        <f t="shared" si="3"/>
        <v/>
      </c>
      <c r="F107" s="137">
        <v>35391.640749999999</v>
      </c>
      <c r="G107" s="137">
        <v>40664.688040000001</v>
      </c>
      <c r="H107" s="137">
        <v>40399.328179999997</v>
      </c>
      <c r="I107" s="137">
        <v>40419.235710000001</v>
      </c>
      <c r="J107" s="137">
        <v>39821.789779999999</v>
      </c>
      <c r="K107" s="137">
        <v>39387.754269999998</v>
      </c>
      <c r="L107" s="137">
        <v>39169.783779999998</v>
      </c>
      <c r="M107" s="137">
        <v>38721.418149999998</v>
      </c>
      <c r="N107" s="137">
        <v>38936.340109999997</v>
      </c>
      <c r="O107" s="137">
        <v>40265.889569999999</v>
      </c>
      <c r="P107" s="137">
        <v>40826.412089999998</v>
      </c>
      <c r="Q107" s="137">
        <v>43035.108970000001</v>
      </c>
      <c r="R107" s="137">
        <v>43727.079149999998</v>
      </c>
    </row>
    <row r="108" spans="1:18">
      <c r="A108" s="137" t="str">
        <f t="shared" si="6"/>
        <v>LGE</v>
      </c>
      <c r="B108" s="137" t="s">
        <v>867</v>
      </c>
      <c r="C108" s="137" t="str">
        <f t="shared" si="7"/>
        <v>392</v>
      </c>
      <c r="D108" s="134" t="s">
        <v>1529</v>
      </c>
      <c r="E108" s="134" t="str">
        <f t="shared" si="3"/>
        <v/>
      </c>
      <c r="F108" s="137">
        <v>66.623670000000004</v>
      </c>
      <c r="G108" s="137">
        <v>66.623670000000004</v>
      </c>
      <c r="H108" s="137">
        <v>66.623670000000004</v>
      </c>
      <c r="I108" s="137">
        <v>66.623670000000004</v>
      </c>
      <c r="J108" s="137">
        <v>66.623670000000004</v>
      </c>
      <c r="K108" s="137">
        <v>66.623670000000004</v>
      </c>
      <c r="L108" s="137">
        <v>66.623670000000004</v>
      </c>
      <c r="M108" s="137">
        <v>66.623670000000004</v>
      </c>
      <c r="N108" s="137">
        <v>66.623670000000004</v>
      </c>
      <c r="O108" s="137">
        <v>66.623670000000004</v>
      </c>
      <c r="P108" s="137">
        <v>66.623670000000004</v>
      </c>
      <c r="Q108" s="137">
        <v>66.623670000000004</v>
      </c>
      <c r="R108" s="137">
        <v>66.623670000000004</v>
      </c>
    </row>
    <row r="109" spans="1:18">
      <c r="A109" s="137" t="str">
        <f t="shared" si="6"/>
        <v>LGE</v>
      </c>
      <c r="B109" s="137" t="s">
        <v>867</v>
      </c>
      <c r="C109" s="137" t="str">
        <f t="shared" si="7"/>
        <v>392</v>
      </c>
      <c r="D109" s="134" t="s">
        <v>858</v>
      </c>
      <c r="E109" s="134" t="str">
        <f t="shared" si="3"/>
        <v/>
      </c>
      <c r="F109" s="137">
        <v>211.57632000000001</v>
      </c>
      <c r="G109" s="137">
        <v>211.57632000000001</v>
      </c>
      <c r="H109" s="137">
        <v>211.57632000000001</v>
      </c>
      <c r="I109" s="137">
        <v>211.57632000000001</v>
      </c>
      <c r="J109" s="137">
        <v>211.57632000000001</v>
      </c>
      <c r="K109" s="137">
        <v>222.61478</v>
      </c>
      <c r="L109" s="137">
        <v>222.61478</v>
      </c>
      <c r="M109" s="137">
        <v>258.72116</v>
      </c>
      <c r="N109" s="137">
        <v>258.72116</v>
      </c>
      <c r="O109" s="137">
        <v>258.72116</v>
      </c>
      <c r="P109" s="137">
        <v>258.72116</v>
      </c>
      <c r="Q109" s="137">
        <v>258.72116</v>
      </c>
      <c r="R109" s="137">
        <v>258.72116</v>
      </c>
    </row>
    <row r="110" spans="1:18">
      <c r="A110" s="137" t="str">
        <f t="shared" si="6"/>
        <v>LGE</v>
      </c>
      <c r="B110" s="137" t="s">
        <v>867</v>
      </c>
      <c r="C110" s="137" t="str">
        <f t="shared" si="7"/>
        <v>393</v>
      </c>
      <c r="D110" s="134" t="s">
        <v>859</v>
      </c>
      <c r="E110" s="134" t="str">
        <f t="shared" si="3"/>
        <v/>
      </c>
      <c r="F110" s="137">
        <v>1471.07502</v>
      </c>
      <c r="G110" s="137">
        <v>1471.07502</v>
      </c>
      <c r="H110" s="137">
        <v>1668.22128</v>
      </c>
      <c r="I110" s="137">
        <v>1668.22128</v>
      </c>
      <c r="J110" s="137">
        <v>1668.22128</v>
      </c>
      <c r="K110" s="137">
        <v>1668.22128</v>
      </c>
      <c r="L110" s="137">
        <v>1668.22128</v>
      </c>
      <c r="M110" s="137">
        <v>1695.41309</v>
      </c>
      <c r="N110" s="137">
        <v>1695.41309</v>
      </c>
      <c r="O110" s="137">
        <v>1695.41309</v>
      </c>
      <c r="P110" s="137">
        <v>1712.22128</v>
      </c>
      <c r="Q110" s="137">
        <v>1712.22128</v>
      </c>
      <c r="R110" s="137">
        <v>1712.22128</v>
      </c>
    </row>
    <row r="111" spans="1:18">
      <c r="A111" s="137" t="str">
        <f t="shared" si="6"/>
        <v>LGE</v>
      </c>
      <c r="B111" s="137" t="s">
        <v>867</v>
      </c>
      <c r="C111" s="137" t="str">
        <f t="shared" si="7"/>
        <v>394</v>
      </c>
      <c r="D111" s="134" t="s">
        <v>860</v>
      </c>
      <c r="E111" s="134" t="str">
        <f t="shared" si="3"/>
        <v/>
      </c>
      <c r="F111" s="137">
        <v>4200.05555</v>
      </c>
      <c r="G111" s="137">
        <v>4200.05555</v>
      </c>
      <c r="H111" s="137">
        <v>4200.05555</v>
      </c>
      <c r="I111" s="137">
        <v>4199.7107900000001</v>
      </c>
      <c r="J111" s="137">
        <v>4214.6832400000003</v>
      </c>
      <c r="K111" s="137">
        <v>4194.94355</v>
      </c>
      <c r="L111" s="137">
        <v>4082.01269</v>
      </c>
      <c r="M111" s="137">
        <v>4111.8515299999999</v>
      </c>
      <c r="N111" s="137">
        <v>4208.8571499999998</v>
      </c>
      <c r="O111" s="137">
        <v>4208.8571499999998</v>
      </c>
      <c r="P111" s="137">
        <v>4208.8571499999998</v>
      </c>
      <c r="Q111" s="137">
        <v>4208.8571499999998</v>
      </c>
      <c r="R111" s="137">
        <v>4208.8571499999998</v>
      </c>
    </row>
    <row r="112" spans="1:18">
      <c r="A112" s="137" t="str">
        <f t="shared" si="6"/>
        <v>LGE</v>
      </c>
      <c r="B112" s="137" t="s">
        <v>867</v>
      </c>
      <c r="C112" s="137" t="str">
        <f t="shared" si="7"/>
        <v>396</v>
      </c>
      <c r="D112" s="134" t="s">
        <v>861</v>
      </c>
      <c r="E112" s="134" t="str">
        <f t="shared" si="3"/>
        <v/>
      </c>
      <c r="F112" s="137">
        <v>14.147080000000001</v>
      </c>
      <c r="G112" s="137">
        <v>14.147080000000001</v>
      </c>
      <c r="H112" s="137">
        <v>14.147080000000001</v>
      </c>
      <c r="I112" s="137">
        <v>14.147080000000001</v>
      </c>
      <c r="J112" s="137">
        <v>14.147080000000001</v>
      </c>
      <c r="K112" s="137">
        <v>14.147080000000001</v>
      </c>
      <c r="L112" s="137">
        <v>46.268659999999997</v>
      </c>
      <c r="M112" s="137">
        <v>74.726510000000005</v>
      </c>
      <c r="N112" s="137">
        <v>74.726510000000005</v>
      </c>
      <c r="O112" s="137">
        <v>74.726510000000005</v>
      </c>
      <c r="P112" s="137">
        <v>74.726510000000005</v>
      </c>
      <c r="Q112" s="137">
        <v>74.726510000000005</v>
      </c>
      <c r="R112" s="137">
        <v>74.726510000000005</v>
      </c>
    </row>
    <row r="113" spans="1:18">
      <c r="A113" s="137" t="str">
        <f t="shared" si="6"/>
        <v>LGE</v>
      </c>
      <c r="B113" s="137" t="s">
        <v>867</v>
      </c>
      <c r="C113" s="137" t="str">
        <f t="shared" si="7"/>
        <v>396</v>
      </c>
      <c r="D113" s="134" t="s">
        <v>1530</v>
      </c>
      <c r="E113" s="134" t="str">
        <f t="shared" si="3"/>
        <v/>
      </c>
      <c r="F113" s="137">
        <v>527.56918999999903</v>
      </c>
      <c r="G113" s="137">
        <v>527.56918999999903</v>
      </c>
      <c r="H113" s="137">
        <v>527.56918999999903</v>
      </c>
      <c r="I113" s="137">
        <v>527.56918999999903</v>
      </c>
      <c r="J113" s="137">
        <v>527.56918999999903</v>
      </c>
      <c r="K113" s="137">
        <v>455.12218999999999</v>
      </c>
      <c r="L113" s="137">
        <v>455.12218999999999</v>
      </c>
      <c r="M113" s="137">
        <v>455.12218999999999</v>
      </c>
      <c r="N113" s="137">
        <v>455.12218999999999</v>
      </c>
      <c r="O113" s="137">
        <v>455.12218999999999</v>
      </c>
      <c r="P113" s="137">
        <v>455.12218999999999</v>
      </c>
      <c r="Q113" s="137">
        <v>455.12218999999999</v>
      </c>
      <c r="R113" s="137">
        <v>455.12218999999999</v>
      </c>
    </row>
    <row r="114" spans="1:18">
      <c r="A114" s="137" t="str">
        <f t="shared" si="6"/>
        <v>LGE</v>
      </c>
      <c r="B114" s="137" t="s">
        <v>867</v>
      </c>
      <c r="C114" s="137" t="str">
        <f t="shared" si="7"/>
        <v>397</v>
      </c>
      <c r="D114" s="134" t="s">
        <v>862</v>
      </c>
      <c r="E114" s="134" t="str">
        <f t="shared" si="3"/>
        <v/>
      </c>
      <c r="F114" s="137">
        <v>14286.34561</v>
      </c>
      <c r="G114" s="137">
        <v>14754.48285</v>
      </c>
      <c r="H114" s="137">
        <v>14754.794449999999</v>
      </c>
      <c r="I114" s="137">
        <v>14755.85745</v>
      </c>
      <c r="J114" s="137">
        <v>14795.755880000001</v>
      </c>
      <c r="K114" s="137">
        <v>14795.54955</v>
      </c>
      <c r="L114" s="137">
        <v>14824.72761</v>
      </c>
      <c r="M114" s="137">
        <v>14824.72761</v>
      </c>
      <c r="N114" s="137">
        <v>14824.72761</v>
      </c>
      <c r="O114" s="137">
        <v>14824.72761</v>
      </c>
      <c r="P114" s="137">
        <v>14881.778249999999</v>
      </c>
      <c r="Q114" s="137">
        <v>15632.27996</v>
      </c>
      <c r="R114" s="137">
        <v>16656.964550000001</v>
      </c>
    </row>
    <row r="115" spans="1:18">
      <c r="A115" s="137" t="str">
        <f t="shared" si="6"/>
        <v>LGE</v>
      </c>
      <c r="B115" s="137" t="s">
        <v>867</v>
      </c>
      <c r="C115" s="137" t="str">
        <f t="shared" si="7"/>
        <v>397</v>
      </c>
      <c r="D115" s="134" t="s">
        <v>863</v>
      </c>
      <c r="E115" s="134" t="str">
        <f t="shared" si="3"/>
        <v/>
      </c>
      <c r="F115" s="137">
        <v>74.394850000000005</v>
      </c>
      <c r="G115" s="137">
        <v>74.394850000000005</v>
      </c>
      <c r="H115" s="137">
        <v>74.394850000000005</v>
      </c>
      <c r="I115" s="137">
        <v>74.394850000000005</v>
      </c>
      <c r="J115" s="137">
        <v>74.394850000000005</v>
      </c>
      <c r="K115" s="137">
        <v>74.394850000000005</v>
      </c>
      <c r="L115" s="137">
        <v>74.394850000000005</v>
      </c>
      <c r="M115" s="137">
        <v>74.394850000000005</v>
      </c>
      <c r="N115" s="137">
        <v>74.394850000000005</v>
      </c>
      <c r="O115" s="137">
        <v>74.394850000000005</v>
      </c>
      <c r="P115" s="137">
        <v>74.394850000000005</v>
      </c>
      <c r="Q115" s="137">
        <v>74.394850000000005</v>
      </c>
      <c r="R115" s="137">
        <v>74.394850000000005</v>
      </c>
    </row>
    <row r="116" spans="1:18">
      <c r="A116" s="137" t="str">
        <f t="shared" si="6"/>
        <v>LGE</v>
      </c>
      <c r="B116" s="137" t="s">
        <v>867</v>
      </c>
      <c r="C116" s="137" t="str">
        <f t="shared" si="7"/>
        <v>397</v>
      </c>
      <c r="D116" s="134" t="s">
        <v>864</v>
      </c>
      <c r="E116" s="134" t="str">
        <f t="shared" si="3"/>
        <v/>
      </c>
      <c r="F116" s="137">
        <v>19731.500749999999</v>
      </c>
      <c r="G116" s="137">
        <v>20420.32128</v>
      </c>
      <c r="H116" s="137">
        <v>20420.6335799999</v>
      </c>
      <c r="I116" s="137">
        <v>20043.851019999998</v>
      </c>
      <c r="J116" s="137">
        <v>20043.851019999998</v>
      </c>
      <c r="K116" s="137">
        <v>20043.867989999999</v>
      </c>
      <c r="L116" s="137">
        <v>20085.713749999999</v>
      </c>
      <c r="M116" s="137">
        <v>20085.713749999999</v>
      </c>
      <c r="N116" s="137">
        <v>20145.998229999899</v>
      </c>
      <c r="O116" s="137">
        <v>20145.998229999899</v>
      </c>
      <c r="P116" s="137">
        <v>20145.998229999899</v>
      </c>
      <c r="Q116" s="137">
        <v>20224.707799999898</v>
      </c>
      <c r="R116" s="137">
        <v>20276.707799999898</v>
      </c>
    </row>
    <row r="117" spans="1:18">
      <c r="N117" s="336"/>
    </row>
    <row r="118" spans="1:18">
      <c r="E118" s="134" t="str">
        <f t="shared" si="3"/>
        <v/>
      </c>
    </row>
    <row r="119" spans="1:18">
      <c r="E119" s="134" t="str">
        <f t="shared" si="3"/>
        <v/>
      </c>
    </row>
    <row r="120" spans="1:18">
      <c r="E120" s="134" t="str">
        <f t="shared" si="3"/>
        <v/>
      </c>
    </row>
    <row r="121" spans="1:18">
      <c r="E121" s="134" t="str">
        <f t="shared" si="3"/>
        <v/>
      </c>
    </row>
    <row r="122" spans="1:18">
      <c r="E122" s="134" t="str">
        <f t="shared" si="3"/>
        <v/>
      </c>
    </row>
    <row r="123" spans="1:18">
      <c r="E123" s="134" t="str">
        <f t="shared" si="3"/>
        <v/>
      </c>
    </row>
    <row r="124" spans="1:18">
      <c r="E124" s="134" t="str">
        <f t="shared" si="3"/>
        <v/>
      </c>
    </row>
    <row r="125" spans="1:18">
      <c r="E125" s="134" t="str">
        <f t="shared" si="3"/>
        <v/>
      </c>
    </row>
    <row r="126" spans="1:18">
      <c r="E126" s="134" t="str">
        <f t="shared" si="3"/>
        <v/>
      </c>
    </row>
    <row r="127" spans="1:18">
      <c r="E127" s="134" t="str">
        <f t="shared" si="3"/>
        <v/>
      </c>
    </row>
    <row r="128" spans="1:18">
      <c r="E128" s="134" t="str">
        <f t="shared" si="3"/>
        <v/>
      </c>
    </row>
    <row r="129" spans="1:19">
      <c r="E129" s="134" t="str">
        <f t="shared" si="3"/>
        <v/>
      </c>
    </row>
    <row r="130" spans="1:19">
      <c r="E130" s="134" t="str">
        <f t="shared" si="3"/>
        <v/>
      </c>
    </row>
    <row r="131" spans="1:19">
      <c r="E131" s="134" t="str">
        <f t="shared" si="3"/>
        <v/>
      </c>
    </row>
    <row r="132" spans="1:19">
      <c r="E132" s="134" t="str">
        <f t="shared" si="3"/>
        <v/>
      </c>
    </row>
    <row r="133" spans="1:19">
      <c r="E133" s="134" t="str">
        <f t="shared" si="3"/>
        <v/>
      </c>
    </row>
    <row r="134" spans="1:19">
      <c r="E134" s="134" t="str">
        <f t="shared" si="3"/>
        <v/>
      </c>
    </row>
    <row r="135" spans="1:19">
      <c r="E135" s="134" t="str">
        <f t="shared" si="3"/>
        <v/>
      </c>
    </row>
    <row r="136" spans="1:19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3"/>
        <v/>
      </c>
    </row>
    <row r="137" spans="1:19">
      <c r="D137" s="134" t="s">
        <v>8</v>
      </c>
      <c r="E137" s="134" t="str">
        <f t="shared" si="3"/>
        <v/>
      </c>
    </row>
    <row r="138" spans="1:19">
      <c r="A138" s="137" t="str">
        <f t="shared" ref="A138:A202" si="8">MID($D138,4,3)</f>
        <v>LGE</v>
      </c>
      <c r="B138" s="137" t="s">
        <v>923</v>
      </c>
      <c r="C138" s="137" t="str">
        <f t="shared" ref="C138:C202" si="9">MID($D138,9,3)</f>
        <v>310</v>
      </c>
      <c r="D138" s="134" t="s">
        <v>1511</v>
      </c>
      <c r="E138" s="134" t="str">
        <f t="shared" si="3"/>
        <v>ECR</v>
      </c>
      <c r="F138" s="137">
        <v>1245.24209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3.5554299999999999</v>
      </c>
      <c r="N138" s="137">
        <v>74.640519999999995</v>
      </c>
      <c r="O138" s="137">
        <v>15.6</v>
      </c>
      <c r="P138" s="137">
        <v>0</v>
      </c>
      <c r="Q138" s="137">
        <v>0</v>
      </c>
      <c r="R138" s="137">
        <v>0</v>
      </c>
      <c r="S138" s="137">
        <f>SUM(G138:R138)</f>
        <v>93.795949999999991</v>
      </c>
    </row>
    <row r="139" spans="1:19">
      <c r="A139" s="137" t="str">
        <f t="shared" si="8"/>
        <v>LGE</v>
      </c>
      <c r="B139" s="137" t="s">
        <v>923</v>
      </c>
      <c r="C139" s="137" t="str">
        <f t="shared" si="9"/>
        <v>310</v>
      </c>
      <c r="D139" s="134" t="s">
        <v>1816</v>
      </c>
      <c r="E139" s="134" t="str">
        <f t="shared" si="3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2267.6315099999902</v>
      </c>
      <c r="S139" s="137">
        <f t="shared" ref="S139:S219" si="10">SUM(G139:R139)</f>
        <v>2267.6315099999902</v>
      </c>
    </row>
    <row r="140" spans="1:19">
      <c r="A140" s="137" t="str">
        <f t="shared" si="8"/>
        <v>LGE</v>
      </c>
      <c r="B140" s="137" t="s">
        <v>923</v>
      </c>
      <c r="C140" s="137" t="str">
        <f t="shared" si="9"/>
        <v>311</v>
      </c>
      <c r="D140" s="134" t="s">
        <v>789</v>
      </c>
      <c r="E140" s="134" t="str">
        <f t="shared" si="3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371.22949999999997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0"/>
        <v>371.22949999999997</v>
      </c>
    </row>
    <row r="141" spans="1:19">
      <c r="A141" s="137" t="str">
        <f t="shared" si="8"/>
        <v>LGE</v>
      </c>
      <c r="B141" s="137" t="s">
        <v>923</v>
      </c>
      <c r="C141" s="137" t="str">
        <f t="shared" si="9"/>
        <v>311</v>
      </c>
      <c r="D141" s="134" t="s">
        <v>790</v>
      </c>
      <c r="E141" s="134" t="str">
        <f t="shared" si="3"/>
        <v/>
      </c>
      <c r="F141" s="137">
        <v>1952.62569999999</v>
      </c>
      <c r="G141" s="137">
        <v>32.07085</v>
      </c>
      <c r="H141" s="137">
        <v>-236.59371999999999</v>
      </c>
      <c r="I141" s="137">
        <v>15.459339999999999</v>
      </c>
      <c r="J141" s="137">
        <v>-0.66732999999999998</v>
      </c>
      <c r="K141" s="137">
        <v>-5.8743800000000004</v>
      </c>
      <c r="L141" s="137">
        <v>331.32846000000001</v>
      </c>
      <c r="M141" s="137">
        <v>474.49921999999998</v>
      </c>
      <c r="N141" s="137">
        <v>26</v>
      </c>
      <c r="O141" s="137">
        <v>384.87930999999998</v>
      </c>
      <c r="P141" s="137">
        <v>144.08421999999999</v>
      </c>
      <c r="Q141" s="137">
        <v>275</v>
      </c>
      <c r="R141" s="137">
        <v>458.60435999999999</v>
      </c>
      <c r="S141" s="137">
        <f t="shared" si="10"/>
        <v>1898.79033</v>
      </c>
    </row>
    <row r="142" spans="1:19">
      <c r="A142" s="137" t="str">
        <f t="shared" si="8"/>
        <v>LGE</v>
      </c>
      <c r="B142" s="137" t="s">
        <v>923</v>
      </c>
      <c r="C142" s="137" t="str">
        <f t="shared" si="9"/>
        <v>312</v>
      </c>
      <c r="D142" s="134" t="s">
        <v>791</v>
      </c>
      <c r="E142" s="134" t="str">
        <f t="shared" si="3"/>
        <v/>
      </c>
      <c r="F142" s="137">
        <v>16820.636979999999</v>
      </c>
      <c r="G142" s="137">
        <v>126.10266</v>
      </c>
      <c r="H142" s="137">
        <v>219.51498000000001</v>
      </c>
      <c r="I142" s="137">
        <v>829.99321999999995</v>
      </c>
      <c r="J142" s="137">
        <v>2071.3801899999999</v>
      </c>
      <c r="K142" s="137">
        <v>11202.53896</v>
      </c>
      <c r="L142" s="137">
        <v>1426.5416599999901</v>
      </c>
      <c r="M142" s="137">
        <v>258.74995000000001</v>
      </c>
      <c r="N142" s="137">
        <v>373.93034</v>
      </c>
      <c r="O142" s="137">
        <v>772.34528</v>
      </c>
      <c r="P142" s="137">
        <v>73916.983919999999</v>
      </c>
      <c r="Q142" s="137">
        <v>10219.008390000001</v>
      </c>
      <c r="R142" s="137">
        <v>1928.1182100000001</v>
      </c>
      <c r="S142" s="137">
        <f t="shared" si="10"/>
        <v>103345.20775999999</v>
      </c>
    </row>
    <row r="143" spans="1:19">
      <c r="A143" s="137" t="str">
        <f t="shared" si="8"/>
        <v>LGE</v>
      </c>
      <c r="B143" s="137" t="s">
        <v>923</v>
      </c>
      <c r="C143" s="137" t="str">
        <f t="shared" si="9"/>
        <v>312</v>
      </c>
      <c r="D143" s="134" t="s">
        <v>792</v>
      </c>
      <c r="E143" s="134" t="str">
        <f t="shared" si="3"/>
        <v>ECR</v>
      </c>
      <c r="F143" s="137">
        <v>0</v>
      </c>
      <c r="G143" s="137">
        <v>0</v>
      </c>
      <c r="H143" s="137">
        <v>0</v>
      </c>
      <c r="I143" s="137">
        <v>0</v>
      </c>
      <c r="J143" s="137">
        <v>0</v>
      </c>
      <c r="K143" s="137">
        <v>0</v>
      </c>
      <c r="L143" s="137">
        <v>0</v>
      </c>
      <c r="M143" s="137">
        <v>1487.4885300000001</v>
      </c>
      <c r="N143" s="137">
        <v>34715.522069999999</v>
      </c>
      <c r="O143" s="137">
        <v>29051.599399999999</v>
      </c>
      <c r="P143" s="137">
        <v>1691.0568499999999</v>
      </c>
      <c r="Q143" s="137">
        <v>1282.46</v>
      </c>
      <c r="R143" s="137">
        <v>1866.0146</v>
      </c>
      <c r="S143" s="137">
        <f t="shared" si="10"/>
        <v>70094.141449999996</v>
      </c>
    </row>
    <row r="144" spans="1:19">
      <c r="A144" s="137" t="str">
        <f t="shared" si="8"/>
        <v>LGE</v>
      </c>
      <c r="B144" s="137" t="s">
        <v>923</v>
      </c>
      <c r="C144" s="137" t="str">
        <f t="shared" si="9"/>
        <v>312</v>
      </c>
      <c r="D144" s="134" t="s">
        <v>793</v>
      </c>
      <c r="E144" s="134" t="str">
        <f t="shared" si="3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9869.99388</v>
      </c>
      <c r="M144" s="137">
        <v>4688.1645699999999</v>
      </c>
      <c r="N144" s="137">
        <v>1123.9864600000001</v>
      </c>
      <c r="O144" s="137">
        <v>45.569490000000002</v>
      </c>
      <c r="P144" s="137">
        <v>0</v>
      </c>
      <c r="Q144" s="137">
        <v>0</v>
      </c>
      <c r="R144" s="137">
        <v>0</v>
      </c>
      <c r="S144" s="137">
        <f t="shared" si="10"/>
        <v>15727.714399999999</v>
      </c>
    </row>
    <row r="145" spans="1:19">
      <c r="A145" s="137" t="str">
        <f t="shared" si="8"/>
        <v>LGE</v>
      </c>
      <c r="B145" s="137" t="s">
        <v>923</v>
      </c>
      <c r="C145" s="137" t="str">
        <f t="shared" si="9"/>
        <v>312</v>
      </c>
      <c r="D145" s="134" t="s">
        <v>1512</v>
      </c>
      <c r="E145" s="134" t="str">
        <f t="shared" si="3"/>
        <v>ECR</v>
      </c>
      <c r="F145" s="137">
        <v>0</v>
      </c>
      <c r="G145" s="137">
        <v>525.54971999999998</v>
      </c>
      <c r="H145" s="137">
        <v>0</v>
      </c>
      <c r="I145" s="137">
        <v>0</v>
      </c>
      <c r="J145" s="137">
        <v>0</v>
      </c>
      <c r="K145" s="137">
        <v>0</v>
      </c>
      <c r="L145" s="137">
        <v>0</v>
      </c>
      <c r="M145" s="137">
        <v>1912.05051</v>
      </c>
      <c r="N145" s="137">
        <v>235.00001</v>
      </c>
      <c r="O145" s="137">
        <v>177.00002000000001</v>
      </c>
      <c r="P145" s="137">
        <v>105.00001</v>
      </c>
      <c r="Q145" s="137">
        <v>196.80089999999899</v>
      </c>
      <c r="R145" s="137">
        <v>1026.79872</v>
      </c>
      <c r="S145" s="137">
        <f t="shared" si="10"/>
        <v>4178.199889999999</v>
      </c>
    </row>
    <row r="146" spans="1:19">
      <c r="A146" s="137" t="str">
        <f t="shared" si="8"/>
        <v>LGE</v>
      </c>
      <c r="B146" s="137" t="s">
        <v>923</v>
      </c>
      <c r="C146" s="137" t="str">
        <f t="shared" si="9"/>
        <v>314</v>
      </c>
      <c r="D146" s="134" t="s">
        <v>795</v>
      </c>
      <c r="E146" s="134" t="str">
        <f t="shared" si="3"/>
        <v/>
      </c>
      <c r="F146" s="137">
        <v>2373.15832</v>
      </c>
      <c r="G146" s="137">
        <v>54.970389999999902</v>
      </c>
      <c r="H146" s="137">
        <v>1.80948</v>
      </c>
      <c r="I146" s="137">
        <v>83.292050000000003</v>
      </c>
      <c r="J146" s="137">
        <v>18.167929999999998</v>
      </c>
      <c r="K146" s="137">
        <v>4120.7901300000003</v>
      </c>
      <c r="L146" s="137">
        <v>760.01164999999901</v>
      </c>
      <c r="M146" s="137">
        <v>7.7965499999999999</v>
      </c>
      <c r="N146" s="137">
        <v>310.00968</v>
      </c>
      <c r="O146" s="137">
        <v>41.834879999999998</v>
      </c>
      <c r="P146" s="137">
        <v>26.362500000000001</v>
      </c>
      <c r="Q146" s="137">
        <v>3793.7915200000002</v>
      </c>
      <c r="R146" s="137">
        <v>171.41219000000001</v>
      </c>
      <c r="S146" s="137">
        <f t="shared" si="10"/>
        <v>9390.2489500000011</v>
      </c>
    </row>
    <row r="147" spans="1:19">
      <c r="A147" s="137" t="str">
        <f t="shared" si="8"/>
        <v>LGE</v>
      </c>
      <c r="B147" s="137" t="s">
        <v>923</v>
      </c>
      <c r="C147" s="137" t="str">
        <f t="shared" si="9"/>
        <v>315</v>
      </c>
      <c r="D147" s="134" t="s">
        <v>796</v>
      </c>
      <c r="E147" s="134" t="str">
        <f t="shared" si="3"/>
        <v/>
      </c>
      <c r="F147" s="137">
        <v>973.49328000000003</v>
      </c>
      <c r="G147" s="137">
        <v>106.96964</v>
      </c>
      <c r="H147" s="137">
        <v>3.5352700000000001</v>
      </c>
      <c r="I147" s="137">
        <v>27.40579</v>
      </c>
      <c r="J147" s="137">
        <v>-4.5835699999999999</v>
      </c>
      <c r="K147" s="137">
        <v>253.19328999999999</v>
      </c>
      <c r="L147" s="137">
        <v>91.934700000000007</v>
      </c>
      <c r="M147" s="137">
        <v>293.53456999999997</v>
      </c>
      <c r="N147" s="137">
        <v>0</v>
      </c>
      <c r="O147" s="137">
        <v>0</v>
      </c>
      <c r="P147" s="137">
        <v>84.77413</v>
      </c>
      <c r="Q147" s="137">
        <v>57.125</v>
      </c>
      <c r="R147" s="137">
        <v>164.17658</v>
      </c>
      <c r="S147" s="137">
        <f t="shared" si="10"/>
        <v>1078.0654</v>
      </c>
    </row>
    <row r="148" spans="1:19">
      <c r="A148" s="137" t="str">
        <f t="shared" si="8"/>
        <v>LGE</v>
      </c>
      <c r="B148" s="137" t="s">
        <v>923</v>
      </c>
      <c r="C148" s="137" t="str">
        <f t="shared" si="9"/>
        <v>315</v>
      </c>
      <c r="D148" s="134" t="s">
        <v>1514</v>
      </c>
      <c r="E148" s="134" t="str">
        <f t="shared" si="3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578.48464999999999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0"/>
        <v>578.48464999999999</v>
      </c>
    </row>
    <row r="149" spans="1:19">
      <c r="A149" s="137" t="str">
        <f t="shared" si="8"/>
        <v>LGE</v>
      </c>
      <c r="B149" s="137" t="s">
        <v>923</v>
      </c>
      <c r="C149" s="137" t="str">
        <f t="shared" si="9"/>
        <v>316</v>
      </c>
      <c r="D149" s="134" t="s">
        <v>797</v>
      </c>
      <c r="E149" s="134" t="str">
        <f t="shared" si="3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0.15751000000000001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0"/>
        <v>0.15751000000000001</v>
      </c>
    </row>
    <row r="150" spans="1:19">
      <c r="A150" s="137" t="str">
        <f t="shared" si="8"/>
        <v>LGE</v>
      </c>
      <c r="B150" s="137" t="s">
        <v>923</v>
      </c>
      <c r="C150" s="137" t="str">
        <f t="shared" si="9"/>
        <v>316</v>
      </c>
      <c r="D150" s="134" t="s">
        <v>798</v>
      </c>
      <c r="E150" s="134" t="str">
        <f t="shared" si="3"/>
        <v/>
      </c>
      <c r="F150" s="137">
        <v>1368.6765599999901</v>
      </c>
      <c r="G150" s="137">
        <v>-322.33057000000002</v>
      </c>
      <c r="H150" s="137">
        <v>-28.49681</v>
      </c>
      <c r="I150" s="137">
        <v>3.7826399999999998</v>
      </c>
      <c r="J150" s="137">
        <v>-7.21645</v>
      </c>
      <c r="K150" s="137">
        <v>-108.91065</v>
      </c>
      <c r="L150" s="137">
        <v>124.832799999999</v>
      </c>
      <c r="M150" s="137">
        <v>43.327779999999997</v>
      </c>
      <c r="N150" s="137">
        <v>116.20585</v>
      </c>
      <c r="O150" s="137">
        <v>43.38259</v>
      </c>
      <c r="P150" s="137">
        <v>28.447559999999999</v>
      </c>
      <c r="Q150" s="137">
        <v>613</v>
      </c>
      <c r="R150" s="137">
        <v>220.873189999999</v>
      </c>
      <c r="S150" s="137">
        <f t="shared" si="10"/>
        <v>726.89792999999804</v>
      </c>
    </row>
    <row r="151" spans="1:19">
      <c r="A151" s="137" t="str">
        <f t="shared" si="8"/>
        <v>LGE</v>
      </c>
      <c r="B151" s="137" t="s">
        <v>923</v>
      </c>
      <c r="C151" s="137" t="str">
        <f t="shared" si="9"/>
        <v>317</v>
      </c>
      <c r="D151" s="134" t="s">
        <v>799</v>
      </c>
      <c r="E151" s="134" t="str">
        <f t="shared" si="3"/>
        <v>ARO</v>
      </c>
      <c r="F151" s="137">
        <v>1548.4503099999999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0"/>
        <v>0</v>
      </c>
    </row>
    <row r="152" spans="1:19">
      <c r="A152" s="137" t="str">
        <f t="shared" si="8"/>
        <v>LGE</v>
      </c>
      <c r="B152" s="137" t="s">
        <v>923</v>
      </c>
      <c r="C152" s="137" t="str">
        <f t="shared" si="9"/>
        <v>317</v>
      </c>
      <c r="D152" s="134" t="s">
        <v>1817</v>
      </c>
      <c r="E152" s="134" t="str">
        <f t="shared" si="3"/>
        <v>ARO</v>
      </c>
      <c r="F152" s="137">
        <v>1053.39048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0"/>
        <v>0</v>
      </c>
    </row>
    <row r="153" spans="1:19">
      <c r="A153" s="137" t="str">
        <f t="shared" si="8"/>
        <v>LGE</v>
      </c>
      <c r="B153" s="137" t="s">
        <v>923</v>
      </c>
      <c r="C153" s="137" t="str">
        <f t="shared" si="9"/>
        <v>331</v>
      </c>
      <c r="D153" s="134" t="s">
        <v>801</v>
      </c>
      <c r="E153" s="134" t="str">
        <f t="shared" ref="E153:E232" si="11">IF(ISTEXT(MID($D153,SEARCH("FUTURE USE",$D153),3)),"FUTURE USE",IF(ISTEXT(MID($D153,SEARCH("ECR",$D153),3)),"ECR",IF(ISTEXT(MID($D153,SEARCH("ARO",$D153),3)),"ARO",IF(ISTEXT(MID($D153,SEARCH("DSM",$D153),3)),"DSM",""))))</f>
        <v/>
      </c>
      <c r="F153" s="137">
        <v>274.73169000000001</v>
      </c>
      <c r="G153" s="137">
        <v>5.6686399999999999</v>
      </c>
      <c r="H153" s="137">
        <v>19.734439999999999</v>
      </c>
      <c r="I153" s="137">
        <v>-60.850349999999999</v>
      </c>
      <c r="J153" s="137">
        <v>-0.63092999999999999</v>
      </c>
      <c r="K153" s="137">
        <v>4.41648</v>
      </c>
      <c r="L153" s="137">
        <v>-3.9617399999999998</v>
      </c>
      <c r="M153" s="137">
        <v>35.599870000000003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0"/>
        <v>-2.3589999999998668E-2</v>
      </c>
    </row>
    <row r="154" spans="1:19">
      <c r="A154" s="137" t="str">
        <f t="shared" si="8"/>
        <v>LGE</v>
      </c>
      <c r="B154" s="137" t="s">
        <v>923</v>
      </c>
      <c r="C154" s="137" t="str">
        <f t="shared" si="9"/>
        <v>332</v>
      </c>
      <c r="D154" s="134" t="s">
        <v>802</v>
      </c>
      <c r="E154" s="134" t="str">
        <f t="shared" si="11"/>
        <v/>
      </c>
      <c r="F154" s="137">
        <v>160.28637000000001</v>
      </c>
      <c r="G154" s="137">
        <v>8.5029799999999902</v>
      </c>
      <c r="H154" s="137">
        <v>18.08399</v>
      </c>
      <c r="I154" s="137">
        <v>-95.824579999999997</v>
      </c>
      <c r="J154" s="137">
        <v>-0.94637000000000004</v>
      </c>
      <c r="K154" s="137">
        <v>6.6246999999999998</v>
      </c>
      <c r="L154" s="137">
        <v>-5.9425999999999997</v>
      </c>
      <c r="M154" s="137">
        <v>0</v>
      </c>
      <c r="N154" s="137">
        <v>0</v>
      </c>
      <c r="O154" s="137">
        <v>0</v>
      </c>
      <c r="P154" s="137">
        <v>1786.5097699999999</v>
      </c>
      <c r="Q154" s="137">
        <v>0</v>
      </c>
      <c r="R154" s="137">
        <v>0</v>
      </c>
      <c r="S154" s="137">
        <f t="shared" si="10"/>
        <v>1717.0078899999999</v>
      </c>
    </row>
    <row r="155" spans="1:19">
      <c r="A155" s="137" t="str">
        <f t="shared" si="8"/>
        <v>LGE</v>
      </c>
      <c r="B155" s="137" t="s">
        <v>923</v>
      </c>
      <c r="C155" s="137" t="str">
        <f t="shared" si="9"/>
        <v>333</v>
      </c>
      <c r="D155" s="134" t="s">
        <v>803</v>
      </c>
      <c r="E155" s="134" t="str">
        <f t="shared" si="11"/>
        <v/>
      </c>
      <c r="F155" s="137">
        <v>641.14543000000003</v>
      </c>
      <c r="G155" s="137">
        <v>34.011890000000001</v>
      </c>
      <c r="H155" s="137">
        <v>72.335989999999995</v>
      </c>
      <c r="I155" s="137">
        <v>-182.54977</v>
      </c>
      <c r="J155" s="137">
        <v>-141.00751</v>
      </c>
      <c r="K155" s="137">
        <v>26.49879</v>
      </c>
      <c r="L155" s="137">
        <v>-23.770419999999898</v>
      </c>
      <c r="M155" s="137">
        <v>5653.68678</v>
      </c>
      <c r="N155" s="137">
        <v>1080.9760099999901</v>
      </c>
      <c r="O155" s="137">
        <v>1248</v>
      </c>
      <c r="P155" s="137">
        <v>1100.5337</v>
      </c>
      <c r="Q155" s="137">
        <v>650</v>
      </c>
      <c r="R155" s="137">
        <v>1381</v>
      </c>
      <c r="S155" s="137">
        <f t="shared" si="10"/>
        <v>10899.71545999999</v>
      </c>
    </row>
    <row r="156" spans="1:19">
      <c r="A156" s="137" t="str">
        <f t="shared" si="8"/>
        <v>LGE</v>
      </c>
      <c r="B156" s="137" t="s">
        <v>923</v>
      </c>
      <c r="C156" s="137" t="str">
        <f t="shared" si="9"/>
        <v>334</v>
      </c>
      <c r="D156" s="134" t="s">
        <v>804</v>
      </c>
      <c r="E156" s="134" t="str">
        <f t="shared" si="11"/>
        <v/>
      </c>
      <c r="F156" s="137">
        <v>106.85756000000001</v>
      </c>
      <c r="G156" s="137">
        <v>5.6686399999999999</v>
      </c>
      <c r="H156" s="137">
        <v>12.05599</v>
      </c>
      <c r="I156" s="137">
        <v>-63.88306</v>
      </c>
      <c r="J156" s="137">
        <v>136.59107999999901</v>
      </c>
      <c r="K156" s="137">
        <v>4.41648</v>
      </c>
      <c r="L156" s="137">
        <v>-3.9617399999999998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0"/>
        <v>90.887389999999002</v>
      </c>
    </row>
    <row r="157" spans="1:19">
      <c r="A157" s="137" t="str">
        <f t="shared" si="8"/>
        <v>LGE</v>
      </c>
      <c r="B157" s="137" t="s">
        <v>923</v>
      </c>
      <c r="C157" s="137" t="str">
        <f t="shared" si="9"/>
        <v>335</v>
      </c>
      <c r="D157" s="134" t="s">
        <v>805</v>
      </c>
      <c r="E157" s="134" t="str">
        <f t="shared" si="11"/>
        <v/>
      </c>
      <c r="F157" s="137">
        <v>53.428800000000003</v>
      </c>
      <c r="G157" s="137">
        <v>2.8343500000000001</v>
      </c>
      <c r="H157" s="137">
        <v>6.0280100000000001</v>
      </c>
      <c r="I157" s="137">
        <v>-31.941549999999999</v>
      </c>
      <c r="J157" s="137">
        <v>-0.31541000000000002</v>
      </c>
      <c r="K157" s="137">
        <v>2.2081999999999899</v>
      </c>
      <c r="L157" s="137">
        <v>-1.9808699999999999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0"/>
        <v>-23.167270000000006</v>
      </c>
    </row>
    <row r="158" spans="1:19">
      <c r="A158" s="137" t="str">
        <f t="shared" si="8"/>
        <v>LGE</v>
      </c>
      <c r="B158" s="137" t="s">
        <v>923</v>
      </c>
      <c r="C158" s="137" t="str">
        <f t="shared" si="9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0"/>
        <v>0</v>
      </c>
    </row>
    <row r="159" spans="1:19">
      <c r="A159" s="137" t="str">
        <f t="shared" si="8"/>
        <v>LGE</v>
      </c>
      <c r="B159" s="137" t="s">
        <v>923</v>
      </c>
      <c r="C159" s="137" t="str">
        <f t="shared" si="9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290.39999999999998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0"/>
        <v>290.39999999999998</v>
      </c>
    </row>
    <row r="160" spans="1:19">
      <c r="A160" s="137" t="str">
        <f t="shared" si="8"/>
        <v>LGE</v>
      </c>
      <c r="B160" s="137" t="s">
        <v>923</v>
      </c>
      <c r="C160" s="137" t="str">
        <f t="shared" si="9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10.0016</v>
      </c>
      <c r="N160" s="137">
        <v>0</v>
      </c>
      <c r="O160" s="137">
        <v>0</v>
      </c>
      <c r="P160" s="137">
        <v>26.263729999999999</v>
      </c>
      <c r="Q160" s="137">
        <v>0</v>
      </c>
      <c r="R160" s="137">
        <v>0</v>
      </c>
      <c r="S160" s="137">
        <f t="shared" si="10"/>
        <v>36.265329999999999</v>
      </c>
    </row>
    <row r="161" spans="1:19">
      <c r="A161" s="137" t="str">
        <f t="shared" si="8"/>
        <v>LGE</v>
      </c>
      <c r="B161" s="137" t="s">
        <v>923</v>
      </c>
      <c r="C161" s="137" t="str">
        <f t="shared" si="9"/>
        <v>341</v>
      </c>
      <c r="D161" s="134" t="s">
        <v>1516</v>
      </c>
      <c r="E161" s="134" t="str">
        <f t="shared" si="11"/>
        <v/>
      </c>
      <c r="F161" s="137">
        <v>-0.29787999999999998</v>
      </c>
      <c r="G161" s="137">
        <v>0</v>
      </c>
      <c r="H161" s="137">
        <v>0</v>
      </c>
      <c r="I161" s="137">
        <v>0</v>
      </c>
      <c r="J161" s="137">
        <v>0.31137999999999999</v>
      </c>
      <c r="K161" s="137">
        <v>0</v>
      </c>
      <c r="L161" s="137">
        <v>163.62121999999999</v>
      </c>
      <c r="M161" s="137">
        <v>109.99149999999899</v>
      </c>
      <c r="N161" s="137">
        <v>0</v>
      </c>
      <c r="O161" s="137">
        <v>11.7</v>
      </c>
      <c r="P161" s="137">
        <v>4.95</v>
      </c>
      <c r="Q161" s="137">
        <v>0</v>
      </c>
      <c r="R161" s="137">
        <v>0</v>
      </c>
      <c r="S161" s="137">
        <f t="shared" si="10"/>
        <v>290.57409999999896</v>
      </c>
    </row>
    <row r="162" spans="1:19">
      <c r="A162" s="137" t="str">
        <f t="shared" si="8"/>
        <v>LGE</v>
      </c>
      <c r="B162" s="137" t="s">
        <v>923</v>
      </c>
      <c r="C162" s="137" t="str">
        <f t="shared" si="9"/>
        <v>341</v>
      </c>
      <c r="D162" s="134" t="s">
        <v>1517</v>
      </c>
      <c r="E162" s="134" t="str">
        <f t="shared" si="11"/>
        <v/>
      </c>
      <c r="F162" s="137">
        <v>348.27978999999999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0"/>
        <v>0</v>
      </c>
    </row>
    <row r="163" spans="1:19">
      <c r="A163" s="137" t="str">
        <f t="shared" si="8"/>
        <v>LGE</v>
      </c>
      <c r="B163" s="137" t="s">
        <v>923</v>
      </c>
      <c r="C163" s="137" t="str">
        <f t="shared" si="9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16.580439999999999</v>
      </c>
      <c r="J163" s="137">
        <v>0</v>
      </c>
      <c r="K163" s="137">
        <v>0</v>
      </c>
      <c r="L163" s="137">
        <v>0</v>
      </c>
      <c r="M163" s="137">
        <v>24.58436</v>
      </c>
      <c r="N163" s="137">
        <v>0</v>
      </c>
      <c r="O163" s="137">
        <v>0</v>
      </c>
      <c r="P163" s="137">
        <v>84.001899999999907</v>
      </c>
      <c r="Q163" s="137">
        <v>0</v>
      </c>
      <c r="R163" s="137">
        <v>0</v>
      </c>
      <c r="S163" s="137">
        <f t="shared" si="10"/>
        <v>125.16669999999991</v>
      </c>
    </row>
    <row r="164" spans="1:19">
      <c r="A164" s="137" t="str">
        <f t="shared" si="8"/>
        <v>LGE</v>
      </c>
      <c r="B164" s="137" t="s">
        <v>923</v>
      </c>
      <c r="C164" s="137" t="str">
        <f t="shared" si="9"/>
        <v>343</v>
      </c>
      <c r="D164" s="134" t="s">
        <v>811</v>
      </c>
      <c r="E164" s="134" t="str">
        <f t="shared" si="11"/>
        <v/>
      </c>
      <c r="F164" s="137">
        <v>5585.84789</v>
      </c>
      <c r="G164" s="137">
        <v>-2.6337999999999999</v>
      </c>
      <c r="H164" s="137">
        <v>-2.0976699999999999</v>
      </c>
      <c r="I164" s="137">
        <v>0</v>
      </c>
      <c r="J164" s="137">
        <v>71.145139999999998</v>
      </c>
      <c r="K164" s="137">
        <v>5.2399999999999999E-3</v>
      </c>
      <c r="L164" s="137">
        <v>0.66979</v>
      </c>
      <c r="M164" s="137">
        <v>0</v>
      </c>
      <c r="N164" s="137">
        <v>45.33052</v>
      </c>
      <c r="O164" s="137">
        <v>0</v>
      </c>
      <c r="P164" s="137">
        <v>129.89505</v>
      </c>
      <c r="Q164" s="137">
        <v>125.82425000000001</v>
      </c>
      <c r="R164" s="137">
        <v>1801.5188000000001</v>
      </c>
      <c r="S164" s="137">
        <f t="shared" si="10"/>
        <v>2169.6573200000003</v>
      </c>
    </row>
    <row r="165" spans="1:19">
      <c r="A165" s="137" t="str">
        <f t="shared" si="8"/>
        <v>LGE</v>
      </c>
      <c r="B165" s="137" t="s">
        <v>923</v>
      </c>
      <c r="C165" s="137" t="str">
        <f t="shared" si="9"/>
        <v>343</v>
      </c>
      <c r="D165" s="134" t="s">
        <v>1520</v>
      </c>
      <c r="E165" s="134" t="str">
        <f t="shared" si="11"/>
        <v/>
      </c>
      <c r="F165" s="137">
        <v>53.580210000000001</v>
      </c>
      <c r="G165" s="137">
        <v>7.0461</v>
      </c>
      <c r="H165" s="137">
        <v>-253.94058999999999</v>
      </c>
      <c r="I165" s="137">
        <v>3.61146999999999</v>
      </c>
      <c r="J165" s="137">
        <v>0</v>
      </c>
      <c r="K165" s="137">
        <v>-0.61526999999999998</v>
      </c>
      <c r="L165" s="137">
        <v>-0.46183999999999997</v>
      </c>
      <c r="M165" s="137">
        <v>1334.8011300000001</v>
      </c>
      <c r="N165" s="137">
        <v>0</v>
      </c>
      <c r="O165" s="137">
        <v>12.632070000000001</v>
      </c>
      <c r="P165" s="137">
        <v>37.19999</v>
      </c>
      <c r="Q165" s="137">
        <v>0</v>
      </c>
      <c r="R165" s="137">
        <v>97.102680000000007</v>
      </c>
      <c r="S165" s="137">
        <f t="shared" si="10"/>
        <v>1237.3757400000002</v>
      </c>
    </row>
    <row r="166" spans="1:19">
      <c r="A166" s="137" t="str">
        <f t="shared" si="8"/>
        <v>LGE</v>
      </c>
      <c r="B166" s="137" t="s">
        <v>923</v>
      </c>
      <c r="C166" s="137" t="str">
        <f t="shared" si="9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1.48855</v>
      </c>
      <c r="H166" s="137">
        <v>0</v>
      </c>
      <c r="I166" s="137">
        <v>14.16253</v>
      </c>
      <c r="J166" s="137">
        <v>0</v>
      </c>
      <c r="K166" s="137">
        <v>0</v>
      </c>
      <c r="L166" s="137">
        <v>0</v>
      </c>
      <c r="M166" s="137">
        <v>0</v>
      </c>
      <c r="N166" s="137">
        <v>0</v>
      </c>
      <c r="O166" s="137">
        <v>84.840450000000004</v>
      </c>
      <c r="P166" s="137">
        <v>249.94122999999999</v>
      </c>
      <c r="Q166" s="137">
        <v>0</v>
      </c>
      <c r="R166" s="137">
        <v>131.72</v>
      </c>
      <c r="S166" s="137">
        <f t="shared" si="10"/>
        <v>482.15276000000006</v>
      </c>
    </row>
    <row r="167" spans="1:19">
      <c r="A167" s="137" t="str">
        <f t="shared" si="8"/>
        <v>LGE</v>
      </c>
      <c r="B167" s="137" t="s">
        <v>923</v>
      </c>
      <c r="C167" s="137" t="str">
        <f t="shared" si="9"/>
        <v>344</v>
      </c>
      <c r="D167" s="134" t="s">
        <v>1521</v>
      </c>
      <c r="E167" s="134" t="str">
        <f t="shared" si="11"/>
        <v/>
      </c>
      <c r="F167" s="137">
        <v>66.747380000000007</v>
      </c>
      <c r="G167" s="137">
        <v>0.56301000000000001</v>
      </c>
      <c r="H167" s="137">
        <v>0.18351000000000001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14.46045</v>
      </c>
      <c r="P167" s="137">
        <v>30.761220000000002</v>
      </c>
      <c r="Q167" s="137">
        <v>0</v>
      </c>
      <c r="R167" s="137">
        <v>0</v>
      </c>
      <c r="S167" s="137">
        <f t="shared" si="10"/>
        <v>45.96819</v>
      </c>
    </row>
    <row r="168" spans="1:19">
      <c r="A168" s="137" t="str">
        <f t="shared" si="8"/>
        <v>LGE</v>
      </c>
      <c r="B168" s="137" t="s">
        <v>923</v>
      </c>
      <c r="C168" s="137" t="str">
        <f t="shared" si="9"/>
        <v>344</v>
      </c>
      <c r="D168" s="134" t="s">
        <v>1522</v>
      </c>
      <c r="E168" s="134" t="str">
        <f t="shared" si="11"/>
        <v/>
      </c>
      <c r="F168" s="137">
        <v>-263.21409999999997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89.518609999999995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0"/>
        <v>89.518609999999995</v>
      </c>
    </row>
    <row r="169" spans="1:19">
      <c r="A169" s="137" t="str">
        <f t="shared" si="8"/>
        <v>LGE</v>
      </c>
      <c r="B169" s="137" t="s">
        <v>923</v>
      </c>
      <c r="C169" s="137" t="str">
        <f t="shared" si="9"/>
        <v>345</v>
      </c>
      <c r="D169" s="134" t="s">
        <v>813</v>
      </c>
      <c r="E169" s="134" t="str">
        <f t="shared" si="11"/>
        <v/>
      </c>
      <c r="F169" s="137">
        <v>2272.4732899999999</v>
      </c>
      <c r="G169" s="137">
        <v>1.60202</v>
      </c>
      <c r="H169" s="137">
        <v>0.78552999999999995</v>
      </c>
      <c r="I169" s="137">
        <v>2.25475</v>
      </c>
      <c r="J169" s="137">
        <v>0</v>
      </c>
      <c r="K169" s="137">
        <v>8.6910000000000001E-2</v>
      </c>
      <c r="L169" s="137">
        <v>-8.7910000000000002E-2</v>
      </c>
      <c r="M169" s="137">
        <v>25.5046</v>
      </c>
      <c r="N169" s="137">
        <v>0</v>
      </c>
      <c r="O169" s="137">
        <v>0</v>
      </c>
      <c r="P169" s="137">
        <v>0</v>
      </c>
      <c r="Q169" s="137">
        <v>0</v>
      </c>
      <c r="R169" s="137">
        <v>0</v>
      </c>
      <c r="S169" s="137">
        <f t="shared" si="10"/>
        <v>30.145900000000001</v>
      </c>
    </row>
    <row r="170" spans="1:19">
      <c r="A170" s="137" t="str">
        <f t="shared" si="8"/>
        <v>LGE</v>
      </c>
      <c r="B170" s="137" t="s">
        <v>923</v>
      </c>
      <c r="C170" s="137" t="str">
        <f t="shared" si="9"/>
        <v>345</v>
      </c>
      <c r="D170" s="134" t="s">
        <v>1523</v>
      </c>
      <c r="E170" s="134" t="str">
        <f t="shared" si="11"/>
        <v/>
      </c>
      <c r="F170" s="137">
        <v>2247.9451800000002</v>
      </c>
      <c r="G170" s="137">
        <v>0.27512999999999999</v>
      </c>
      <c r="H170" s="137">
        <v>1.2109999999999999E-2</v>
      </c>
      <c r="I170" s="137">
        <v>0</v>
      </c>
      <c r="J170" s="137">
        <v>7.3099999999999998E-2</v>
      </c>
      <c r="K170" s="137">
        <v>-3.5319999999999997E-2</v>
      </c>
      <c r="L170" s="137">
        <v>-0.1065</v>
      </c>
      <c r="M170" s="137">
        <v>0</v>
      </c>
      <c r="N170" s="137">
        <v>0</v>
      </c>
      <c r="O170" s="137">
        <v>0</v>
      </c>
      <c r="P170" s="137">
        <v>5.4114199999999997</v>
      </c>
      <c r="Q170" s="137">
        <v>0</v>
      </c>
      <c r="R170" s="137">
        <v>0</v>
      </c>
      <c r="S170" s="137">
        <f t="shared" si="10"/>
        <v>5.6299399999999995</v>
      </c>
    </row>
    <row r="171" spans="1:19">
      <c r="A171" s="137" t="str">
        <f t="shared" si="8"/>
        <v>LGE</v>
      </c>
      <c r="B171" s="137" t="s">
        <v>923</v>
      </c>
      <c r="C171" s="137" t="str">
        <f t="shared" si="9"/>
        <v>345</v>
      </c>
      <c r="D171" s="134" t="s">
        <v>1524</v>
      </c>
      <c r="E171" s="134" t="str">
        <f t="shared" si="11"/>
        <v/>
      </c>
      <c r="F171" s="137">
        <v>-160.26967999999999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f t="shared" si="10"/>
        <v>0</v>
      </c>
    </row>
    <row r="172" spans="1:19">
      <c r="A172" s="137" t="str">
        <f t="shared" si="8"/>
        <v>LGE</v>
      </c>
      <c r="B172" s="137" t="s">
        <v>923</v>
      </c>
      <c r="C172" s="137" t="str">
        <f t="shared" si="9"/>
        <v>346</v>
      </c>
      <c r="D172" s="134" t="s">
        <v>814</v>
      </c>
      <c r="E172" s="134" t="str">
        <f t="shared" si="11"/>
        <v/>
      </c>
      <c r="F172" s="137">
        <v>0</v>
      </c>
      <c r="G172" s="137">
        <v>0</v>
      </c>
      <c r="H172" s="137">
        <v>6.2200100000000003</v>
      </c>
      <c r="I172" s="137">
        <v>0</v>
      </c>
      <c r="J172" s="137">
        <v>0</v>
      </c>
      <c r="K172" s="137">
        <v>0</v>
      </c>
      <c r="L172" s="137">
        <v>0</v>
      </c>
      <c r="M172" s="137">
        <v>0</v>
      </c>
      <c r="N172" s="137">
        <v>0</v>
      </c>
      <c r="O172" s="137">
        <v>0</v>
      </c>
      <c r="P172" s="137">
        <v>0</v>
      </c>
      <c r="Q172" s="137">
        <v>34.594369999999998</v>
      </c>
      <c r="R172" s="137">
        <v>0</v>
      </c>
      <c r="S172" s="137">
        <f t="shared" si="10"/>
        <v>40.81438</v>
      </c>
    </row>
    <row r="173" spans="1:19">
      <c r="A173" s="137" t="str">
        <f t="shared" si="8"/>
        <v>LGE</v>
      </c>
      <c r="B173" s="137" t="s">
        <v>923</v>
      </c>
      <c r="C173" s="137" t="str">
        <f t="shared" si="9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7.1877700000000004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5.5000099999999996</v>
      </c>
      <c r="P173" s="137">
        <v>0</v>
      </c>
      <c r="Q173" s="137">
        <v>132.87419</v>
      </c>
      <c r="R173" s="137">
        <v>44.99</v>
      </c>
      <c r="S173" s="137">
        <f t="shared" si="10"/>
        <v>190.55197000000001</v>
      </c>
    </row>
    <row r="174" spans="1:19">
      <c r="A174" s="137" t="str">
        <f t="shared" si="8"/>
        <v>LGE</v>
      </c>
      <c r="B174" s="137" t="s">
        <v>923</v>
      </c>
      <c r="C174" s="137" t="str">
        <f t="shared" si="9"/>
        <v>346</v>
      </c>
      <c r="D174" s="134" t="s">
        <v>1526</v>
      </c>
      <c r="E174" s="134" t="str">
        <f t="shared" si="11"/>
        <v/>
      </c>
      <c r="F174" s="137">
        <v>75.203990000000005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0"/>
        <v>0</v>
      </c>
    </row>
    <row r="175" spans="1:19">
      <c r="A175" s="137" t="str">
        <f t="shared" si="8"/>
        <v>LGE</v>
      </c>
      <c r="B175" s="137" t="s">
        <v>923</v>
      </c>
      <c r="C175" s="137" t="str">
        <f t="shared" si="9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0</v>
      </c>
      <c r="M175" s="137">
        <v>3.1201599999999998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0"/>
        <v>3.1201599999999998</v>
      </c>
    </row>
    <row r="176" spans="1:19">
      <c r="A176" s="137" t="str">
        <f t="shared" si="8"/>
        <v>LGE</v>
      </c>
      <c r="B176" s="137" t="s">
        <v>923</v>
      </c>
      <c r="C176" s="137" t="str">
        <f t="shared" si="9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149.54262</v>
      </c>
      <c r="J176" s="137">
        <v>16.39818</v>
      </c>
      <c r="K176" s="137">
        <v>54.69585</v>
      </c>
      <c r="L176" s="137">
        <v>-0.46066000000000001</v>
      </c>
      <c r="M176" s="137">
        <v>0</v>
      </c>
      <c r="N176" s="137">
        <v>0</v>
      </c>
      <c r="O176" s="137">
        <v>0</v>
      </c>
      <c r="P176" s="137">
        <v>0</v>
      </c>
      <c r="Q176" s="137">
        <v>0</v>
      </c>
      <c r="R176" s="137">
        <v>366.65785</v>
      </c>
      <c r="S176" s="137">
        <f t="shared" si="10"/>
        <v>586.83384000000001</v>
      </c>
    </row>
    <row r="177" spans="1:19">
      <c r="A177" s="137" t="str">
        <f t="shared" si="8"/>
        <v>LGE</v>
      </c>
      <c r="B177" s="137" t="s">
        <v>923</v>
      </c>
      <c r="C177" s="137" t="str">
        <f t="shared" si="9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  <c r="O177" s="137">
        <v>0</v>
      </c>
      <c r="P177" s="137">
        <v>0</v>
      </c>
      <c r="Q177" s="137">
        <v>0</v>
      </c>
      <c r="R177" s="137">
        <v>1.9425600000000001</v>
      </c>
      <c r="S177" s="137">
        <f t="shared" si="10"/>
        <v>1.9425600000000001</v>
      </c>
    </row>
    <row r="178" spans="1:19">
      <c r="A178" s="137" t="str">
        <f t="shared" si="8"/>
        <v>LGE</v>
      </c>
      <c r="B178" s="137" t="s">
        <v>923</v>
      </c>
      <c r="C178" s="137" t="str">
        <f t="shared" si="9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129.15881999999999</v>
      </c>
      <c r="I178" s="137">
        <v>21.98075</v>
      </c>
      <c r="J178" s="137">
        <v>0</v>
      </c>
      <c r="K178" s="137">
        <v>10.436219999999899</v>
      </c>
      <c r="L178" s="137">
        <v>0</v>
      </c>
      <c r="M178" s="137">
        <v>47.723949999999903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0"/>
        <v>209.29973999999982</v>
      </c>
    </row>
    <row r="179" spans="1:19">
      <c r="A179" s="137" t="str">
        <f t="shared" si="8"/>
        <v>LGE</v>
      </c>
      <c r="B179" s="137" t="s">
        <v>923</v>
      </c>
      <c r="C179" s="137" t="str">
        <f t="shared" si="9"/>
        <v>353</v>
      </c>
      <c r="D179" s="134" t="s">
        <v>823</v>
      </c>
      <c r="E179" s="134" t="str">
        <f t="shared" si="11"/>
        <v/>
      </c>
      <c r="F179" s="137">
        <v>450.376789999999</v>
      </c>
      <c r="G179" s="137">
        <v>73.892989999999998</v>
      </c>
      <c r="H179" s="137">
        <v>79.453819999999993</v>
      </c>
      <c r="I179" s="137">
        <v>-117.8728</v>
      </c>
      <c r="J179" s="137">
        <v>3168.0748899999999</v>
      </c>
      <c r="K179" s="137">
        <v>1021.02975</v>
      </c>
      <c r="L179" s="137">
        <v>244.24629999999999</v>
      </c>
      <c r="M179" s="137">
        <v>15639.22176</v>
      </c>
      <c r="N179" s="137">
        <v>2668.6547399999999</v>
      </c>
      <c r="O179" s="137">
        <v>3221.2915200000002</v>
      </c>
      <c r="P179" s="137">
        <v>1854.7661700000001</v>
      </c>
      <c r="Q179" s="137">
        <v>52.055599999999998</v>
      </c>
      <c r="R179" s="137">
        <v>8974.7533899999999</v>
      </c>
      <c r="S179" s="137">
        <f t="shared" si="10"/>
        <v>36879.56813</v>
      </c>
    </row>
    <row r="180" spans="1:19">
      <c r="A180" s="137" t="str">
        <f t="shared" si="8"/>
        <v>LGE</v>
      </c>
      <c r="B180" s="137" t="s">
        <v>923</v>
      </c>
      <c r="C180" s="137" t="str">
        <f t="shared" si="9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3.4341900000000001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0"/>
        <v>3.4341900000000001</v>
      </c>
    </row>
    <row r="181" spans="1:19">
      <c r="A181" s="137" t="str">
        <f t="shared" si="8"/>
        <v>LGE</v>
      </c>
      <c r="B181" s="137" t="s">
        <v>923</v>
      </c>
      <c r="C181" s="137" t="str">
        <f t="shared" si="9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0"/>
        <v>0</v>
      </c>
    </row>
    <row r="182" spans="1:19">
      <c r="A182" s="137" t="str">
        <f t="shared" si="8"/>
        <v>LGE</v>
      </c>
      <c r="B182" s="137" t="s">
        <v>923</v>
      </c>
      <c r="C182" s="137" t="str">
        <f t="shared" si="9"/>
        <v>355</v>
      </c>
      <c r="D182" s="134" t="s">
        <v>827</v>
      </c>
      <c r="E182" s="134" t="str">
        <f t="shared" si="11"/>
        <v/>
      </c>
      <c r="F182" s="137">
        <v>288.42250999999999</v>
      </c>
      <c r="G182" s="137">
        <v>152.09635</v>
      </c>
      <c r="H182" s="137">
        <v>15.337149999999999</v>
      </c>
      <c r="I182" s="137">
        <v>43.924619999999997</v>
      </c>
      <c r="J182" s="137">
        <v>579.60690999999997</v>
      </c>
      <c r="K182" s="137">
        <v>196.30844999999999</v>
      </c>
      <c r="L182" s="137">
        <v>780.24545000000001</v>
      </c>
      <c r="M182" s="137">
        <v>2223.2851099999998</v>
      </c>
      <c r="N182" s="137">
        <v>59.98368</v>
      </c>
      <c r="O182" s="137">
        <v>24.092490000000002</v>
      </c>
      <c r="P182" s="137">
        <v>10.73704</v>
      </c>
      <c r="Q182" s="137">
        <v>1425.6036200000001</v>
      </c>
      <c r="R182" s="137">
        <v>42.280209999999997</v>
      </c>
      <c r="S182" s="137">
        <f t="shared" si="10"/>
        <v>5553.50108</v>
      </c>
    </row>
    <row r="183" spans="1:19">
      <c r="A183" s="137" t="str">
        <f t="shared" si="8"/>
        <v>LGE</v>
      </c>
      <c r="B183" s="137" t="s">
        <v>923</v>
      </c>
      <c r="C183" s="137" t="str">
        <f t="shared" si="9"/>
        <v>356</v>
      </c>
      <c r="D183" s="134" t="s">
        <v>829</v>
      </c>
      <c r="E183" s="134" t="str">
        <f t="shared" si="11"/>
        <v/>
      </c>
      <c r="F183" s="137">
        <v>13.436529999999999</v>
      </c>
      <c r="G183" s="137">
        <v>162.20910999999899</v>
      </c>
      <c r="H183" s="137">
        <v>145.51185000000001</v>
      </c>
      <c r="I183" s="137">
        <v>34.3095</v>
      </c>
      <c r="J183" s="137">
        <v>-215.68068</v>
      </c>
      <c r="K183" s="137">
        <v>1121.2149199999999</v>
      </c>
      <c r="L183" s="137">
        <v>523.13338999999996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f t="shared" si="10"/>
        <v>1770.698089999999</v>
      </c>
    </row>
    <row r="184" spans="1:19">
      <c r="A184" s="137" t="str">
        <f t="shared" si="8"/>
        <v>LGE</v>
      </c>
      <c r="B184" s="137" t="s">
        <v>923</v>
      </c>
      <c r="C184" s="137" t="str">
        <f t="shared" si="9"/>
        <v>357</v>
      </c>
      <c r="D184" s="134" t="s">
        <v>830</v>
      </c>
      <c r="E184" s="134" t="str">
        <f t="shared" si="11"/>
        <v/>
      </c>
      <c r="F184" s="137">
        <v>95.630359999999996</v>
      </c>
      <c r="G184" s="137">
        <v>0</v>
      </c>
      <c r="H184" s="137">
        <v>0</v>
      </c>
      <c r="I184" s="137">
        <v>0</v>
      </c>
      <c r="J184" s="137">
        <v>0</v>
      </c>
      <c r="K184" s="137">
        <v>-95.630359999999996</v>
      </c>
      <c r="L184" s="137">
        <v>0</v>
      </c>
      <c r="M184" s="137">
        <v>0</v>
      </c>
      <c r="N184" s="137">
        <v>0</v>
      </c>
      <c r="O184" s="137">
        <v>0</v>
      </c>
      <c r="P184" s="137">
        <v>0</v>
      </c>
      <c r="Q184" s="137">
        <v>0</v>
      </c>
      <c r="R184" s="137">
        <v>0</v>
      </c>
      <c r="S184" s="137">
        <f t="shared" ref="S184" si="12">SUM(G184:R184)</f>
        <v>-95.630359999999996</v>
      </c>
    </row>
    <row r="185" spans="1:19">
      <c r="A185" s="137" t="str">
        <f t="shared" si="8"/>
        <v>LGE</v>
      </c>
      <c r="B185" s="137" t="s">
        <v>923</v>
      </c>
      <c r="C185" s="137" t="str">
        <f t="shared" si="9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0.28594999999999998</v>
      </c>
      <c r="K185" s="137">
        <v>0</v>
      </c>
      <c r="L185" s="137">
        <v>0</v>
      </c>
      <c r="M185" s="137">
        <v>2.54522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0"/>
        <v>2.8311700000000002</v>
      </c>
    </row>
    <row r="186" spans="1:19">
      <c r="A186" s="137" t="str">
        <f t="shared" si="8"/>
        <v>LGE</v>
      </c>
      <c r="B186" s="137" t="s">
        <v>923</v>
      </c>
      <c r="C186" s="137" t="str">
        <f t="shared" si="9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2.5971500000000001</v>
      </c>
      <c r="N186" s="137">
        <v>0</v>
      </c>
      <c r="O186" s="137">
        <v>0</v>
      </c>
      <c r="P186" s="137">
        <v>0</v>
      </c>
      <c r="Q186" s="137">
        <v>0</v>
      </c>
      <c r="R186" s="137">
        <v>1.1000000000000001E-3</v>
      </c>
      <c r="S186" s="137">
        <f t="shared" si="10"/>
        <v>2.5982500000000002</v>
      </c>
    </row>
    <row r="187" spans="1:19">
      <c r="A187" s="137" t="str">
        <f t="shared" si="8"/>
        <v>LGE</v>
      </c>
      <c r="B187" s="137" t="s">
        <v>923</v>
      </c>
      <c r="C187" s="137" t="str">
        <f t="shared" si="9"/>
        <v>361</v>
      </c>
      <c r="D187" s="134" t="s">
        <v>835</v>
      </c>
      <c r="E187" s="134" t="str">
        <f t="shared" si="11"/>
        <v/>
      </c>
      <c r="F187" s="137">
        <v>0</v>
      </c>
      <c r="G187" s="137">
        <v>0</v>
      </c>
      <c r="H187" s="137">
        <v>0</v>
      </c>
      <c r="I187" s="137">
        <v>0</v>
      </c>
      <c r="J187" s="137">
        <v>85.094309999999993</v>
      </c>
      <c r="K187" s="137">
        <v>41.528109999999998</v>
      </c>
      <c r="L187" s="137">
        <v>0</v>
      </c>
      <c r="M187" s="137">
        <v>1265.7024899999999</v>
      </c>
      <c r="N187" s="137">
        <v>1250.2005999999999</v>
      </c>
      <c r="O187" s="137">
        <v>1200</v>
      </c>
      <c r="P187" s="137">
        <v>1200</v>
      </c>
      <c r="Q187" s="137">
        <v>1200.8003999999901</v>
      </c>
      <c r="R187" s="137">
        <v>1760.27151</v>
      </c>
      <c r="S187" s="137">
        <f t="shared" si="10"/>
        <v>8003.5974199999891</v>
      </c>
    </row>
    <row r="188" spans="1:19">
      <c r="A188" s="137" t="str">
        <f t="shared" si="8"/>
        <v>LGE</v>
      </c>
      <c r="B188" s="137" t="s">
        <v>923</v>
      </c>
      <c r="C188" s="137" t="str">
        <f t="shared" si="9"/>
        <v>362</v>
      </c>
      <c r="D188" s="134" t="s">
        <v>837</v>
      </c>
      <c r="E188" s="134" t="str">
        <f t="shared" si="11"/>
        <v/>
      </c>
      <c r="F188" s="137">
        <v>2150.5855999999999</v>
      </c>
      <c r="G188" s="137">
        <v>26.178290000000001</v>
      </c>
      <c r="H188" s="137">
        <v>-8.8052799999999998</v>
      </c>
      <c r="I188" s="137">
        <v>88.380129999999994</v>
      </c>
      <c r="J188" s="137">
        <v>702.70523000000003</v>
      </c>
      <c r="K188" s="137">
        <v>-72.550659999999993</v>
      </c>
      <c r="L188" s="137">
        <v>-134.54495</v>
      </c>
      <c r="M188" s="137">
        <v>753.35091</v>
      </c>
      <c r="N188" s="137">
        <v>237.27852999999999</v>
      </c>
      <c r="O188" s="137">
        <v>45.023089999999897</v>
      </c>
      <c r="P188" s="137">
        <v>134.38688999999999</v>
      </c>
      <c r="Q188" s="137">
        <v>236.89543</v>
      </c>
      <c r="R188" s="137">
        <v>3489.23632</v>
      </c>
      <c r="S188" s="137">
        <f t="shared" si="10"/>
        <v>5497.5339299999996</v>
      </c>
    </row>
    <row r="189" spans="1:19">
      <c r="A189" s="137" t="str">
        <f t="shared" si="8"/>
        <v>LGE</v>
      </c>
      <c r="B189" s="137" t="s">
        <v>923</v>
      </c>
      <c r="C189" s="137" t="str">
        <f t="shared" si="9"/>
        <v>364</v>
      </c>
      <c r="D189" s="134" t="s">
        <v>838</v>
      </c>
      <c r="E189" s="134" t="str">
        <f t="shared" si="11"/>
        <v/>
      </c>
      <c r="F189" s="137">
        <v>4305.79205</v>
      </c>
      <c r="G189" s="137">
        <v>892.68592999999998</v>
      </c>
      <c r="H189" s="137">
        <v>1226.8551599999901</v>
      </c>
      <c r="I189" s="137">
        <v>76.948509999999999</v>
      </c>
      <c r="J189" s="137">
        <v>1378.40823</v>
      </c>
      <c r="K189" s="137">
        <v>-764.16610000000003</v>
      </c>
      <c r="L189" s="137">
        <v>-1829.65329</v>
      </c>
      <c r="M189" s="137">
        <v>892.38946999999996</v>
      </c>
      <c r="N189" s="137">
        <v>434.65647000000001</v>
      </c>
      <c r="O189" s="137">
        <v>426.598559999999</v>
      </c>
      <c r="P189" s="137">
        <v>428.83715000000001</v>
      </c>
      <c r="Q189" s="137">
        <v>383.34577000000002</v>
      </c>
      <c r="R189" s="137">
        <v>4092.49802</v>
      </c>
      <c r="S189" s="137">
        <f t="shared" si="10"/>
        <v>7639.4038799999889</v>
      </c>
    </row>
    <row r="190" spans="1:19">
      <c r="A190" s="137" t="str">
        <f t="shared" si="8"/>
        <v>LGE</v>
      </c>
      <c r="B190" s="137" t="s">
        <v>923</v>
      </c>
      <c r="C190" s="137" t="str">
        <f t="shared" si="9"/>
        <v>365</v>
      </c>
      <c r="D190" s="134" t="s">
        <v>839</v>
      </c>
      <c r="E190" s="134" t="str">
        <f t="shared" si="11"/>
        <v/>
      </c>
      <c r="F190" s="137">
        <v>4687.2421899999999</v>
      </c>
      <c r="G190" s="137">
        <v>1813.54207</v>
      </c>
      <c r="H190" s="137">
        <v>1978.9037599999999</v>
      </c>
      <c r="I190" s="137">
        <v>1030.9047499999999</v>
      </c>
      <c r="J190" s="137">
        <v>3146.7206299999998</v>
      </c>
      <c r="K190" s="137">
        <v>2307.50558</v>
      </c>
      <c r="L190" s="137">
        <v>2340.96335</v>
      </c>
      <c r="M190" s="137">
        <v>4094.5729900000001</v>
      </c>
      <c r="N190" s="137">
        <v>1313.30125</v>
      </c>
      <c r="O190" s="137">
        <v>1263.3091099999999</v>
      </c>
      <c r="P190" s="137">
        <v>1210.3502900000001</v>
      </c>
      <c r="Q190" s="137">
        <v>1534.5425700000001</v>
      </c>
      <c r="R190" s="137">
        <v>8814.9172099999996</v>
      </c>
      <c r="S190" s="137">
        <f t="shared" si="10"/>
        <v>30849.533559999996</v>
      </c>
    </row>
    <row r="191" spans="1:19">
      <c r="A191" s="137" t="str">
        <f t="shared" si="8"/>
        <v>LGE</v>
      </c>
      <c r="B191" s="137" t="s">
        <v>923</v>
      </c>
      <c r="C191" s="137" t="str">
        <f t="shared" si="9"/>
        <v>366</v>
      </c>
      <c r="D191" s="134" t="s">
        <v>840</v>
      </c>
      <c r="E191" s="134" t="str">
        <f t="shared" si="11"/>
        <v/>
      </c>
      <c r="F191" s="137">
        <v>153.91901999999999</v>
      </c>
      <c r="G191" s="137">
        <v>57.560899999999997</v>
      </c>
      <c r="H191" s="137">
        <v>45.727330000000002</v>
      </c>
      <c r="I191" s="137">
        <v>-0.52473000000000003</v>
      </c>
      <c r="J191" s="137">
        <v>96.830429999999893</v>
      </c>
      <c r="K191" s="137">
        <v>737.96961999999996</v>
      </c>
      <c r="L191" s="137">
        <v>-166.80235999999999</v>
      </c>
      <c r="M191" s="137">
        <v>419.95290999999997</v>
      </c>
      <c r="N191" s="137">
        <v>0</v>
      </c>
      <c r="O191" s="137">
        <v>0</v>
      </c>
      <c r="P191" s="137">
        <v>0</v>
      </c>
      <c r="Q191" s="137">
        <v>0</v>
      </c>
      <c r="R191" s="137">
        <v>11334.141149999999</v>
      </c>
      <c r="S191" s="137">
        <f t="shared" si="10"/>
        <v>12524.855249999999</v>
      </c>
    </row>
    <row r="192" spans="1:19">
      <c r="A192" s="137" t="str">
        <f t="shared" si="8"/>
        <v>LGE</v>
      </c>
      <c r="B192" s="137" t="s">
        <v>923</v>
      </c>
      <c r="C192" s="137" t="str">
        <f t="shared" si="9"/>
        <v>367</v>
      </c>
      <c r="D192" s="134" t="s">
        <v>841</v>
      </c>
      <c r="E192" s="134" t="str">
        <f t="shared" si="11"/>
        <v/>
      </c>
      <c r="F192" s="137">
        <v>15986.516659999999</v>
      </c>
      <c r="G192" s="137">
        <v>1169.99242</v>
      </c>
      <c r="H192" s="137">
        <v>-462.32251000000002</v>
      </c>
      <c r="I192" s="137">
        <v>-104.91398</v>
      </c>
      <c r="J192" s="137">
        <v>1467.00559</v>
      </c>
      <c r="K192" s="137">
        <v>2716.7822299999998</v>
      </c>
      <c r="L192" s="137">
        <v>1404.90672</v>
      </c>
      <c r="M192" s="137">
        <v>3716.9251799999902</v>
      </c>
      <c r="N192" s="137">
        <v>1558.38194</v>
      </c>
      <c r="O192" s="137">
        <v>2380.9822300000001</v>
      </c>
      <c r="P192" s="137">
        <v>1688.0771299999999</v>
      </c>
      <c r="Q192" s="137">
        <v>1678.5021300000001</v>
      </c>
      <c r="R192" s="137">
        <v>6954.5640000000003</v>
      </c>
      <c r="S192" s="137">
        <f t="shared" si="10"/>
        <v>24168.883079999992</v>
      </c>
    </row>
    <row r="193" spans="1:19">
      <c r="A193" s="137" t="str">
        <f t="shared" si="8"/>
        <v>LGE</v>
      </c>
      <c r="B193" s="137" t="s">
        <v>923</v>
      </c>
      <c r="C193" s="137" t="str">
        <f t="shared" si="9"/>
        <v>368</v>
      </c>
      <c r="D193" s="134" t="s">
        <v>842</v>
      </c>
      <c r="E193" s="134" t="str">
        <f t="shared" si="11"/>
        <v/>
      </c>
      <c r="F193" s="137">
        <v>1280.9569199999901</v>
      </c>
      <c r="G193" s="137">
        <v>233.16032000000001</v>
      </c>
      <c r="H193" s="137">
        <v>374.2208</v>
      </c>
      <c r="I193" s="137">
        <v>537.07704000000001</v>
      </c>
      <c r="J193" s="137">
        <v>383.47964000000002</v>
      </c>
      <c r="K193" s="137">
        <v>355.71258</v>
      </c>
      <c r="L193" s="137">
        <v>0</v>
      </c>
      <c r="M193" s="137">
        <v>1046.5115599999999</v>
      </c>
      <c r="N193" s="137">
        <v>549.26946999999996</v>
      </c>
      <c r="O193" s="137">
        <v>794.51463000000001</v>
      </c>
      <c r="P193" s="137">
        <v>789.89808000000005</v>
      </c>
      <c r="Q193" s="137">
        <v>800.84130000000005</v>
      </c>
      <c r="R193" s="137">
        <v>547.73950000000002</v>
      </c>
      <c r="S193" s="137">
        <f t="shared" si="10"/>
        <v>6412.4249199999995</v>
      </c>
    </row>
    <row r="194" spans="1:19">
      <c r="A194" s="137" t="str">
        <f t="shared" si="8"/>
        <v>LGE</v>
      </c>
      <c r="B194" s="137" t="s">
        <v>923</v>
      </c>
      <c r="C194" s="137" t="str">
        <f t="shared" si="9"/>
        <v>369</v>
      </c>
      <c r="D194" s="134" t="s">
        <v>843</v>
      </c>
      <c r="E194" s="134" t="str">
        <f t="shared" si="11"/>
        <v/>
      </c>
      <c r="F194" s="137">
        <v>55.6496</v>
      </c>
      <c r="G194" s="137">
        <v>51.605309999999903</v>
      </c>
      <c r="H194" s="137">
        <v>39.413699999999999</v>
      </c>
      <c r="I194" s="137">
        <v>0</v>
      </c>
      <c r="J194" s="137">
        <v>88.089449999999999</v>
      </c>
      <c r="K194" s="137">
        <v>43.403280000000002</v>
      </c>
      <c r="L194" s="137">
        <v>-91.081029999999998</v>
      </c>
      <c r="M194" s="137">
        <v>38.443309999999997</v>
      </c>
      <c r="N194" s="137">
        <v>0</v>
      </c>
      <c r="O194" s="137">
        <v>0</v>
      </c>
      <c r="P194" s="137">
        <v>0</v>
      </c>
      <c r="Q194" s="137">
        <v>0</v>
      </c>
      <c r="R194" s="137">
        <v>2098.6150899999998</v>
      </c>
      <c r="S194" s="137">
        <f t="shared" si="10"/>
        <v>2268.4891099999995</v>
      </c>
    </row>
    <row r="195" spans="1:19">
      <c r="A195" s="137" t="str">
        <f t="shared" si="8"/>
        <v>LGE</v>
      </c>
      <c r="B195" s="137" t="s">
        <v>923</v>
      </c>
      <c r="C195" s="137" t="str">
        <f t="shared" si="9"/>
        <v>370</v>
      </c>
      <c r="D195" s="134" t="s">
        <v>844</v>
      </c>
      <c r="E195" s="134" t="str">
        <f t="shared" si="11"/>
        <v/>
      </c>
      <c r="F195" s="137">
        <v>30.929559999999999</v>
      </c>
      <c r="G195" s="137">
        <v>53.667769999999997</v>
      </c>
      <c r="H195" s="137">
        <v>117.60784</v>
      </c>
      <c r="I195" s="137">
        <v>41.772739999999999</v>
      </c>
      <c r="J195" s="137">
        <v>64.000709999999998</v>
      </c>
      <c r="K195" s="137">
        <v>97.560850000000002</v>
      </c>
      <c r="L195" s="137">
        <v>0</v>
      </c>
      <c r="M195" s="137">
        <v>223.18998999999999</v>
      </c>
      <c r="N195" s="137">
        <v>24.227</v>
      </c>
      <c r="O195" s="137">
        <v>6.3789999999999996</v>
      </c>
      <c r="P195" s="137">
        <v>426.04115000000002</v>
      </c>
      <c r="Q195" s="137">
        <v>2.5720000000000001</v>
      </c>
      <c r="R195" s="137">
        <v>3.4489999999999998</v>
      </c>
      <c r="S195" s="137">
        <f t="shared" si="10"/>
        <v>1060.4680499999999</v>
      </c>
    </row>
    <row r="196" spans="1:19">
      <c r="A196" s="137" t="str">
        <f t="shared" si="8"/>
        <v>LGE</v>
      </c>
      <c r="B196" s="137" t="s">
        <v>923</v>
      </c>
      <c r="C196" s="137" t="str">
        <f t="shared" si="9"/>
        <v>370</v>
      </c>
      <c r="D196" s="134" t="s">
        <v>1818</v>
      </c>
      <c r="E196" s="134" t="str">
        <f t="shared" si="11"/>
        <v>DSM</v>
      </c>
      <c r="F196" s="137">
        <v>1.5417000000000001</v>
      </c>
      <c r="G196" s="137">
        <v>0.95791999999999999</v>
      </c>
      <c r="H196" s="137">
        <v>0.50910999999999995</v>
      </c>
      <c r="I196" s="137">
        <v>2.71644</v>
      </c>
      <c r="J196" s="137">
        <v>0.11391</v>
      </c>
      <c r="K196" s="137">
        <v>0</v>
      </c>
      <c r="L196" s="137">
        <v>0.11008999999999999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0"/>
        <v>4.4074699999999991</v>
      </c>
    </row>
    <row r="197" spans="1:19">
      <c r="A197" s="137" t="str">
        <f t="shared" si="8"/>
        <v>LGE</v>
      </c>
      <c r="B197" s="137" t="s">
        <v>923</v>
      </c>
      <c r="C197" s="137" t="str">
        <f t="shared" si="9"/>
        <v>371</v>
      </c>
      <c r="D197" s="134" t="s">
        <v>2572</v>
      </c>
      <c r="E197" s="134" t="str">
        <f t="shared" si="11"/>
        <v/>
      </c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95.273150000000001</v>
      </c>
      <c r="N197" s="137">
        <v>7.0255799999999997</v>
      </c>
      <c r="O197" s="137">
        <v>7.0255799999999997</v>
      </c>
      <c r="P197" s="137">
        <v>7.0255799999999997</v>
      </c>
      <c r="Q197" s="137">
        <v>7.0255799999999997</v>
      </c>
      <c r="R197" s="137">
        <v>33.160679999999999</v>
      </c>
      <c r="S197" s="137">
        <f t="shared" si="10"/>
        <v>156.53615000000002</v>
      </c>
    </row>
    <row r="198" spans="1:19">
      <c r="A198" s="137" t="str">
        <f t="shared" si="8"/>
        <v>LGE</v>
      </c>
      <c r="B198" s="137" t="s">
        <v>923</v>
      </c>
      <c r="C198" s="137" t="str">
        <f t="shared" si="9"/>
        <v>373</v>
      </c>
      <c r="D198" s="134" t="s">
        <v>845</v>
      </c>
      <c r="E198" s="134" t="str">
        <f t="shared" si="11"/>
        <v/>
      </c>
      <c r="F198" s="137">
        <v>502.69650000000001</v>
      </c>
      <c r="G198" s="137">
        <v>347.88659999999999</v>
      </c>
      <c r="H198" s="137">
        <v>374.59701999999999</v>
      </c>
      <c r="I198" s="137">
        <v>-5.1593999999999998</v>
      </c>
      <c r="J198" s="137">
        <v>718.85415999999998</v>
      </c>
      <c r="K198" s="137">
        <v>609.71964000000003</v>
      </c>
      <c r="L198" s="137">
        <v>1.4786199999999901</v>
      </c>
      <c r="M198" s="137">
        <v>1150.83779</v>
      </c>
      <c r="N198" s="137">
        <v>451.66649000000001</v>
      </c>
      <c r="O198" s="137">
        <v>451.02028000000001</v>
      </c>
      <c r="P198" s="137">
        <v>459.21628999999899</v>
      </c>
      <c r="Q198" s="137">
        <v>454.12360999999999</v>
      </c>
      <c r="R198" s="137">
        <v>517.89257999999995</v>
      </c>
      <c r="S198" s="137">
        <f t="shared" si="10"/>
        <v>5532.133679999999</v>
      </c>
    </row>
    <row r="199" spans="1:19">
      <c r="A199" s="137" t="str">
        <f t="shared" si="8"/>
        <v>LGE</v>
      </c>
      <c r="B199" s="137" t="s">
        <v>923</v>
      </c>
      <c r="C199" s="137" t="str">
        <f t="shared" si="9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61.700110000000002</v>
      </c>
      <c r="M199" s="137">
        <v>85.69708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0"/>
        <v>147.39718999999999</v>
      </c>
    </row>
    <row r="200" spans="1:19">
      <c r="A200" s="137" t="str">
        <f t="shared" si="8"/>
        <v>LGE</v>
      </c>
      <c r="B200" s="137" t="s">
        <v>923</v>
      </c>
      <c r="C200" s="137" t="str">
        <f t="shared" si="9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547.17510000000004</v>
      </c>
      <c r="I200" s="137">
        <v>0</v>
      </c>
      <c r="J200" s="137">
        <v>0</v>
      </c>
      <c r="K200" s="137">
        <v>123.23005999999999</v>
      </c>
      <c r="L200" s="137">
        <v>58.395940000000003</v>
      </c>
      <c r="M200" s="137">
        <v>153.19408999999999</v>
      </c>
      <c r="N200" s="137">
        <v>0</v>
      </c>
      <c r="O200" s="137">
        <v>0</v>
      </c>
      <c r="P200" s="137">
        <v>50</v>
      </c>
      <c r="Q200" s="137">
        <v>0</v>
      </c>
      <c r="R200" s="137">
        <v>158.37639999999999</v>
      </c>
      <c r="S200" s="137">
        <f t="shared" si="10"/>
        <v>1090.37159</v>
      </c>
    </row>
    <row r="201" spans="1:19">
      <c r="A201" s="137" t="str">
        <f t="shared" si="8"/>
        <v>LGE</v>
      </c>
      <c r="B201" s="137" t="s">
        <v>923</v>
      </c>
      <c r="C201" s="137" t="str">
        <f t="shared" si="9"/>
        <v>394</v>
      </c>
      <c r="D201" s="134" t="s">
        <v>848</v>
      </c>
      <c r="E201" s="134" t="str">
        <f t="shared" si="11"/>
        <v/>
      </c>
      <c r="F201" s="137">
        <v>207.36735999999999</v>
      </c>
      <c r="G201" s="137">
        <v>6.7797400000000003</v>
      </c>
      <c r="H201" s="137">
        <v>45.480029999999999</v>
      </c>
      <c r="I201" s="137">
        <v>22.33</v>
      </c>
      <c r="J201" s="137">
        <v>27.00844</v>
      </c>
      <c r="K201" s="137">
        <v>127.39537</v>
      </c>
      <c r="L201" s="137">
        <v>29.622730000000001</v>
      </c>
      <c r="M201" s="137">
        <v>8.50122</v>
      </c>
      <c r="N201" s="137">
        <v>36</v>
      </c>
      <c r="O201" s="137">
        <v>53.476750000000003</v>
      </c>
      <c r="P201" s="137">
        <v>5.4365800000000002</v>
      </c>
      <c r="Q201" s="137">
        <v>0</v>
      </c>
      <c r="R201" s="137">
        <v>298.08726000000001</v>
      </c>
      <c r="S201" s="137">
        <f t="shared" si="10"/>
        <v>660.11811999999998</v>
      </c>
    </row>
    <row r="202" spans="1:19">
      <c r="A202" s="137" t="str">
        <f t="shared" si="8"/>
        <v>LGE</v>
      </c>
      <c r="B202" s="137" t="s">
        <v>923</v>
      </c>
      <c r="C202" s="137" t="str">
        <f t="shared" si="9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85.107399999999998</v>
      </c>
      <c r="S202" s="137">
        <f t="shared" si="10"/>
        <v>85.107399999999998</v>
      </c>
    </row>
    <row r="203" spans="1:19">
      <c r="A203" s="137" t="str">
        <f>MID($D203,4,3)</f>
        <v>LGE</v>
      </c>
      <c r="B203" s="137" t="s">
        <v>923</v>
      </c>
      <c r="C203" s="137" t="str">
        <f>MID($D203,9,3)</f>
        <v>397</v>
      </c>
      <c r="D203" s="134" t="s">
        <v>850</v>
      </c>
      <c r="E203" s="134" t="str">
        <f t="shared" si="11"/>
        <v>DSM</v>
      </c>
      <c r="F203" s="137">
        <v>-2.7709199999999998</v>
      </c>
      <c r="G203" s="137">
        <v>-58.844830000000002</v>
      </c>
      <c r="H203" s="137">
        <v>0.43780999999999998</v>
      </c>
      <c r="I203" s="137">
        <v>0.54674999999999996</v>
      </c>
      <c r="J203" s="137">
        <v>0.88846999999999998</v>
      </c>
      <c r="K203" s="137">
        <v>0.81880999999999904</v>
      </c>
      <c r="L203" s="137">
        <v>3.79366</v>
      </c>
      <c r="M203" s="137">
        <v>5</v>
      </c>
      <c r="N203" s="137">
        <v>4.7464700000000004</v>
      </c>
      <c r="O203" s="137">
        <v>107.24412</v>
      </c>
      <c r="P203" s="137">
        <v>4.75</v>
      </c>
      <c r="Q203" s="137">
        <v>4.75</v>
      </c>
      <c r="R203" s="137">
        <v>51.662869999999998</v>
      </c>
      <c r="S203" s="137">
        <f t="shared" si="10"/>
        <v>125.79413</v>
      </c>
    </row>
    <row r="210" spans="1:19">
      <c r="D210" s="134" t="s">
        <v>866</v>
      </c>
      <c r="E210" s="134" t="str">
        <f t="shared" si="11"/>
        <v/>
      </c>
      <c r="S210" s="137">
        <f t="shared" si="10"/>
        <v>0</v>
      </c>
    </row>
    <row r="211" spans="1:19">
      <c r="A211" s="137" t="str">
        <f t="shared" ref="A211:A220" si="13">MID($D211,4,3)</f>
        <v>LGE</v>
      </c>
      <c r="B211" s="137" t="s">
        <v>867</v>
      </c>
      <c r="C211" s="137" t="str">
        <f t="shared" ref="C211:C220" si="14">MID($D211,9,3)</f>
        <v>303</v>
      </c>
      <c r="D211" s="134" t="s">
        <v>853</v>
      </c>
      <c r="E211" s="134" t="str">
        <f t="shared" si="11"/>
        <v/>
      </c>
      <c r="F211" s="137">
        <v>3972.0337300000001</v>
      </c>
      <c r="G211" s="137">
        <v>1279.3857800000001</v>
      </c>
      <c r="H211" s="137">
        <v>59.415419999999997</v>
      </c>
      <c r="I211" s="137">
        <v>-34.398119999999999</v>
      </c>
      <c r="J211" s="137">
        <v>43.821350000000002</v>
      </c>
      <c r="K211" s="137">
        <v>432.49178999999998</v>
      </c>
      <c r="L211" s="137">
        <v>158.54525000000001</v>
      </c>
      <c r="M211" s="137">
        <v>3997.93279999999</v>
      </c>
      <c r="N211" s="137">
        <v>733.89698999999996</v>
      </c>
      <c r="O211" s="137">
        <v>992.40913</v>
      </c>
      <c r="P211" s="137">
        <v>5948.7448899999999</v>
      </c>
      <c r="Q211" s="137">
        <v>1597.52504999999</v>
      </c>
      <c r="R211" s="137">
        <v>3477.8029799999999</v>
      </c>
      <c r="S211" s="137">
        <f t="shared" si="10"/>
        <v>18687.573309999978</v>
      </c>
    </row>
    <row r="212" spans="1:19">
      <c r="A212" s="137" t="str">
        <f t="shared" si="13"/>
        <v>LGE</v>
      </c>
      <c r="B212" s="137" t="s">
        <v>867</v>
      </c>
      <c r="C212" s="137" t="str">
        <f t="shared" si="14"/>
        <v>303</v>
      </c>
      <c r="D212" s="134" t="s">
        <v>854</v>
      </c>
      <c r="E212" s="134" t="str">
        <f t="shared" si="11"/>
        <v/>
      </c>
      <c r="F212" s="137">
        <v>0</v>
      </c>
      <c r="G212" s="137">
        <v>0</v>
      </c>
      <c r="H212" s="137">
        <v>0</v>
      </c>
      <c r="I212" s="137">
        <v>0</v>
      </c>
      <c r="J212" s="137">
        <v>0</v>
      </c>
      <c r="K212" s="137">
        <v>0</v>
      </c>
      <c r="L212" s="137">
        <v>0</v>
      </c>
      <c r="M212" s="137">
        <v>0</v>
      </c>
      <c r="N212" s="137">
        <v>0</v>
      </c>
      <c r="O212" s="137">
        <v>311.71931000000001</v>
      </c>
      <c r="P212" s="137">
        <v>15.8830499999999</v>
      </c>
      <c r="Q212" s="137">
        <v>9.1753099999999996</v>
      </c>
      <c r="R212" s="137">
        <v>109.30159999999999</v>
      </c>
      <c r="S212" s="137">
        <f t="shared" si="10"/>
        <v>446.07926999999995</v>
      </c>
    </row>
    <row r="213" spans="1:19">
      <c r="A213" s="137" t="str">
        <f t="shared" si="13"/>
        <v>LGE</v>
      </c>
      <c r="B213" s="137" t="s">
        <v>867</v>
      </c>
      <c r="C213" s="137" t="str">
        <f t="shared" si="14"/>
        <v>390</v>
      </c>
      <c r="D213" s="134" t="s">
        <v>856</v>
      </c>
      <c r="E213" s="134" t="str">
        <f t="shared" si="11"/>
        <v/>
      </c>
      <c r="F213" s="137">
        <v>505.32324</v>
      </c>
      <c r="G213" s="137">
        <v>35.55885</v>
      </c>
      <c r="H213" s="137">
        <v>116.30453</v>
      </c>
      <c r="I213" s="137">
        <v>445.84228000000002</v>
      </c>
      <c r="J213" s="137">
        <v>-117.79889</v>
      </c>
      <c r="K213" s="137">
        <v>66.094909999999999</v>
      </c>
      <c r="L213" s="137">
        <v>-15.8715799999999</v>
      </c>
      <c r="M213" s="137">
        <v>52.643219999999999</v>
      </c>
      <c r="N213" s="137">
        <v>1217.7655400000001</v>
      </c>
      <c r="O213" s="137">
        <v>623.15251000000001</v>
      </c>
      <c r="P213" s="137">
        <v>219.005639999999</v>
      </c>
      <c r="Q213" s="137">
        <v>360.446519999999</v>
      </c>
      <c r="R213" s="137">
        <v>1131.4452899999901</v>
      </c>
      <c r="S213" s="137">
        <f t="shared" si="10"/>
        <v>4134.5888199999881</v>
      </c>
    </row>
    <row r="214" spans="1:19">
      <c r="A214" s="137" t="str">
        <f t="shared" si="13"/>
        <v>LGE</v>
      </c>
      <c r="B214" s="137" t="s">
        <v>867</v>
      </c>
      <c r="C214" s="137" t="str">
        <f t="shared" si="14"/>
        <v>391</v>
      </c>
      <c r="D214" s="134" t="s">
        <v>857</v>
      </c>
      <c r="E214" s="134" t="str">
        <f t="shared" si="11"/>
        <v/>
      </c>
      <c r="F214" s="137">
        <v>306.11813999999998</v>
      </c>
      <c r="G214" s="137">
        <v>5389.8209699999998</v>
      </c>
      <c r="H214" s="137">
        <v>69.804209999999998</v>
      </c>
      <c r="I214" s="137">
        <v>324.31024000000002</v>
      </c>
      <c r="J214" s="137">
        <v>257.36822000000001</v>
      </c>
      <c r="K214" s="137">
        <v>23.19895</v>
      </c>
      <c r="L214" s="137">
        <v>127.69082</v>
      </c>
      <c r="M214" s="137">
        <v>818.16613999999902</v>
      </c>
      <c r="N214" s="137">
        <v>342.73788999999903</v>
      </c>
      <c r="O214" s="137">
        <v>1432.0296599999999</v>
      </c>
      <c r="P214" s="137">
        <v>1117.36708</v>
      </c>
      <c r="Q214" s="137">
        <v>2208.69688</v>
      </c>
      <c r="R214" s="137">
        <v>756.88666000000001</v>
      </c>
      <c r="S214" s="137">
        <f t="shared" si="10"/>
        <v>12868.077719999997</v>
      </c>
    </row>
    <row r="215" spans="1:19">
      <c r="A215" s="137" t="str">
        <f t="shared" si="13"/>
        <v>LGE</v>
      </c>
      <c r="B215" s="137" t="s">
        <v>867</v>
      </c>
      <c r="C215" s="137" t="str">
        <f t="shared" si="14"/>
        <v>392</v>
      </c>
      <c r="D215" s="134" t="s">
        <v>858</v>
      </c>
      <c r="E215" s="134" t="str">
        <f t="shared" si="11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38.030749999999998</v>
      </c>
      <c r="L215" s="137">
        <v>0</v>
      </c>
      <c r="M215" s="137">
        <v>36.106380000000001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0"/>
        <v>74.137129999999999</v>
      </c>
    </row>
    <row r="216" spans="1:19">
      <c r="A216" s="137" t="str">
        <f t="shared" si="13"/>
        <v>LGE</v>
      </c>
      <c r="B216" s="137" t="s">
        <v>867</v>
      </c>
      <c r="C216" s="137" t="str">
        <f t="shared" si="14"/>
        <v>393</v>
      </c>
      <c r="D216" s="134" t="s">
        <v>859</v>
      </c>
      <c r="E216" s="134" t="str">
        <f t="shared" si="11"/>
        <v/>
      </c>
      <c r="F216" s="137">
        <v>0</v>
      </c>
      <c r="G216" s="137">
        <v>0</v>
      </c>
      <c r="H216" s="137">
        <v>197.14626000000001</v>
      </c>
      <c r="I216" s="137">
        <v>0</v>
      </c>
      <c r="J216" s="137">
        <v>0</v>
      </c>
      <c r="K216" s="137">
        <v>0</v>
      </c>
      <c r="L216" s="137">
        <v>0</v>
      </c>
      <c r="M216" s="137">
        <v>27.19181</v>
      </c>
      <c r="N216" s="137">
        <v>0</v>
      </c>
      <c r="O216" s="137">
        <v>0</v>
      </c>
      <c r="P216" s="137">
        <v>16.80819</v>
      </c>
      <c r="Q216" s="137">
        <v>0</v>
      </c>
      <c r="R216" s="137">
        <v>0</v>
      </c>
      <c r="S216" s="137">
        <f t="shared" si="10"/>
        <v>241.14626000000001</v>
      </c>
    </row>
    <row r="217" spans="1:19">
      <c r="A217" s="137" t="str">
        <f t="shared" si="13"/>
        <v>LGE</v>
      </c>
      <c r="B217" s="137" t="s">
        <v>867</v>
      </c>
      <c r="C217" s="137" t="str">
        <f t="shared" si="14"/>
        <v>394</v>
      </c>
      <c r="D217" s="134" t="s">
        <v>860</v>
      </c>
      <c r="E217" s="134" t="str">
        <f t="shared" si="11"/>
        <v/>
      </c>
      <c r="F217" s="137">
        <v>14.10192</v>
      </c>
      <c r="G217" s="137">
        <v>0</v>
      </c>
      <c r="H217" s="137">
        <v>0</v>
      </c>
      <c r="I217" s="137">
        <v>-0.34476000000000001</v>
      </c>
      <c r="J217" s="137">
        <v>14.97245</v>
      </c>
      <c r="K217" s="137">
        <v>0</v>
      </c>
      <c r="L217" s="137">
        <v>0</v>
      </c>
      <c r="M217" s="137">
        <v>29.838840000000001</v>
      </c>
      <c r="N217" s="137">
        <v>97.005619999999993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0"/>
        <v>141.47215</v>
      </c>
    </row>
    <row r="218" spans="1:19">
      <c r="A218" s="137" t="str">
        <f t="shared" si="13"/>
        <v>LGE</v>
      </c>
      <c r="B218" s="137" t="s">
        <v>867</v>
      </c>
      <c r="C218" s="137" t="str">
        <f t="shared" si="14"/>
        <v>396</v>
      </c>
      <c r="D218" s="134" t="s">
        <v>861</v>
      </c>
      <c r="E218" s="134" t="str">
        <f t="shared" si="11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32.121580000000002</v>
      </c>
      <c r="M218" s="137">
        <v>28.457850000000001</v>
      </c>
      <c r="N218" s="137">
        <v>0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0"/>
        <v>60.579430000000002</v>
      </c>
    </row>
    <row r="219" spans="1:19">
      <c r="A219" s="137" t="str">
        <f t="shared" si="13"/>
        <v>LGE</v>
      </c>
      <c r="B219" s="137" t="s">
        <v>867</v>
      </c>
      <c r="C219" s="137" t="str">
        <f t="shared" si="14"/>
        <v>397</v>
      </c>
      <c r="D219" s="134" t="s">
        <v>862</v>
      </c>
      <c r="E219" s="134" t="str">
        <f t="shared" si="11"/>
        <v/>
      </c>
      <c r="F219" s="137">
        <v>0</v>
      </c>
      <c r="G219" s="137">
        <v>468.13724000000002</v>
      </c>
      <c r="H219" s="137">
        <v>0.31159999999999999</v>
      </c>
      <c r="I219" s="137">
        <v>1.0629999999999999</v>
      </c>
      <c r="J219" s="137">
        <v>39.898429999999998</v>
      </c>
      <c r="K219" s="137">
        <v>-0.20633000000000001</v>
      </c>
      <c r="L219" s="137">
        <v>29.178059999999999</v>
      </c>
      <c r="M219" s="137">
        <v>0</v>
      </c>
      <c r="N219" s="137">
        <v>0</v>
      </c>
      <c r="O219" s="137">
        <v>0</v>
      </c>
      <c r="P219" s="137">
        <v>57.050640000000001</v>
      </c>
      <c r="Q219" s="137">
        <v>750.50171</v>
      </c>
      <c r="R219" s="137">
        <v>1024.6845900000001</v>
      </c>
      <c r="S219" s="137">
        <f t="shared" si="10"/>
        <v>2370.6189400000003</v>
      </c>
    </row>
    <row r="220" spans="1:19">
      <c r="A220" s="137" t="str">
        <f t="shared" si="13"/>
        <v>LGE</v>
      </c>
      <c r="B220" s="137" t="s">
        <v>867</v>
      </c>
      <c r="C220" s="137" t="str">
        <f t="shared" si="14"/>
        <v>397</v>
      </c>
      <c r="D220" s="134" t="s">
        <v>864</v>
      </c>
      <c r="E220" s="134" t="str">
        <f t="shared" si="11"/>
        <v/>
      </c>
      <c r="F220" s="137">
        <v>0</v>
      </c>
      <c r="G220" s="137">
        <v>688.82052999999996</v>
      </c>
      <c r="H220" s="137">
        <v>0.31230000000000002</v>
      </c>
      <c r="I220" s="137">
        <v>-376.78255999999999</v>
      </c>
      <c r="J220" s="137">
        <v>0</v>
      </c>
      <c r="K220" s="137">
        <v>1.6969999999999999E-2</v>
      </c>
      <c r="L220" s="137">
        <v>41.845759999999999</v>
      </c>
      <c r="M220" s="137">
        <v>0</v>
      </c>
      <c r="N220" s="137">
        <v>60.284480000000002</v>
      </c>
      <c r="O220" s="137">
        <v>0</v>
      </c>
      <c r="P220" s="137">
        <v>0</v>
      </c>
      <c r="Q220" s="137">
        <v>78.709569999999999</v>
      </c>
      <c r="R220" s="137">
        <v>52</v>
      </c>
      <c r="S220" s="137">
        <f t="shared" ref="S220:S228" si="15">SUM(G220:R220)</f>
        <v>545.20704999999998</v>
      </c>
    </row>
    <row r="222" spans="1:19">
      <c r="E222" s="134" t="str">
        <f t="shared" si="11"/>
        <v/>
      </c>
      <c r="J222" s="335"/>
      <c r="K222" s="134"/>
    </row>
    <row r="223" spans="1:19">
      <c r="E223" s="134" t="str">
        <f t="shared" si="11"/>
        <v/>
      </c>
      <c r="S223" s="137">
        <f t="shared" si="15"/>
        <v>0</v>
      </c>
    </row>
    <row r="224" spans="1:19">
      <c r="E224" s="134" t="str">
        <f t="shared" si="11"/>
        <v/>
      </c>
      <c r="S224" s="137">
        <f t="shared" si="15"/>
        <v>0</v>
      </c>
    </row>
    <row r="225" spans="1:19">
      <c r="E225" s="134" t="str">
        <f t="shared" si="11"/>
        <v/>
      </c>
      <c r="S225" s="137">
        <f t="shared" si="15"/>
        <v>0</v>
      </c>
    </row>
    <row r="226" spans="1:19">
      <c r="E226" s="134" t="str">
        <f t="shared" si="11"/>
        <v/>
      </c>
      <c r="S226" s="137">
        <f t="shared" si="15"/>
        <v>0</v>
      </c>
    </row>
    <row r="227" spans="1:19">
      <c r="A227" s="137" t="str">
        <f>MID($D227,4,2)</f>
        <v/>
      </c>
      <c r="B227" s="137" t="str">
        <f>IF(MID($D227,12,2)="- ","KY",MID($D227,12,2))</f>
        <v/>
      </c>
      <c r="C227" s="137" t="str">
        <f>MID($D227,8,3)</f>
        <v/>
      </c>
      <c r="E227" s="134" t="str">
        <f t="shared" si="11"/>
        <v/>
      </c>
      <c r="S227" s="137">
        <f t="shared" si="15"/>
        <v>0</v>
      </c>
    </row>
    <row r="228" spans="1:19">
      <c r="D228" s="134" t="s">
        <v>690</v>
      </c>
      <c r="E228" s="134" t="str">
        <f t="shared" si="11"/>
        <v/>
      </c>
      <c r="S228" s="137">
        <f t="shared" si="15"/>
        <v>0</v>
      </c>
    </row>
    <row r="229" spans="1:19">
      <c r="A229" s="137" t="str">
        <f t="shared" ref="A229:A263" si="16">MID($D229,4,3)</f>
        <v>LGE</v>
      </c>
      <c r="B229" s="137" t="s">
        <v>923</v>
      </c>
      <c r="C229" s="137" t="str">
        <f t="shared" ref="C229:C263" si="17">MID($D229,9,3)</f>
        <v>311</v>
      </c>
      <c r="D229" s="134" t="s">
        <v>790</v>
      </c>
      <c r="E229" s="134" t="str">
        <f t="shared" si="11"/>
        <v/>
      </c>
      <c r="F229" s="137">
        <v>0</v>
      </c>
      <c r="G229" s="137">
        <v>35.242989999999999</v>
      </c>
      <c r="H229" s="137">
        <v>495.04228000000001</v>
      </c>
      <c r="I229" s="137">
        <v>0</v>
      </c>
      <c r="J229" s="137">
        <v>0.38967000000000002</v>
      </c>
      <c r="K229" s="137">
        <v>0</v>
      </c>
      <c r="L229" s="137">
        <v>0</v>
      </c>
      <c r="M229" s="137">
        <v>0</v>
      </c>
      <c r="N229" s="137">
        <v>0</v>
      </c>
      <c r="O229" s="137">
        <v>0</v>
      </c>
      <c r="P229" s="137">
        <v>0</v>
      </c>
      <c r="Q229" s="137">
        <v>0</v>
      </c>
      <c r="R229" s="137">
        <v>0</v>
      </c>
      <c r="S229" s="137">
        <f t="shared" ref="S229:S276" si="18">SUM(G229:R229)</f>
        <v>530.67493999999999</v>
      </c>
    </row>
    <row r="230" spans="1:19">
      <c r="A230" s="137" t="str">
        <f t="shared" si="16"/>
        <v>LGE</v>
      </c>
      <c r="B230" s="137" t="s">
        <v>923</v>
      </c>
      <c r="C230" s="137" t="str">
        <f t="shared" si="17"/>
        <v>312</v>
      </c>
      <c r="D230" s="134" t="s">
        <v>791</v>
      </c>
      <c r="E230" s="134" t="str">
        <f t="shared" si="11"/>
        <v/>
      </c>
      <c r="F230" s="137">
        <v>58.073250000000002</v>
      </c>
      <c r="G230" s="137">
        <v>106.88096</v>
      </c>
      <c r="H230" s="137">
        <v>6163.3847999999898</v>
      </c>
      <c r="I230" s="137">
        <v>315.94213000000002</v>
      </c>
      <c r="J230" s="137">
        <v>55.077680000000001</v>
      </c>
      <c r="K230" s="137">
        <v>4593.1402799999996</v>
      </c>
      <c r="L230" s="137">
        <v>764.81327999999996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18"/>
        <v>11999.239129999991</v>
      </c>
    </row>
    <row r="231" spans="1:19">
      <c r="A231" s="137" t="str">
        <f t="shared" si="16"/>
        <v>LGE</v>
      </c>
      <c r="B231" s="137" t="s">
        <v>923</v>
      </c>
      <c r="C231" s="137" t="str">
        <f t="shared" si="17"/>
        <v>312</v>
      </c>
      <c r="D231" s="134" t="s">
        <v>792</v>
      </c>
      <c r="E231" s="134" t="str">
        <f t="shared" si="11"/>
        <v>ECR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7">
        <v>2857.0253299999999</v>
      </c>
      <c r="R231" s="137">
        <v>0</v>
      </c>
      <c r="S231" s="137">
        <f t="shared" si="18"/>
        <v>2857.0253299999999</v>
      </c>
    </row>
    <row r="232" spans="1:19">
      <c r="A232" s="137" t="str">
        <f t="shared" si="16"/>
        <v>LGE</v>
      </c>
      <c r="B232" s="137" t="s">
        <v>923</v>
      </c>
      <c r="C232" s="137" t="str">
        <f t="shared" si="17"/>
        <v>314</v>
      </c>
      <c r="D232" s="134" t="s">
        <v>795</v>
      </c>
      <c r="E232" s="134" t="str">
        <f t="shared" si="11"/>
        <v/>
      </c>
      <c r="F232" s="137">
        <v>7.9575199999999997</v>
      </c>
      <c r="G232" s="137">
        <v>32.023899999999998</v>
      </c>
      <c r="H232" s="137">
        <v>0</v>
      </c>
      <c r="I232" s="137">
        <v>0</v>
      </c>
      <c r="J232" s="137">
        <v>0</v>
      </c>
      <c r="K232" s="137">
        <v>0</v>
      </c>
      <c r="L232" s="137">
        <v>248.30190999999999</v>
      </c>
      <c r="M232" s="137">
        <v>0</v>
      </c>
      <c r="N232" s="137">
        <v>0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18"/>
        <v>280.32580999999999</v>
      </c>
    </row>
    <row r="233" spans="1:19">
      <c r="A233" s="137" t="str">
        <f t="shared" si="16"/>
        <v>LGE</v>
      </c>
      <c r="B233" s="137" t="s">
        <v>923</v>
      </c>
      <c r="C233" s="137" t="str">
        <f t="shared" si="17"/>
        <v>315</v>
      </c>
      <c r="D233" s="134" t="s">
        <v>796</v>
      </c>
      <c r="E233" s="134" t="str">
        <f t="shared" ref="E233:E306" si="19">IF(ISTEXT(MID($D233,SEARCH("FUTURE USE",$D233),3)),"FUTURE USE",IF(ISTEXT(MID($D233,SEARCH("ECR",$D233),3)),"ECR",IF(ISTEXT(MID($D233,SEARCH("ARO",$D233),3)),"ARO",IF(ISTEXT(MID($D233,SEARCH("DSM",$D233),3)),"DSM",""))))</f>
        <v/>
      </c>
      <c r="F233" s="137">
        <v>0</v>
      </c>
      <c r="G233" s="137">
        <v>0</v>
      </c>
      <c r="H233" s="137">
        <v>619.02629999999999</v>
      </c>
      <c r="I233" s="137">
        <v>0</v>
      </c>
      <c r="J233" s="137">
        <v>0</v>
      </c>
      <c r="K233" s="137">
        <v>0</v>
      </c>
      <c r="L233" s="137">
        <v>132.21406999999999</v>
      </c>
      <c r="M233" s="137">
        <v>0</v>
      </c>
      <c r="N233" s="137">
        <v>0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18"/>
        <v>751.24036999999998</v>
      </c>
    </row>
    <row r="234" spans="1:19">
      <c r="A234" s="137" t="str">
        <f t="shared" si="16"/>
        <v>LGE</v>
      </c>
      <c r="B234" s="137" t="s">
        <v>923</v>
      </c>
      <c r="C234" s="137" t="str">
        <f t="shared" si="17"/>
        <v>316</v>
      </c>
      <c r="D234" s="134" t="s">
        <v>798</v>
      </c>
      <c r="E234" s="134" t="str">
        <f t="shared" si="19"/>
        <v/>
      </c>
      <c r="F234" s="137">
        <v>0</v>
      </c>
      <c r="G234" s="137">
        <v>0</v>
      </c>
      <c r="H234" s="137">
        <v>0</v>
      </c>
      <c r="I234" s="137">
        <v>0</v>
      </c>
      <c r="J234" s="137">
        <v>0</v>
      </c>
      <c r="K234" s="137">
        <v>4.0235399999999997</v>
      </c>
      <c r="L234" s="137">
        <v>4.50488</v>
      </c>
      <c r="M234" s="137">
        <v>0</v>
      </c>
      <c r="N234" s="137">
        <v>0</v>
      </c>
      <c r="O234" s="137">
        <v>0</v>
      </c>
      <c r="P234" s="137">
        <v>0</v>
      </c>
      <c r="Q234" s="137">
        <v>0</v>
      </c>
      <c r="R234" s="137">
        <v>0</v>
      </c>
      <c r="S234" s="137">
        <f t="shared" si="18"/>
        <v>8.5284200000000006</v>
      </c>
    </row>
    <row r="235" spans="1:19">
      <c r="A235" s="137" t="str">
        <f t="shared" si="16"/>
        <v>LGE</v>
      </c>
      <c r="B235" s="137" t="s">
        <v>923</v>
      </c>
      <c r="C235" s="137" t="str">
        <f t="shared" si="17"/>
        <v>317</v>
      </c>
      <c r="D235" s="134" t="s">
        <v>799</v>
      </c>
      <c r="E235" s="134" t="str">
        <f t="shared" si="19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185.72398000000001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18"/>
        <v>185.72398000000001</v>
      </c>
    </row>
    <row r="236" spans="1:19">
      <c r="A236" s="137" t="str">
        <f t="shared" si="16"/>
        <v>LGE</v>
      </c>
      <c r="B236" s="137" t="s">
        <v>923</v>
      </c>
      <c r="C236" s="137" t="str">
        <f t="shared" si="17"/>
        <v>317</v>
      </c>
      <c r="D236" s="134" t="s">
        <v>1817</v>
      </c>
      <c r="E236" s="134" t="str">
        <f t="shared" si="19"/>
        <v>ARO</v>
      </c>
      <c r="F236" s="137">
        <v>0</v>
      </c>
      <c r="G236" s="137">
        <v>0</v>
      </c>
      <c r="H236" s="137">
        <v>0</v>
      </c>
      <c r="I236" s="137">
        <v>2279.4450999999999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18"/>
        <v>2279.4450999999999</v>
      </c>
    </row>
    <row r="237" spans="1:19">
      <c r="A237" s="137" t="str">
        <f t="shared" si="16"/>
        <v>LGE</v>
      </c>
      <c r="B237" s="137" t="s">
        <v>923</v>
      </c>
      <c r="C237" s="137" t="str">
        <f t="shared" si="17"/>
        <v>333</v>
      </c>
      <c r="D237" s="134" t="s">
        <v>803</v>
      </c>
      <c r="E237" s="134" t="str">
        <f t="shared" si="19"/>
        <v/>
      </c>
      <c r="F237" s="137">
        <v>0</v>
      </c>
      <c r="G237" s="137">
        <v>0</v>
      </c>
      <c r="H237" s="137">
        <v>606.51333999999997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18"/>
        <v>606.51333999999997</v>
      </c>
    </row>
    <row r="238" spans="1:19">
      <c r="A238" s="137" t="str">
        <f t="shared" si="16"/>
        <v>LGE</v>
      </c>
      <c r="B238" s="137" t="s">
        <v>923</v>
      </c>
      <c r="C238" s="137" t="str">
        <f t="shared" si="17"/>
        <v>334</v>
      </c>
      <c r="D238" s="134" t="s">
        <v>804</v>
      </c>
      <c r="E238" s="134" t="str">
        <f t="shared" si="19"/>
        <v/>
      </c>
      <c r="F238" s="137">
        <v>0</v>
      </c>
      <c r="G238" s="137">
        <v>0</v>
      </c>
      <c r="H238" s="137">
        <v>0</v>
      </c>
      <c r="I238" s="137">
        <v>0</v>
      </c>
      <c r="J238" s="137">
        <v>0.95340000000000003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18"/>
        <v>0.95340000000000003</v>
      </c>
    </row>
    <row r="239" spans="1:19">
      <c r="A239" s="137" t="str">
        <f t="shared" si="16"/>
        <v>LGE</v>
      </c>
      <c r="B239" s="137" t="s">
        <v>923</v>
      </c>
      <c r="C239" s="137" t="str">
        <f t="shared" si="17"/>
        <v>337</v>
      </c>
      <c r="D239" s="134" t="s">
        <v>807</v>
      </c>
      <c r="E239" s="134" t="str">
        <f t="shared" si="19"/>
        <v>ARO</v>
      </c>
      <c r="F239" s="137">
        <v>0</v>
      </c>
      <c r="G239" s="137">
        <v>0</v>
      </c>
      <c r="H239" s="137">
        <v>0</v>
      </c>
      <c r="I239" s="137">
        <v>0</v>
      </c>
      <c r="J239" s="137">
        <v>3.0765799999999999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18"/>
        <v>3.0765799999999999</v>
      </c>
    </row>
    <row r="240" spans="1:19">
      <c r="A240" s="137" t="str">
        <f t="shared" si="16"/>
        <v>LGE</v>
      </c>
      <c r="B240" s="137" t="s">
        <v>923</v>
      </c>
      <c r="C240" s="137" t="str">
        <f t="shared" si="17"/>
        <v>343</v>
      </c>
      <c r="D240" s="134" t="s">
        <v>811</v>
      </c>
      <c r="E240" s="134" t="str">
        <f t="shared" si="19"/>
        <v/>
      </c>
      <c r="F240" s="137">
        <v>0</v>
      </c>
      <c r="G240" s="137">
        <v>0</v>
      </c>
      <c r="H240" s="137">
        <v>1929.4702299999999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7">
        <f t="shared" si="18"/>
        <v>1929.4702299999999</v>
      </c>
    </row>
    <row r="241" spans="1:19">
      <c r="A241" s="137" t="str">
        <f t="shared" si="16"/>
        <v>LGE</v>
      </c>
      <c r="B241" s="137" t="s">
        <v>923</v>
      </c>
      <c r="C241" s="137" t="str">
        <f t="shared" si="17"/>
        <v>343</v>
      </c>
      <c r="D241" s="134" t="s">
        <v>1520</v>
      </c>
      <c r="E241" s="134" t="str">
        <f t="shared" si="19"/>
        <v/>
      </c>
      <c r="F241" s="137">
        <v>0</v>
      </c>
      <c r="G241" s="137">
        <v>0</v>
      </c>
      <c r="H241" s="137">
        <v>1571.6391699999999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18"/>
        <v>1571.6391699999999</v>
      </c>
    </row>
    <row r="242" spans="1:19">
      <c r="A242" s="137" t="str">
        <f t="shared" si="16"/>
        <v>LGE</v>
      </c>
      <c r="B242" s="137" t="s">
        <v>923</v>
      </c>
      <c r="C242" s="137" t="str">
        <f t="shared" si="17"/>
        <v>352</v>
      </c>
      <c r="D242" s="134" t="s">
        <v>820</v>
      </c>
      <c r="E242" s="134" t="str">
        <f t="shared" si="19"/>
        <v/>
      </c>
      <c r="F242" s="137">
        <v>0</v>
      </c>
      <c r="G242" s="137">
        <v>0</v>
      </c>
      <c r="H242" s="137">
        <v>0</v>
      </c>
      <c r="I242" s="137">
        <v>5.2925300000000002</v>
      </c>
      <c r="J242" s="137">
        <v>0</v>
      </c>
      <c r="K242" s="137">
        <v>6.2078100000000003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18"/>
        <v>11.500340000000001</v>
      </c>
    </row>
    <row r="243" spans="1:19">
      <c r="A243" s="137" t="str">
        <f t="shared" si="16"/>
        <v>LGE</v>
      </c>
      <c r="B243" s="137" t="s">
        <v>923</v>
      </c>
      <c r="C243" s="137" t="str">
        <f t="shared" si="17"/>
        <v>353</v>
      </c>
      <c r="D243" s="134" t="s">
        <v>822</v>
      </c>
      <c r="E243" s="134" t="str">
        <f t="shared" si="19"/>
        <v/>
      </c>
      <c r="F243" s="137">
        <v>0</v>
      </c>
      <c r="G243" s="137">
        <v>0</v>
      </c>
      <c r="H243" s="137">
        <v>0</v>
      </c>
      <c r="I243" s="137">
        <v>4.1831499999999897</v>
      </c>
      <c r="J243" s="137">
        <v>25.897860000000001</v>
      </c>
      <c r="K243" s="137">
        <v>0</v>
      </c>
      <c r="L243" s="137">
        <v>0</v>
      </c>
      <c r="M243" s="137">
        <v>0</v>
      </c>
      <c r="N243" s="137">
        <v>0</v>
      </c>
      <c r="O243" s="137">
        <v>0</v>
      </c>
      <c r="P243" s="137">
        <v>0</v>
      </c>
      <c r="Q243" s="137">
        <v>0</v>
      </c>
      <c r="R243" s="137">
        <v>0</v>
      </c>
      <c r="S243" s="137">
        <f t="shared" si="18"/>
        <v>30.081009999999992</v>
      </c>
    </row>
    <row r="244" spans="1:19">
      <c r="A244" s="137" t="str">
        <f t="shared" si="16"/>
        <v>LGE</v>
      </c>
      <c r="B244" s="137" t="s">
        <v>923</v>
      </c>
      <c r="C244" s="137" t="str">
        <f t="shared" si="17"/>
        <v>353</v>
      </c>
      <c r="D244" s="134" t="s">
        <v>823</v>
      </c>
      <c r="E244" s="134" t="str">
        <f t="shared" si="19"/>
        <v/>
      </c>
      <c r="F244" s="137">
        <v>10.9001</v>
      </c>
      <c r="G244" s="137">
        <v>50.29654</v>
      </c>
      <c r="H244" s="137">
        <v>230.71376999999899</v>
      </c>
      <c r="I244" s="137">
        <v>95.264129999999994</v>
      </c>
      <c r="J244" s="137">
        <v>367.85543999999999</v>
      </c>
      <c r="K244" s="137">
        <v>1075.15464</v>
      </c>
      <c r="L244" s="137">
        <v>151.30637999999999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18"/>
        <v>1970.590899999999</v>
      </c>
    </row>
    <row r="245" spans="1:19">
      <c r="A245" s="137" t="str">
        <f t="shared" si="16"/>
        <v>LGE</v>
      </c>
      <c r="B245" s="137" t="s">
        <v>923</v>
      </c>
      <c r="C245" s="137" t="str">
        <f t="shared" si="17"/>
        <v>354</v>
      </c>
      <c r="D245" s="134" t="s">
        <v>825</v>
      </c>
      <c r="E245" s="134" t="str">
        <f t="shared" si="19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0.69991999999999999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18"/>
        <v>0.69991999999999999</v>
      </c>
    </row>
    <row r="246" spans="1:19">
      <c r="A246" s="137" t="str">
        <f t="shared" si="16"/>
        <v>LGE</v>
      </c>
      <c r="B246" s="137" t="s">
        <v>923</v>
      </c>
      <c r="C246" s="137" t="str">
        <f t="shared" si="17"/>
        <v>355</v>
      </c>
      <c r="D246" s="134" t="s">
        <v>827</v>
      </c>
      <c r="E246" s="134" t="str">
        <f t="shared" si="19"/>
        <v/>
      </c>
      <c r="F246" s="137">
        <v>0</v>
      </c>
      <c r="G246" s="137">
        <v>0</v>
      </c>
      <c r="H246" s="137">
        <v>0</v>
      </c>
      <c r="I246" s="137">
        <v>5.5468500000000001</v>
      </c>
      <c r="J246" s="137">
        <v>56.152970000000003</v>
      </c>
      <c r="K246" s="137">
        <v>0</v>
      </c>
      <c r="L246" s="137">
        <v>90.669340000000005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18"/>
        <v>152.36916000000002</v>
      </c>
    </row>
    <row r="247" spans="1:19">
      <c r="A247" s="137" t="str">
        <f t="shared" si="16"/>
        <v>LGE</v>
      </c>
      <c r="B247" s="137" t="s">
        <v>923</v>
      </c>
      <c r="C247" s="137" t="str">
        <f t="shared" si="17"/>
        <v>356</v>
      </c>
      <c r="D247" s="134" t="s">
        <v>829</v>
      </c>
      <c r="E247" s="134" t="str">
        <f t="shared" si="19"/>
        <v/>
      </c>
      <c r="F247" s="137">
        <v>0</v>
      </c>
      <c r="G247" s="137">
        <v>0</v>
      </c>
      <c r="H247" s="137">
        <v>0</v>
      </c>
      <c r="I247" s="137">
        <v>16.15775</v>
      </c>
      <c r="J247" s="137">
        <v>61.662080000000003</v>
      </c>
      <c r="K247" s="137">
        <v>0</v>
      </c>
      <c r="L247" s="137">
        <v>12.5145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18"/>
        <v>90.334329999999994</v>
      </c>
    </row>
    <row r="248" spans="1:19">
      <c r="A248" s="137" t="str">
        <f t="shared" si="16"/>
        <v>LGE</v>
      </c>
      <c r="B248" s="137" t="s">
        <v>923</v>
      </c>
      <c r="C248" s="137" t="str">
        <f t="shared" si="17"/>
        <v>357</v>
      </c>
      <c r="D248" s="134" t="s">
        <v>830</v>
      </c>
      <c r="E248" s="134" t="str">
        <f t="shared" si="19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-116.24572999999999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18"/>
        <v>-116.24572999999999</v>
      </c>
    </row>
    <row r="249" spans="1:19">
      <c r="A249" s="137" t="str">
        <f t="shared" si="16"/>
        <v>LGE</v>
      </c>
      <c r="B249" s="137" t="s">
        <v>923</v>
      </c>
      <c r="C249" s="137" t="str">
        <f t="shared" si="17"/>
        <v>358</v>
      </c>
      <c r="D249" s="134" t="s">
        <v>831</v>
      </c>
      <c r="E249" s="134" t="str">
        <f t="shared" si="19"/>
        <v/>
      </c>
      <c r="F249" s="137">
        <v>0</v>
      </c>
      <c r="G249" s="137">
        <v>0</v>
      </c>
      <c r="H249" s="137">
        <v>0</v>
      </c>
      <c r="I249" s="137">
        <v>0</v>
      </c>
      <c r="J249" s="137">
        <v>-154.27250000000001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18"/>
        <v>-154.27250000000001</v>
      </c>
    </row>
    <row r="250" spans="1:19">
      <c r="A250" s="137" t="str">
        <f t="shared" si="16"/>
        <v>LGE</v>
      </c>
      <c r="B250" s="137" t="s">
        <v>923</v>
      </c>
      <c r="C250" s="137" t="str">
        <f t="shared" si="17"/>
        <v>359</v>
      </c>
      <c r="D250" s="134" t="s">
        <v>832</v>
      </c>
      <c r="E250" s="134" t="str">
        <f t="shared" si="19"/>
        <v>ARO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1.20888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18"/>
        <v>1.20888</v>
      </c>
    </row>
    <row r="251" spans="1:19">
      <c r="A251" s="137" t="str">
        <f t="shared" si="16"/>
        <v>LGE</v>
      </c>
      <c r="B251" s="137" t="s">
        <v>924</v>
      </c>
      <c r="C251" s="137" t="str">
        <f t="shared" si="17"/>
        <v>360</v>
      </c>
      <c r="D251" s="134" t="s">
        <v>833</v>
      </c>
      <c r="E251" s="134" t="str">
        <f t="shared" si="19"/>
        <v>FUTURE USE</v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6.5995900000000001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18"/>
        <v>6.5995900000000001</v>
      </c>
    </row>
    <row r="252" spans="1:19">
      <c r="A252" s="137" t="str">
        <f t="shared" si="16"/>
        <v>LGE</v>
      </c>
      <c r="B252" s="137" t="s">
        <v>923</v>
      </c>
      <c r="C252" s="137" t="str">
        <f t="shared" si="17"/>
        <v>362</v>
      </c>
      <c r="D252" s="134" t="s">
        <v>837</v>
      </c>
      <c r="E252" s="134" t="str">
        <f t="shared" si="19"/>
        <v/>
      </c>
      <c r="F252" s="137">
        <v>0</v>
      </c>
      <c r="G252" s="137">
        <v>100.48258</v>
      </c>
      <c r="H252" s="137">
        <v>28.07507</v>
      </c>
      <c r="I252" s="137">
        <v>0.19040000000000001</v>
      </c>
      <c r="J252" s="137">
        <v>8.9230699999999992</v>
      </c>
      <c r="K252" s="137">
        <v>97.800849999999997</v>
      </c>
      <c r="L252" s="137">
        <v>0</v>
      </c>
      <c r="M252" s="137">
        <v>0</v>
      </c>
      <c r="N252" s="137">
        <v>0</v>
      </c>
      <c r="O252" s="137">
        <v>0</v>
      </c>
      <c r="P252" s="137">
        <v>0</v>
      </c>
      <c r="Q252" s="137">
        <v>0</v>
      </c>
      <c r="R252" s="137">
        <v>0</v>
      </c>
      <c r="S252" s="137">
        <f t="shared" si="18"/>
        <v>235.47197</v>
      </c>
    </row>
    <row r="253" spans="1:19">
      <c r="A253" s="137" t="str">
        <f t="shared" si="16"/>
        <v>LGE</v>
      </c>
      <c r="B253" s="137" t="s">
        <v>923</v>
      </c>
      <c r="C253" s="137" t="str">
        <f t="shared" si="17"/>
        <v>364</v>
      </c>
      <c r="D253" s="134" t="s">
        <v>838</v>
      </c>
      <c r="E253" s="134" t="str">
        <f t="shared" si="19"/>
        <v/>
      </c>
      <c r="F253" s="137">
        <v>0</v>
      </c>
      <c r="G253" s="137">
        <v>36.955159999999999</v>
      </c>
      <c r="H253" s="137">
        <v>13.978870000000001</v>
      </c>
      <c r="I253" s="137">
        <v>176.53422</v>
      </c>
      <c r="J253" s="137">
        <v>1.75126</v>
      </c>
      <c r="K253" s="137">
        <v>208.21944999999999</v>
      </c>
      <c r="L253" s="137">
        <v>187.34969000000001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f t="shared" si="18"/>
        <v>624.78864999999996</v>
      </c>
    </row>
    <row r="254" spans="1:19">
      <c r="A254" s="137" t="str">
        <f t="shared" si="16"/>
        <v>LGE</v>
      </c>
      <c r="B254" s="137" t="s">
        <v>923</v>
      </c>
      <c r="C254" s="137" t="str">
        <f t="shared" si="17"/>
        <v>365</v>
      </c>
      <c r="D254" s="134" t="s">
        <v>839</v>
      </c>
      <c r="E254" s="134" t="str">
        <f t="shared" si="19"/>
        <v/>
      </c>
      <c r="F254" s="137">
        <v>0</v>
      </c>
      <c r="G254" s="137">
        <v>62.493310000000001</v>
      </c>
      <c r="H254" s="137">
        <v>72.097480000000004</v>
      </c>
      <c r="I254" s="137">
        <v>265.48284999999998</v>
      </c>
      <c r="J254" s="137">
        <v>40.394170000000003</v>
      </c>
      <c r="K254" s="137">
        <v>446.58494999999999</v>
      </c>
      <c r="L254" s="137">
        <v>791.90463999999997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18"/>
        <v>1678.9574</v>
      </c>
    </row>
    <row r="255" spans="1:19">
      <c r="A255" s="137" t="str">
        <f t="shared" si="16"/>
        <v>LGE</v>
      </c>
      <c r="B255" s="137" t="s">
        <v>923</v>
      </c>
      <c r="C255" s="137" t="str">
        <f t="shared" si="17"/>
        <v>366</v>
      </c>
      <c r="D255" s="134" t="s">
        <v>840</v>
      </c>
      <c r="E255" s="134" t="str">
        <f t="shared" si="19"/>
        <v/>
      </c>
      <c r="F255" s="137">
        <v>0</v>
      </c>
      <c r="G255" s="137">
        <v>0</v>
      </c>
      <c r="H255" s="137">
        <v>0</v>
      </c>
      <c r="I255" s="137">
        <v>0</v>
      </c>
      <c r="J255" s="137">
        <v>0</v>
      </c>
      <c r="K255" s="137">
        <v>0</v>
      </c>
      <c r="L255" s="137">
        <v>2.0309999999999901E-2</v>
      </c>
      <c r="M255" s="137">
        <v>0</v>
      </c>
      <c r="N255" s="137">
        <v>0</v>
      </c>
      <c r="O255" s="137">
        <v>0</v>
      </c>
      <c r="P255" s="137">
        <v>0</v>
      </c>
      <c r="Q255" s="137">
        <v>0</v>
      </c>
      <c r="R255" s="137">
        <v>0</v>
      </c>
      <c r="S255" s="137">
        <f t="shared" si="18"/>
        <v>2.0309999999999901E-2</v>
      </c>
    </row>
    <row r="256" spans="1:19">
      <c r="A256" s="137" t="str">
        <f t="shared" si="16"/>
        <v>LGE</v>
      </c>
      <c r="B256" s="137" t="s">
        <v>923</v>
      </c>
      <c r="C256" s="137" t="str">
        <f t="shared" si="17"/>
        <v>367</v>
      </c>
      <c r="D256" s="134" t="s">
        <v>841</v>
      </c>
      <c r="E256" s="134" t="str">
        <f t="shared" si="19"/>
        <v/>
      </c>
      <c r="F256" s="137">
        <v>0</v>
      </c>
      <c r="G256" s="137">
        <v>5.6840000000000002E-2</v>
      </c>
      <c r="H256" s="137">
        <v>0</v>
      </c>
      <c r="I256" s="137">
        <v>2.5943200000000002</v>
      </c>
      <c r="J256" s="137">
        <v>0</v>
      </c>
      <c r="K256" s="137">
        <v>1658.9657500000001</v>
      </c>
      <c r="L256" s="137">
        <v>66.661559999999994</v>
      </c>
      <c r="M256" s="137">
        <v>0</v>
      </c>
      <c r="N256" s="137">
        <v>0</v>
      </c>
      <c r="O256" s="137">
        <v>0</v>
      </c>
      <c r="P256" s="137">
        <v>0</v>
      </c>
      <c r="Q256" s="137">
        <v>0</v>
      </c>
      <c r="R256" s="137">
        <v>0</v>
      </c>
      <c r="S256" s="137">
        <f t="shared" si="18"/>
        <v>1728.27847</v>
      </c>
    </row>
    <row r="257" spans="1:19">
      <c r="A257" s="137" t="str">
        <f t="shared" si="16"/>
        <v>LGE</v>
      </c>
      <c r="B257" s="137" t="s">
        <v>923</v>
      </c>
      <c r="C257" s="137" t="str">
        <f t="shared" si="17"/>
        <v>368</v>
      </c>
      <c r="D257" s="134" t="s">
        <v>842</v>
      </c>
      <c r="E257" s="134" t="str">
        <f t="shared" si="19"/>
        <v/>
      </c>
      <c r="F257" s="137">
        <v>0</v>
      </c>
      <c r="G257" s="137">
        <v>0</v>
      </c>
      <c r="H257" s="137">
        <v>0</v>
      </c>
      <c r="I257" s="137">
        <v>202.35909000000001</v>
      </c>
      <c r="J257" s="137">
        <v>46.484089999999902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 t="shared" si="18"/>
        <v>248.8431799999999</v>
      </c>
    </row>
    <row r="258" spans="1:19">
      <c r="A258" s="137" t="str">
        <f t="shared" si="16"/>
        <v>LGE</v>
      </c>
      <c r="B258" s="137" t="s">
        <v>923</v>
      </c>
      <c r="C258" s="137" t="str">
        <f t="shared" si="17"/>
        <v>369</v>
      </c>
      <c r="D258" s="134" t="s">
        <v>843</v>
      </c>
      <c r="E258" s="134" t="str">
        <f t="shared" si="19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33.212470000000003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33.212470000000003</v>
      </c>
    </row>
    <row r="259" spans="1:19">
      <c r="A259" s="137" t="str">
        <f t="shared" si="16"/>
        <v>LGE</v>
      </c>
      <c r="B259" s="137" t="s">
        <v>923</v>
      </c>
      <c r="C259" s="137" t="str">
        <f t="shared" si="17"/>
        <v>370</v>
      </c>
      <c r="D259" s="134" t="s">
        <v>844</v>
      </c>
      <c r="E259" s="134" t="str">
        <f t="shared" si="19"/>
        <v/>
      </c>
      <c r="F259" s="137">
        <v>0</v>
      </c>
      <c r="G259" s="137">
        <v>0</v>
      </c>
      <c r="H259" s="137">
        <v>0</v>
      </c>
      <c r="I259" s="137">
        <v>38.894849999999998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38.894849999999998</v>
      </c>
    </row>
    <row r="260" spans="1:19">
      <c r="A260" s="137" t="str">
        <f t="shared" si="16"/>
        <v>LGE</v>
      </c>
      <c r="B260" s="137" t="s">
        <v>923</v>
      </c>
      <c r="C260" s="137" t="str">
        <f t="shared" si="17"/>
        <v>370</v>
      </c>
      <c r="D260" s="134" t="s">
        <v>1818</v>
      </c>
      <c r="E260" s="134" t="str">
        <f t="shared" si="19"/>
        <v>DSM</v>
      </c>
      <c r="F260" s="137">
        <v>77.652320000000003</v>
      </c>
      <c r="G260" s="137">
        <v>0</v>
      </c>
      <c r="H260" s="137">
        <v>0</v>
      </c>
      <c r="I260" s="137">
        <v>92.166780000000003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0</v>
      </c>
      <c r="P260" s="137">
        <v>0</v>
      </c>
      <c r="Q260" s="137">
        <v>0</v>
      </c>
      <c r="R260" s="137">
        <v>0</v>
      </c>
      <c r="S260" s="137">
        <f>SUM(G260:R260)</f>
        <v>92.166780000000003</v>
      </c>
    </row>
    <row r="261" spans="1:19">
      <c r="A261" s="137" t="str">
        <f t="shared" si="16"/>
        <v>LGE</v>
      </c>
      <c r="B261" s="137" t="s">
        <v>923</v>
      </c>
      <c r="C261" s="137" t="str">
        <f t="shared" si="17"/>
        <v>392</v>
      </c>
      <c r="D261" s="134" t="s">
        <v>1527</v>
      </c>
      <c r="E261" s="134" t="str">
        <f t="shared" si="19"/>
        <v/>
      </c>
      <c r="F261" s="137">
        <v>0</v>
      </c>
      <c r="G261" s="137">
        <v>0</v>
      </c>
      <c r="H261" s="137">
        <v>36.799990000000001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36.799990000000001</v>
      </c>
    </row>
    <row r="262" spans="1:19">
      <c r="A262" s="137" t="str">
        <f t="shared" si="16"/>
        <v>LGE</v>
      </c>
      <c r="B262" s="137" t="s">
        <v>923</v>
      </c>
      <c r="C262" s="137" t="str">
        <f t="shared" si="17"/>
        <v>392</v>
      </c>
      <c r="D262" s="134" t="s">
        <v>847</v>
      </c>
      <c r="E262" s="134" t="str">
        <f t="shared" si="19"/>
        <v/>
      </c>
      <c r="F262" s="137">
        <v>0</v>
      </c>
      <c r="G262" s="137">
        <v>0</v>
      </c>
      <c r="H262" s="137">
        <v>37.159320000000001</v>
      </c>
      <c r="I262" s="137">
        <v>0</v>
      </c>
      <c r="J262" s="137">
        <v>0</v>
      </c>
      <c r="K262" s="137">
        <v>97.64631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>SUM(G262:R262)</f>
        <v>134.80563000000001</v>
      </c>
    </row>
    <row r="263" spans="1:19">
      <c r="A263" s="137" t="str">
        <f t="shared" si="16"/>
        <v>LGE</v>
      </c>
      <c r="B263" s="137" t="s">
        <v>923</v>
      </c>
      <c r="C263" s="137" t="str">
        <f t="shared" si="17"/>
        <v>394</v>
      </c>
      <c r="D263" s="134" t="s">
        <v>848</v>
      </c>
      <c r="E263" s="134" t="str">
        <f t="shared" si="19"/>
        <v/>
      </c>
      <c r="F263" s="137">
        <v>0</v>
      </c>
      <c r="G263" s="137">
        <v>0</v>
      </c>
      <c r="H263" s="137">
        <v>17.40569</v>
      </c>
      <c r="I263" s="137">
        <v>0</v>
      </c>
      <c r="J263" s="137">
        <v>0</v>
      </c>
      <c r="K263" s="137">
        <v>0</v>
      </c>
      <c r="L263" s="137">
        <v>148.48434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f t="shared" si="18"/>
        <v>165.89003</v>
      </c>
    </row>
    <row r="266" spans="1:19">
      <c r="E266" s="134" t="str">
        <f t="shared" si="19"/>
        <v/>
      </c>
    </row>
    <row r="267" spans="1:19">
      <c r="E267" s="134" t="str">
        <f t="shared" si="19"/>
        <v/>
      </c>
      <c r="S267" s="137">
        <f t="shared" si="18"/>
        <v>0</v>
      </c>
    </row>
    <row r="268" spans="1:19">
      <c r="D268" s="134" t="s">
        <v>868</v>
      </c>
      <c r="E268" s="134" t="str">
        <f t="shared" si="19"/>
        <v/>
      </c>
      <c r="S268" s="137">
        <f t="shared" si="18"/>
        <v>0</v>
      </c>
    </row>
    <row r="269" spans="1:19">
      <c r="A269" s="137" t="str">
        <f t="shared" ref="A269:A276" si="20">MID($D269,4,3)</f>
        <v>LGE</v>
      </c>
      <c r="B269" s="137" t="s">
        <v>867</v>
      </c>
      <c r="C269" s="137" t="str">
        <f t="shared" ref="C269:C276" si="21">MID($D269,9,3)</f>
        <v>303</v>
      </c>
      <c r="D269" s="134" t="s">
        <v>853</v>
      </c>
      <c r="E269" s="134" t="str">
        <f t="shared" si="19"/>
        <v/>
      </c>
      <c r="F269" s="137">
        <v>0</v>
      </c>
      <c r="G269" s="137">
        <v>180.02195</v>
      </c>
      <c r="H269" s="137">
        <v>830.87692000000004</v>
      </c>
      <c r="I269" s="137">
        <v>0</v>
      </c>
      <c r="J269" s="137">
        <v>752.39017999999999</v>
      </c>
      <c r="K269" s="137">
        <v>104.01882000000001</v>
      </c>
      <c r="L269" s="137">
        <v>1100.3475900000001</v>
      </c>
      <c r="M269" s="137">
        <v>1171.4087300000001</v>
      </c>
      <c r="N269" s="137">
        <v>337.67444999999998</v>
      </c>
      <c r="O269" s="137">
        <v>1128.7489700000001</v>
      </c>
      <c r="P269" s="137">
        <v>1232.8056799999999</v>
      </c>
      <c r="Q269" s="137">
        <v>7.8545999999999996</v>
      </c>
      <c r="R269" s="137">
        <v>2.2220300000000002</v>
      </c>
      <c r="S269" s="137">
        <f t="shared" si="18"/>
        <v>6848.3699199999992</v>
      </c>
    </row>
    <row r="270" spans="1:19">
      <c r="A270" s="137" t="str">
        <f t="shared" si="20"/>
        <v>LGE</v>
      </c>
      <c r="B270" s="137" t="s">
        <v>867</v>
      </c>
      <c r="C270" s="137" t="str">
        <f t="shared" si="21"/>
        <v>303</v>
      </c>
      <c r="D270" s="134" t="s">
        <v>854</v>
      </c>
      <c r="E270" s="134" t="str">
        <f t="shared" si="19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18"/>
        <v>0</v>
      </c>
    </row>
    <row r="271" spans="1:19">
      <c r="A271" s="137" t="str">
        <f t="shared" si="20"/>
        <v>LGE</v>
      </c>
      <c r="B271" s="137" t="s">
        <v>867</v>
      </c>
      <c r="C271" s="137" t="str">
        <f t="shared" si="21"/>
        <v>390</v>
      </c>
      <c r="D271" s="134" t="s">
        <v>856</v>
      </c>
      <c r="E271" s="134" t="str">
        <f t="shared" si="19"/>
        <v/>
      </c>
      <c r="F271" s="137">
        <v>0</v>
      </c>
      <c r="G271" s="137">
        <v>0</v>
      </c>
      <c r="H271" s="137">
        <v>34.866729999999997</v>
      </c>
      <c r="I271" s="137">
        <v>106.02497</v>
      </c>
      <c r="J271" s="137">
        <v>143.12996999999999</v>
      </c>
      <c r="K271" s="137">
        <v>44.220329999999997</v>
      </c>
      <c r="L271" s="137">
        <v>9.7523799999999898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S271" s="137">
        <f t="shared" si="18"/>
        <v>337.99437999999998</v>
      </c>
    </row>
    <row r="272" spans="1:19">
      <c r="A272" s="137" t="str">
        <f t="shared" si="20"/>
        <v>LGE</v>
      </c>
      <c r="B272" s="137" t="s">
        <v>867</v>
      </c>
      <c r="C272" s="137" t="str">
        <f t="shared" si="21"/>
        <v>391</v>
      </c>
      <c r="D272" s="134" t="s">
        <v>857</v>
      </c>
      <c r="E272" s="134" t="str">
        <f t="shared" si="19"/>
        <v/>
      </c>
      <c r="F272" s="137">
        <v>0</v>
      </c>
      <c r="G272" s="137">
        <v>116.77368</v>
      </c>
      <c r="H272" s="137">
        <v>335.16406999999998</v>
      </c>
      <c r="I272" s="137">
        <v>304.40270999999899</v>
      </c>
      <c r="J272" s="137">
        <v>854.81415000000004</v>
      </c>
      <c r="K272" s="137">
        <v>457.23446000000001</v>
      </c>
      <c r="L272" s="137">
        <v>345.66130999999899</v>
      </c>
      <c r="M272" s="137">
        <v>1266.5317700000001</v>
      </c>
      <c r="N272" s="137">
        <v>127.81592999999999</v>
      </c>
      <c r="O272" s="137">
        <v>102.4802</v>
      </c>
      <c r="P272" s="137">
        <v>556.84456</v>
      </c>
      <c r="Q272" s="137">
        <v>0</v>
      </c>
      <c r="R272" s="137">
        <v>64.916480000000007</v>
      </c>
      <c r="S272" s="137">
        <f t="shared" si="18"/>
        <v>4532.6393199999984</v>
      </c>
    </row>
    <row r="273" spans="1:19">
      <c r="A273" s="137" t="str">
        <f t="shared" si="20"/>
        <v>LGE</v>
      </c>
      <c r="B273" s="137" t="s">
        <v>867</v>
      </c>
      <c r="C273" s="137" t="str">
        <f t="shared" si="21"/>
        <v>392</v>
      </c>
      <c r="D273" s="134" t="s">
        <v>858</v>
      </c>
      <c r="E273" s="134" t="str">
        <f t="shared" si="19"/>
        <v/>
      </c>
      <c r="F273" s="137">
        <v>0</v>
      </c>
      <c r="G273" s="137">
        <v>0</v>
      </c>
      <c r="H273" s="137">
        <v>0</v>
      </c>
      <c r="I273" s="137">
        <v>0</v>
      </c>
      <c r="J273" s="137">
        <v>0</v>
      </c>
      <c r="K273" s="137">
        <v>26.992290000000001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18"/>
        <v>26.992290000000001</v>
      </c>
    </row>
    <row r="274" spans="1:19">
      <c r="A274" s="137" t="str">
        <f t="shared" si="20"/>
        <v>LGE</v>
      </c>
      <c r="B274" s="137" t="s">
        <v>867</v>
      </c>
      <c r="C274" s="137" t="str">
        <f t="shared" si="21"/>
        <v>394</v>
      </c>
      <c r="D274" s="134" t="s">
        <v>860</v>
      </c>
      <c r="E274" s="134" t="str">
        <f t="shared" si="19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19.73969</v>
      </c>
      <c r="L274" s="137">
        <v>112.93086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 t="shared" si="18"/>
        <v>132.67054999999999</v>
      </c>
    </row>
    <row r="275" spans="1:19">
      <c r="A275" s="137" t="str">
        <f t="shared" si="20"/>
        <v>LGE</v>
      </c>
      <c r="B275" s="137" t="s">
        <v>867</v>
      </c>
      <c r="C275" s="137" t="str">
        <f t="shared" si="21"/>
        <v>396</v>
      </c>
      <c r="D275" s="134" t="s">
        <v>1530</v>
      </c>
      <c r="E275" s="134" t="str">
        <f t="shared" si="19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72.447000000000003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>SUM(G275:R275)</f>
        <v>72.447000000000003</v>
      </c>
    </row>
    <row r="276" spans="1:19">
      <c r="A276" s="137" t="str">
        <f t="shared" si="20"/>
        <v>LGE</v>
      </c>
      <c r="B276" s="137" t="s">
        <v>867</v>
      </c>
      <c r="C276" s="137" t="str">
        <f t="shared" si="21"/>
        <v>397</v>
      </c>
      <c r="D276" s="134" t="s">
        <v>864</v>
      </c>
      <c r="E276" s="134" t="str">
        <f t="shared" si="19"/>
        <v/>
      </c>
      <c r="F276" s="137">
        <v>1.45418</v>
      </c>
      <c r="G276" s="137">
        <v>0</v>
      </c>
      <c r="H276" s="137">
        <v>0</v>
      </c>
      <c r="I276" s="137">
        <v>0</v>
      </c>
      <c r="J276" s="137">
        <v>0</v>
      </c>
      <c r="K276" s="137">
        <v>0</v>
      </c>
      <c r="L276" s="137">
        <v>0</v>
      </c>
      <c r="M276" s="137">
        <v>0</v>
      </c>
      <c r="N276" s="137">
        <v>0</v>
      </c>
      <c r="O276" s="137">
        <v>0</v>
      </c>
      <c r="P276" s="137">
        <v>0</v>
      </c>
      <c r="Q276" s="137">
        <v>0</v>
      </c>
      <c r="R276" s="137">
        <v>0</v>
      </c>
      <c r="S276" s="137">
        <f t="shared" si="18"/>
        <v>0</v>
      </c>
    </row>
    <row r="277" spans="1:19">
      <c r="E277" s="134" t="str">
        <f t="shared" si="19"/>
        <v/>
      </c>
    </row>
    <row r="278" spans="1:19">
      <c r="E278" s="134" t="str">
        <f t="shared" si="19"/>
        <v/>
      </c>
    </row>
    <row r="279" spans="1:19">
      <c r="E279" s="134" t="str">
        <f t="shared" si="19"/>
        <v/>
      </c>
    </row>
    <row r="280" spans="1:19">
      <c r="E280" s="134" t="str">
        <f t="shared" si="19"/>
        <v/>
      </c>
    </row>
    <row r="281" spans="1:19">
      <c r="D281" s="134" t="s">
        <v>691</v>
      </c>
      <c r="E281" s="134" t="str">
        <f t="shared" si="19"/>
        <v/>
      </c>
    </row>
    <row r="282" spans="1:19">
      <c r="A282" s="137" t="str">
        <f t="shared" ref="A282:A358" si="22">MID($D282,4,3)</f>
        <v>LGE</v>
      </c>
      <c r="B282" s="137" t="s">
        <v>923</v>
      </c>
      <c r="C282" s="137" t="str">
        <f t="shared" ref="C282:C358" si="23">MID($D282,9,3)</f>
        <v>311</v>
      </c>
      <c r="D282" s="134" t="s">
        <v>788</v>
      </c>
      <c r="E282" s="134" t="str">
        <f t="shared" si="19"/>
        <v>ECR</v>
      </c>
      <c r="F282" s="137">
        <v>50.123350000000002</v>
      </c>
      <c r="G282" s="137">
        <v>51.119450000000001</v>
      </c>
      <c r="H282" s="137">
        <v>52.115549999999999</v>
      </c>
      <c r="I282" s="137">
        <v>53.111649999999997</v>
      </c>
      <c r="J282" s="137">
        <v>54.107750000000003</v>
      </c>
      <c r="K282" s="137">
        <v>55.103850000000001</v>
      </c>
      <c r="L282" s="137">
        <v>56.09995</v>
      </c>
      <c r="M282" s="137">
        <v>57.096049058520002</v>
      </c>
      <c r="N282" s="137">
        <v>58.092148117039997</v>
      </c>
      <c r="O282" s="137">
        <v>59.088247175559999</v>
      </c>
      <c r="P282" s="137">
        <v>60.084346234080002</v>
      </c>
      <c r="Q282" s="137">
        <v>61.080445292599997</v>
      </c>
      <c r="R282" s="137">
        <v>62.076544351119999</v>
      </c>
    </row>
    <row r="283" spans="1:19">
      <c r="A283" s="137" t="str">
        <f t="shared" si="22"/>
        <v>LGE</v>
      </c>
      <c r="B283" s="137" t="s">
        <v>923</v>
      </c>
      <c r="C283" s="137" t="str">
        <f t="shared" si="23"/>
        <v>311</v>
      </c>
      <c r="D283" s="134" t="s">
        <v>789</v>
      </c>
      <c r="E283" s="134" t="str">
        <f t="shared" si="19"/>
        <v>ECR</v>
      </c>
      <c r="F283" s="137">
        <v>740.1825</v>
      </c>
      <c r="G283" s="137">
        <v>767.32592999999997</v>
      </c>
      <c r="H283" s="137">
        <v>794.46935999999903</v>
      </c>
      <c r="I283" s="137">
        <v>821.61279000000002</v>
      </c>
      <c r="J283" s="137">
        <v>848.75621999999998</v>
      </c>
      <c r="K283" s="137">
        <v>875.89964999999995</v>
      </c>
      <c r="L283" s="137">
        <v>903.19290999999998</v>
      </c>
      <c r="M283" s="137">
        <v>930.63600286213</v>
      </c>
      <c r="N283" s="137">
        <v>958.07909572426001</v>
      </c>
      <c r="O283" s="137">
        <v>985.52218858639003</v>
      </c>
      <c r="P283" s="137">
        <v>1012.96528144852</v>
      </c>
      <c r="Q283" s="137">
        <v>1040.4083743106501</v>
      </c>
      <c r="R283" s="137">
        <v>1067.8514671727801</v>
      </c>
    </row>
    <row r="284" spans="1:19">
      <c r="A284" s="137" t="str">
        <f t="shared" si="22"/>
        <v>LGE</v>
      </c>
      <c r="B284" s="137" t="s">
        <v>923</v>
      </c>
      <c r="C284" s="137" t="str">
        <f t="shared" si="23"/>
        <v>311</v>
      </c>
      <c r="D284" s="134" t="s">
        <v>790</v>
      </c>
      <c r="E284" s="134" t="str">
        <f t="shared" si="19"/>
        <v/>
      </c>
      <c r="F284" s="137">
        <v>184107.89968999999</v>
      </c>
      <c r="G284" s="137">
        <v>184396.08577999999</v>
      </c>
      <c r="H284" s="137">
        <v>184251.58603999999</v>
      </c>
      <c r="I284" s="137">
        <v>184601.58111</v>
      </c>
      <c r="J284" s="137">
        <v>184910.03709999999</v>
      </c>
      <c r="K284" s="137">
        <v>172688.28073999999</v>
      </c>
      <c r="L284" s="137">
        <v>173038.55575999999</v>
      </c>
      <c r="M284" s="137">
        <v>173295.39123660201</v>
      </c>
      <c r="N284" s="137">
        <v>173644.66095319099</v>
      </c>
      <c r="O284" s="137">
        <v>173971.24691160899</v>
      </c>
      <c r="P284" s="137">
        <v>174309.235608772</v>
      </c>
      <c r="Q284" s="137">
        <v>174636.541569533</v>
      </c>
      <c r="R284" s="137">
        <v>174953.40815902501</v>
      </c>
    </row>
    <row r="285" spans="1:19">
      <c r="A285" s="137" t="str">
        <f t="shared" si="22"/>
        <v>LGE</v>
      </c>
      <c r="B285" s="137" t="s">
        <v>923</v>
      </c>
      <c r="C285" s="137" t="str">
        <f t="shared" si="23"/>
        <v>312</v>
      </c>
      <c r="D285" s="134" t="s">
        <v>791</v>
      </c>
      <c r="E285" s="134" t="str">
        <f t="shared" si="19"/>
        <v/>
      </c>
      <c r="F285" s="137">
        <v>407999.37099999998</v>
      </c>
      <c r="G285" s="137">
        <v>410307.78528000001</v>
      </c>
      <c r="H285" s="137">
        <v>406559.69984000002</v>
      </c>
      <c r="I285" s="137">
        <v>408670.32257000002</v>
      </c>
      <c r="J285" s="137">
        <v>410462.74333000003</v>
      </c>
      <c r="K285" s="137">
        <v>419917.87331</v>
      </c>
      <c r="L285" s="137">
        <v>421503.45101999998</v>
      </c>
      <c r="M285" s="137">
        <v>418741.88569114398</v>
      </c>
      <c r="N285" s="137">
        <v>421184.13139469997</v>
      </c>
      <c r="O285" s="137">
        <v>423610.28051610698</v>
      </c>
      <c r="P285" s="137">
        <v>426088.69479154202</v>
      </c>
      <c r="Q285" s="137">
        <v>429536.96233372402</v>
      </c>
      <c r="R285" s="137">
        <v>432029.58450812101</v>
      </c>
    </row>
    <row r="286" spans="1:19">
      <c r="A286" s="137" t="str">
        <f t="shared" si="22"/>
        <v>LGE</v>
      </c>
      <c r="B286" s="137" t="s">
        <v>923</v>
      </c>
      <c r="C286" s="137" t="str">
        <f t="shared" si="23"/>
        <v>312</v>
      </c>
      <c r="D286" s="134" t="s">
        <v>792</v>
      </c>
      <c r="E286" s="134" t="str">
        <f t="shared" si="19"/>
        <v>ECR</v>
      </c>
      <c r="F286" s="137">
        <v>2884.0989300000001</v>
      </c>
      <c r="G286" s="137">
        <v>2944.62655</v>
      </c>
      <c r="H286" s="137">
        <v>3005.1541699999998</v>
      </c>
      <c r="I286" s="137">
        <v>3065.6817899999901</v>
      </c>
      <c r="J286" s="137">
        <v>3126.2094099999999</v>
      </c>
      <c r="K286" s="137">
        <v>3186.7370299999998</v>
      </c>
      <c r="L286" s="137">
        <v>3247.2646500000001</v>
      </c>
      <c r="M286" s="137">
        <v>3309.4904721861999</v>
      </c>
      <c r="N286" s="137">
        <v>3413.0480648069001</v>
      </c>
      <c r="O286" s="137">
        <v>3589.406454464</v>
      </c>
      <c r="P286" s="137">
        <v>3800.8627100281001</v>
      </c>
      <c r="Q286" s="137">
        <v>1156.617057248759</v>
      </c>
      <c r="R286" s="137">
        <v>1370.9198995699501</v>
      </c>
    </row>
    <row r="287" spans="1:19">
      <c r="A287" s="137" t="str">
        <f t="shared" si="22"/>
        <v>LGE</v>
      </c>
      <c r="B287" s="137" t="s">
        <v>923</v>
      </c>
      <c r="C287" s="137" t="str">
        <f t="shared" si="23"/>
        <v>312</v>
      </c>
      <c r="D287" s="134" t="s">
        <v>793</v>
      </c>
      <c r="E287" s="134" t="str">
        <f t="shared" si="19"/>
        <v>ECR</v>
      </c>
      <c r="F287" s="137">
        <v>59055.147850000001</v>
      </c>
      <c r="G287" s="137">
        <v>61264.620929999997</v>
      </c>
      <c r="H287" s="137">
        <v>63474.094010000001</v>
      </c>
      <c r="I287" s="137">
        <v>65683.567089999997</v>
      </c>
      <c r="J287" s="137">
        <v>67893.040169999993</v>
      </c>
      <c r="K287" s="137">
        <v>70102.513249999902</v>
      </c>
      <c r="L287" s="137">
        <v>72322.786859999993</v>
      </c>
      <c r="M287" s="137">
        <v>74557.259924569997</v>
      </c>
      <c r="N287" s="137">
        <v>76796.325458683001</v>
      </c>
      <c r="O287" s="137">
        <v>79036.640365430008</v>
      </c>
      <c r="P287" s="137">
        <v>81277.011094714006</v>
      </c>
      <c r="Q287" s="137">
        <v>83517.381823998003</v>
      </c>
      <c r="R287" s="137">
        <v>85757.752553282</v>
      </c>
    </row>
    <row r="288" spans="1:19">
      <c r="A288" s="137" t="str">
        <f t="shared" si="22"/>
        <v>LGE</v>
      </c>
      <c r="B288" s="137" t="s">
        <v>923</v>
      </c>
      <c r="C288" s="137" t="str">
        <f t="shared" si="23"/>
        <v>312</v>
      </c>
      <c r="D288" s="134" t="s">
        <v>1512</v>
      </c>
      <c r="E288" s="134" t="str">
        <f t="shared" si="19"/>
        <v>ECR</v>
      </c>
      <c r="F288" s="137">
        <v>180.55253999999999</v>
      </c>
      <c r="G288" s="137">
        <v>201.33993999999899</v>
      </c>
      <c r="H288" s="137">
        <v>222.12734</v>
      </c>
      <c r="I288" s="137">
        <v>242.91473999999999</v>
      </c>
      <c r="J288" s="137">
        <v>263.70213999999999</v>
      </c>
      <c r="K288" s="137">
        <v>284.48953999999998</v>
      </c>
      <c r="L288" s="137">
        <v>305.276939999999</v>
      </c>
      <c r="M288" s="137">
        <v>328.35194458879602</v>
      </c>
      <c r="N288" s="137">
        <v>353.99162867478901</v>
      </c>
      <c r="O288" s="137">
        <v>380.11712946251203</v>
      </c>
      <c r="P288" s="137">
        <v>406.57515528593501</v>
      </c>
      <c r="Q288" s="137">
        <v>433.38905468212897</v>
      </c>
      <c r="R288" s="137">
        <v>461.64578196382098</v>
      </c>
    </row>
    <row r="289" spans="1:18">
      <c r="A289" s="137" t="str">
        <f t="shared" si="22"/>
        <v>LGE</v>
      </c>
      <c r="B289" s="137" t="s">
        <v>923</v>
      </c>
      <c r="C289" s="137" t="str">
        <f t="shared" si="23"/>
        <v>312</v>
      </c>
      <c r="D289" s="134" t="s">
        <v>1847</v>
      </c>
      <c r="E289" s="134" t="str">
        <f t="shared" si="19"/>
        <v/>
      </c>
      <c r="F289" s="137">
        <v>0</v>
      </c>
      <c r="G289" s="137">
        <v>0</v>
      </c>
      <c r="H289" s="137">
        <v>0</v>
      </c>
      <c r="I289" s="137">
        <v>0</v>
      </c>
      <c r="J289" s="137">
        <v>0</v>
      </c>
      <c r="K289" s="137">
        <v>0</v>
      </c>
      <c r="L289" s="137">
        <v>0</v>
      </c>
      <c r="M289" s="137">
        <v>-187.5</v>
      </c>
      <c r="N289" s="137">
        <v>-187.5</v>
      </c>
      <c r="O289" s="137">
        <v>-187.5</v>
      </c>
      <c r="P289" s="137">
        <v>-187.5</v>
      </c>
      <c r="Q289" s="137">
        <v>-187.5</v>
      </c>
      <c r="R289" s="137">
        <v>-187.5</v>
      </c>
    </row>
    <row r="290" spans="1:18">
      <c r="A290" s="137" t="str">
        <f t="shared" si="22"/>
        <v>LGE</v>
      </c>
      <c r="B290" s="137" t="s">
        <v>923</v>
      </c>
      <c r="C290" s="137" t="str">
        <f t="shared" si="23"/>
        <v>312</v>
      </c>
      <c r="D290" s="134" t="s">
        <v>1848</v>
      </c>
      <c r="E290" s="134" t="str">
        <f t="shared" si="19"/>
        <v/>
      </c>
      <c r="F290" s="137">
        <v>0</v>
      </c>
      <c r="G290" s="137">
        <v>0</v>
      </c>
      <c r="H290" s="137">
        <v>0</v>
      </c>
      <c r="I290" s="137">
        <v>0</v>
      </c>
      <c r="J290" s="137">
        <v>0</v>
      </c>
      <c r="K290" s="137">
        <v>0</v>
      </c>
      <c r="L290" s="137">
        <v>0</v>
      </c>
      <c r="M290" s="137">
        <v>-11442.57386</v>
      </c>
      <c r="N290" s="137">
        <v>-11442.57386</v>
      </c>
      <c r="O290" s="137">
        <v>-11442.57386</v>
      </c>
      <c r="P290" s="137">
        <v>-11442.57386</v>
      </c>
      <c r="Q290" s="137">
        <v>-11442.57386</v>
      </c>
      <c r="R290" s="137">
        <v>-11442.57386</v>
      </c>
    </row>
    <row r="291" spans="1:18">
      <c r="A291" s="137" t="str">
        <f t="shared" si="22"/>
        <v>LGE</v>
      </c>
      <c r="B291" s="137" t="s">
        <v>923</v>
      </c>
      <c r="C291" s="137" t="str">
        <f t="shared" si="23"/>
        <v>312</v>
      </c>
      <c r="D291" s="134" t="s">
        <v>1849</v>
      </c>
      <c r="E291" s="134" t="str">
        <f t="shared" si="19"/>
        <v/>
      </c>
    </row>
    <row r="292" spans="1:18">
      <c r="A292" s="137" t="str">
        <f t="shared" si="22"/>
        <v>LGE</v>
      </c>
      <c r="B292" s="137" t="s">
        <v>923</v>
      </c>
      <c r="C292" s="137" t="str">
        <f t="shared" si="23"/>
        <v>314</v>
      </c>
      <c r="D292" s="134" t="s">
        <v>795</v>
      </c>
      <c r="E292" s="134" t="str">
        <f t="shared" si="19"/>
        <v/>
      </c>
      <c r="F292" s="137">
        <v>104828.08913999901</v>
      </c>
      <c r="G292" s="137">
        <v>105162.81366</v>
      </c>
      <c r="H292" s="137">
        <v>105532.629689999</v>
      </c>
      <c r="I292" s="137">
        <v>105902.52909</v>
      </c>
      <c r="J292" s="137">
        <v>106272.52783999901</v>
      </c>
      <c r="K292" s="137">
        <v>106568.35494999999</v>
      </c>
      <c r="L292" s="137">
        <v>106692.85094999999</v>
      </c>
      <c r="M292" s="137">
        <v>106637.366523837</v>
      </c>
      <c r="N292" s="137">
        <v>106995.146156357</v>
      </c>
      <c r="O292" s="137">
        <v>107372.70556303499</v>
      </c>
      <c r="P292" s="137">
        <v>107750.321287596</v>
      </c>
      <c r="Q292" s="137">
        <v>108724.982133468</v>
      </c>
      <c r="R292" s="137">
        <v>109108.41297847099</v>
      </c>
    </row>
    <row r="293" spans="1:18">
      <c r="A293" s="137" t="str">
        <f t="shared" si="22"/>
        <v>LGE</v>
      </c>
      <c r="B293" s="137" t="s">
        <v>923</v>
      </c>
      <c r="C293" s="137" t="str">
        <f t="shared" si="23"/>
        <v>315</v>
      </c>
      <c r="D293" s="134" t="s">
        <v>796</v>
      </c>
      <c r="E293" s="134" t="str">
        <f t="shared" si="19"/>
        <v/>
      </c>
      <c r="F293" s="137">
        <v>85188.547470000005</v>
      </c>
      <c r="G293" s="137">
        <v>85416.715370000005</v>
      </c>
      <c r="H293" s="137">
        <v>85025.528969999999</v>
      </c>
      <c r="I293" s="137">
        <v>85252.965559999997</v>
      </c>
      <c r="J293" s="137">
        <v>85480.421619999994</v>
      </c>
      <c r="K293" s="137">
        <v>86882.674920000005</v>
      </c>
      <c r="L293" s="137">
        <v>86973.124929999904</v>
      </c>
      <c r="M293" s="137">
        <v>87157.2123720198</v>
      </c>
      <c r="N293" s="137">
        <v>87385.5002521149</v>
      </c>
      <c r="O293" s="137">
        <v>87613.78813221</v>
      </c>
      <c r="P293" s="137">
        <v>87842.0760123051</v>
      </c>
      <c r="Q293" s="137">
        <v>88060.396737188494</v>
      </c>
      <c r="R293" s="137">
        <v>88288.803431871202</v>
      </c>
    </row>
    <row r="294" spans="1:18">
      <c r="A294" s="137" t="str">
        <f t="shared" si="22"/>
        <v>LGE</v>
      </c>
      <c r="B294" s="137" t="s">
        <v>923</v>
      </c>
      <c r="C294" s="137" t="str">
        <f t="shared" si="23"/>
        <v>315</v>
      </c>
      <c r="D294" s="134" t="s">
        <v>1513</v>
      </c>
      <c r="E294" s="134" t="str">
        <f t="shared" si="19"/>
        <v>ECR</v>
      </c>
      <c r="F294" s="137">
        <v>90.854380000000006</v>
      </c>
      <c r="G294" s="137">
        <v>93.771509999999907</v>
      </c>
      <c r="H294" s="137">
        <v>96.688640000000007</v>
      </c>
      <c r="I294" s="137">
        <v>99.605770000000007</v>
      </c>
      <c r="J294" s="137">
        <v>102.522899999999</v>
      </c>
      <c r="K294" s="137">
        <v>105.44002999999999</v>
      </c>
      <c r="L294" s="137">
        <v>108.35715999999999</v>
      </c>
      <c r="M294" s="137">
        <v>111.274294083</v>
      </c>
      <c r="N294" s="137">
        <v>114.19142816599999</v>
      </c>
      <c r="O294" s="137">
        <v>117.108562249</v>
      </c>
      <c r="P294" s="137">
        <v>120.025696332</v>
      </c>
      <c r="Q294" s="137">
        <v>122.942830415</v>
      </c>
      <c r="R294" s="137">
        <v>125.859964498</v>
      </c>
    </row>
    <row r="295" spans="1:18">
      <c r="A295" s="137" t="str">
        <f t="shared" si="22"/>
        <v>LGE</v>
      </c>
      <c r="B295" s="137" t="s">
        <v>923</v>
      </c>
      <c r="C295" s="137" t="str">
        <f t="shared" si="23"/>
        <v>315</v>
      </c>
      <c r="D295" s="134" t="s">
        <v>1514</v>
      </c>
      <c r="E295" s="134" t="str">
        <f t="shared" si="19"/>
        <v>ECR</v>
      </c>
      <c r="F295" s="137">
        <v>1469.5670500000001</v>
      </c>
      <c r="G295" s="137">
        <v>1519.80870999999</v>
      </c>
      <c r="H295" s="137">
        <v>1570.0503699999999</v>
      </c>
      <c r="I295" s="137">
        <v>1620.2920300000001</v>
      </c>
      <c r="J295" s="137">
        <v>1670.53369</v>
      </c>
      <c r="K295" s="137">
        <v>1720.7753499999999</v>
      </c>
      <c r="L295" s="137">
        <v>1771.1749399999901</v>
      </c>
      <c r="M295" s="137">
        <v>1821.73242274122</v>
      </c>
      <c r="N295" s="137">
        <v>1872.28990548245</v>
      </c>
      <c r="O295" s="137">
        <v>1922.8473882236799</v>
      </c>
      <c r="P295" s="137">
        <v>1973.4048709649101</v>
      </c>
      <c r="Q295" s="137">
        <v>2023.96235370614</v>
      </c>
      <c r="R295" s="137">
        <v>2074.5198364473699</v>
      </c>
    </row>
    <row r="296" spans="1:18">
      <c r="A296" s="137" t="str">
        <f t="shared" si="22"/>
        <v>LGE</v>
      </c>
      <c r="B296" s="137" t="s">
        <v>923</v>
      </c>
      <c r="C296" s="137" t="str">
        <f t="shared" si="23"/>
        <v>316</v>
      </c>
      <c r="D296" s="134" t="s">
        <v>797</v>
      </c>
      <c r="E296" s="134" t="str">
        <f t="shared" si="19"/>
        <v>ECR</v>
      </c>
      <c r="F296" s="137">
        <v>100.09505</v>
      </c>
      <c r="G296" s="137">
        <v>102.37885</v>
      </c>
      <c r="H296" s="137">
        <v>104.66265</v>
      </c>
      <c r="I296" s="137">
        <v>106.94645</v>
      </c>
      <c r="J296" s="137">
        <v>109.23025</v>
      </c>
      <c r="K296" s="137">
        <v>111.51405</v>
      </c>
      <c r="L296" s="137">
        <v>113.79801999999999</v>
      </c>
      <c r="M296" s="137">
        <v>116.08216473858199</v>
      </c>
      <c r="N296" s="137">
        <v>118.366309477165</v>
      </c>
      <c r="O296" s="137">
        <v>120.650454215748</v>
      </c>
      <c r="P296" s="137">
        <v>122.93459895433099</v>
      </c>
      <c r="Q296" s="137">
        <v>125.218743692914</v>
      </c>
      <c r="R296" s="137">
        <v>127.502888431497</v>
      </c>
    </row>
    <row r="297" spans="1:18">
      <c r="A297" s="137" t="str">
        <f t="shared" si="22"/>
        <v>LGE</v>
      </c>
      <c r="B297" s="137" t="s">
        <v>923</v>
      </c>
      <c r="C297" s="137" t="str">
        <f t="shared" si="23"/>
        <v>316</v>
      </c>
      <c r="D297" s="134" t="s">
        <v>798</v>
      </c>
      <c r="E297" s="134" t="str">
        <f t="shared" si="19"/>
        <v/>
      </c>
      <c r="F297" s="137">
        <v>6802.9740400000001</v>
      </c>
      <c r="G297" s="137">
        <v>6847.8398399999996</v>
      </c>
      <c r="H297" s="137">
        <v>6892.2934500000001</v>
      </c>
      <c r="I297" s="137">
        <v>6936.7154099999998</v>
      </c>
      <c r="J297" s="137">
        <v>6981.1337599999997</v>
      </c>
      <c r="K297" s="137">
        <v>6889.2100300000002</v>
      </c>
      <c r="L297" s="137">
        <v>6928.9964299999901</v>
      </c>
      <c r="M297" s="137">
        <v>6969.7489848581099</v>
      </c>
      <c r="N297" s="137">
        <v>7014.42882127335</v>
      </c>
      <c r="O297" s="137">
        <v>7059.3005112090495</v>
      </c>
      <c r="P297" s="137">
        <v>7104.2580832138401</v>
      </c>
      <c r="Q297" s="137">
        <v>7105.0205579676303</v>
      </c>
      <c r="R297" s="137">
        <v>7151.8163021321998</v>
      </c>
    </row>
    <row r="298" spans="1:18">
      <c r="A298" s="137" t="str">
        <f t="shared" si="22"/>
        <v>LGE</v>
      </c>
      <c r="B298" s="137" t="s">
        <v>923</v>
      </c>
      <c r="C298" s="137" t="str">
        <f t="shared" si="23"/>
        <v>317</v>
      </c>
      <c r="D298" s="134" t="s">
        <v>799</v>
      </c>
      <c r="E298" s="134" t="str">
        <f t="shared" si="19"/>
        <v>ARO</v>
      </c>
      <c r="F298" s="137">
        <v>7931.7560800000001</v>
      </c>
      <c r="G298" s="137">
        <v>8220.5277900000001</v>
      </c>
      <c r="H298" s="137">
        <v>8509.2994699999999</v>
      </c>
      <c r="I298" s="137">
        <v>8793.7075999999997</v>
      </c>
      <c r="J298" s="137">
        <v>8821.0080999999991</v>
      </c>
      <c r="K298" s="137">
        <v>9106.6571700000004</v>
      </c>
      <c r="L298" s="137">
        <v>9392.3062100000006</v>
      </c>
      <c r="M298" s="137">
        <v>9661.1043948927108</v>
      </c>
      <c r="N298" s="137">
        <v>9929.9025797854301</v>
      </c>
      <c r="O298" s="137">
        <v>10198.7007646781</v>
      </c>
      <c r="P298" s="137">
        <v>10467.4989495708</v>
      </c>
      <c r="Q298" s="137">
        <v>10736.297134463501</v>
      </c>
      <c r="R298" s="137">
        <v>11005.0953193563</v>
      </c>
    </row>
    <row r="299" spans="1:18">
      <c r="A299" s="137" t="str">
        <f t="shared" si="22"/>
        <v>LGE</v>
      </c>
      <c r="B299" s="137" t="s">
        <v>923</v>
      </c>
      <c r="C299" s="137" t="str">
        <f t="shared" si="23"/>
        <v>317</v>
      </c>
      <c r="D299" s="134" t="s">
        <v>1817</v>
      </c>
      <c r="E299" s="134" t="str">
        <f t="shared" si="19"/>
        <v>ARO</v>
      </c>
      <c r="F299" s="137">
        <v>28080.861099999998</v>
      </c>
      <c r="G299" s="137">
        <v>28700.04507</v>
      </c>
      <c r="H299" s="137">
        <v>29319.229149999999</v>
      </c>
      <c r="I299" s="137">
        <v>29637.440429999999</v>
      </c>
      <c r="J299" s="137">
        <v>30242.427380000001</v>
      </c>
      <c r="K299" s="137">
        <v>30847.414250000002</v>
      </c>
      <c r="L299" s="137">
        <v>31452.401140000002</v>
      </c>
      <c r="M299" s="137">
        <v>32057.38809</v>
      </c>
      <c r="N299" s="137">
        <v>32662.375039999999</v>
      </c>
      <c r="O299" s="137">
        <v>33267.361989999998</v>
      </c>
      <c r="P299" s="137">
        <v>33872.348939999902</v>
      </c>
      <c r="Q299" s="137">
        <v>34477.3358899999</v>
      </c>
      <c r="R299" s="137">
        <v>35082.322839999899</v>
      </c>
    </row>
    <row r="300" spans="1:18">
      <c r="A300" s="137" t="str">
        <f t="shared" si="22"/>
        <v>LGE</v>
      </c>
      <c r="B300" s="137" t="s">
        <v>923</v>
      </c>
      <c r="C300" s="137" t="str">
        <f t="shared" si="23"/>
        <v>331</v>
      </c>
      <c r="D300" s="134" t="s">
        <v>801</v>
      </c>
      <c r="E300" s="134" t="str">
        <f t="shared" si="19"/>
        <v/>
      </c>
      <c r="F300" s="137">
        <v>4436.1951600000002</v>
      </c>
      <c r="G300" s="137">
        <v>4453.2438199999997</v>
      </c>
      <c r="H300" s="137">
        <v>4470.3093099999996</v>
      </c>
      <c r="I300" s="137">
        <v>4487.3475699999999</v>
      </c>
      <c r="J300" s="137">
        <v>4504.3450899999998</v>
      </c>
      <c r="K300" s="137">
        <v>4521.34512</v>
      </c>
      <c r="L300" s="137">
        <v>4538.3454499999998</v>
      </c>
      <c r="M300" s="137">
        <v>4521.5498393904199</v>
      </c>
      <c r="N300" s="137">
        <v>4538.5947236892498</v>
      </c>
      <c r="O300" s="137">
        <v>4555.6396079880797</v>
      </c>
      <c r="P300" s="137">
        <v>4572.6844922869104</v>
      </c>
      <c r="Q300" s="137">
        <v>4589.7293765857403</v>
      </c>
      <c r="R300" s="137">
        <v>4606.7742608845701</v>
      </c>
    </row>
    <row r="301" spans="1:18">
      <c r="A301" s="137" t="str">
        <f t="shared" si="22"/>
        <v>LGE</v>
      </c>
      <c r="B301" s="137" t="s">
        <v>923</v>
      </c>
      <c r="C301" s="137" t="str">
        <f t="shared" si="23"/>
        <v>332</v>
      </c>
      <c r="D301" s="134" t="s">
        <v>802</v>
      </c>
      <c r="E301" s="134" t="str">
        <f t="shared" si="19"/>
        <v/>
      </c>
      <c r="F301" s="137">
        <v>3760.5312100000001</v>
      </c>
      <c r="G301" s="137">
        <v>3779.10817</v>
      </c>
      <c r="H301" s="137">
        <v>3797.6952200000001</v>
      </c>
      <c r="I301" s="137">
        <v>3816.25279</v>
      </c>
      <c r="J301" s="137">
        <v>3834.7736599999998</v>
      </c>
      <c r="K301" s="137">
        <v>3853.2966900000001</v>
      </c>
      <c r="L301" s="137">
        <v>3871.8199800000002</v>
      </c>
      <c r="M301" s="137">
        <v>3890.3410109657002</v>
      </c>
      <c r="N301" s="137">
        <v>3908.8620419314002</v>
      </c>
      <c r="O301" s="137">
        <v>3927.3830728971002</v>
      </c>
      <c r="P301" s="137">
        <v>3916.6366888242001</v>
      </c>
      <c r="Q301" s="137">
        <v>3936.5124897026999</v>
      </c>
      <c r="R301" s="137">
        <v>3956.3882905812002</v>
      </c>
    </row>
    <row r="302" spans="1:18">
      <c r="A302" s="137" t="str">
        <f t="shared" si="22"/>
        <v>LGE</v>
      </c>
      <c r="B302" s="137" t="s">
        <v>923</v>
      </c>
      <c r="C302" s="137" t="str">
        <f t="shared" si="23"/>
        <v>333</v>
      </c>
      <c r="D302" s="134" t="s">
        <v>803</v>
      </c>
      <c r="E302" s="134" t="str">
        <f t="shared" si="19"/>
        <v/>
      </c>
      <c r="F302" s="137">
        <v>8226.7802800000009</v>
      </c>
      <c r="G302" s="137">
        <v>8474.21976</v>
      </c>
      <c r="H302" s="137">
        <v>8114.4706799999904</v>
      </c>
      <c r="I302" s="137">
        <v>8360.2673500000001</v>
      </c>
      <c r="J302" s="137">
        <v>8605.6272300000001</v>
      </c>
      <c r="K302" s="137">
        <v>8850.8325100000002</v>
      </c>
      <c r="L302" s="137">
        <v>9096.0414899999996</v>
      </c>
      <c r="M302" s="137">
        <v>2995.2095267469899</v>
      </c>
      <c r="N302" s="137">
        <v>3257.11067825999</v>
      </c>
      <c r="O302" s="137">
        <v>3522.1559474389901</v>
      </c>
      <c r="P302" s="137">
        <v>3790.3717371179901</v>
      </c>
      <c r="Q302" s="137">
        <v>4060.9507472299902</v>
      </c>
      <c r="R302" s="137">
        <v>4334.2716073419897</v>
      </c>
    </row>
    <row r="303" spans="1:18">
      <c r="A303" s="137" t="str">
        <f t="shared" si="22"/>
        <v>LGE</v>
      </c>
      <c r="B303" s="137" t="s">
        <v>923</v>
      </c>
      <c r="C303" s="137" t="str">
        <f t="shared" si="23"/>
        <v>334</v>
      </c>
      <c r="D303" s="134" t="s">
        <v>804</v>
      </c>
      <c r="E303" s="134" t="str">
        <f t="shared" si="19"/>
        <v/>
      </c>
      <c r="F303" s="137">
        <v>2990.01964</v>
      </c>
      <c r="G303" s="137">
        <v>3016.0571500000001</v>
      </c>
      <c r="H303" s="137">
        <v>3042.11231</v>
      </c>
      <c r="I303" s="137">
        <v>3068.1158599999999</v>
      </c>
      <c r="J303" s="137">
        <v>3086.1540500000001</v>
      </c>
      <c r="K303" s="137">
        <v>3112.36852</v>
      </c>
      <c r="L303" s="137">
        <v>3138.5834399999999</v>
      </c>
      <c r="M303" s="137">
        <v>3164.794418</v>
      </c>
      <c r="N303" s="137">
        <v>3191.005396</v>
      </c>
      <c r="O303" s="137">
        <v>3217.2163740000001</v>
      </c>
      <c r="P303" s="137">
        <v>3243.4273520000002</v>
      </c>
      <c r="Q303" s="137">
        <v>3269.6383300000002</v>
      </c>
      <c r="R303" s="137">
        <v>3295.8493079999998</v>
      </c>
    </row>
    <row r="304" spans="1:18">
      <c r="A304" s="137" t="str">
        <f t="shared" si="22"/>
        <v>LGE</v>
      </c>
      <c r="B304" s="137" t="s">
        <v>923</v>
      </c>
      <c r="C304" s="137" t="str">
        <f t="shared" si="23"/>
        <v>335</v>
      </c>
      <c r="D304" s="134" t="s">
        <v>805</v>
      </c>
      <c r="E304" s="134" t="str">
        <f t="shared" si="19"/>
        <v/>
      </c>
      <c r="F304" s="137">
        <v>270.30860999999999</v>
      </c>
      <c r="G304" s="137">
        <v>279.56986000000001</v>
      </c>
      <c r="H304" s="137">
        <v>288.84255999999999</v>
      </c>
      <c r="I304" s="137">
        <v>298.08179000000001</v>
      </c>
      <c r="J304" s="137">
        <v>307.279349999999</v>
      </c>
      <c r="K304" s="137">
        <v>316.47935999999999</v>
      </c>
      <c r="L304" s="137">
        <v>325.67966000000001</v>
      </c>
      <c r="M304" s="137">
        <v>334.87740050941301</v>
      </c>
      <c r="N304" s="137">
        <v>344.075141018826</v>
      </c>
      <c r="O304" s="137">
        <v>353.272881528239</v>
      </c>
      <c r="P304" s="137">
        <v>362.47062203765199</v>
      </c>
      <c r="Q304" s="137">
        <v>371.66836254706499</v>
      </c>
      <c r="R304" s="137">
        <v>380.86610305647798</v>
      </c>
    </row>
    <row r="305" spans="1:18">
      <c r="A305" s="137" t="str">
        <f t="shared" si="22"/>
        <v>LGE</v>
      </c>
      <c r="B305" s="137" t="s">
        <v>923</v>
      </c>
      <c r="C305" s="137" t="str">
        <f t="shared" si="23"/>
        <v>336</v>
      </c>
      <c r="D305" s="134" t="s">
        <v>806</v>
      </c>
      <c r="E305" s="134" t="str">
        <f t="shared" si="19"/>
        <v/>
      </c>
      <c r="F305" s="137">
        <v>21.068649999999899</v>
      </c>
      <c r="G305" s="137">
        <v>21.124319999999901</v>
      </c>
      <c r="H305" s="137">
        <v>21.17999</v>
      </c>
      <c r="I305" s="137">
        <v>21.235659999999999</v>
      </c>
      <c r="J305" s="137">
        <v>21.291329999999999</v>
      </c>
      <c r="K305" s="137">
        <v>21.346999999999898</v>
      </c>
      <c r="L305" s="137">
        <v>21.402670000000001</v>
      </c>
      <c r="M305" s="137">
        <v>21.458343484663001</v>
      </c>
      <c r="N305" s="137">
        <v>21.514016969326001</v>
      </c>
      <c r="O305" s="137">
        <v>21.569690453989001</v>
      </c>
      <c r="P305" s="137">
        <v>21.625363938652001</v>
      </c>
      <c r="Q305" s="137">
        <v>21.681037423315001</v>
      </c>
      <c r="R305" s="137">
        <v>21.736710907978001</v>
      </c>
    </row>
    <row r="306" spans="1:18">
      <c r="A306" s="137" t="str">
        <f t="shared" si="22"/>
        <v>LGE</v>
      </c>
      <c r="B306" s="137" t="s">
        <v>923</v>
      </c>
      <c r="C306" s="137" t="str">
        <f t="shared" si="23"/>
        <v>337</v>
      </c>
      <c r="D306" s="134" t="s">
        <v>807</v>
      </c>
      <c r="E306" s="134" t="str">
        <f t="shared" si="19"/>
        <v>ARO</v>
      </c>
      <c r="F306" s="137">
        <v>22.331130000000002</v>
      </c>
      <c r="G306" s="137">
        <v>23.305499999999999</v>
      </c>
      <c r="H306" s="137">
        <v>24.279869999999999</v>
      </c>
      <c r="I306" s="137">
        <v>25.254239999999999</v>
      </c>
      <c r="J306" s="137">
        <v>26.058900000000001</v>
      </c>
      <c r="K306" s="137">
        <v>27.02684</v>
      </c>
      <c r="L306" s="137">
        <v>27.994779999999999</v>
      </c>
      <c r="M306" s="137">
        <v>32.892199616435597</v>
      </c>
      <c r="N306" s="137">
        <v>37.789619232871303</v>
      </c>
      <c r="O306" s="137">
        <v>42.687038849307001</v>
      </c>
      <c r="P306" s="137">
        <v>47.584458465742699</v>
      </c>
      <c r="Q306" s="137">
        <v>52.481878082178298</v>
      </c>
      <c r="R306" s="137">
        <v>57.379297698614003</v>
      </c>
    </row>
    <row r="307" spans="1:18">
      <c r="A307" s="137" t="str">
        <f t="shared" si="22"/>
        <v>LGE</v>
      </c>
      <c r="B307" s="137" t="s">
        <v>923</v>
      </c>
      <c r="C307" s="137" t="str">
        <f t="shared" si="23"/>
        <v>341</v>
      </c>
      <c r="D307" s="134" t="s">
        <v>809</v>
      </c>
      <c r="E307" s="134" t="str">
        <f t="shared" ref="E307:E379" si="24">IF(ISTEXT(MID($D307,SEARCH("FUTURE USE",$D307),3)),"FUTURE USE",IF(ISTEXT(MID($D307,SEARCH("ECR",$D307),3)),"ECR",IF(ISTEXT(MID($D307,SEARCH("ARO",$D307),3)),"ARO",IF(ISTEXT(MID($D307,SEARCH("DSM",$D307),3)),"DSM",""))))</f>
        <v/>
      </c>
      <c r="F307" s="137">
        <v>7553.7899099999904</v>
      </c>
      <c r="G307" s="137">
        <v>7607.9399400000002</v>
      </c>
      <c r="H307" s="137">
        <v>7662.08997</v>
      </c>
      <c r="I307" s="137">
        <v>7716.24</v>
      </c>
      <c r="J307" s="137">
        <v>7770.3900299999996</v>
      </c>
      <c r="K307" s="137">
        <v>7824.5400600000003</v>
      </c>
      <c r="L307" s="137">
        <v>7878.6900900000001</v>
      </c>
      <c r="M307" s="137">
        <v>7932.8552780473401</v>
      </c>
      <c r="N307" s="137">
        <v>7987.0356351886703</v>
      </c>
      <c r="O307" s="137">
        <v>8041.2159923300096</v>
      </c>
      <c r="P307" s="137">
        <v>8095.4428581596503</v>
      </c>
      <c r="Q307" s="137">
        <v>8149.7162326785901</v>
      </c>
      <c r="R307" s="137">
        <v>8203.98960719754</v>
      </c>
    </row>
    <row r="308" spans="1:18">
      <c r="A308" s="137" t="str">
        <f t="shared" si="22"/>
        <v>LGE</v>
      </c>
      <c r="B308" s="137" t="s">
        <v>923</v>
      </c>
      <c r="C308" s="137" t="str">
        <f t="shared" si="23"/>
        <v>341</v>
      </c>
      <c r="D308" s="134" t="s">
        <v>1516</v>
      </c>
      <c r="E308" s="134" t="str">
        <f t="shared" si="24"/>
        <v/>
      </c>
      <c r="F308" s="137">
        <v>4780.1995800000004</v>
      </c>
      <c r="G308" s="137">
        <v>4810.7088199999998</v>
      </c>
      <c r="H308" s="137">
        <v>4841.2180599999901</v>
      </c>
      <c r="I308" s="137">
        <v>4871.7272999999996</v>
      </c>
      <c r="J308" s="137">
        <v>4902.2368299999998</v>
      </c>
      <c r="K308" s="137">
        <v>4932.7466399999903</v>
      </c>
      <c r="L308" s="137">
        <v>4963.4036999999998</v>
      </c>
      <c r="M308" s="137">
        <v>4994.1671469559997</v>
      </c>
      <c r="N308" s="137">
        <v>5025.169456263</v>
      </c>
      <c r="O308" s="137">
        <v>5056.18229557</v>
      </c>
      <c r="P308" s="137">
        <v>5084.060119877</v>
      </c>
      <c r="Q308" s="137">
        <v>5115.092399184</v>
      </c>
      <c r="R308" s="137">
        <v>5146.1246784909999</v>
      </c>
    </row>
    <row r="309" spans="1:18">
      <c r="A309" s="137" t="str">
        <f t="shared" si="22"/>
        <v>LGE</v>
      </c>
      <c r="B309" s="137" t="s">
        <v>923</v>
      </c>
      <c r="C309" s="137" t="str">
        <f t="shared" si="23"/>
        <v>341</v>
      </c>
      <c r="D309" s="134" t="s">
        <v>1517</v>
      </c>
      <c r="E309" s="134" t="str">
        <f t="shared" si="24"/>
        <v/>
      </c>
      <c r="F309" s="137">
        <v>37.867239999999903</v>
      </c>
      <c r="G309" s="137">
        <v>41.13185</v>
      </c>
      <c r="H309" s="137">
        <v>44.396459999999998</v>
      </c>
      <c r="I309" s="137">
        <v>47.661070000000002</v>
      </c>
      <c r="J309" s="137">
        <v>50.92568</v>
      </c>
      <c r="K309" s="137">
        <v>54.190289999999997</v>
      </c>
      <c r="L309" s="137">
        <v>57.454900000000002</v>
      </c>
      <c r="M309" s="137">
        <v>60.719508670000003</v>
      </c>
      <c r="N309" s="137">
        <v>63.984117339999997</v>
      </c>
      <c r="O309" s="137">
        <v>67.248726009999999</v>
      </c>
      <c r="P309" s="137">
        <v>70.51333468</v>
      </c>
      <c r="Q309" s="137">
        <v>73.777943350000001</v>
      </c>
      <c r="R309" s="137">
        <v>77.042552020000002</v>
      </c>
    </row>
    <row r="310" spans="1:18">
      <c r="A310" s="137" t="str">
        <f t="shared" si="22"/>
        <v>LGE</v>
      </c>
      <c r="B310" s="137" t="s">
        <v>923</v>
      </c>
      <c r="C310" s="137" t="str">
        <f t="shared" si="23"/>
        <v>342</v>
      </c>
      <c r="D310" s="134" t="s">
        <v>810</v>
      </c>
      <c r="E310" s="134" t="str">
        <f t="shared" si="24"/>
        <v/>
      </c>
      <c r="F310" s="137">
        <v>3048.05782</v>
      </c>
      <c r="G310" s="137">
        <v>3076.49829</v>
      </c>
      <c r="H310" s="137">
        <v>3104.93875999999</v>
      </c>
      <c r="I310" s="137">
        <v>3133.4257200000002</v>
      </c>
      <c r="J310" s="137">
        <v>3161.9591799999998</v>
      </c>
      <c r="K310" s="137">
        <v>3190.4926399999999</v>
      </c>
      <c r="L310" s="137">
        <v>3219.0261</v>
      </c>
      <c r="M310" s="137">
        <v>3247.6285015315998</v>
      </c>
      <c r="N310" s="137">
        <v>3276.2998417058002</v>
      </c>
      <c r="O310" s="137">
        <v>3304.9711818800001</v>
      </c>
      <c r="P310" s="137">
        <v>3333.8780773826002</v>
      </c>
      <c r="Q310" s="137">
        <v>3363.0205282134998</v>
      </c>
      <c r="R310" s="137">
        <v>3392.1629790443999</v>
      </c>
    </row>
    <row r="311" spans="1:18">
      <c r="A311" s="137" t="str">
        <f t="shared" si="22"/>
        <v>LGE</v>
      </c>
      <c r="B311" s="137" t="s">
        <v>923</v>
      </c>
      <c r="C311" s="137" t="str">
        <f t="shared" si="23"/>
        <v>342</v>
      </c>
      <c r="D311" s="134" t="s">
        <v>1518</v>
      </c>
      <c r="E311" s="134" t="str">
        <f t="shared" si="24"/>
        <v/>
      </c>
      <c r="F311" s="137">
        <v>992.67345999999998</v>
      </c>
      <c r="G311" s="137">
        <v>996.85694999999998</v>
      </c>
      <c r="H311" s="137">
        <v>1001.04044</v>
      </c>
      <c r="I311" s="137">
        <v>1005.22393</v>
      </c>
      <c r="J311" s="137">
        <v>1009.40742</v>
      </c>
      <c r="K311" s="137">
        <v>1013.59091</v>
      </c>
      <c r="L311" s="137">
        <v>1017.7744</v>
      </c>
      <c r="M311" s="137">
        <v>1021.9578895643</v>
      </c>
      <c r="N311" s="137">
        <v>1026.1413791286</v>
      </c>
      <c r="O311" s="137">
        <v>1030.3248686929001</v>
      </c>
      <c r="P311" s="137">
        <v>1034.5083582571999</v>
      </c>
      <c r="Q311" s="137">
        <v>1038.6918478215</v>
      </c>
      <c r="R311" s="137">
        <v>1042.8753373858001</v>
      </c>
    </row>
    <row r="312" spans="1:18">
      <c r="A312" s="137" t="str">
        <f t="shared" si="22"/>
        <v>LGE</v>
      </c>
      <c r="B312" s="137" t="s">
        <v>923</v>
      </c>
      <c r="C312" s="137" t="str">
        <f t="shared" si="23"/>
        <v>342</v>
      </c>
      <c r="D312" s="134" t="s">
        <v>1519</v>
      </c>
      <c r="E312" s="134" t="str">
        <f t="shared" si="24"/>
        <v/>
      </c>
      <c r="F312" s="137">
        <v>1792.6130599999999</v>
      </c>
      <c r="G312" s="137">
        <v>1832.3702699999999</v>
      </c>
      <c r="H312" s="137">
        <v>1872.1274800000001</v>
      </c>
      <c r="I312" s="137">
        <v>1911.8846899999901</v>
      </c>
      <c r="J312" s="137">
        <v>1951.6418999999901</v>
      </c>
      <c r="K312" s="137">
        <v>1991.3991100000001</v>
      </c>
      <c r="L312" s="137">
        <v>2031.1563200000001</v>
      </c>
      <c r="M312" s="137">
        <v>2070.9135346503999</v>
      </c>
      <c r="N312" s="137">
        <v>2110.6707493007998</v>
      </c>
      <c r="O312" s="137">
        <v>2150.4279639512001</v>
      </c>
      <c r="P312" s="137">
        <v>2190.1851786016</v>
      </c>
      <c r="Q312" s="137">
        <v>2229.9423932519999</v>
      </c>
      <c r="R312" s="137">
        <v>2269.6996079024002</v>
      </c>
    </row>
    <row r="313" spans="1:18">
      <c r="A313" s="137" t="str">
        <f t="shared" si="22"/>
        <v>LGE</v>
      </c>
      <c r="B313" s="137" t="s">
        <v>923</v>
      </c>
      <c r="C313" s="137" t="str">
        <f t="shared" si="23"/>
        <v>343</v>
      </c>
      <c r="D313" s="134" t="s">
        <v>811</v>
      </c>
      <c r="E313" s="134" t="str">
        <f t="shared" si="24"/>
        <v/>
      </c>
      <c r="F313" s="137">
        <v>74623.698969999998</v>
      </c>
      <c r="G313" s="137">
        <v>75308.923970000003</v>
      </c>
      <c r="H313" s="137">
        <v>74061.130579999997</v>
      </c>
      <c r="I313" s="137">
        <v>74739.266220000005</v>
      </c>
      <c r="J313" s="137">
        <v>75417.53052</v>
      </c>
      <c r="K313" s="137">
        <v>76095.923479999998</v>
      </c>
      <c r="L313" s="137">
        <v>76774.317649999997</v>
      </c>
      <c r="M313" s="137">
        <v>63989.1098975731</v>
      </c>
      <c r="N313" s="137">
        <v>64667.587277835497</v>
      </c>
      <c r="O313" s="137">
        <v>65346.146630787203</v>
      </c>
      <c r="P313" s="137">
        <v>66024.940877293397</v>
      </c>
      <c r="Q313" s="137">
        <v>66702.287772337295</v>
      </c>
      <c r="R313" s="137">
        <v>67385.057447801999</v>
      </c>
    </row>
    <row r="314" spans="1:18">
      <c r="A314" s="137" t="str">
        <f t="shared" si="22"/>
        <v>LGE</v>
      </c>
      <c r="B314" s="137" t="s">
        <v>923</v>
      </c>
      <c r="C314" s="137" t="str">
        <f t="shared" si="23"/>
        <v>343</v>
      </c>
      <c r="D314" s="134" t="s">
        <v>1520</v>
      </c>
      <c r="E314" s="134" t="str">
        <f t="shared" si="24"/>
        <v/>
      </c>
      <c r="F314" s="137">
        <v>3795.5391500000001</v>
      </c>
      <c r="G314" s="137">
        <v>4000.6597700000002</v>
      </c>
      <c r="H314" s="137">
        <v>2631.6180099999901</v>
      </c>
      <c r="I314" s="137">
        <v>2831.6874299999999</v>
      </c>
      <c r="J314" s="137">
        <v>3031.7618600000001</v>
      </c>
      <c r="K314" s="137">
        <v>3231.8354399999998</v>
      </c>
      <c r="L314" s="137">
        <v>3431.90753</v>
      </c>
      <c r="M314" s="137">
        <v>3468.6649381460002</v>
      </c>
      <c r="N314" s="137">
        <v>3672.4404528679902</v>
      </c>
      <c r="O314" s="137">
        <v>3873.9518246289999</v>
      </c>
      <c r="P314" s="137">
        <v>4074.3139983289998</v>
      </c>
      <c r="Q314" s="137">
        <v>4278.2277970289997</v>
      </c>
      <c r="R314" s="137">
        <v>4482.2763257059996</v>
      </c>
    </row>
    <row r="315" spans="1:18">
      <c r="A315" s="137" t="str">
        <f t="shared" si="22"/>
        <v>LGE</v>
      </c>
      <c r="B315" s="137" t="s">
        <v>923</v>
      </c>
      <c r="C315" s="137" t="str">
        <f t="shared" si="23"/>
        <v>344</v>
      </c>
      <c r="D315" s="134" t="s">
        <v>812</v>
      </c>
      <c r="E315" s="134" t="str">
        <f t="shared" si="24"/>
        <v/>
      </c>
      <c r="F315" s="137">
        <v>22048.736570000001</v>
      </c>
      <c r="G315" s="137">
        <v>22145.86609</v>
      </c>
      <c r="H315" s="137">
        <v>22243.054619999999</v>
      </c>
      <c r="I315" s="137">
        <v>22340.26887</v>
      </c>
      <c r="J315" s="137">
        <v>22437.508860000002</v>
      </c>
      <c r="K315" s="137">
        <v>22534.74885</v>
      </c>
      <c r="L315" s="137">
        <v>22631.988840000002</v>
      </c>
      <c r="M315" s="137">
        <v>22729.228871754302</v>
      </c>
      <c r="N315" s="137">
        <v>22826.468903508601</v>
      </c>
      <c r="O315" s="137">
        <v>22922.102103515899</v>
      </c>
      <c r="P315" s="137">
        <v>22997.020247608401</v>
      </c>
      <c r="Q315" s="137">
        <v>23095.390167531401</v>
      </c>
      <c r="R315" s="137">
        <v>23193.959862787498</v>
      </c>
    </row>
    <row r="316" spans="1:18">
      <c r="A316" s="137" t="str">
        <f t="shared" si="22"/>
        <v>LGE</v>
      </c>
      <c r="B316" s="137" t="s">
        <v>923</v>
      </c>
      <c r="C316" s="137" t="str">
        <f t="shared" si="23"/>
        <v>344</v>
      </c>
      <c r="D316" s="134" t="s">
        <v>1521</v>
      </c>
      <c r="E316" s="134" t="str">
        <f t="shared" si="24"/>
        <v/>
      </c>
      <c r="F316" s="137">
        <v>1766.7972600000001</v>
      </c>
      <c r="G316" s="137">
        <v>1803.32981</v>
      </c>
      <c r="H316" s="137">
        <v>1839.8632</v>
      </c>
      <c r="I316" s="137">
        <v>1876.39679</v>
      </c>
      <c r="J316" s="137">
        <v>1912.93038</v>
      </c>
      <c r="K316" s="137">
        <v>1949.46397</v>
      </c>
      <c r="L316" s="137">
        <v>1985.99756</v>
      </c>
      <c r="M316" s="137">
        <v>2008.0387875394999</v>
      </c>
      <c r="N316" s="137">
        <v>2044.572385079</v>
      </c>
      <c r="O316" s="137">
        <v>2081.1222506220902</v>
      </c>
      <c r="P316" s="137">
        <v>2116.95299054009</v>
      </c>
      <c r="Q316" s="137">
        <v>2153.5883368292898</v>
      </c>
      <c r="R316" s="137">
        <v>2190.22368311849</v>
      </c>
    </row>
    <row r="317" spans="1:18">
      <c r="A317" s="137" t="str">
        <f t="shared" si="22"/>
        <v>LGE</v>
      </c>
      <c r="B317" s="137" t="s">
        <v>923</v>
      </c>
      <c r="C317" s="137" t="str">
        <f t="shared" si="23"/>
        <v>344</v>
      </c>
      <c r="D317" s="134" t="s">
        <v>1522</v>
      </c>
      <c r="E317" s="134" t="str">
        <f t="shared" si="24"/>
        <v/>
      </c>
      <c r="F317" s="137">
        <v>606.33468000000005</v>
      </c>
      <c r="G317" s="137">
        <v>638.46294</v>
      </c>
      <c r="H317" s="137">
        <v>670.59119999999996</v>
      </c>
      <c r="I317" s="137">
        <v>702.71946000000003</v>
      </c>
      <c r="J317" s="137">
        <v>734.84771999999998</v>
      </c>
      <c r="K317" s="137">
        <v>766.97598000000005</v>
      </c>
      <c r="L317" s="137">
        <v>799.10424</v>
      </c>
      <c r="M317" s="137">
        <v>831.40444573608397</v>
      </c>
      <c r="N317" s="137">
        <v>863.87660180214698</v>
      </c>
      <c r="O317" s="137">
        <v>896.34875786820999</v>
      </c>
      <c r="P317" s="137">
        <v>928.82091393427299</v>
      </c>
      <c r="Q317" s="137">
        <v>961.293070000336</v>
      </c>
      <c r="R317" s="137">
        <v>993.76522606639901</v>
      </c>
    </row>
    <row r="318" spans="1:18">
      <c r="A318" s="137" t="str">
        <f t="shared" si="22"/>
        <v>LGE</v>
      </c>
      <c r="B318" s="137" t="s">
        <v>923</v>
      </c>
      <c r="C318" s="137" t="str">
        <f t="shared" si="23"/>
        <v>345</v>
      </c>
      <c r="D318" s="134" t="s">
        <v>813</v>
      </c>
      <c r="E318" s="134" t="str">
        <f t="shared" si="24"/>
        <v/>
      </c>
      <c r="F318" s="137">
        <v>11056.371440000001</v>
      </c>
      <c r="G318" s="137">
        <v>11166.315860000001</v>
      </c>
      <c r="H318" s="137">
        <v>11276.264139999999</v>
      </c>
      <c r="I318" s="137">
        <v>11386.217570000001</v>
      </c>
      <c r="J318" s="137">
        <v>11496.174870000001</v>
      </c>
      <c r="K318" s="137">
        <v>11606.132320000001</v>
      </c>
      <c r="L318" s="137">
        <v>11716.08977</v>
      </c>
      <c r="M318" s="137">
        <v>11823.7464500021</v>
      </c>
      <c r="N318" s="137">
        <v>11934.0933213883</v>
      </c>
      <c r="O318" s="137">
        <v>12044.4401927745</v>
      </c>
      <c r="P318" s="137">
        <v>12154.787064160701</v>
      </c>
      <c r="Q318" s="137">
        <v>12265.133935546801</v>
      </c>
      <c r="R318" s="137">
        <v>12375.480806932999</v>
      </c>
    </row>
    <row r="319" spans="1:18">
      <c r="A319" s="137" t="str">
        <f t="shared" si="22"/>
        <v>LGE</v>
      </c>
      <c r="B319" s="137" t="s">
        <v>923</v>
      </c>
      <c r="C319" s="137" t="str">
        <f t="shared" si="23"/>
        <v>345</v>
      </c>
      <c r="D319" s="134" t="s">
        <v>1523</v>
      </c>
      <c r="E319" s="134" t="str">
        <f t="shared" si="24"/>
        <v/>
      </c>
      <c r="F319" s="137">
        <v>456.19857000000002</v>
      </c>
      <c r="G319" s="137">
        <v>473.87295999999998</v>
      </c>
      <c r="H319" s="137">
        <v>491.54768999999999</v>
      </c>
      <c r="I319" s="137">
        <v>509.22242999999997</v>
      </c>
      <c r="J319" s="137">
        <v>526.89725999999996</v>
      </c>
      <c r="K319" s="137">
        <v>544.57213999999999</v>
      </c>
      <c r="L319" s="137">
        <v>562.24684999999999</v>
      </c>
      <c r="M319" s="137">
        <v>579.92142819000003</v>
      </c>
      <c r="N319" s="137">
        <v>597.59600637999995</v>
      </c>
      <c r="O319" s="137">
        <v>615.27058456999998</v>
      </c>
      <c r="P319" s="137">
        <v>632.95165646400005</v>
      </c>
      <c r="Q319" s="137">
        <v>650.63922206200004</v>
      </c>
      <c r="R319" s="137">
        <v>668.32678766000004</v>
      </c>
    </row>
    <row r="320" spans="1:18">
      <c r="A320" s="137" t="str">
        <f t="shared" si="22"/>
        <v>LGE</v>
      </c>
      <c r="B320" s="137" t="s">
        <v>923</v>
      </c>
      <c r="C320" s="137" t="str">
        <f t="shared" si="23"/>
        <v>345</v>
      </c>
      <c r="D320" s="134" t="s">
        <v>1524</v>
      </c>
      <c r="E320" s="134" t="str">
        <f t="shared" si="24"/>
        <v/>
      </c>
      <c r="F320" s="137">
        <v>29.342939999999999</v>
      </c>
      <c r="G320" s="137">
        <v>30.378699999999998</v>
      </c>
      <c r="H320" s="137">
        <v>31.414459999999998</v>
      </c>
      <c r="I320" s="137">
        <v>32.450220000000002</v>
      </c>
      <c r="J320" s="137">
        <v>33.485979999999998</v>
      </c>
      <c r="K320" s="137">
        <v>34.521740000000001</v>
      </c>
      <c r="L320" s="137">
        <v>35.557499999999997</v>
      </c>
      <c r="M320" s="137">
        <v>36.593261672699903</v>
      </c>
      <c r="N320" s="137">
        <v>37.629023345399901</v>
      </c>
      <c r="O320" s="137">
        <v>38.664785018099899</v>
      </c>
      <c r="P320" s="137">
        <v>39.700546690799897</v>
      </c>
      <c r="Q320" s="137">
        <v>40.736308363499901</v>
      </c>
      <c r="R320" s="137">
        <v>41.772070036199899</v>
      </c>
    </row>
    <row r="321" spans="1:18">
      <c r="A321" s="137" t="str">
        <f t="shared" si="22"/>
        <v>LGE</v>
      </c>
      <c r="B321" s="137" t="s">
        <v>923</v>
      </c>
      <c r="C321" s="137" t="str">
        <f t="shared" si="23"/>
        <v>346</v>
      </c>
      <c r="D321" s="134" t="s">
        <v>814</v>
      </c>
      <c r="E321" s="134" t="str">
        <f t="shared" si="24"/>
        <v/>
      </c>
      <c r="F321" s="137">
        <v>2070.4248499999999</v>
      </c>
      <c r="G321" s="137">
        <v>2083.4744599999999</v>
      </c>
      <c r="H321" s="137">
        <v>2096.5344399999999</v>
      </c>
      <c r="I321" s="137">
        <v>2109.6047899999899</v>
      </c>
      <c r="J321" s="137">
        <v>2122.6751399999998</v>
      </c>
      <c r="K321" s="137">
        <v>2135.7454899999998</v>
      </c>
      <c r="L321" s="137">
        <v>2148.8158400000002</v>
      </c>
      <c r="M321" s="137">
        <v>2161.8861922716901</v>
      </c>
      <c r="N321" s="137">
        <v>2174.95654454339</v>
      </c>
      <c r="O321" s="137">
        <v>2188.0268968150799</v>
      </c>
      <c r="P321" s="137">
        <v>2201.0972490867798</v>
      </c>
      <c r="Q321" s="137">
        <v>2214.2254027853701</v>
      </c>
      <c r="R321" s="137">
        <v>2227.4113579108698</v>
      </c>
    </row>
    <row r="322" spans="1:18">
      <c r="A322" s="137" t="str">
        <f t="shared" si="22"/>
        <v>LGE</v>
      </c>
      <c r="B322" s="137" t="s">
        <v>923</v>
      </c>
      <c r="C322" s="137" t="str">
        <f t="shared" si="23"/>
        <v>346</v>
      </c>
      <c r="D322" s="134" t="s">
        <v>1525</v>
      </c>
      <c r="E322" s="134" t="str">
        <f t="shared" si="24"/>
        <v/>
      </c>
      <c r="F322" s="137">
        <v>36.606160000000003</v>
      </c>
      <c r="G322" s="137">
        <v>38.712809999999998</v>
      </c>
      <c r="H322" s="137">
        <v>40.827820000000003</v>
      </c>
      <c r="I322" s="137">
        <v>42.951189999999997</v>
      </c>
      <c r="J322" s="137">
        <v>45.074559999999998</v>
      </c>
      <c r="K322" s="137">
        <v>47.197929999999999</v>
      </c>
      <c r="L322" s="137">
        <v>49.321300000000001</v>
      </c>
      <c r="M322" s="137">
        <v>51.444666397500001</v>
      </c>
      <c r="N322" s="137">
        <v>53.568032795000001</v>
      </c>
      <c r="O322" s="137">
        <v>55.697792954299999</v>
      </c>
      <c r="P322" s="137">
        <v>57.833946875300001</v>
      </c>
      <c r="Q322" s="137">
        <v>60.124567042599999</v>
      </c>
      <c r="R322" s="137">
        <v>62.621954330100003</v>
      </c>
    </row>
    <row r="323" spans="1:18">
      <c r="A323" s="137" t="str">
        <f t="shared" si="22"/>
        <v>LGE</v>
      </c>
      <c r="B323" s="137" t="s">
        <v>923</v>
      </c>
      <c r="C323" s="137" t="str">
        <f t="shared" si="23"/>
        <v>346</v>
      </c>
      <c r="D323" s="134" t="s">
        <v>1526</v>
      </c>
      <c r="E323" s="134" t="str">
        <f t="shared" si="24"/>
        <v/>
      </c>
      <c r="F323" s="137">
        <v>12.56277</v>
      </c>
      <c r="G323" s="137">
        <v>13.52557</v>
      </c>
      <c r="H323" s="137">
        <v>14.48837</v>
      </c>
      <c r="I323" s="137">
        <v>15.451169999999999</v>
      </c>
      <c r="J323" s="137">
        <v>16.413969999999999</v>
      </c>
      <c r="K323" s="137">
        <v>17.37677</v>
      </c>
      <c r="L323" s="137">
        <v>18.339569999999998</v>
      </c>
      <c r="M323" s="137">
        <v>19.302369002099901</v>
      </c>
      <c r="N323" s="137">
        <v>20.2651680041999</v>
      </c>
      <c r="O323" s="137">
        <v>21.227967006299899</v>
      </c>
      <c r="P323" s="137">
        <v>22.190766008399901</v>
      </c>
      <c r="Q323" s="137">
        <v>23.1535650104999</v>
      </c>
      <c r="R323" s="137">
        <v>24.116364012599899</v>
      </c>
    </row>
    <row r="324" spans="1:18">
      <c r="A324" s="137" t="str">
        <f t="shared" si="22"/>
        <v>LGE</v>
      </c>
      <c r="B324" s="137" t="s">
        <v>923</v>
      </c>
      <c r="C324" s="137" t="str">
        <f t="shared" si="23"/>
        <v>347</v>
      </c>
      <c r="D324" s="134" t="s">
        <v>815</v>
      </c>
      <c r="E324" s="134" t="str">
        <f t="shared" si="24"/>
        <v>ARO</v>
      </c>
      <c r="F324" s="137">
        <v>13.61881</v>
      </c>
      <c r="G324" s="137">
        <v>14.088559999999999</v>
      </c>
      <c r="H324" s="137">
        <v>14.558309999999899</v>
      </c>
      <c r="I324" s="137">
        <v>15.02806</v>
      </c>
      <c r="J324" s="137">
        <v>15.497809999999999</v>
      </c>
      <c r="K324" s="137">
        <v>15.967560000000001</v>
      </c>
      <c r="L324" s="137">
        <v>16.43731</v>
      </c>
      <c r="M324" s="137">
        <v>17.030049141310599</v>
      </c>
      <c r="N324" s="137">
        <v>17.6227882826213</v>
      </c>
      <c r="O324" s="137">
        <v>18.215527423931999</v>
      </c>
      <c r="P324" s="137">
        <v>18.8082665652427</v>
      </c>
      <c r="Q324" s="137">
        <v>19.401005706553399</v>
      </c>
      <c r="R324" s="137">
        <v>19.993744847864001</v>
      </c>
    </row>
    <row r="325" spans="1:18">
      <c r="A325" s="137" t="str">
        <f t="shared" si="22"/>
        <v>LGE</v>
      </c>
      <c r="B325" s="137" t="s">
        <v>923</v>
      </c>
      <c r="C325" s="137" t="str">
        <f t="shared" si="23"/>
        <v>350</v>
      </c>
      <c r="D325" s="134" t="s">
        <v>816</v>
      </c>
      <c r="E325" s="134" t="str">
        <f t="shared" si="24"/>
        <v/>
      </c>
      <c r="F325" s="137">
        <v>347.43883</v>
      </c>
      <c r="G325" s="137">
        <v>348.06008000000003</v>
      </c>
      <c r="H325" s="137">
        <v>348.68133</v>
      </c>
      <c r="I325" s="137">
        <v>349.30257999999998</v>
      </c>
      <c r="J325" s="137">
        <v>349.92383000000001</v>
      </c>
      <c r="K325" s="137">
        <v>350.54507999999998</v>
      </c>
      <c r="L325" s="137">
        <v>351.16633000000002</v>
      </c>
      <c r="M325" s="137">
        <v>351.78757778800002</v>
      </c>
      <c r="N325" s="137">
        <v>352.40882557600003</v>
      </c>
      <c r="O325" s="137">
        <v>353.03007336399997</v>
      </c>
      <c r="P325" s="137">
        <v>353.65132115199998</v>
      </c>
      <c r="Q325" s="137">
        <v>354.27256893999999</v>
      </c>
      <c r="R325" s="137">
        <v>354.89381672799999</v>
      </c>
    </row>
    <row r="326" spans="1:18">
      <c r="A326" s="137" t="str">
        <f t="shared" si="22"/>
        <v>LGE</v>
      </c>
      <c r="B326" s="137" t="s">
        <v>923</v>
      </c>
      <c r="C326" s="137" t="str">
        <f t="shared" si="23"/>
        <v>350</v>
      </c>
      <c r="D326" s="134" t="s">
        <v>817</v>
      </c>
      <c r="E326" s="134" t="str">
        <f t="shared" si="24"/>
        <v/>
      </c>
      <c r="F326" s="137">
        <v>2859.7694700000002</v>
      </c>
      <c r="G326" s="137">
        <v>2867.3064899999999</v>
      </c>
      <c r="H326" s="137">
        <v>2874.8435099999901</v>
      </c>
      <c r="I326" s="137">
        <v>2882.3805299999999</v>
      </c>
      <c r="J326" s="137">
        <v>2889.9175499999901</v>
      </c>
      <c r="K326" s="137">
        <v>2897.4545699999999</v>
      </c>
      <c r="L326" s="137">
        <v>2904.9915900000001</v>
      </c>
      <c r="M326" s="137">
        <v>2912.5286121730001</v>
      </c>
      <c r="N326" s="137">
        <v>2920.065634346</v>
      </c>
      <c r="O326" s="137">
        <v>2927.602656519</v>
      </c>
      <c r="P326" s="137">
        <v>2935.139678692</v>
      </c>
      <c r="Q326" s="137">
        <v>2942.6767008649999</v>
      </c>
      <c r="R326" s="137">
        <v>2947.4218930379998</v>
      </c>
    </row>
    <row r="327" spans="1:18">
      <c r="A327" s="137" t="str">
        <f t="shared" si="22"/>
        <v>LGE</v>
      </c>
      <c r="B327" s="137" t="s">
        <v>923</v>
      </c>
      <c r="C327" s="137" t="str">
        <f t="shared" si="23"/>
        <v>352</v>
      </c>
      <c r="D327" s="134" t="s">
        <v>818</v>
      </c>
      <c r="E327" s="134" t="str">
        <f t="shared" si="24"/>
        <v/>
      </c>
      <c r="F327" s="137">
        <v>92.076030000000003</v>
      </c>
      <c r="G327" s="137">
        <v>92.401179999999997</v>
      </c>
      <c r="H327" s="137">
        <v>92.726330000000004</v>
      </c>
      <c r="I327" s="137">
        <v>93.051479999999998</v>
      </c>
      <c r="J327" s="137">
        <v>93.376629999999906</v>
      </c>
      <c r="K327" s="137">
        <v>93.701779999999999</v>
      </c>
      <c r="L327" s="137">
        <v>94.026929999999993</v>
      </c>
      <c r="M327" s="137">
        <v>94.353599021799994</v>
      </c>
      <c r="N327" s="137">
        <v>94.681789121599905</v>
      </c>
      <c r="O327" s="137">
        <v>95.009979221399902</v>
      </c>
      <c r="P327" s="137">
        <v>95.338169321199899</v>
      </c>
      <c r="Q327" s="137">
        <v>95.666359420999896</v>
      </c>
      <c r="R327" s="137">
        <v>95.994549520799893</v>
      </c>
    </row>
    <row r="328" spans="1:18">
      <c r="A328" s="137" t="str">
        <f t="shared" si="22"/>
        <v>LGE</v>
      </c>
      <c r="B328" s="137" t="s">
        <v>923</v>
      </c>
      <c r="C328" s="137" t="str">
        <f t="shared" si="23"/>
        <v>352</v>
      </c>
      <c r="D328" s="134" t="s">
        <v>819</v>
      </c>
      <c r="E328" s="134" t="str">
        <f t="shared" si="24"/>
        <v/>
      </c>
      <c r="F328" s="137">
        <v>572.41471999999999</v>
      </c>
      <c r="G328" s="137">
        <v>585.40454999999997</v>
      </c>
      <c r="H328" s="137">
        <v>598.39437999999996</v>
      </c>
      <c r="I328" s="137">
        <v>611.38420999999903</v>
      </c>
      <c r="J328" s="137">
        <v>624.37404000000004</v>
      </c>
      <c r="K328" s="137">
        <v>637.36387000000002</v>
      </c>
      <c r="L328" s="137">
        <v>650.3537</v>
      </c>
      <c r="M328" s="137">
        <v>663.34353141899999</v>
      </c>
      <c r="N328" s="137">
        <v>676.33336283799997</v>
      </c>
      <c r="O328" s="137">
        <v>689.32319425699995</v>
      </c>
      <c r="P328" s="137">
        <v>702.31302567599903</v>
      </c>
      <c r="Q328" s="137">
        <v>715.30285709499901</v>
      </c>
      <c r="R328" s="137">
        <v>728.292688513999</v>
      </c>
    </row>
    <row r="329" spans="1:18">
      <c r="A329" s="137" t="str">
        <f t="shared" si="22"/>
        <v>LGE</v>
      </c>
      <c r="B329" s="137" t="s">
        <v>923</v>
      </c>
      <c r="C329" s="137" t="str">
        <f t="shared" si="23"/>
        <v>352</v>
      </c>
      <c r="D329" s="134" t="s">
        <v>820</v>
      </c>
      <c r="E329" s="134" t="str">
        <f t="shared" si="24"/>
        <v/>
      </c>
      <c r="F329" s="137">
        <v>1724.52414</v>
      </c>
      <c r="G329" s="137">
        <v>1736.1846</v>
      </c>
      <c r="H329" s="137">
        <v>1747.8450600000001</v>
      </c>
      <c r="I329" s="137">
        <v>1753.67866</v>
      </c>
      <c r="J329" s="137">
        <v>1765.5614499999999</v>
      </c>
      <c r="K329" s="137">
        <v>1766.2837300000001</v>
      </c>
      <c r="L329" s="137">
        <v>1778.24884</v>
      </c>
      <c r="M329" s="137">
        <v>1790.213620366</v>
      </c>
      <c r="N329" s="137">
        <v>1802.178400732</v>
      </c>
      <c r="O329" s="137">
        <v>1814.143181098</v>
      </c>
      <c r="P329" s="137">
        <v>1826.107961464</v>
      </c>
      <c r="Q329" s="137">
        <v>1838.07274183</v>
      </c>
      <c r="R329" s="137">
        <v>1850.304896873</v>
      </c>
    </row>
    <row r="330" spans="1:18">
      <c r="A330" s="137" t="str">
        <f t="shared" si="22"/>
        <v>LGE</v>
      </c>
      <c r="B330" s="137" t="s">
        <v>923</v>
      </c>
      <c r="C330" s="137" t="str">
        <f t="shared" si="23"/>
        <v>353</v>
      </c>
      <c r="D330" s="134" t="s">
        <v>821</v>
      </c>
      <c r="E330" s="134" t="str">
        <f t="shared" si="24"/>
        <v/>
      </c>
      <c r="F330" s="137">
        <v>38.306999999999903</v>
      </c>
      <c r="G330" s="137">
        <v>39.131120000000003</v>
      </c>
      <c r="H330" s="137">
        <v>39.955239999999897</v>
      </c>
      <c r="I330" s="137">
        <v>40.779359999999997</v>
      </c>
      <c r="J330" s="137">
        <v>41.603479999999998</v>
      </c>
      <c r="K330" s="137">
        <v>42.427599999999998</v>
      </c>
      <c r="L330" s="137">
        <v>43.251719999999999</v>
      </c>
      <c r="M330" s="137">
        <v>44.075833987029903</v>
      </c>
      <c r="N330" s="137">
        <v>44.899947974059899</v>
      </c>
      <c r="O330" s="137">
        <v>45.724061961089902</v>
      </c>
      <c r="P330" s="137">
        <v>46.548175948119898</v>
      </c>
      <c r="Q330" s="137">
        <v>47.372289935149901</v>
      </c>
      <c r="R330" s="137">
        <v>47.109723922179903</v>
      </c>
    </row>
    <row r="331" spans="1:18">
      <c r="A331" s="137" t="str">
        <f t="shared" si="22"/>
        <v>LGE</v>
      </c>
      <c r="B331" s="137" t="s">
        <v>923</v>
      </c>
      <c r="C331" s="137" t="str">
        <f t="shared" si="23"/>
        <v>353</v>
      </c>
      <c r="D331" s="134" t="s">
        <v>822</v>
      </c>
      <c r="E331" s="134" t="str">
        <f t="shared" si="24"/>
        <v/>
      </c>
      <c r="F331" s="137">
        <v>7831.6529700000001</v>
      </c>
      <c r="G331" s="137">
        <v>7856.4529000000002</v>
      </c>
      <c r="H331" s="137">
        <v>7881.3394799999996</v>
      </c>
      <c r="I331" s="137">
        <v>7897.9657699999998</v>
      </c>
      <c r="J331" s="137">
        <v>7897.0476399999998</v>
      </c>
      <c r="K331" s="137">
        <v>7922.0169900000001</v>
      </c>
      <c r="L331" s="137">
        <v>7946.9933499999997</v>
      </c>
      <c r="M331" s="137">
        <v>7968.4345782907903</v>
      </c>
      <c r="N331" s="137">
        <v>7993.47496139749</v>
      </c>
      <c r="O331" s="137">
        <v>8018.5153445041897</v>
      </c>
      <c r="P331" s="137">
        <v>8043.5557276108902</v>
      </c>
      <c r="Q331" s="137">
        <v>8068.5961107175899</v>
      </c>
      <c r="R331" s="137">
        <v>8093.6364938242896</v>
      </c>
    </row>
    <row r="332" spans="1:18">
      <c r="A332" s="137" t="str">
        <f t="shared" si="22"/>
        <v>LGE</v>
      </c>
      <c r="B332" s="137" t="s">
        <v>923</v>
      </c>
      <c r="C332" s="137" t="str">
        <f t="shared" si="23"/>
        <v>353</v>
      </c>
      <c r="D332" s="134" t="s">
        <v>823</v>
      </c>
      <c r="E332" s="134" t="str">
        <f t="shared" si="24"/>
        <v/>
      </c>
      <c r="F332" s="137">
        <v>61640.454659999901</v>
      </c>
      <c r="G332" s="137">
        <v>61826.002849999997</v>
      </c>
      <c r="H332" s="137">
        <v>61810.568429999999</v>
      </c>
      <c r="I332" s="137">
        <v>61878.65137</v>
      </c>
      <c r="J332" s="137">
        <v>61681.222260000002</v>
      </c>
      <c r="K332" s="137">
        <v>60899.249530000001</v>
      </c>
      <c r="L332" s="137">
        <v>60903.640140000003</v>
      </c>
      <c r="M332" s="137">
        <v>60403.817599636001</v>
      </c>
      <c r="N332" s="137">
        <v>60622.663193066997</v>
      </c>
      <c r="O332" s="137">
        <v>60884.753528797002</v>
      </c>
      <c r="P332" s="137">
        <v>61128.419733176001</v>
      </c>
      <c r="Q332" s="137">
        <v>61401.971977162</v>
      </c>
      <c r="R332" s="137">
        <v>61698.504695531003</v>
      </c>
    </row>
    <row r="333" spans="1:18">
      <c r="A333" s="137" t="str">
        <f t="shared" si="22"/>
        <v>LGE</v>
      </c>
      <c r="B333" s="137" t="s">
        <v>923</v>
      </c>
      <c r="C333" s="137" t="str">
        <f t="shared" si="23"/>
        <v>354</v>
      </c>
      <c r="D333" s="134" t="s">
        <v>824</v>
      </c>
      <c r="E333" s="134" t="str">
        <f t="shared" si="24"/>
        <v/>
      </c>
      <c r="F333" s="137">
        <v>5482.4275799999996</v>
      </c>
      <c r="G333" s="137">
        <v>5503.5960100000002</v>
      </c>
      <c r="H333" s="137">
        <v>5524.7644399999999</v>
      </c>
      <c r="I333" s="137">
        <v>5545.9328699999996</v>
      </c>
      <c r="J333" s="137">
        <v>5567.1013000000003</v>
      </c>
      <c r="K333" s="137">
        <v>5588.26973</v>
      </c>
      <c r="L333" s="137">
        <v>5609.4381599999997</v>
      </c>
      <c r="M333" s="137">
        <v>5630.6065970619002</v>
      </c>
      <c r="N333" s="137">
        <v>5651.7750341237997</v>
      </c>
      <c r="O333" s="137">
        <v>5672.9434711857002</v>
      </c>
      <c r="P333" s="137">
        <v>5694.1119082475998</v>
      </c>
      <c r="Q333" s="137">
        <v>5715.2803453095003</v>
      </c>
      <c r="R333" s="137">
        <v>5736.4487823713998</v>
      </c>
    </row>
    <row r="334" spans="1:18">
      <c r="A334" s="137" t="str">
        <f t="shared" si="22"/>
        <v>LGE</v>
      </c>
      <c r="B334" s="137" t="s">
        <v>923</v>
      </c>
      <c r="C334" s="137" t="str">
        <f t="shared" si="23"/>
        <v>354</v>
      </c>
      <c r="D334" s="134" t="s">
        <v>825</v>
      </c>
      <c r="E334" s="134" t="str">
        <f t="shared" si="24"/>
        <v/>
      </c>
      <c r="F334" s="137">
        <v>20407.280170000002</v>
      </c>
      <c r="G334" s="137">
        <v>20453.342989999899</v>
      </c>
      <c r="H334" s="137">
        <v>20499.40581</v>
      </c>
      <c r="I334" s="137">
        <v>20545.468629999999</v>
      </c>
      <c r="J334" s="137">
        <v>20590.133699999998</v>
      </c>
      <c r="K334" s="137">
        <v>20636.200710000001</v>
      </c>
      <c r="L334" s="137">
        <v>20682.26772</v>
      </c>
      <c r="M334" s="137">
        <v>20728.334727848</v>
      </c>
      <c r="N334" s="137">
        <v>20774.401735695999</v>
      </c>
      <c r="O334" s="137">
        <v>20820.468743543999</v>
      </c>
      <c r="P334" s="137">
        <v>20866.535751391999</v>
      </c>
      <c r="Q334" s="137">
        <v>20912.602759239999</v>
      </c>
      <c r="R334" s="137">
        <v>20958.669767087998</v>
      </c>
    </row>
    <row r="335" spans="1:18">
      <c r="A335" s="137" t="str">
        <f t="shared" si="22"/>
        <v>LGE</v>
      </c>
      <c r="B335" s="137" t="s">
        <v>923</v>
      </c>
      <c r="C335" s="137" t="str">
        <f t="shared" si="23"/>
        <v>355</v>
      </c>
      <c r="D335" s="134" t="s">
        <v>826</v>
      </c>
      <c r="E335" s="134" t="str">
        <f t="shared" si="24"/>
        <v/>
      </c>
      <c r="F335" s="137">
        <v>2084.6505099999999</v>
      </c>
      <c r="G335" s="137">
        <v>2119.11339</v>
      </c>
      <c r="H335" s="137">
        <v>2153.57627</v>
      </c>
      <c r="I335" s="137">
        <v>2188.0391500000001</v>
      </c>
      <c r="J335" s="137">
        <v>2222.5020299999901</v>
      </c>
      <c r="K335" s="137">
        <v>2256.9649100000001</v>
      </c>
      <c r="L335" s="137">
        <v>2291.4277900000002</v>
      </c>
      <c r="M335" s="137">
        <v>2325.8906731110001</v>
      </c>
      <c r="N335" s="137">
        <v>2360.353556222</v>
      </c>
      <c r="O335" s="137">
        <v>2394.8164393329998</v>
      </c>
      <c r="P335" s="137">
        <v>2429.2793224440002</v>
      </c>
      <c r="Q335" s="137">
        <v>2463.7422055550001</v>
      </c>
      <c r="R335" s="137">
        <v>2498.2050886659999</v>
      </c>
    </row>
    <row r="336" spans="1:18">
      <c r="A336" s="137" t="str">
        <f t="shared" si="22"/>
        <v>LGE</v>
      </c>
      <c r="B336" s="137" t="s">
        <v>923</v>
      </c>
      <c r="C336" s="137" t="str">
        <f t="shared" si="23"/>
        <v>355</v>
      </c>
      <c r="D336" s="134" t="s">
        <v>827</v>
      </c>
      <c r="E336" s="134" t="str">
        <f t="shared" si="24"/>
        <v/>
      </c>
      <c r="F336" s="137">
        <v>23957.529279999999</v>
      </c>
      <c r="G336" s="137">
        <v>24159.3541999999</v>
      </c>
      <c r="H336" s="137">
        <v>24361.386999999999</v>
      </c>
      <c r="I336" s="137">
        <v>24552.16401</v>
      </c>
      <c r="J336" s="137">
        <v>24593.782070000001</v>
      </c>
      <c r="K336" s="137">
        <v>24797.472880000001</v>
      </c>
      <c r="L336" s="137">
        <v>24649.83484</v>
      </c>
      <c r="M336" s="137">
        <v>24750.827620010001</v>
      </c>
      <c r="N336" s="137">
        <v>24962.07026878</v>
      </c>
      <c r="O336" s="137">
        <v>25173.417312149999</v>
      </c>
      <c r="P336" s="137">
        <v>25384.807602230001</v>
      </c>
      <c r="Q336" s="137">
        <v>25597.981348609999</v>
      </c>
      <c r="R336" s="137">
        <v>25812.97771739</v>
      </c>
    </row>
    <row r="337" spans="1:18">
      <c r="A337" s="137" t="str">
        <f t="shared" si="22"/>
        <v>LGE</v>
      </c>
      <c r="B337" s="137" t="s">
        <v>923</v>
      </c>
      <c r="C337" s="137" t="str">
        <f t="shared" si="23"/>
        <v>356</v>
      </c>
      <c r="D337" s="134" t="s">
        <v>828</v>
      </c>
      <c r="E337" s="134" t="str">
        <f t="shared" si="24"/>
        <v/>
      </c>
      <c r="F337" s="137">
        <v>3681.37203</v>
      </c>
      <c r="G337" s="137">
        <v>3698.8647599999999</v>
      </c>
      <c r="H337" s="137">
        <v>3716.3574899999999</v>
      </c>
      <c r="I337" s="137">
        <v>3733.8502199999998</v>
      </c>
      <c r="J337" s="137">
        <v>3751.3429500000002</v>
      </c>
      <c r="K337" s="137">
        <v>3768.8356800000001</v>
      </c>
      <c r="L337" s="137">
        <v>3786.3284100000001</v>
      </c>
      <c r="M337" s="137">
        <v>3803.821142064</v>
      </c>
      <c r="N337" s="137">
        <v>3821.313874128</v>
      </c>
      <c r="O337" s="137">
        <v>3838.8066061919999</v>
      </c>
      <c r="P337" s="137">
        <v>3856.2993382559998</v>
      </c>
      <c r="Q337" s="137">
        <v>3873.7920703199902</v>
      </c>
      <c r="R337" s="137">
        <v>3891.2848023839902</v>
      </c>
    </row>
    <row r="338" spans="1:18">
      <c r="A338" s="137" t="str">
        <f t="shared" si="22"/>
        <v>LGE</v>
      </c>
      <c r="B338" s="137" t="s">
        <v>923</v>
      </c>
      <c r="C338" s="137" t="str">
        <f t="shared" si="23"/>
        <v>356</v>
      </c>
      <c r="D338" s="134" t="s">
        <v>829</v>
      </c>
      <c r="E338" s="134" t="str">
        <f t="shared" si="24"/>
        <v/>
      </c>
      <c r="F338" s="137">
        <v>24841.664120000001</v>
      </c>
      <c r="G338" s="137">
        <v>24989.543659999999</v>
      </c>
      <c r="H338" s="137">
        <v>25137.8488799999</v>
      </c>
      <c r="I338" s="137">
        <v>25255.513319999998</v>
      </c>
      <c r="J338" s="137">
        <v>25255.45448</v>
      </c>
      <c r="K338" s="137">
        <v>25404.79492</v>
      </c>
      <c r="L338" s="137">
        <v>25497.171149999998</v>
      </c>
      <c r="M338" s="137">
        <v>25648.537022971999</v>
      </c>
      <c r="N338" s="137">
        <v>25800.841185943998</v>
      </c>
      <c r="O338" s="137">
        <v>25953.145348915899</v>
      </c>
      <c r="P338" s="137">
        <v>26105.449511887899</v>
      </c>
      <c r="Q338" s="137">
        <v>26257.753674859901</v>
      </c>
      <c r="R338" s="137">
        <v>26410.057837831901</v>
      </c>
    </row>
    <row r="339" spans="1:18">
      <c r="A339" s="137" t="str">
        <f t="shared" si="22"/>
        <v>LGE</v>
      </c>
      <c r="B339" s="137" t="s">
        <v>923</v>
      </c>
      <c r="C339" s="137" t="str">
        <f t="shared" si="23"/>
        <v>357</v>
      </c>
      <c r="D339" s="134" t="s">
        <v>830</v>
      </c>
      <c r="E339" s="134" t="str">
        <f t="shared" si="24"/>
        <v/>
      </c>
      <c r="F339" s="137">
        <v>639.83213999999998</v>
      </c>
      <c r="G339" s="137">
        <v>642.55188999999996</v>
      </c>
      <c r="H339" s="137">
        <v>645.27164000000005</v>
      </c>
      <c r="I339" s="137">
        <v>647.99139000000002</v>
      </c>
      <c r="J339" s="137">
        <v>744.08181999999999</v>
      </c>
      <c r="K339" s="137">
        <v>746.90593000000001</v>
      </c>
      <c r="L339" s="137">
        <v>749.65711999999996</v>
      </c>
      <c r="M339" s="137">
        <v>752.40830950279997</v>
      </c>
      <c r="N339" s="137">
        <v>755.15949900559997</v>
      </c>
      <c r="O339" s="137">
        <v>757.91068850839997</v>
      </c>
      <c r="P339" s="137">
        <v>760.66187801119997</v>
      </c>
      <c r="Q339" s="137">
        <v>763.41306751399998</v>
      </c>
      <c r="R339" s="137">
        <v>766.16425701679998</v>
      </c>
    </row>
    <row r="340" spans="1:18">
      <c r="A340" s="137" t="str">
        <f t="shared" si="22"/>
        <v>LGE</v>
      </c>
      <c r="B340" s="137" t="s">
        <v>923</v>
      </c>
      <c r="C340" s="137" t="str">
        <f t="shared" si="23"/>
        <v>358</v>
      </c>
      <c r="D340" s="134" t="s">
        <v>831</v>
      </c>
      <c r="E340" s="134" t="str">
        <f t="shared" si="24"/>
        <v/>
      </c>
      <c r="F340" s="137">
        <v>3328.3340499999999</v>
      </c>
      <c r="G340" s="137">
        <v>3343.3239199999998</v>
      </c>
      <c r="H340" s="137">
        <v>3358.3137900000002</v>
      </c>
      <c r="I340" s="137">
        <v>3373.30366</v>
      </c>
      <c r="J340" s="137">
        <v>3512.2475199999999</v>
      </c>
      <c r="K340" s="137">
        <v>3527.5516600000001</v>
      </c>
      <c r="L340" s="137">
        <v>3542.8557999999998</v>
      </c>
      <c r="M340" s="137">
        <v>3539.8136643289899</v>
      </c>
      <c r="N340" s="137">
        <v>3555.1229762989901</v>
      </c>
      <c r="O340" s="137">
        <v>3570.4322882689999</v>
      </c>
      <c r="P340" s="137">
        <v>3585.741600239</v>
      </c>
      <c r="Q340" s="137">
        <v>3601.0509122090002</v>
      </c>
      <c r="R340" s="137">
        <v>3616.3602241789999</v>
      </c>
    </row>
    <row r="341" spans="1:18">
      <c r="A341" s="137" t="str">
        <f t="shared" si="22"/>
        <v>LGE</v>
      </c>
      <c r="B341" s="137" t="s">
        <v>923</v>
      </c>
      <c r="C341" s="137" t="str">
        <f t="shared" si="23"/>
        <v>359</v>
      </c>
      <c r="D341" s="134" t="s">
        <v>832</v>
      </c>
      <c r="E341" s="134" t="str">
        <f t="shared" si="24"/>
        <v>ARO</v>
      </c>
      <c r="F341" s="137">
        <v>35.649259999999998</v>
      </c>
      <c r="G341" s="137">
        <v>36.197189999999999</v>
      </c>
      <c r="H341" s="137">
        <v>36.74512</v>
      </c>
      <c r="I341" s="137">
        <v>37.293050000000001</v>
      </c>
      <c r="J341" s="137">
        <v>37.840980000000002</v>
      </c>
      <c r="K341" s="137">
        <v>38.388910000000003</v>
      </c>
      <c r="L341" s="137">
        <v>38.685499999999998</v>
      </c>
      <c r="M341" s="137">
        <v>39.376888095153497</v>
      </c>
      <c r="N341" s="137">
        <v>40.068276190307003</v>
      </c>
      <c r="O341" s="137">
        <v>40.759664285460502</v>
      </c>
      <c r="P341" s="137">
        <v>41.451052380614001</v>
      </c>
      <c r="Q341" s="137">
        <v>42.142440475767501</v>
      </c>
      <c r="R341" s="137">
        <v>42.833828570921</v>
      </c>
    </row>
    <row r="342" spans="1:18">
      <c r="A342" s="137" t="str">
        <f t="shared" si="22"/>
        <v>LGE</v>
      </c>
      <c r="B342" s="137" t="s">
        <v>923</v>
      </c>
      <c r="C342" s="137" t="str">
        <f t="shared" si="23"/>
        <v>360</v>
      </c>
      <c r="D342" s="134" t="s">
        <v>834</v>
      </c>
      <c r="E342" s="134" t="str">
        <f t="shared" si="24"/>
        <v/>
      </c>
      <c r="F342" s="137">
        <v>0</v>
      </c>
      <c r="G342" s="137">
        <v>0</v>
      </c>
      <c r="H342" s="137">
        <v>0</v>
      </c>
      <c r="I342" s="137">
        <v>0</v>
      </c>
      <c r="J342" s="137">
        <v>0</v>
      </c>
      <c r="K342" s="137">
        <v>0</v>
      </c>
      <c r="L342" s="137">
        <v>0</v>
      </c>
      <c r="M342" s="137">
        <v>-46.07846</v>
      </c>
      <c r="N342" s="137">
        <v>-46.07846</v>
      </c>
      <c r="O342" s="137">
        <v>-46.07846</v>
      </c>
      <c r="P342" s="137">
        <v>-46.07846</v>
      </c>
      <c r="Q342" s="137">
        <v>-46.07846</v>
      </c>
      <c r="R342" s="137">
        <v>-46.07846</v>
      </c>
    </row>
    <row r="343" spans="1:18">
      <c r="A343" s="137" t="str">
        <f t="shared" si="22"/>
        <v>LGE</v>
      </c>
      <c r="B343" s="137" t="s">
        <v>923</v>
      </c>
      <c r="C343" s="137" t="str">
        <f t="shared" si="23"/>
        <v>361</v>
      </c>
      <c r="D343" s="134" t="s">
        <v>835</v>
      </c>
      <c r="E343" s="134" t="str">
        <f t="shared" si="24"/>
        <v/>
      </c>
      <c r="F343" s="137">
        <v>2347.5412999999999</v>
      </c>
      <c r="G343" s="137">
        <v>2359.4561600000002</v>
      </c>
      <c r="H343" s="137">
        <v>2371.37102</v>
      </c>
      <c r="I343" s="137">
        <v>2383.2858799999999</v>
      </c>
      <c r="J343" s="137">
        <v>2395.27342</v>
      </c>
      <c r="K343" s="137">
        <v>2407.36913</v>
      </c>
      <c r="L343" s="137">
        <v>2419.5002999999901</v>
      </c>
      <c r="M343" s="137">
        <v>2351.2005950439898</v>
      </c>
      <c r="N343" s="137">
        <v>2366.56189063999</v>
      </c>
      <c r="O343" s="137">
        <v>2384.0160659199901</v>
      </c>
      <c r="P343" s="137">
        <v>2403.5202411999899</v>
      </c>
      <c r="Q343" s="137">
        <v>2425.0751001549902</v>
      </c>
      <c r="R343" s="137">
        <v>2446.7008280329901</v>
      </c>
    </row>
    <row r="344" spans="1:18">
      <c r="A344" s="137" t="str">
        <f t="shared" si="22"/>
        <v>LGE</v>
      </c>
      <c r="B344" s="137" t="s">
        <v>924</v>
      </c>
      <c r="C344" s="137" t="str">
        <f t="shared" si="23"/>
        <v>362</v>
      </c>
      <c r="D344" s="134" t="s">
        <v>836</v>
      </c>
      <c r="E344" s="134" t="str">
        <f t="shared" si="24"/>
        <v>FUTURE USE</v>
      </c>
      <c r="F344" s="137">
        <v>9.8899999999999995E-3</v>
      </c>
      <c r="G344" s="137">
        <v>9.8899999999999995E-3</v>
      </c>
      <c r="H344" s="137">
        <v>9.8899999999999995E-3</v>
      </c>
      <c r="I344" s="137">
        <v>9.8899999999999995E-3</v>
      </c>
      <c r="J344" s="137">
        <v>9.8899999999999995E-3</v>
      </c>
      <c r="K344" s="137">
        <v>9.8899999999999995E-3</v>
      </c>
      <c r="L344" s="137">
        <v>9.8899999999999995E-3</v>
      </c>
      <c r="M344" s="137">
        <v>9.8899999999999995E-3</v>
      </c>
      <c r="N344" s="137">
        <v>9.8899999999999995E-3</v>
      </c>
      <c r="O344" s="137">
        <v>9.8899999999999995E-3</v>
      </c>
      <c r="P344" s="137">
        <v>9.8899999999999995E-3</v>
      </c>
      <c r="Q344" s="137">
        <v>9.8899999999999995E-3</v>
      </c>
      <c r="R344" s="137">
        <v>9.8899999999999995E-3</v>
      </c>
    </row>
    <row r="345" spans="1:18">
      <c r="A345" s="137" t="str">
        <f t="shared" si="22"/>
        <v>LGE</v>
      </c>
      <c r="B345" s="137" t="s">
        <v>923</v>
      </c>
      <c r="C345" s="137" t="str">
        <f t="shared" si="23"/>
        <v>362</v>
      </c>
      <c r="D345" s="134" t="s">
        <v>837</v>
      </c>
      <c r="E345" s="134" t="str">
        <f t="shared" si="24"/>
        <v/>
      </c>
      <c r="F345" s="137">
        <v>45310.130239999999</v>
      </c>
      <c r="G345" s="137">
        <v>45449.158210000001</v>
      </c>
      <c r="H345" s="137">
        <v>45652.267439999901</v>
      </c>
      <c r="I345" s="137">
        <v>45895.103459999998</v>
      </c>
      <c r="J345" s="137">
        <v>46118.048510000001</v>
      </c>
      <c r="K345" s="137">
        <v>46092.029069999997</v>
      </c>
      <c r="L345" s="137">
        <v>46336.1325</v>
      </c>
      <c r="M345" s="137">
        <v>46058.793434352003</v>
      </c>
      <c r="N345" s="137">
        <v>46238.4888195409</v>
      </c>
      <c r="O345" s="137">
        <v>46458.964118615899</v>
      </c>
      <c r="P345" s="137">
        <v>46699.545141452902</v>
      </c>
      <c r="Q345" s="137">
        <v>46941.569196261902</v>
      </c>
      <c r="R345" s="137">
        <v>46920.534276345898</v>
      </c>
    </row>
    <row r="346" spans="1:18">
      <c r="A346" s="137" t="str">
        <f t="shared" si="22"/>
        <v>LGE</v>
      </c>
      <c r="B346" s="137" t="s">
        <v>923</v>
      </c>
      <c r="C346" s="137" t="str">
        <f t="shared" si="23"/>
        <v>364</v>
      </c>
      <c r="D346" s="134" t="s">
        <v>838</v>
      </c>
      <c r="E346" s="134" t="str">
        <f t="shared" si="24"/>
        <v/>
      </c>
      <c r="F346" s="137">
        <v>81010.624219999998</v>
      </c>
      <c r="G346" s="137">
        <v>81502.986900000004</v>
      </c>
      <c r="H346" s="137">
        <v>82002.999159999905</v>
      </c>
      <c r="I346" s="137">
        <v>82263.379300000001</v>
      </c>
      <c r="J346" s="137">
        <v>82802.694340000002</v>
      </c>
      <c r="K346" s="137">
        <v>83022.923760000005</v>
      </c>
      <c r="L346" s="137">
        <v>83046.270049999905</v>
      </c>
      <c r="M346" s="137">
        <v>81585.956849199996</v>
      </c>
      <c r="N346" s="137">
        <v>82038.169114179997</v>
      </c>
      <c r="O346" s="137">
        <v>82490.909812140002</v>
      </c>
      <c r="P346" s="137">
        <v>82943.793862480001</v>
      </c>
      <c r="Q346" s="137">
        <v>83399.862315110004</v>
      </c>
      <c r="R346" s="137">
        <v>83571.512410709998</v>
      </c>
    </row>
    <row r="347" spans="1:18">
      <c r="A347" s="137" t="str">
        <f t="shared" si="22"/>
        <v>LGE</v>
      </c>
      <c r="B347" s="137" t="s">
        <v>923</v>
      </c>
      <c r="C347" s="137" t="str">
        <f t="shared" si="23"/>
        <v>365</v>
      </c>
      <c r="D347" s="134" t="s">
        <v>839</v>
      </c>
      <c r="E347" s="134" t="str">
        <f t="shared" si="24"/>
        <v/>
      </c>
      <c r="F347" s="137">
        <v>122611.96090000001</v>
      </c>
      <c r="G347" s="137">
        <v>123423.1103</v>
      </c>
      <c r="H347" s="137">
        <v>124160.5551</v>
      </c>
      <c r="I347" s="137">
        <v>124667.0059</v>
      </c>
      <c r="J347" s="137">
        <v>125524.05039999999</v>
      </c>
      <c r="K347" s="137">
        <v>125697.1231</v>
      </c>
      <c r="L347" s="137">
        <v>125047.4685</v>
      </c>
      <c r="M347" s="137">
        <v>124281.59201012</v>
      </c>
      <c r="N347" s="137">
        <v>125063.60011319999</v>
      </c>
      <c r="O347" s="137">
        <v>125873.16753623</v>
      </c>
      <c r="P347" s="137">
        <v>126670.87724635001</v>
      </c>
      <c r="Q347" s="137">
        <v>127499.25423886999</v>
      </c>
      <c r="R347" s="137">
        <v>128066.31085485</v>
      </c>
    </row>
    <row r="348" spans="1:18">
      <c r="A348" s="137" t="str">
        <f t="shared" si="22"/>
        <v>LGE</v>
      </c>
      <c r="B348" s="137" t="s">
        <v>923</v>
      </c>
      <c r="C348" s="137" t="str">
        <f t="shared" si="23"/>
        <v>366</v>
      </c>
      <c r="D348" s="134" t="s">
        <v>840</v>
      </c>
      <c r="E348" s="134" t="str">
        <f t="shared" si="24"/>
        <v/>
      </c>
      <c r="F348" s="137">
        <v>31952.44714</v>
      </c>
      <c r="G348" s="137">
        <v>32064.685730000001</v>
      </c>
      <c r="H348" s="137">
        <v>32176.993180000001</v>
      </c>
      <c r="I348" s="137">
        <v>32289.33077</v>
      </c>
      <c r="J348" s="137">
        <v>32401.73256</v>
      </c>
      <c r="K348" s="137">
        <v>32514.690879999998</v>
      </c>
      <c r="L348" s="137">
        <v>32627.754440000001</v>
      </c>
      <c r="M348" s="137">
        <v>32811.084602559997</v>
      </c>
      <c r="N348" s="137">
        <v>32924.872413730001</v>
      </c>
      <c r="O348" s="137">
        <v>33038.660224899999</v>
      </c>
      <c r="P348" s="137">
        <v>33152.448036070004</v>
      </c>
      <c r="Q348" s="137">
        <v>33266.235847240001</v>
      </c>
      <c r="R348" s="137">
        <v>33388.616362510002</v>
      </c>
    </row>
    <row r="349" spans="1:18">
      <c r="A349" s="137" t="str">
        <f t="shared" si="22"/>
        <v>LGE</v>
      </c>
      <c r="B349" s="137" t="s">
        <v>923</v>
      </c>
      <c r="C349" s="137" t="str">
        <f t="shared" si="23"/>
        <v>367</v>
      </c>
      <c r="D349" s="134" t="s">
        <v>841</v>
      </c>
      <c r="E349" s="134" t="str">
        <f t="shared" si="24"/>
        <v/>
      </c>
      <c r="F349" s="137">
        <v>61200.79408</v>
      </c>
      <c r="G349" s="137">
        <v>61638.13985</v>
      </c>
      <c r="H349" s="137">
        <v>62076.160619999901</v>
      </c>
      <c r="I349" s="137">
        <v>62510.933590000001</v>
      </c>
      <c r="J349" s="137">
        <v>62949.632160000001</v>
      </c>
      <c r="K349" s="137">
        <v>61718.968849999997</v>
      </c>
      <c r="L349" s="137">
        <v>62048.785759999999</v>
      </c>
      <c r="M349" s="137">
        <v>61423.552148715899</v>
      </c>
      <c r="N349" s="137">
        <v>61767.455749446999</v>
      </c>
      <c r="O349" s="137">
        <v>62122.921867808</v>
      </c>
      <c r="P349" s="137">
        <v>62457.877075313001</v>
      </c>
      <c r="Q349" s="137">
        <v>62820.833710063998</v>
      </c>
      <c r="R349" s="137">
        <v>63203.231143279001</v>
      </c>
    </row>
    <row r="350" spans="1:18">
      <c r="A350" s="137" t="str">
        <f t="shared" si="22"/>
        <v>LGE</v>
      </c>
      <c r="B350" s="137" t="s">
        <v>923</v>
      </c>
      <c r="C350" s="137" t="str">
        <f t="shared" si="23"/>
        <v>368</v>
      </c>
      <c r="D350" s="134" t="s">
        <v>842</v>
      </c>
      <c r="E350" s="134" t="str">
        <f t="shared" si="24"/>
        <v/>
      </c>
      <c r="F350" s="137">
        <v>78157.021340000007</v>
      </c>
      <c r="G350" s="137">
        <v>78479.197879999905</v>
      </c>
      <c r="H350" s="137">
        <v>78801.964089999994</v>
      </c>
      <c r="I350" s="137">
        <v>78824.389239999902</v>
      </c>
      <c r="J350" s="137">
        <v>79142.869709999999</v>
      </c>
      <c r="K350" s="137">
        <v>79467.648809999999</v>
      </c>
      <c r="L350" s="137">
        <v>79792.773249999998</v>
      </c>
      <c r="M350" s="137">
        <v>79996.233846789997</v>
      </c>
      <c r="N350" s="137">
        <v>80293.528680920004</v>
      </c>
      <c r="O350" s="137">
        <v>80602.405905459993</v>
      </c>
      <c r="P350" s="137">
        <v>80907.086620739996</v>
      </c>
      <c r="Q350" s="137">
        <v>81223.770238790006</v>
      </c>
      <c r="R350" s="137">
        <v>81554.509004029998</v>
      </c>
    </row>
    <row r="351" spans="1:18">
      <c r="A351" s="137" t="str">
        <f t="shared" si="22"/>
        <v>LGE</v>
      </c>
      <c r="B351" s="137" t="s">
        <v>923</v>
      </c>
      <c r="C351" s="137" t="str">
        <f t="shared" si="23"/>
        <v>369</v>
      </c>
      <c r="D351" s="134" t="s">
        <v>843</v>
      </c>
      <c r="E351" s="134" t="str">
        <f t="shared" si="24"/>
        <v/>
      </c>
      <c r="F351" s="137">
        <v>25709.181339999999</v>
      </c>
      <c r="G351" s="137">
        <v>25796.63679</v>
      </c>
      <c r="H351" s="137">
        <v>25884.233700000001</v>
      </c>
      <c r="I351" s="137">
        <v>25971.89186</v>
      </c>
      <c r="J351" s="137">
        <v>26059.68692</v>
      </c>
      <c r="K351" s="137">
        <v>26147.68635</v>
      </c>
      <c r="L351" s="137">
        <v>26111.215240000001</v>
      </c>
      <c r="M351" s="137">
        <v>26180.520709169999</v>
      </c>
      <c r="N351" s="137">
        <v>26268.285495799999</v>
      </c>
      <c r="O351" s="137">
        <v>26356.050282429998</v>
      </c>
      <c r="P351" s="137">
        <v>26443.8150690599</v>
      </c>
      <c r="Q351" s="137">
        <v>26531.579855689899</v>
      </c>
      <c r="R351" s="137">
        <v>26521.536582069901</v>
      </c>
    </row>
    <row r="352" spans="1:18">
      <c r="A352" s="137" t="str">
        <f t="shared" si="22"/>
        <v>LGE</v>
      </c>
      <c r="B352" s="137" t="s">
        <v>923</v>
      </c>
      <c r="C352" s="137" t="str">
        <f t="shared" si="23"/>
        <v>370</v>
      </c>
      <c r="D352" s="134" t="s">
        <v>844</v>
      </c>
      <c r="E352" s="134" t="str">
        <f t="shared" si="24"/>
        <v/>
      </c>
      <c r="F352" s="137">
        <v>23229.01757</v>
      </c>
      <c r="G352" s="137">
        <v>23324.631870000001</v>
      </c>
      <c r="H352" s="137">
        <v>23420.44528</v>
      </c>
      <c r="I352" s="137">
        <v>23477.503279999899</v>
      </c>
      <c r="J352" s="137">
        <v>23573.53326</v>
      </c>
      <c r="K352" s="137">
        <v>23669.751049999999</v>
      </c>
      <c r="L352" s="137">
        <v>23766.082259999901</v>
      </c>
      <c r="M352" s="137">
        <v>23862.672920909899</v>
      </c>
      <c r="N352" s="137">
        <v>23959.5512040699</v>
      </c>
      <c r="O352" s="137">
        <v>24056.465066709901</v>
      </c>
      <c r="P352" s="137">
        <v>24154.597986421901</v>
      </c>
      <c r="Q352" s="137">
        <v>24253.945537566899</v>
      </c>
      <c r="R352" s="137">
        <v>24353.300088121901</v>
      </c>
    </row>
    <row r="353" spans="1:18">
      <c r="A353" s="137" t="str">
        <f t="shared" si="22"/>
        <v>LGE</v>
      </c>
      <c r="B353" s="137" t="s">
        <v>923</v>
      </c>
      <c r="C353" s="137" t="str">
        <f t="shared" si="23"/>
        <v>370</v>
      </c>
      <c r="D353" s="134" t="s">
        <v>1818</v>
      </c>
      <c r="E353" s="134" t="str">
        <f t="shared" si="24"/>
        <v>DSM</v>
      </c>
      <c r="F353" s="137">
        <v>137.96404999999999</v>
      </c>
      <c r="G353" s="137">
        <v>147.90227999999999</v>
      </c>
      <c r="H353" s="137">
        <v>157.84469000000001</v>
      </c>
      <c r="I353" s="137">
        <v>160.22756999999999</v>
      </c>
      <c r="J353" s="137">
        <v>169.66114999999999</v>
      </c>
      <c r="K353" s="137">
        <v>179.09504999999999</v>
      </c>
      <c r="L353" s="137">
        <v>188.52927</v>
      </c>
      <c r="M353" s="137">
        <v>197.963802343</v>
      </c>
      <c r="N353" s="137">
        <v>207.398334686</v>
      </c>
      <c r="O353" s="137">
        <v>216.832867029</v>
      </c>
      <c r="P353" s="137">
        <v>226.267399372</v>
      </c>
      <c r="Q353" s="137">
        <v>235.701931715</v>
      </c>
      <c r="R353" s="137">
        <v>245.136464058</v>
      </c>
    </row>
    <row r="354" spans="1:18">
      <c r="A354" s="137" t="str">
        <f t="shared" si="22"/>
        <v>LGE</v>
      </c>
      <c r="B354" s="137" t="s">
        <v>923</v>
      </c>
      <c r="C354" s="137" t="str">
        <f t="shared" si="23"/>
        <v>371</v>
      </c>
      <c r="D354" s="134" t="s">
        <v>2572</v>
      </c>
      <c r="E354" s="134" t="str">
        <f t="shared" si="24"/>
        <v/>
      </c>
      <c r="F354" s="137">
        <v>0</v>
      </c>
      <c r="G354" s="137">
        <v>0</v>
      </c>
      <c r="H354" s="137">
        <v>0</v>
      </c>
      <c r="I354" s="137">
        <v>0</v>
      </c>
      <c r="J354" s="137">
        <v>0</v>
      </c>
      <c r="K354" s="137">
        <v>0</v>
      </c>
      <c r="L354" s="137">
        <v>0</v>
      </c>
      <c r="M354" s="137">
        <v>0.39697145830000002</v>
      </c>
      <c r="N354" s="137">
        <v>1.2201876250000001</v>
      </c>
      <c r="O354" s="137">
        <v>2.1019502917000001</v>
      </c>
      <c r="P354" s="137">
        <v>3.0422594583999998</v>
      </c>
      <c r="Q354" s="137">
        <v>4.0411151251000001</v>
      </c>
      <c r="R354" s="137">
        <v>5.2074135421000003</v>
      </c>
    </row>
    <row r="355" spans="1:18">
      <c r="A355" s="137" t="str">
        <f t="shared" si="22"/>
        <v>LGE</v>
      </c>
      <c r="B355" s="137" t="s">
        <v>923</v>
      </c>
      <c r="C355" s="137" t="str">
        <f t="shared" si="23"/>
        <v>373</v>
      </c>
      <c r="D355" s="134" t="s">
        <v>845</v>
      </c>
      <c r="E355" s="134" t="str">
        <f t="shared" si="24"/>
        <v/>
      </c>
      <c r="F355" s="137">
        <v>39995.960359999997</v>
      </c>
      <c r="G355" s="137">
        <v>40401.487520000002</v>
      </c>
      <c r="H355" s="137">
        <v>40808.322489999999</v>
      </c>
      <c r="I355" s="137">
        <v>41215.737330000004</v>
      </c>
      <c r="J355" s="137">
        <v>41624.663399999998</v>
      </c>
      <c r="K355" s="137">
        <v>42036.347750000001</v>
      </c>
      <c r="L355" s="137">
        <v>42449.27089</v>
      </c>
      <c r="M355" s="137">
        <v>42279.800116263898</v>
      </c>
      <c r="N355" s="137">
        <v>42684.982622873897</v>
      </c>
      <c r="O355" s="137">
        <v>43094.296892343897</v>
      </c>
      <c r="P355" s="137">
        <v>43505.6516088149</v>
      </c>
      <c r="Q355" s="137">
        <v>43919.053728863903</v>
      </c>
      <c r="R355" s="137">
        <v>44334.634785272901</v>
      </c>
    </row>
    <row r="356" spans="1:18">
      <c r="A356" s="137" t="str">
        <f t="shared" si="22"/>
        <v>LGE</v>
      </c>
      <c r="B356" s="137" t="s">
        <v>923</v>
      </c>
      <c r="C356" s="137" t="str">
        <f t="shared" si="23"/>
        <v>374</v>
      </c>
      <c r="D356" s="134" t="s">
        <v>846</v>
      </c>
      <c r="E356" s="134" t="str">
        <f t="shared" si="24"/>
        <v>ARO</v>
      </c>
      <c r="F356" s="137">
        <v>49.407640000000001</v>
      </c>
      <c r="G356" s="137">
        <v>49.93479</v>
      </c>
      <c r="H356" s="137">
        <v>50.461939999999998</v>
      </c>
      <c r="I356" s="137">
        <v>50.989089999999997</v>
      </c>
      <c r="J356" s="137">
        <v>51.516240000000003</v>
      </c>
      <c r="K356" s="137">
        <v>52.043390000000002</v>
      </c>
      <c r="L356" s="137">
        <v>52.570540000000001</v>
      </c>
      <c r="M356" s="137">
        <v>53.235707511105701</v>
      </c>
      <c r="N356" s="137">
        <v>53.900875022211501</v>
      </c>
      <c r="O356" s="137">
        <v>54.566042533317201</v>
      </c>
      <c r="P356" s="137">
        <v>55.231210044423001</v>
      </c>
      <c r="Q356" s="137">
        <v>55.896377555528701</v>
      </c>
      <c r="R356" s="137">
        <v>56.561545066634501</v>
      </c>
    </row>
    <row r="357" spans="1:18">
      <c r="A357" s="137" t="str">
        <f t="shared" si="22"/>
        <v>LGE</v>
      </c>
      <c r="B357" s="137" t="s">
        <v>923</v>
      </c>
      <c r="C357" s="137" t="str">
        <f t="shared" si="23"/>
        <v>392</v>
      </c>
      <c r="D357" s="134" t="s">
        <v>1527</v>
      </c>
      <c r="E357" s="134" t="str">
        <f t="shared" si="24"/>
        <v/>
      </c>
      <c r="F357" s="137">
        <v>66.143950000000004</v>
      </c>
      <c r="G357" s="137">
        <v>68.445999999999998</v>
      </c>
      <c r="H357" s="137">
        <v>33.866339999999902</v>
      </c>
      <c r="I357" s="137">
        <v>36.004939999999998</v>
      </c>
      <c r="J357" s="137">
        <v>38.143540000000002</v>
      </c>
      <c r="K357" s="137">
        <v>40.282139999999998</v>
      </c>
      <c r="L357" s="137">
        <v>42.557769999999998</v>
      </c>
      <c r="M357" s="137">
        <v>45.160740703999998</v>
      </c>
      <c r="N357" s="137">
        <v>47.954030339999903</v>
      </c>
      <c r="O357" s="137">
        <v>50.747319975999901</v>
      </c>
      <c r="P357" s="137">
        <v>53.540609611999898</v>
      </c>
      <c r="Q357" s="137">
        <v>56.333899247999902</v>
      </c>
      <c r="R357" s="137">
        <v>59.127188883999899</v>
      </c>
    </row>
    <row r="358" spans="1:18">
      <c r="A358" s="137" t="str">
        <f t="shared" si="22"/>
        <v>LGE</v>
      </c>
      <c r="B358" s="137" t="s">
        <v>923</v>
      </c>
      <c r="C358" s="137" t="str">
        <f t="shared" si="23"/>
        <v>392</v>
      </c>
      <c r="D358" s="134" t="s">
        <v>847</v>
      </c>
      <c r="E358" s="134" t="str">
        <f t="shared" si="24"/>
        <v/>
      </c>
      <c r="F358" s="137">
        <v>2911.3104399999902</v>
      </c>
      <c r="G358" s="137">
        <v>2930.5987999999902</v>
      </c>
      <c r="H358" s="137">
        <v>2913.6154499999998</v>
      </c>
      <c r="I358" s="137">
        <v>2934.6790299999998</v>
      </c>
      <c r="J358" s="137">
        <v>2955.7426099999998</v>
      </c>
      <c r="K358" s="137">
        <v>2887.53629</v>
      </c>
      <c r="L358" s="137">
        <v>2908.7845299999999</v>
      </c>
      <c r="M358" s="137">
        <v>2930.4012879779998</v>
      </c>
      <c r="N358" s="137">
        <v>2952.2848589959999</v>
      </c>
      <c r="O358" s="137">
        <v>2974.168430014</v>
      </c>
      <c r="P358" s="137">
        <v>2996.1390843720001</v>
      </c>
      <c r="Q358" s="137">
        <v>3018.1968220600002</v>
      </c>
      <c r="R358" s="137">
        <v>3040.5303986479998</v>
      </c>
    </row>
    <row r="359" spans="1:18">
      <c r="A359" s="137" t="str">
        <f>MID($D359,4,3)</f>
        <v>LGE</v>
      </c>
      <c r="B359" s="137" t="s">
        <v>923</v>
      </c>
      <c r="C359" s="137" t="str">
        <f>MID($D359,9,3)</f>
        <v>394</v>
      </c>
      <c r="D359" s="134" t="s">
        <v>848</v>
      </c>
      <c r="E359" s="134" t="str">
        <f t="shared" si="24"/>
        <v/>
      </c>
      <c r="F359" s="137">
        <v>2648.3449000000001</v>
      </c>
      <c r="G359" s="137">
        <v>2670.7977299999998</v>
      </c>
      <c r="H359" s="137">
        <v>2675.9070200000001</v>
      </c>
      <c r="I359" s="137">
        <v>2698.5118900000002</v>
      </c>
      <c r="J359" s="137">
        <v>2721.2047499999999</v>
      </c>
      <c r="K359" s="137">
        <v>2744.1729599999999</v>
      </c>
      <c r="L359" s="137">
        <v>2618.6720499999901</v>
      </c>
      <c r="M359" s="137">
        <v>2641.45867012999</v>
      </c>
      <c r="N359" s="137">
        <v>2664.3246507699901</v>
      </c>
      <c r="O359" s="137">
        <v>2687.3501982799899</v>
      </c>
      <c r="P359" s="137">
        <v>2710.4808078999899</v>
      </c>
      <c r="Q359" s="137">
        <v>2733.6211127499901</v>
      </c>
      <c r="R359" s="137">
        <v>2757.29300654999</v>
      </c>
    </row>
    <row r="360" spans="1:18">
      <c r="A360" s="137" t="str">
        <f>MID($D360,4,3)</f>
        <v>LGE</v>
      </c>
      <c r="B360" s="137" t="s">
        <v>923</v>
      </c>
      <c r="C360" s="137" t="str">
        <f>MID($D360,9,3)</f>
        <v>396</v>
      </c>
      <c r="D360" s="134" t="s">
        <v>849</v>
      </c>
      <c r="E360" s="134" t="str">
        <f t="shared" si="24"/>
        <v/>
      </c>
      <c r="F360" s="137">
        <v>105.408369999999</v>
      </c>
      <c r="G360" s="137">
        <v>105.99221</v>
      </c>
      <c r="H360" s="137">
        <v>106.57605</v>
      </c>
      <c r="I360" s="137">
        <v>107.15989</v>
      </c>
      <c r="J360" s="137">
        <v>107.74373</v>
      </c>
      <c r="K360" s="137">
        <v>108.32756999999999</v>
      </c>
      <c r="L360" s="137">
        <v>108.91141</v>
      </c>
      <c r="M360" s="137">
        <v>109.495248514</v>
      </c>
      <c r="N360" s="137">
        <v>110.079087028</v>
      </c>
      <c r="O360" s="137">
        <v>110.662925542</v>
      </c>
      <c r="P360" s="137">
        <v>111.246764056</v>
      </c>
      <c r="Q360" s="137">
        <v>111.83060257</v>
      </c>
      <c r="R360" s="137">
        <v>112.5410383415</v>
      </c>
    </row>
    <row r="361" spans="1:18">
      <c r="A361" s="137" t="str">
        <f>MID($D361,4,3)</f>
        <v>LGE</v>
      </c>
      <c r="B361" s="137" t="s">
        <v>923</v>
      </c>
      <c r="C361" s="137" t="str">
        <f>MID($D361,9,3)</f>
        <v>396</v>
      </c>
      <c r="D361" s="134" t="s">
        <v>1528</v>
      </c>
      <c r="E361" s="134" t="str">
        <f t="shared" si="24"/>
        <v/>
      </c>
      <c r="F361" s="137">
        <v>1487.24612</v>
      </c>
      <c r="G361" s="137">
        <v>1487.81702</v>
      </c>
      <c r="H361" s="137">
        <v>1488.3879199999999</v>
      </c>
      <c r="I361" s="137">
        <v>1488.9588200000001</v>
      </c>
      <c r="J361" s="137">
        <v>1489.52972</v>
      </c>
      <c r="K361" s="137">
        <v>1490.1006199999999</v>
      </c>
      <c r="L361" s="137">
        <v>1490.6715200000001</v>
      </c>
      <c r="M361" s="137">
        <v>1491.2424151247999</v>
      </c>
      <c r="N361" s="137">
        <v>1491.8133102495999</v>
      </c>
      <c r="O361" s="137">
        <v>1492.3842053743999</v>
      </c>
      <c r="P361" s="137">
        <v>1492.9551004991999</v>
      </c>
      <c r="Q361" s="137">
        <v>1493.525995624</v>
      </c>
      <c r="R361" s="137">
        <v>1494.0968907488</v>
      </c>
    </row>
    <row r="362" spans="1:18">
      <c r="A362" s="137" t="str">
        <f>MID($D362,4,3)</f>
        <v>LGE</v>
      </c>
      <c r="B362" s="137" t="s">
        <v>923</v>
      </c>
      <c r="C362" s="137" t="str">
        <f>MID($D362,9,3)</f>
        <v>397</v>
      </c>
      <c r="D362" s="134" t="s">
        <v>850</v>
      </c>
      <c r="E362" s="134" t="str">
        <f t="shared" si="24"/>
        <v>DSM</v>
      </c>
      <c r="F362" s="137">
        <v>2515.7189400000002</v>
      </c>
      <c r="G362" s="137">
        <v>2585.5396500000002</v>
      </c>
      <c r="H362" s="137">
        <v>2655.06151</v>
      </c>
      <c r="I362" s="137">
        <v>2724.5884000000001</v>
      </c>
      <c r="J362" s="137">
        <v>2794.12264</v>
      </c>
      <c r="K362" s="137">
        <v>2863.66561</v>
      </c>
      <c r="L362" s="137">
        <v>2933.23218</v>
      </c>
      <c r="M362" s="137">
        <v>3002.8437485600002</v>
      </c>
      <c r="N362" s="137">
        <v>3072.5051865599999</v>
      </c>
      <c r="O362" s="137">
        <v>3142.73964308</v>
      </c>
      <c r="P362" s="137">
        <v>3213.5471361800001</v>
      </c>
      <c r="Q362" s="137">
        <v>3284.4032376099999</v>
      </c>
      <c r="R362" s="137">
        <v>3355.54798489</v>
      </c>
    </row>
    <row r="366" spans="1:18">
      <c r="E366" s="134" t="str">
        <f t="shared" si="24"/>
        <v/>
      </c>
    </row>
    <row r="367" spans="1:18">
      <c r="E367" s="134" t="str">
        <f t="shared" si="24"/>
        <v/>
      </c>
    </row>
    <row r="368" spans="1:18">
      <c r="E368" s="134" t="str">
        <f t="shared" si="24"/>
        <v/>
      </c>
    </row>
    <row r="369" spans="1:18">
      <c r="E369" s="134" t="str">
        <f t="shared" si="24"/>
        <v/>
      </c>
    </row>
    <row r="370" spans="1:18">
      <c r="D370" s="134" t="s">
        <v>865</v>
      </c>
      <c r="E370" s="134" t="str">
        <f t="shared" si="24"/>
        <v/>
      </c>
    </row>
    <row r="371" spans="1:18">
      <c r="A371" s="137" t="str">
        <f t="shared" ref="A371:A399" si="25">MID($D371,4,3)</f>
        <v>LGE</v>
      </c>
      <c r="B371" s="137" t="s">
        <v>867</v>
      </c>
      <c r="C371" s="137" t="str">
        <f t="shared" ref="C371:C399" si="26">MID($D371,9,3)</f>
        <v>121</v>
      </c>
      <c r="D371" s="134" t="s">
        <v>851</v>
      </c>
      <c r="E371" s="134" t="str">
        <f t="shared" si="24"/>
        <v/>
      </c>
      <c r="F371" s="137">
        <v>63.36036</v>
      </c>
      <c r="G371" s="137">
        <v>63.36036</v>
      </c>
      <c r="H371" s="137">
        <v>63.36036</v>
      </c>
      <c r="I371" s="137">
        <v>63.36036</v>
      </c>
      <c r="J371" s="137">
        <v>63.36036</v>
      </c>
      <c r="K371" s="137">
        <v>63.36036</v>
      </c>
      <c r="L371" s="137">
        <v>63.36036</v>
      </c>
      <c r="M371" s="137">
        <v>63.36036</v>
      </c>
      <c r="N371" s="137">
        <v>63.36036</v>
      </c>
      <c r="O371" s="137">
        <v>63.36036</v>
      </c>
      <c r="P371" s="137">
        <v>63.36036</v>
      </c>
      <c r="Q371" s="137">
        <v>63.36036</v>
      </c>
      <c r="R371" s="137">
        <v>63.36036</v>
      </c>
    </row>
    <row r="372" spans="1:18">
      <c r="A372" s="137" t="str">
        <f t="shared" si="25"/>
        <v>LGE</v>
      </c>
      <c r="B372" s="137" t="s">
        <v>867</v>
      </c>
      <c r="C372" s="137" t="str">
        <f t="shared" si="26"/>
        <v>303</v>
      </c>
      <c r="D372" s="134" t="s">
        <v>853</v>
      </c>
      <c r="E372" s="134" t="str">
        <f t="shared" si="24"/>
        <v/>
      </c>
      <c r="F372" s="137">
        <v>19164.980100000001</v>
      </c>
      <c r="G372" s="137">
        <v>19990.308669999999</v>
      </c>
      <c r="H372" s="137">
        <v>20203.86738</v>
      </c>
      <c r="I372" s="137">
        <v>21241.009979999999</v>
      </c>
      <c r="J372" s="137">
        <v>21519.038550000001</v>
      </c>
      <c r="K372" s="137">
        <v>22441.998609999999</v>
      </c>
      <c r="L372" s="137">
        <v>22363.079269999998</v>
      </c>
      <c r="M372" s="137">
        <v>22230.1555239999</v>
      </c>
      <c r="N372" s="137">
        <v>22960.1319149999</v>
      </c>
      <c r="O372" s="137">
        <v>22901.385724999898</v>
      </c>
      <c r="P372" s="137">
        <v>22780.028198999898</v>
      </c>
      <c r="Q372" s="137">
        <v>23940.687519999999</v>
      </c>
      <c r="R372" s="137">
        <v>25152.819937</v>
      </c>
    </row>
    <row r="373" spans="1:18">
      <c r="A373" s="137" t="str">
        <f t="shared" si="25"/>
        <v>LGE</v>
      </c>
      <c r="B373" s="137" t="s">
        <v>867</v>
      </c>
      <c r="C373" s="137" t="str">
        <f t="shared" si="26"/>
        <v>303</v>
      </c>
      <c r="D373" s="134" t="s">
        <v>854</v>
      </c>
      <c r="E373" s="134" t="str">
        <f t="shared" si="24"/>
        <v/>
      </c>
      <c r="F373" s="137">
        <v>39145.769659999998</v>
      </c>
      <c r="G373" s="137">
        <v>39620.182379999998</v>
      </c>
      <c r="H373" s="137">
        <v>40094.595099999999</v>
      </c>
      <c r="I373" s="137">
        <v>40569.007819999999</v>
      </c>
      <c r="J373" s="137">
        <v>41043.420539999999</v>
      </c>
      <c r="K373" s="137">
        <v>41517.833259999999</v>
      </c>
      <c r="L373" s="137">
        <v>41992.24598</v>
      </c>
      <c r="M373" s="137">
        <v>42466.658697999999</v>
      </c>
      <c r="N373" s="137">
        <v>42941.071415999999</v>
      </c>
      <c r="O373" s="137">
        <v>43416.788159800002</v>
      </c>
      <c r="P373" s="137">
        <v>43893.875373499999</v>
      </c>
      <c r="Q373" s="137">
        <v>44371.067414600002</v>
      </c>
      <c r="R373" s="137">
        <v>44848.755084099997</v>
      </c>
    </row>
    <row r="374" spans="1:18">
      <c r="A374" s="137" t="str">
        <f t="shared" si="25"/>
        <v>LGE</v>
      </c>
      <c r="B374" s="137" t="s">
        <v>867</v>
      </c>
      <c r="C374" s="137" t="str">
        <f t="shared" si="26"/>
        <v>390</v>
      </c>
      <c r="D374" s="134" t="s">
        <v>856</v>
      </c>
      <c r="E374" s="134" t="str">
        <f t="shared" si="24"/>
        <v/>
      </c>
      <c r="F374" s="137">
        <v>36038.092559999997</v>
      </c>
      <c r="G374" s="137">
        <v>36216.875330000003</v>
      </c>
      <c r="H374" s="137">
        <v>36344.595979999998</v>
      </c>
      <c r="I374" s="137">
        <v>36416.68247</v>
      </c>
      <c r="J374" s="137">
        <v>36433.749389999997</v>
      </c>
      <c r="K374" s="137">
        <v>36552.175989999902</v>
      </c>
      <c r="L374" s="137">
        <v>36721.601239999902</v>
      </c>
      <c r="M374" s="137">
        <v>36872.924948126303</v>
      </c>
      <c r="N374" s="137">
        <v>36767.817342952701</v>
      </c>
      <c r="O374" s="137">
        <v>36936.071013048997</v>
      </c>
      <c r="P374" s="137">
        <v>37119.809616025399</v>
      </c>
      <c r="Q374" s="137">
        <v>37299.113874611699</v>
      </c>
      <c r="R374" s="137">
        <v>37479.8216925581</v>
      </c>
    </row>
    <row r="375" spans="1:18">
      <c r="A375" s="137" t="str">
        <f t="shared" si="25"/>
        <v>LGE</v>
      </c>
      <c r="B375" s="137" t="s">
        <v>867</v>
      </c>
      <c r="C375" s="137" t="str">
        <f t="shared" si="26"/>
        <v>391</v>
      </c>
      <c r="D375" s="134" t="s">
        <v>857</v>
      </c>
      <c r="E375" s="134" t="str">
        <f t="shared" si="24"/>
        <v/>
      </c>
      <c r="F375" s="137">
        <v>15279.03032</v>
      </c>
      <c r="G375" s="137">
        <v>15645.024310000001</v>
      </c>
      <c r="H375" s="137">
        <v>15831.0309</v>
      </c>
      <c r="I375" s="137">
        <v>16040.254720000001</v>
      </c>
      <c r="J375" s="137">
        <v>15700.86075</v>
      </c>
      <c r="K375" s="137">
        <v>15750.931909999999</v>
      </c>
      <c r="L375" s="137">
        <v>15908.76908</v>
      </c>
      <c r="M375" s="137">
        <v>15139.6767746399</v>
      </c>
      <c r="N375" s="137">
        <v>15504.786692366901</v>
      </c>
      <c r="O375" s="137">
        <v>15906.512779057901</v>
      </c>
      <c r="P375" s="137">
        <v>15868.389439648899</v>
      </c>
      <c r="Q375" s="137">
        <v>16409.894790124999</v>
      </c>
      <c r="R375" s="137">
        <v>16910.205441384998</v>
      </c>
    </row>
    <row r="376" spans="1:18">
      <c r="A376" s="137" t="str">
        <f t="shared" si="25"/>
        <v>LGE</v>
      </c>
      <c r="B376" s="137" t="s">
        <v>867</v>
      </c>
      <c r="C376" s="137" t="str">
        <f t="shared" si="26"/>
        <v>392</v>
      </c>
      <c r="D376" s="134" t="s">
        <v>1529</v>
      </c>
      <c r="E376" s="134" t="str">
        <f t="shared" si="24"/>
        <v/>
      </c>
      <c r="F376" s="137">
        <v>-3.9699800000000001</v>
      </c>
      <c r="G376" s="137">
        <v>-3.6574</v>
      </c>
      <c r="H376" s="137">
        <v>-3.3448199999999999</v>
      </c>
      <c r="I376" s="137">
        <v>-3.0322399999999998</v>
      </c>
      <c r="J376" s="137">
        <v>-2.71965999999999</v>
      </c>
      <c r="K376" s="137">
        <v>-2.4070800000000001</v>
      </c>
      <c r="L376" s="137">
        <v>-2.0945</v>
      </c>
      <c r="M376" s="137">
        <v>-1.7819239482</v>
      </c>
      <c r="N376" s="137">
        <v>-1.4693478964</v>
      </c>
      <c r="O376" s="137">
        <v>-1.1567718445999999</v>
      </c>
      <c r="P376" s="137">
        <v>-0.84419579279999901</v>
      </c>
      <c r="Q376" s="137">
        <v>-0.53161974099999898</v>
      </c>
      <c r="R376" s="137">
        <v>-0.219043689199999</v>
      </c>
    </row>
    <row r="377" spans="1:18">
      <c r="A377" s="137" t="str">
        <f t="shared" si="25"/>
        <v>LGE</v>
      </c>
      <c r="B377" s="137" t="s">
        <v>867</v>
      </c>
      <c r="C377" s="137" t="str">
        <f t="shared" si="26"/>
        <v>392</v>
      </c>
      <c r="D377" s="134" t="s">
        <v>858</v>
      </c>
      <c r="E377" s="134" t="str">
        <f t="shared" si="24"/>
        <v/>
      </c>
      <c r="F377" s="137">
        <v>183.95392000000001</v>
      </c>
      <c r="G377" s="137">
        <v>184.56573</v>
      </c>
      <c r="H377" s="137">
        <v>185.17753999999999</v>
      </c>
      <c r="I377" s="137">
        <v>185.78935000000001</v>
      </c>
      <c r="J377" s="137">
        <v>186.40116</v>
      </c>
      <c r="K377" s="137">
        <v>160.03664000000001</v>
      </c>
      <c r="L377" s="137">
        <v>160.68037000000001</v>
      </c>
      <c r="M377" s="137">
        <v>154.8013015466</v>
      </c>
      <c r="N377" s="137">
        <v>155.54943690089999</v>
      </c>
      <c r="O377" s="137">
        <v>156.29757225520001</v>
      </c>
      <c r="P377" s="137">
        <v>157.0457076095</v>
      </c>
      <c r="Q377" s="137">
        <v>157.79384296379999</v>
      </c>
      <c r="R377" s="137">
        <v>158.54197831809901</v>
      </c>
    </row>
    <row r="378" spans="1:18">
      <c r="A378" s="137" t="str">
        <f t="shared" si="25"/>
        <v>LGE</v>
      </c>
      <c r="B378" s="137" t="s">
        <v>867</v>
      </c>
      <c r="C378" s="137" t="str">
        <f t="shared" si="26"/>
        <v>393</v>
      </c>
      <c r="D378" s="134" t="s">
        <v>859</v>
      </c>
      <c r="E378" s="134" t="str">
        <f t="shared" si="24"/>
        <v/>
      </c>
      <c r="F378" s="137">
        <v>994.94428000000005</v>
      </c>
      <c r="G378" s="137">
        <v>1001.25764</v>
      </c>
      <c r="H378" s="137">
        <v>1007.99405</v>
      </c>
      <c r="I378" s="137">
        <v>1015.1535</v>
      </c>
      <c r="J378" s="137">
        <v>1022.31295</v>
      </c>
      <c r="K378" s="137">
        <v>1029.4724000000001</v>
      </c>
      <c r="L378" s="137">
        <v>1036.63185</v>
      </c>
      <c r="M378" s="137">
        <v>1043.8496487519999</v>
      </c>
      <c r="N378" s="137">
        <v>1051.1257965969901</v>
      </c>
      <c r="O378" s="137">
        <v>1058.4019444419901</v>
      </c>
      <c r="P378" s="137">
        <v>1065.7141598609901</v>
      </c>
      <c r="Q378" s="137">
        <v>1073.062442854</v>
      </c>
      <c r="R378" s="137">
        <v>1080.4107258470001</v>
      </c>
    </row>
    <row r="379" spans="1:18">
      <c r="A379" s="137" t="str">
        <f t="shared" si="25"/>
        <v>LGE</v>
      </c>
      <c r="B379" s="137" t="s">
        <v>867</v>
      </c>
      <c r="C379" s="137" t="str">
        <f t="shared" si="26"/>
        <v>394</v>
      </c>
      <c r="D379" s="134" t="s">
        <v>860</v>
      </c>
      <c r="E379" s="134" t="str">
        <f t="shared" si="24"/>
        <v/>
      </c>
      <c r="F379" s="137">
        <v>2399.6388900000002</v>
      </c>
      <c r="G379" s="137">
        <v>2414.5140900000001</v>
      </c>
      <c r="H379" s="137">
        <v>2429.3892900000001</v>
      </c>
      <c r="I379" s="137">
        <v>2444.26388</v>
      </c>
      <c r="J379" s="137">
        <v>2459.16437</v>
      </c>
      <c r="K379" s="137">
        <v>2456.0016900000001</v>
      </c>
      <c r="L379" s="137">
        <v>2357.7279400000002</v>
      </c>
      <c r="M379" s="137">
        <v>2372.2379078899999</v>
      </c>
      <c r="N379" s="137">
        <v>2386.9724961799998</v>
      </c>
      <c r="O379" s="137">
        <v>2401.8788652500002</v>
      </c>
      <c r="P379" s="137">
        <v>2416.7852343200002</v>
      </c>
      <c r="Q379" s="137">
        <v>2431.6916033900002</v>
      </c>
      <c r="R379" s="137">
        <v>2446.5979724600002</v>
      </c>
    </row>
    <row r="380" spans="1:18">
      <c r="A380" s="137" t="str">
        <f t="shared" si="25"/>
        <v>LGE</v>
      </c>
      <c r="B380" s="137" t="s">
        <v>867</v>
      </c>
      <c r="C380" s="137" t="str">
        <f t="shared" si="26"/>
        <v>396</v>
      </c>
      <c r="D380" s="134" t="s">
        <v>861</v>
      </c>
      <c r="E380" s="134" t="str">
        <f t="shared" ref="E380:E399" si="27">IF(ISTEXT(MID($D380,SEARCH("FUTURE USE",$D380),3)),"FUTURE USE",IF(ISTEXT(MID($D380,SEARCH("ECR",$D380),3)),"ECR",IF(ISTEXT(MID($D380,SEARCH("ARO",$D380),3)),"ARO",IF(ISTEXT(MID($D380,SEARCH("DSM",$D380),3)),"DSM",""))))</f>
        <v/>
      </c>
      <c r="F380" s="137">
        <v>14.34862</v>
      </c>
      <c r="G380" s="137">
        <v>14.365119999999999</v>
      </c>
      <c r="H380" s="137">
        <v>14.38162</v>
      </c>
      <c r="I380" s="137">
        <v>14.39812</v>
      </c>
      <c r="J380" s="137">
        <v>14.414619999999999</v>
      </c>
      <c r="K380" s="137">
        <v>14.43112</v>
      </c>
      <c r="L380" s="137">
        <v>14.46636</v>
      </c>
      <c r="M380" s="137">
        <v>14.53694051583</v>
      </c>
      <c r="N380" s="137">
        <v>14.62412144416</v>
      </c>
      <c r="O380" s="137">
        <v>14.71130237249</v>
      </c>
      <c r="P380" s="137">
        <v>14.798483300819999</v>
      </c>
      <c r="Q380" s="137">
        <v>14.885664229150001</v>
      </c>
      <c r="R380" s="137">
        <v>14.97284515748</v>
      </c>
    </row>
    <row r="381" spans="1:18">
      <c r="A381" s="137" t="str">
        <f t="shared" si="25"/>
        <v>LGE</v>
      </c>
      <c r="B381" s="137" t="s">
        <v>867</v>
      </c>
      <c r="C381" s="137" t="str">
        <f t="shared" si="26"/>
        <v>396</v>
      </c>
      <c r="D381" s="134" t="s">
        <v>1530</v>
      </c>
      <c r="E381" s="134" t="str">
        <f t="shared" si="27"/>
        <v/>
      </c>
      <c r="F381" s="137">
        <v>300.55327</v>
      </c>
      <c r="G381" s="137">
        <v>300.69835</v>
      </c>
      <c r="H381" s="137">
        <v>300.84343000000001</v>
      </c>
      <c r="I381" s="137">
        <v>300.98851000000002</v>
      </c>
      <c r="J381" s="137">
        <v>301.13359000000003</v>
      </c>
      <c r="K381" s="137">
        <v>235.00566000000001</v>
      </c>
      <c r="L381" s="137">
        <v>235.13082</v>
      </c>
      <c r="M381" s="137">
        <v>235.25597860229999</v>
      </c>
      <c r="N381" s="137">
        <v>235.38113720459901</v>
      </c>
      <c r="O381" s="137">
        <v>235.506295806899</v>
      </c>
      <c r="P381" s="137">
        <v>235.63145440919899</v>
      </c>
      <c r="Q381" s="137">
        <v>235.75661301149901</v>
      </c>
      <c r="R381" s="137">
        <v>235.881771613799</v>
      </c>
    </row>
    <row r="382" spans="1:18">
      <c r="A382" s="137" t="str">
        <f t="shared" si="25"/>
        <v>LGE</v>
      </c>
      <c r="B382" s="137" t="s">
        <v>867</v>
      </c>
      <c r="C382" s="137" t="str">
        <f t="shared" si="26"/>
        <v>397</v>
      </c>
      <c r="D382" s="134" t="s">
        <v>862</v>
      </c>
      <c r="E382" s="134" t="str">
        <f t="shared" si="27"/>
        <v/>
      </c>
      <c r="F382" s="137">
        <v>10431.162399999999</v>
      </c>
      <c r="G382" s="137">
        <v>10469.036480000001</v>
      </c>
      <c r="H382" s="137">
        <v>10507.521500000001</v>
      </c>
      <c r="I382" s="137">
        <v>10546.008309999999</v>
      </c>
      <c r="J382" s="137">
        <v>10584.54854</v>
      </c>
      <c r="K382" s="137">
        <v>10623.140529999901</v>
      </c>
      <c r="L382" s="137">
        <v>10661.77031</v>
      </c>
      <c r="M382" s="137">
        <v>10700.43814118</v>
      </c>
      <c r="N382" s="137">
        <v>10739.105972359999</v>
      </c>
      <c r="O382" s="137">
        <v>10777.77380354</v>
      </c>
      <c r="P382" s="137">
        <v>10816.51603827</v>
      </c>
      <c r="Q382" s="137">
        <v>10856.31145585</v>
      </c>
      <c r="R382" s="137">
        <v>10898.422012229999</v>
      </c>
    </row>
    <row r="383" spans="1:18">
      <c r="A383" s="137" t="str">
        <f t="shared" si="25"/>
        <v>LGE</v>
      </c>
      <c r="B383" s="137" t="s">
        <v>867</v>
      </c>
      <c r="C383" s="137" t="str">
        <f t="shared" si="26"/>
        <v>397</v>
      </c>
      <c r="D383" s="134" t="s">
        <v>863</v>
      </c>
      <c r="E383" s="134" t="str">
        <f t="shared" si="27"/>
        <v/>
      </c>
      <c r="F383" s="137">
        <v>-10.221500000000001</v>
      </c>
      <c r="G383" s="137">
        <v>-10.17252</v>
      </c>
      <c r="H383" s="137">
        <v>-10.12354</v>
      </c>
      <c r="I383" s="137">
        <v>-10.07456</v>
      </c>
      <c r="J383" s="137">
        <v>-10.02558</v>
      </c>
      <c r="K383" s="137">
        <v>-9.9765999999999995</v>
      </c>
      <c r="L383" s="137">
        <v>-9.9276199999999992</v>
      </c>
      <c r="M383" s="137">
        <v>-9.8786433904200006</v>
      </c>
      <c r="N383" s="137">
        <v>-9.8296667808400002</v>
      </c>
      <c r="O383" s="137">
        <v>-9.7806901712599998</v>
      </c>
      <c r="P383" s="137">
        <v>-9.7317135616799995</v>
      </c>
      <c r="Q383" s="137">
        <v>-9.6827369520999902</v>
      </c>
      <c r="R383" s="137">
        <v>-9.6337603425199898</v>
      </c>
    </row>
    <row r="384" spans="1:18">
      <c r="A384" s="137" t="str">
        <f t="shared" si="25"/>
        <v>LGE</v>
      </c>
      <c r="B384" s="137" t="s">
        <v>867</v>
      </c>
      <c r="C384" s="137" t="str">
        <f t="shared" si="26"/>
        <v>397</v>
      </c>
      <c r="D384" s="134" t="s">
        <v>864</v>
      </c>
      <c r="E384" s="134" t="str">
        <f t="shared" si="27"/>
        <v/>
      </c>
      <c r="F384" s="137">
        <v>15953.10066</v>
      </c>
      <c r="G384" s="137">
        <v>15966.317300000001</v>
      </c>
      <c r="H384" s="137">
        <v>15979.760780000001</v>
      </c>
      <c r="I384" s="137">
        <v>15993.08034</v>
      </c>
      <c r="J384" s="137">
        <v>16006.275879999999</v>
      </c>
      <c r="K384" s="137">
        <v>16019.47142</v>
      </c>
      <c r="L384" s="137">
        <v>16032.68074</v>
      </c>
      <c r="M384" s="137">
        <v>16045.903834889999</v>
      </c>
      <c r="N384" s="137">
        <v>16059.14677342</v>
      </c>
      <c r="O384" s="137">
        <v>16072.40955559</v>
      </c>
      <c r="P384" s="137">
        <v>16085.672337759999</v>
      </c>
      <c r="Q384" s="137">
        <v>16098.961028490001</v>
      </c>
      <c r="R384" s="137">
        <v>16112.292744460001</v>
      </c>
    </row>
    <row r="387" spans="1:19">
      <c r="E387" s="134" t="str">
        <f t="shared" si="27"/>
        <v/>
      </c>
    </row>
    <row r="388" spans="1:19">
      <c r="D388" s="134" t="s">
        <v>1028</v>
      </c>
      <c r="E388" s="134" t="str">
        <f t="shared" si="27"/>
        <v/>
      </c>
      <c r="F388" s="137">
        <v>0</v>
      </c>
      <c r="G388" s="137">
        <v>0</v>
      </c>
      <c r="H388" s="137">
        <v>0</v>
      </c>
      <c r="I388" s="137">
        <v>0</v>
      </c>
      <c r="J388" s="137">
        <v>0</v>
      </c>
      <c r="K388" s="137">
        <v>0</v>
      </c>
      <c r="L388" s="137">
        <v>0</v>
      </c>
      <c r="M388" s="137">
        <v>0</v>
      </c>
      <c r="N388" s="137">
        <v>0</v>
      </c>
      <c r="O388" s="137">
        <v>0</v>
      </c>
      <c r="P388" s="137">
        <v>0</v>
      </c>
      <c r="Q388" s="137">
        <v>0</v>
      </c>
      <c r="R388" s="137">
        <v>0</v>
      </c>
    </row>
    <row r="389" spans="1:19">
      <c r="A389" s="137" t="str">
        <f t="shared" si="25"/>
        <v>LGE</v>
      </c>
      <c r="B389" s="137" t="s">
        <v>923</v>
      </c>
      <c r="C389" s="137" t="str">
        <f t="shared" si="26"/>
        <v>311</v>
      </c>
      <c r="D389" s="134" t="s">
        <v>790</v>
      </c>
      <c r="E389" s="134" t="str">
        <f t="shared" si="27"/>
        <v/>
      </c>
      <c r="F389" s="137">
        <v>0</v>
      </c>
      <c r="G389" s="137">
        <v>0</v>
      </c>
      <c r="H389" s="137">
        <v>0</v>
      </c>
      <c r="I389" s="137">
        <v>0</v>
      </c>
      <c r="J389" s="137">
        <v>0</v>
      </c>
      <c r="K389" s="137">
        <v>7679.5816100000002</v>
      </c>
      <c r="L389" s="137">
        <v>0</v>
      </c>
      <c r="M389" s="137">
        <v>0</v>
      </c>
      <c r="N389" s="137">
        <v>0</v>
      </c>
      <c r="O389" s="137">
        <v>0</v>
      </c>
      <c r="P389" s="137">
        <v>0</v>
      </c>
      <c r="Q389" s="137">
        <v>0</v>
      </c>
      <c r="R389" s="137">
        <v>0</v>
      </c>
      <c r="S389" s="137">
        <f t="shared" ref="S389:S411" si="28">SUM(G389:R389)</f>
        <v>7679.5816100000002</v>
      </c>
    </row>
    <row r="390" spans="1:19">
      <c r="A390" s="137" t="str">
        <f t="shared" si="25"/>
        <v>LGE</v>
      </c>
      <c r="B390" s="137" t="s">
        <v>923</v>
      </c>
      <c r="C390" s="137" t="str">
        <f t="shared" si="26"/>
        <v>312</v>
      </c>
      <c r="D390" s="134" t="s">
        <v>791</v>
      </c>
      <c r="E390" s="134" t="str">
        <f t="shared" si="27"/>
        <v/>
      </c>
      <c r="F390" s="137">
        <v>0</v>
      </c>
      <c r="G390" s="137">
        <v>0</v>
      </c>
      <c r="H390" s="137">
        <v>0</v>
      </c>
      <c r="I390" s="137">
        <v>0</v>
      </c>
      <c r="J390" s="137">
        <v>0</v>
      </c>
      <c r="K390" s="137">
        <v>-5889.8948899999996</v>
      </c>
      <c r="L390" s="137">
        <v>0</v>
      </c>
      <c r="M390" s="137">
        <v>0</v>
      </c>
      <c r="N390" s="137">
        <v>0</v>
      </c>
      <c r="O390" s="137">
        <v>0</v>
      </c>
      <c r="P390" s="137">
        <v>0</v>
      </c>
      <c r="Q390" s="137">
        <v>0</v>
      </c>
      <c r="R390" s="137">
        <v>0</v>
      </c>
      <c r="S390" s="137">
        <f t="shared" si="28"/>
        <v>-5889.8948899999996</v>
      </c>
    </row>
    <row r="391" spans="1:19">
      <c r="A391" s="137" t="str">
        <f t="shared" si="25"/>
        <v>LGE</v>
      </c>
      <c r="B391" s="137" t="s">
        <v>923</v>
      </c>
      <c r="C391" s="137" t="str">
        <f t="shared" si="26"/>
        <v>314</v>
      </c>
      <c r="D391" s="134" t="s">
        <v>795</v>
      </c>
      <c r="E391" s="134" t="str">
        <f t="shared" si="27"/>
        <v/>
      </c>
      <c r="F391" s="137">
        <v>0</v>
      </c>
      <c r="G391" s="137">
        <v>0</v>
      </c>
      <c r="H391" s="137">
        <v>0</v>
      </c>
      <c r="I391" s="137">
        <v>0</v>
      </c>
      <c r="J391" s="137">
        <v>0</v>
      </c>
      <c r="K391" s="137">
        <v>-1180.44362</v>
      </c>
      <c r="L391" s="137">
        <v>0</v>
      </c>
      <c r="M391" s="137">
        <v>0</v>
      </c>
      <c r="N391" s="137">
        <v>0</v>
      </c>
      <c r="O391" s="137">
        <v>0</v>
      </c>
      <c r="P391" s="137">
        <v>0</v>
      </c>
      <c r="Q391" s="137">
        <v>0</v>
      </c>
      <c r="R391" s="137">
        <v>0</v>
      </c>
      <c r="S391" s="137">
        <f t="shared" si="28"/>
        <v>-1180.44362</v>
      </c>
    </row>
    <row r="392" spans="1:19">
      <c r="A392" s="137" t="str">
        <f t="shared" si="25"/>
        <v>LGE</v>
      </c>
      <c r="B392" s="137" t="s">
        <v>923</v>
      </c>
      <c r="C392" s="137" t="str">
        <f t="shared" si="26"/>
        <v>315</v>
      </c>
      <c r="D392" s="134" t="s">
        <v>796</v>
      </c>
      <c r="E392" s="134" t="str">
        <f t="shared" si="27"/>
        <v/>
      </c>
      <c r="F392" s="137">
        <v>0</v>
      </c>
      <c r="G392" s="137">
        <v>0</v>
      </c>
      <c r="H392" s="137">
        <v>0</v>
      </c>
      <c r="I392" s="137">
        <v>0</v>
      </c>
      <c r="J392" s="137">
        <v>0</v>
      </c>
      <c r="K392" s="137">
        <v>-1.12086</v>
      </c>
      <c r="L392" s="137">
        <v>0</v>
      </c>
      <c r="M392" s="137">
        <v>0</v>
      </c>
      <c r="N392" s="137">
        <v>0</v>
      </c>
      <c r="O392" s="137">
        <v>0</v>
      </c>
      <c r="P392" s="137">
        <v>0</v>
      </c>
      <c r="Q392" s="137">
        <v>0</v>
      </c>
      <c r="R392" s="137">
        <v>0</v>
      </c>
      <c r="S392" s="137">
        <f t="shared" si="28"/>
        <v>-1.12086</v>
      </c>
    </row>
    <row r="393" spans="1:19">
      <c r="A393" s="137" t="str">
        <f t="shared" si="25"/>
        <v>LGE</v>
      </c>
      <c r="B393" s="137" t="s">
        <v>923</v>
      </c>
      <c r="C393" s="137" t="str">
        <f t="shared" si="26"/>
        <v>316</v>
      </c>
      <c r="D393" s="134" t="s">
        <v>798</v>
      </c>
      <c r="E393" s="134" t="str">
        <f t="shared" si="27"/>
        <v/>
      </c>
      <c r="F393" s="137">
        <v>0</v>
      </c>
      <c r="G393" s="137">
        <v>0</v>
      </c>
      <c r="H393" s="137">
        <v>0</v>
      </c>
      <c r="I393" s="137">
        <v>0</v>
      </c>
      <c r="J393" s="137">
        <v>0</v>
      </c>
      <c r="K393" s="137">
        <v>-608.12224000000003</v>
      </c>
      <c r="L393" s="137">
        <v>0</v>
      </c>
      <c r="M393" s="137">
        <v>0</v>
      </c>
      <c r="N393" s="137">
        <v>0</v>
      </c>
      <c r="O393" s="137">
        <v>0</v>
      </c>
      <c r="P393" s="137">
        <v>0</v>
      </c>
      <c r="Q393" s="137">
        <v>0</v>
      </c>
      <c r="R393" s="137">
        <v>0</v>
      </c>
      <c r="S393" s="137">
        <f t="shared" si="28"/>
        <v>-608.12224000000003</v>
      </c>
    </row>
    <row r="394" spans="1:19">
      <c r="A394" s="137" t="str">
        <f t="shared" si="25"/>
        <v>LGE</v>
      </c>
      <c r="B394" s="137" t="s">
        <v>923</v>
      </c>
      <c r="C394" s="137" t="str">
        <f t="shared" si="26"/>
        <v>317</v>
      </c>
      <c r="D394" s="134" t="s">
        <v>799</v>
      </c>
      <c r="E394" s="134" t="str">
        <f t="shared" si="27"/>
        <v>ARO</v>
      </c>
      <c r="F394" s="137">
        <v>0</v>
      </c>
      <c r="G394" s="137">
        <v>0</v>
      </c>
      <c r="H394" s="137">
        <v>0</v>
      </c>
      <c r="I394" s="137">
        <v>-2670.52594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  <c r="S394" s="137">
        <f t="shared" si="28"/>
        <v>-2670.52594</v>
      </c>
    </row>
    <row r="395" spans="1:19">
      <c r="A395" s="137" t="str">
        <f t="shared" si="25"/>
        <v>LGE</v>
      </c>
      <c r="B395" s="137" t="s">
        <v>923</v>
      </c>
      <c r="C395" s="137" t="str">
        <f t="shared" si="26"/>
        <v>317</v>
      </c>
      <c r="D395" s="134" t="s">
        <v>1817</v>
      </c>
      <c r="E395" s="134" t="str">
        <f t="shared" si="27"/>
        <v>ARO</v>
      </c>
      <c r="F395" s="137">
        <v>0</v>
      </c>
      <c r="G395" s="137">
        <v>0</v>
      </c>
      <c r="H395" s="137">
        <v>0</v>
      </c>
      <c r="I395" s="137">
        <v>-2673.5146599999998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si="28"/>
        <v>-2673.5146599999998</v>
      </c>
    </row>
    <row r="396" spans="1:19">
      <c r="A396" s="137" t="str">
        <f t="shared" si="25"/>
        <v>LGE</v>
      </c>
      <c r="B396" s="137" t="s">
        <v>923</v>
      </c>
      <c r="C396" s="137" t="str">
        <f t="shared" si="26"/>
        <v>343</v>
      </c>
      <c r="D396" s="134" t="s">
        <v>811</v>
      </c>
      <c r="E396" s="134" t="str">
        <f t="shared" si="27"/>
        <v/>
      </c>
      <c r="F396" s="137">
        <v>0</v>
      </c>
      <c r="G396" s="137">
        <v>-23.4498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28"/>
        <v>-23.4498</v>
      </c>
    </row>
    <row r="397" spans="1:19">
      <c r="A397" s="137" t="str">
        <f t="shared" si="25"/>
        <v>LGE</v>
      </c>
      <c r="B397" s="137" t="s">
        <v>923</v>
      </c>
      <c r="C397" s="137" t="str">
        <f t="shared" si="26"/>
        <v>344</v>
      </c>
      <c r="D397" s="134" t="s">
        <v>812</v>
      </c>
      <c r="E397" s="134" t="str">
        <f t="shared" si="27"/>
        <v/>
      </c>
      <c r="F397" s="137">
        <v>0</v>
      </c>
      <c r="G397" s="137">
        <v>23.4498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28"/>
        <v>23.4498</v>
      </c>
    </row>
    <row r="398" spans="1:19">
      <c r="A398" s="137" t="str">
        <f t="shared" si="25"/>
        <v>LGE</v>
      </c>
      <c r="B398" s="137" t="s">
        <v>923</v>
      </c>
      <c r="C398" s="137" t="str">
        <f t="shared" si="26"/>
        <v>353</v>
      </c>
      <c r="D398" s="134" t="s">
        <v>823</v>
      </c>
      <c r="E398" s="134" t="str">
        <f t="shared" si="27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485.28699999999998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28"/>
        <v>485.28699999999998</v>
      </c>
    </row>
    <row r="399" spans="1:19">
      <c r="A399" s="137" t="str">
        <f t="shared" si="25"/>
        <v>LGE</v>
      </c>
      <c r="B399" s="137" t="s">
        <v>923</v>
      </c>
      <c r="C399" s="137" t="str">
        <f t="shared" si="26"/>
        <v>362</v>
      </c>
      <c r="D399" s="134" t="s">
        <v>837</v>
      </c>
      <c r="E399" s="134" t="str">
        <f t="shared" si="27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-485.28699999999998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28"/>
        <v>-485.28699999999998</v>
      </c>
    </row>
    <row r="411" spans="19:19">
      <c r="S411" s="137">
        <f t="shared" si="28"/>
        <v>0</v>
      </c>
    </row>
  </sheetData>
  <autoFilter ref="B1:B411"/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H23" sqref="H23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799" customWidth="1"/>
    <col min="25" max="16384" width="9" style="6"/>
  </cols>
  <sheetData>
    <row r="1" spans="1:24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</row>
    <row r="2" spans="1:24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</row>
    <row r="3" spans="1:24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4" t="s">
        <v>1034</v>
      </c>
      <c r="X4" s="779"/>
    </row>
    <row r="5" spans="1:24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W5" s="780" t="s">
        <v>1828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F'!$F$6:$F$135,'FCPIS F'!$B$6:$B$135,'PIS F'!$A11,'FCPIS F'!$C$6:$C$135,'PIS F'!$B11)*1000</f>
        <v>0</v>
      </c>
      <c r="E11" s="13"/>
      <c r="F11" s="4">
        <f>SUMIFS('FCPIS F'!$S$138:$S$225,'FCPIS F'!$B$138:$B$225,'PIS F'!$A11,'FCPIS F'!$C$138:$C$225,'PIS F'!$B11)*1000</f>
        <v>0</v>
      </c>
      <c r="G11" s="13"/>
      <c r="H11" s="4">
        <f>SUMIFS('FCPIS F'!$S$228:$S$278,'FCPIS F'!$B$228:$B$278,'PIS F'!$A11,'FCPIS F'!$C$228:$C$278,'PIS F'!$B11)*-1000</f>
        <v>0</v>
      </c>
      <c r="I11" s="13"/>
      <c r="J11" s="4">
        <f>SUMIFS('FCPIS F'!$S$395:$S$416,'FCPIS F'!$B$395:$B$416,'PIS F'!$A11,'FCPIS F'!$C$395:$C$416,'PIS F'!$B11)*1000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9">
        <f>SUMIFS('FCPIS F'!$R$281:$R$408,'FCPIS F'!$B$281:$B$408,'PIS F'!$A11,'FCPIS F'!$C$281:$C$408,'PIS F'!$B11)*-1000</f>
        <v>0</v>
      </c>
      <c r="Q11" s="2"/>
      <c r="R11" s="9">
        <f t="shared" ref="R11:R28" si="2">SUM(N11:P11)</f>
        <v>0</v>
      </c>
      <c r="T11" s="9"/>
      <c r="U11" s="13"/>
      <c r="V11" s="9">
        <f t="shared" ref="V11:V29" si="3">P11+T11</f>
        <v>0</v>
      </c>
      <c r="W11" s="4">
        <f>SUMIFS('FCPIS F'!$R$6:$R$135,'FCPIS F'!$B$6:$B$135,'PIS F'!$A11,'FCPIS F'!$C$6:$C$135,'PIS F'!$B11)*1000</f>
        <v>0</v>
      </c>
      <c r="X11" s="4">
        <f t="shared" ref="X11:X28" si="4"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F'!$A12,'FCPIS F'!$C$6:$C$135,'PIS F'!$B12)*1000</f>
        <v>4103252.72</v>
      </c>
      <c r="E12" s="13"/>
      <c r="F12" s="4">
        <f>SUMIFS('FCPIS F'!$S$138:$S$225,'FCPIS F'!$B$138:$B$225,'PIS F'!$A12,'FCPIS F'!$C$138:$C$225,'PIS F'!$B12)*1000</f>
        <v>0</v>
      </c>
      <c r="G12" s="13"/>
      <c r="H12" s="4">
        <f>SUMIFS('FCPIS F'!$S$228:$S$278,'FCPIS F'!$B$228:$B$278,'PIS F'!$A12,'FCPIS F'!$C$228:$C$278,'PIS F'!$B12)*-1000</f>
        <v>0</v>
      </c>
      <c r="I12" s="13"/>
      <c r="J12" s="4">
        <f>SUMIFS('FCPIS F'!$S$395:$S$416,'FCPIS F'!$B$395:$B$416,'PIS F'!$A12,'FCPIS F'!$C$395:$C$416,'PIS F'!$B12)*1000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9">
        <f>SUMIFS('FCPIS F'!$R$281:$R$408,'FCPIS F'!$B$281:$B$408,'PIS F'!$A12,'FCPIS F'!$C$281:$C$408,'PIS F'!$B12)*-1000</f>
        <v>46078.46</v>
      </c>
      <c r="Q12" s="2"/>
      <c r="R12" s="9">
        <f t="shared" si="2"/>
        <v>4149331.18</v>
      </c>
      <c r="T12" s="9"/>
      <c r="U12" s="13"/>
      <c r="V12" s="9">
        <f t="shared" si="3"/>
        <v>46078.46</v>
      </c>
      <c r="W12" s="4">
        <f>SUMIFS('FCPIS F'!$R$6:$R$135,'FCPIS F'!$B$6:$B$135,'PIS F'!$A12,'FCPIS F'!$C$6:$C$135,'PIS F'!$B12)*1000</f>
        <v>4103252.72</v>
      </c>
      <c r="X12" s="4">
        <f t="shared" si="4"/>
        <v>0</v>
      </c>
    </row>
    <row r="13" spans="1:24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F'!$A13,'FCPIS F'!$C$6:$C$135,'PIS F'!$B13)*1000</f>
        <v>19719161.619999997</v>
      </c>
      <c r="E13" s="13"/>
      <c r="F13" s="4">
        <f>SUMIFS('FCPIS F'!$S$138:$S$225,'FCPIS F'!$B$138:$B$225,'PIS F'!$A13,'FCPIS F'!$C$138:$C$225,'PIS F'!$B13)*1000</f>
        <v>19667048.540000003</v>
      </c>
      <c r="G13" s="13"/>
      <c r="H13" s="4">
        <f>SUMIFS('FCPIS F'!$S$228:$S$278,'FCPIS F'!$B$228:$B$278,'PIS F'!$A13,'FCPIS F'!$C$228:$C$278,'PIS F'!$B13)*-1000</f>
        <v>0</v>
      </c>
      <c r="I13" s="13"/>
      <c r="J13" s="4">
        <f>SUMIFS('FCPIS F'!$S$395:$S$416,'FCPIS F'!$B$395:$B$416,'PIS F'!$A13,'FCPIS F'!$C$395:$C$416,'PIS F'!$B13)*1000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9">
        <f>SUMIFS('FCPIS F'!$R$281:$R$408,'FCPIS F'!$B$281:$B$408,'PIS F'!$A13,'FCPIS F'!$C$281:$C$408,'PIS F'!$B13)*-1000</f>
        <v>-1389309.6535449999</v>
      </c>
      <c r="Q13" s="2"/>
      <c r="R13" s="9">
        <f t="shared" si="2"/>
        <v>37996900.506454997</v>
      </c>
      <c r="T13" s="9">
        <f t="shared" ref="T13:T28" si="6">F13/(F$29-$F$12)*T$29</f>
        <v>265174.85883311095</v>
      </c>
      <c r="U13" s="13"/>
      <c r="V13" s="9">
        <f t="shared" si="3"/>
        <v>-1124134.794711889</v>
      </c>
      <c r="W13" s="4">
        <f>SUMIFS('FCPIS F'!$R$6:$R$135,'FCPIS F'!$B$6:$B$135,'PIS F'!$A13,'FCPIS F'!$C$6:$C$135,'PIS F'!$B13)*1000</f>
        <v>39386210.1599999</v>
      </c>
      <c r="X13" s="4">
        <f t="shared" si="4"/>
        <v>-9.6857547760009766E-8</v>
      </c>
    </row>
    <row r="14" spans="1:24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F'!$A14,'FCPIS F'!$C$6:$C$135,'PIS F'!$B14)*1000</f>
        <v>145671787.94</v>
      </c>
      <c r="E14" s="13"/>
      <c r="F14" s="4">
        <f>SUMIFS('FCPIS F'!$S$138:$S$225,'FCPIS F'!$B$138:$B$225,'PIS F'!$A14,'FCPIS F'!$C$138:$C$225,'PIS F'!$B14)*1000</f>
        <v>15436125.790000001</v>
      </c>
      <c r="G14" s="13"/>
      <c r="H14" s="4">
        <f>SUMIFS('FCPIS F'!$S$228:$S$278,'FCPIS F'!$B$228:$B$278,'PIS F'!$A14,'FCPIS F'!$C$228:$C$278,'PIS F'!$B14)*-1000</f>
        <v>0</v>
      </c>
      <c r="I14" s="13"/>
      <c r="J14" s="4">
        <f>SUMIFS('FCPIS F'!$S$395:$S$416,'FCPIS F'!$B$395:$B$416,'PIS F'!$A14,'FCPIS F'!$C$395:$C$416,'PIS F'!$B14)*1000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9">
        <f>SUMIFS('FCPIS F'!$R$281:$R$408,'FCPIS F'!$B$281:$B$408,'PIS F'!$A14,'FCPIS F'!$C$281:$C$408,'PIS F'!$B14)*-1000</f>
        <v>-50510989.777023897</v>
      </c>
      <c r="Q14" s="2"/>
      <c r="R14" s="9">
        <f t="shared" si="2"/>
        <v>110596923.95297609</v>
      </c>
      <c r="T14" s="9">
        <f t="shared" si="6"/>
        <v>208128.45755519721</v>
      </c>
      <c r="U14" s="13"/>
      <c r="V14" s="9">
        <f t="shared" si="3"/>
        <v>-50302861.319468699</v>
      </c>
      <c r="W14" s="4">
        <f>SUMIFS('FCPIS F'!$R$6:$R$135,'FCPIS F'!$B$6:$B$135,'PIS F'!$A14,'FCPIS F'!$C$6:$C$135,'PIS F'!$B14)*1000</f>
        <v>161107913.72999999</v>
      </c>
      <c r="X14" s="4">
        <f t="shared" si="4"/>
        <v>0</v>
      </c>
    </row>
    <row r="15" spans="1:24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F'!$A15,'FCPIS F'!$C$6:$C$135,'PIS F'!$B15)*1000</f>
        <v>211648101.28</v>
      </c>
      <c r="E15" s="13"/>
      <c r="F15" s="4">
        <f>SUMIFS('FCPIS F'!$S$138:$S$225,'FCPIS F'!$B$138:$B$225,'PIS F'!$A15,'FCPIS F'!$C$138:$C$225,'PIS F'!$B15)*1000</f>
        <v>9095072.4799999986</v>
      </c>
      <c r="G15" s="13"/>
      <c r="H15" s="4">
        <f>SUMIFS('FCPIS F'!$S$228:$S$278,'FCPIS F'!$B$228:$B$278,'PIS F'!$A15,'FCPIS F'!$C$228:$C$278,'PIS F'!$B15)*-1000</f>
        <v>-1896721.9999999991</v>
      </c>
      <c r="I15" s="13"/>
      <c r="J15" s="4">
        <f>SUMIFS('FCPIS F'!$S$395:$S$416,'FCPIS F'!$B$395:$B$416,'PIS F'!$A15,'FCPIS F'!$C$395:$C$416,'PIS F'!$B15)*1000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9">
        <f>SUMIFS('FCPIS F'!$R$281:$R$408,'FCPIS F'!$B$281:$B$408,'PIS F'!$A15,'FCPIS F'!$C$281:$C$408,'PIS F'!$B15)*-1000</f>
        <v>-88177422.268359989</v>
      </c>
      <c r="Q15" s="2"/>
      <c r="R15" s="9">
        <f t="shared" si="2"/>
        <v>130669029.49164</v>
      </c>
      <c r="T15" s="9">
        <f t="shared" si="6"/>
        <v>122630.73211293919</v>
      </c>
      <c r="U15" s="13"/>
      <c r="V15" s="9">
        <f t="shared" si="3"/>
        <v>-88054791.536247045</v>
      </c>
      <c r="W15" s="4">
        <f>SUMIFS('FCPIS F'!$R$6:$R$135,'FCPIS F'!$B$6:$B$135,'PIS F'!$A15,'FCPIS F'!$C$6:$C$135,'PIS F'!$B15)*1000</f>
        <v>218846451.75999901</v>
      </c>
      <c r="X15" s="4">
        <f t="shared" si="4"/>
        <v>-9.8347663879394531E-7</v>
      </c>
    </row>
    <row r="16" spans="1:24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F'!$A16,'FCPIS F'!$C$6:$C$135,'PIS F'!$B16)*1000</f>
        <v>362102214.359999</v>
      </c>
      <c r="E16" s="13"/>
      <c r="F16" s="4">
        <f>SUMIFS('FCPIS F'!$S$138:$S$225,'FCPIS F'!$B$138:$B$225,'PIS F'!$A16,'FCPIS F'!$C$138:$C$225,'PIS F'!$B16)*1000</f>
        <v>35165780.699999988</v>
      </c>
      <c r="G16" s="13"/>
      <c r="H16" s="4">
        <f>SUMIFS('FCPIS F'!$S$228:$S$278,'FCPIS F'!$B$228:$B$278,'PIS F'!$A16,'FCPIS F'!$C$228:$C$278,'PIS F'!$B16)*-1000</f>
        <v>-2416237.16</v>
      </c>
      <c r="I16" s="13"/>
      <c r="J16" s="4">
        <f>SUMIFS('FCPIS F'!$S$395:$S$416,'FCPIS F'!$B$395:$B$416,'PIS F'!$A16,'FCPIS F'!$C$395:$C$416,'PIS F'!$B16)*1000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9">
        <f>SUMIFS('FCPIS F'!$R$281:$R$408,'FCPIS F'!$B$281:$B$408,'PIS F'!$A16,'FCPIS F'!$C$281:$C$408,'PIS F'!$B16)*-1000</f>
        <v>-137342416.46169901</v>
      </c>
      <c r="Q16" s="2"/>
      <c r="R16" s="9">
        <f t="shared" si="2"/>
        <v>257509341.43829995</v>
      </c>
      <c r="T16" s="9">
        <f t="shared" si="6"/>
        <v>474147.4509463245</v>
      </c>
      <c r="U16" s="13"/>
      <c r="V16" s="9">
        <f t="shared" si="3"/>
        <v>-136868269.01075268</v>
      </c>
      <c r="W16" s="4">
        <f>SUMIFS('FCPIS F'!$R$6:$R$135,'FCPIS F'!$B$6:$B$135,'PIS F'!$A16,'FCPIS F'!$C$6:$C$135,'PIS F'!$B16)*1000</f>
        <v>394851757.89999896</v>
      </c>
      <c r="X16" s="4">
        <f t="shared" si="4"/>
        <v>0</v>
      </c>
    </row>
    <row r="17" spans="1:24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F'!$A17,'FCPIS F'!$C$6:$C$135,'PIS F'!$B17)*1000</f>
        <v>96674999.529999897</v>
      </c>
      <c r="E17" s="13"/>
      <c r="F17" s="4">
        <f>SUMIFS('FCPIS F'!$S$138:$S$225,'FCPIS F'!$B$138:$B$225,'PIS F'!$A17,'FCPIS F'!$C$138:$C$225,'PIS F'!$B17)*1000</f>
        <v>11245191.390000001</v>
      </c>
      <c r="G17" s="13"/>
      <c r="H17" s="4">
        <f>SUMIFS('FCPIS F'!$S$228:$S$278,'FCPIS F'!$B$228:$B$278,'PIS F'!$A17,'FCPIS F'!$C$228:$C$278,'PIS F'!$B17)*-1000</f>
        <v>0</v>
      </c>
      <c r="I17" s="13"/>
      <c r="J17" s="4">
        <f>SUMIFS('FCPIS F'!$S$395:$S$416,'FCPIS F'!$B$395:$B$416,'PIS F'!$A17,'FCPIS F'!$C$395:$C$416,'PIS F'!$B17)*1000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9">
        <f>SUMIFS('FCPIS F'!$R$281:$R$408,'FCPIS F'!$B$281:$B$408,'PIS F'!$A17,'FCPIS F'!$C$281:$C$408,'PIS F'!$B17)*-1000</f>
        <v>-34814513.300920002</v>
      </c>
      <c r="Q17" s="2"/>
      <c r="R17" s="9">
        <f t="shared" si="2"/>
        <v>73105677.619079888</v>
      </c>
      <c r="T17" s="9">
        <f t="shared" si="6"/>
        <v>151621.22742157857</v>
      </c>
      <c r="U17" s="13"/>
      <c r="V17" s="9">
        <f t="shared" si="3"/>
        <v>-34662892.07349842</v>
      </c>
      <c r="W17" s="4">
        <f>SUMIFS('FCPIS F'!$R$6:$R$135,'FCPIS F'!$B$6:$B$135,'PIS F'!$A17,'FCPIS F'!$C$6:$C$135,'PIS F'!$B17)*1000</f>
        <v>107920190.91999999</v>
      </c>
      <c r="X17" s="4">
        <f t="shared" si="4"/>
        <v>0</v>
      </c>
    </row>
    <row r="18" spans="1:24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F'!$A18,'FCPIS F'!$C$6:$C$135,'PIS F'!$B18)*1000</f>
        <v>282784496.56</v>
      </c>
      <c r="E18" s="13"/>
      <c r="F18" s="4">
        <f>SUMIFS('FCPIS F'!$S$138:$S$225,'FCPIS F'!$B$138:$B$225,'PIS F'!$A18,'FCPIS F'!$C$138:$C$225,'PIS F'!$B18)*1000</f>
        <v>24380463.849999979</v>
      </c>
      <c r="G18" s="13"/>
      <c r="H18" s="4">
        <f>SUMIFS('FCPIS F'!$S$228:$S$278,'FCPIS F'!$B$228:$B$278,'PIS F'!$A18,'FCPIS F'!$C$228:$C$278,'PIS F'!$B18)*-1000</f>
        <v>-1024229.4500000001</v>
      </c>
      <c r="I18" s="13"/>
      <c r="J18" s="4">
        <f>SUMIFS('FCPIS F'!$S$395:$S$416,'FCPIS F'!$B$395:$B$416,'PIS F'!$A18,'FCPIS F'!$C$395:$C$416,'PIS F'!$B18)*1000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9">
        <f>SUMIFS('FCPIS F'!$R$281:$R$408,'FCPIS F'!$B$281:$B$408,'PIS F'!$A18,'FCPIS F'!$C$281:$C$408,'PIS F'!$B18)*-1000</f>
        <v>-68794715.145973995</v>
      </c>
      <c r="Q18" s="2"/>
      <c r="R18" s="9">
        <f t="shared" si="2"/>
        <v>237346015.814026</v>
      </c>
      <c r="T18" s="9">
        <f t="shared" si="6"/>
        <v>328726.80649363506</v>
      </c>
      <c r="U18" s="13"/>
      <c r="V18" s="9">
        <f t="shared" si="3"/>
        <v>-68465988.339480355</v>
      </c>
      <c r="W18" s="4">
        <f>SUMIFS('FCPIS F'!$R$6:$R$135,'FCPIS F'!$B$6:$B$135,'PIS F'!$A18,'FCPIS F'!$C$6:$C$135,'PIS F'!$B18)*1000</f>
        <v>306140730.95999902</v>
      </c>
      <c r="X18" s="4">
        <f t="shared" si="4"/>
        <v>-9.5367431640625E-7</v>
      </c>
    </row>
    <row r="19" spans="1:24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F'!$A19,'FCPIS F'!$C$6:$C$135,'PIS F'!$B19)*1000</f>
        <v>173525385.43000001</v>
      </c>
      <c r="E19" s="13"/>
      <c r="F19" s="4">
        <f>SUMIFS('FCPIS F'!$S$138:$S$225,'FCPIS F'!$B$138:$B$225,'PIS F'!$A19,'FCPIS F'!$C$138:$C$225,'PIS F'!$B19)*1000</f>
        <v>7000576.1099999985</v>
      </c>
      <c r="G19" s="13"/>
      <c r="H19" s="4">
        <f>SUMIFS('FCPIS F'!$S$228:$S$278,'FCPIS F'!$B$228:$B$278,'PIS F'!$A19,'FCPIS F'!$C$228:$C$278,'PIS F'!$B19)*-1000</f>
        <v>-1178841.04</v>
      </c>
      <c r="I19" s="13"/>
      <c r="J19" s="4">
        <f>SUMIFS('FCPIS F'!$S$395:$S$416,'FCPIS F'!$B$395:$B$416,'PIS F'!$A19,'FCPIS F'!$C$395:$C$416,'PIS F'!$B19)*1000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9">
        <f>SUMIFS('FCPIS F'!$R$281:$R$408,'FCPIS F'!$B$281:$B$408,'PIS F'!$A19,'FCPIS F'!$C$281:$C$408,'PIS F'!$B19)*-1000</f>
        <v>-84969639.085820004</v>
      </c>
      <c r="Q19" s="2"/>
      <c r="R19" s="9">
        <f t="shared" si="2"/>
        <v>94377481.414179996</v>
      </c>
      <c r="T19" s="9">
        <f t="shared" si="6"/>
        <v>94390.206946613776</v>
      </c>
      <c r="U19" s="13"/>
      <c r="V19" s="9">
        <f t="shared" si="3"/>
        <v>-84875248.878873393</v>
      </c>
      <c r="W19" s="4">
        <f>SUMIFS('FCPIS F'!$R$6:$R$135,'FCPIS F'!$B$6:$B$135,'PIS F'!$A19,'FCPIS F'!$C$6:$C$135,'PIS F'!$B19)*1000</f>
        <v>179347120.5</v>
      </c>
      <c r="X19" s="4">
        <f t="shared" si="4"/>
        <v>0</v>
      </c>
    </row>
    <row r="20" spans="1:24">
      <c r="A20" s="6" t="s">
        <v>923</v>
      </c>
      <c r="C20" s="129" t="s">
        <v>873</v>
      </c>
      <c r="D20" s="4">
        <f>SUMIFS('FCPIS F'!$F$6:$F$135,'FCPIS F'!$B$6:$B$135,'PIS F'!$A20,'FCPIS F'!$C$6:$C$135,'PIS F'!$B20)*1000</f>
        <v>0</v>
      </c>
      <c r="E20" s="13"/>
      <c r="F20" s="4">
        <f>SUMIFS('FCPIS F'!$S$138:$S$225,'FCPIS F'!$B$138:$B$225,'PIS F'!$A20,'FCPIS F'!$C$138:$C$225,'PIS F'!$B20)*1000</f>
        <v>0</v>
      </c>
      <c r="G20" s="13"/>
      <c r="H20" s="4">
        <f>SUMIFS('FCPIS F'!$S$228:$S$278,'FCPIS F'!$B$228:$B$278,'PIS F'!$A20,'FCPIS F'!$C$228:$C$278,'PIS F'!$B20)*-1000</f>
        <v>0</v>
      </c>
      <c r="I20" s="13"/>
      <c r="J20" s="4">
        <f>SUMIFS('FCPIS F'!$S$395:$S$416,'FCPIS F'!$B$395:$B$416,'PIS F'!$A20,'FCPIS F'!$C$395:$C$416,'PIS F'!$B20)*1000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9">
        <f>SUMIFS('FCPIS F'!$R$281:$R$408,'FCPIS F'!$B$281:$B$408,'PIS F'!$A20,'FCPIS F'!$C$281:$C$408,'PIS F'!$B20)*-1000</f>
        <v>0</v>
      </c>
      <c r="Q20" s="2"/>
      <c r="R20" s="9">
        <f t="shared" si="2"/>
        <v>0</v>
      </c>
      <c r="T20" s="9">
        <f t="shared" si="6"/>
        <v>0</v>
      </c>
      <c r="U20" s="13"/>
      <c r="V20" s="9">
        <f t="shared" si="3"/>
        <v>0</v>
      </c>
      <c r="W20" s="4">
        <f>SUMIFS('FCPIS F'!$R$6:$R$135,'FCPIS F'!$B$6:$B$135,'PIS F'!$A20,'FCPIS F'!$C$6:$C$135,'PIS F'!$B20)*1000</f>
        <v>0</v>
      </c>
      <c r="X20" s="4">
        <f t="shared" si="4"/>
        <v>0</v>
      </c>
    </row>
    <row r="21" spans="1:24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F'!$A21,'FCPIS F'!$C$6:$C$135,'PIS F'!$B21)*1000</f>
        <v>37462116.850000001</v>
      </c>
      <c r="E21" s="13"/>
      <c r="F21" s="4">
        <f>SUMIFS('FCPIS F'!$S$138:$S$225,'FCPIS F'!$B$138:$B$225,'PIS F'!$A21,'FCPIS F'!$C$138:$C$225,'PIS F'!$B21)*1000</f>
        <v>732113.39999999991</v>
      </c>
      <c r="G21" s="13"/>
      <c r="H21" s="4">
        <f>SUMIFS('FCPIS F'!$S$228:$S$278,'FCPIS F'!$B$228:$B$278,'PIS F'!$A21,'FCPIS F'!$C$228:$C$278,'PIS F'!$B21)*-1000</f>
        <v>0</v>
      </c>
      <c r="I21" s="13"/>
      <c r="J21" s="4">
        <f>SUMIFS('FCPIS F'!$S$395:$S$416,'FCPIS F'!$B$395:$B$416,'PIS F'!$A21,'FCPIS F'!$C$395:$C$416,'PIS F'!$B21)*1000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9">
        <f>SUMIFS('FCPIS F'!$R$281:$R$408,'FCPIS F'!$B$281:$B$408,'PIS F'!$A21,'FCPIS F'!$C$281:$C$408,'PIS F'!$B21)*-1000</f>
        <v>-28025969.955029998</v>
      </c>
      <c r="Q21" s="2"/>
      <c r="R21" s="9">
        <f t="shared" si="2"/>
        <v>10168260.294970002</v>
      </c>
      <c r="T21" s="9">
        <f t="shared" si="6"/>
        <v>9871.2354881302817</v>
      </c>
      <c r="U21" s="13"/>
      <c r="V21" s="9">
        <f t="shared" si="3"/>
        <v>-28016098.719541866</v>
      </c>
      <c r="W21" s="4">
        <f>SUMIFS('FCPIS F'!$R$6:$R$135,'FCPIS F'!$B$6:$B$135,'PIS F'!$A21,'FCPIS F'!$C$6:$C$135,'PIS F'!$B21)*1000</f>
        <v>38194230.25</v>
      </c>
      <c r="X21" s="4">
        <f t="shared" si="4"/>
        <v>0</v>
      </c>
    </row>
    <row r="22" spans="1:24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F'!$A22,'FCPIS F'!$C$6:$C$135,'PIS F'!$B22)*1000</f>
        <v>43083034.399999902</v>
      </c>
      <c r="E22" s="13"/>
      <c r="F22" s="4">
        <f>SUMIFS('FCPIS F'!$S$138:$S$225,'FCPIS F'!$B$138:$B$225,'PIS F'!$A22,'FCPIS F'!$C$138:$C$225,'PIS F'!$B22)*1000</f>
        <v>1385539.8499999987</v>
      </c>
      <c r="G22" s="13"/>
      <c r="H22" s="4">
        <f>SUMIFS('FCPIS F'!$S$228:$S$278,'FCPIS F'!$B$228:$B$278,'PIS F'!$A22,'FCPIS F'!$C$228:$C$278,'PIS F'!$B22)*-1000</f>
        <v>0</v>
      </c>
      <c r="I22" s="13"/>
      <c r="J22" s="4">
        <f>SUMIFS('FCPIS F'!$S$395:$S$416,'FCPIS F'!$B$395:$B$416,'PIS F'!$A22,'FCPIS F'!$C$395:$C$416,'PIS F'!$B22)*1000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9">
        <f>SUMIFS('FCPIS F'!$R$281:$R$408,'FCPIS F'!$B$281:$B$408,'PIS F'!$A22,'FCPIS F'!$C$281:$C$408,'PIS F'!$B22)*-1000</f>
        <v>-26368844.007617898</v>
      </c>
      <c r="Q22" s="2"/>
      <c r="R22" s="9">
        <f t="shared" si="2"/>
        <v>18099730.242382005</v>
      </c>
      <c r="T22" s="9">
        <f t="shared" si="6"/>
        <v>18681.518652081355</v>
      </c>
      <c r="U22" s="13"/>
      <c r="V22" s="9">
        <f t="shared" si="3"/>
        <v>-26350162.488965817</v>
      </c>
      <c r="W22" s="4">
        <f>SUMIFS('FCPIS F'!$R$6:$R$135,'FCPIS F'!$B$6:$B$135,'PIS F'!$A22,'FCPIS F'!$C$6:$C$135,'PIS F'!$B22)*1000</f>
        <v>44468574.249999903</v>
      </c>
      <c r="X22" s="4">
        <f t="shared" si="4"/>
        <v>0</v>
      </c>
    </row>
    <row r="23" spans="1:24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F'!$A23,'FCPIS F'!$C$6:$C$135,'PIS F'!$B23)*1000</f>
        <v>156536.15</v>
      </c>
      <c r="E23" s="13"/>
      <c r="F23" s="4">
        <f>SUMIFS('FCPIS F'!$S$138:$S$225,'FCPIS F'!$B$138:$B$225,'PIS F'!$A23,'FCPIS F'!$C$138:$C$225,'PIS F'!$B23)*1000</f>
        <v>0</v>
      </c>
      <c r="G23" s="13"/>
      <c r="H23" s="4">
        <f>SUMIFS('FCPIS F'!$S$228:$S$278,'FCPIS F'!$B$228:$B$278,'PIS F'!$A23,'FCPIS F'!$C$228:$C$278,'PIS F'!$B23)*-1000</f>
        <v>0</v>
      </c>
      <c r="I23" s="13"/>
      <c r="J23" s="4">
        <f>SUMIFS('FCPIS F'!$S$395:$S$416,'FCPIS F'!$B$395:$B$416,'PIS F'!$A23,'FCPIS F'!$C$395:$C$416,'PIS F'!$B23)*1000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9">
        <f>SUMIFS('FCPIS F'!$R$281:$R$408,'FCPIS F'!$B$281:$B$408,'PIS F'!$A23,'FCPIS F'!$C$281:$C$408,'PIS F'!$B23)*-1000</f>
        <v>-26078.900214099998</v>
      </c>
      <c r="Q23" s="2"/>
      <c r="R23" s="9">
        <f t="shared" ref="R23" si="10">SUM(N23:P23)</f>
        <v>130457.2497859</v>
      </c>
      <c r="T23" s="9">
        <f t="shared" ref="T23" si="11">F23/(F$29-$F$12)*T$29</f>
        <v>0</v>
      </c>
      <c r="U23" s="13"/>
      <c r="V23" s="9">
        <f t="shared" ref="V23" si="12">P23+T23</f>
        <v>-26078.900214099998</v>
      </c>
      <c r="W23" s="4">
        <f>SUMIFS('FCPIS F'!$R$6:$R$135,'FCPIS F'!$B$6:$B$135,'PIS F'!$A23,'FCPIS F'!$C$6:$C$135,'PIS F'!$B23)*1000</f>
        <v>156536.15</v>
      </c>
      <c r="X23" s="4">
        <f t="shared" ref="X23" si="13">W23-N23</f>
        <v>0</v>
      </c>
    </row>
    <row r="24" spans="1:24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F'!$A24,'FCPIS F'!$C$6:$C$135,'PIS F'!$B24)*1000</f>
        <v>117557140.84999999</v>
      </c>
      <c r="E24" s="13"/>
      <c r="F24" s="4">
        <f>SUMIFS('FCPIS F'!$S$138:$S$225,'FCPIS F'!$B$138:$B$225,'PIS F'!$A24,'FCPIS F'!$C$138:$C$225,'PIS F'!$B24)*1000</f>
        <v>4927134.3600000013</v>
      </c>
      <c r="G24" s="13"/>
      <c r="H24" s="4">
        <f>SUMIFS('FCPIS F'!$S$228:$S$278,'FCPIS F'!$B$228:$B$278,'PIS F'!$A24,'FCPIS F'!$C$228:$C$278,'PIS F'!$B24)*-1000</f>
        <v>0</v>
      </c>
      <c r="I24" s="13"/>
      <c r="J24" s="4">
        <f>SUMIFS('FCPIS F'!$S$395:$S$416,'FCPIS F'!$B$395:$B$416,'PIS F'!$A24,'FCPIS F'!$C$395:$C$416,'PIS F'!$B24)*1000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9">
        <f>SUMIFS('FCPIS F'!$R$281:$R$408,'FCPIS F'!$B$281:$B$408,'PIS F'!$A24,'FCPIS F'!$C$281:$C$408,'PIS F'!$B24)*-1000</f>
        <v>-49888293.857551903</v>
      </c>
      <c r="Q24" s="2"/>
      <c r="R24" s="9">
        <f t="shared" si="2"/>
        <v>72595981.352448091</v>
      </c>
      <c r="T24" s="9">
        <f t="shared" si="6"/>
        <v>66433.565550388928</v>
      </c>
      <c r="U24" s="13"/>
      <c r="V24" s="9">
        <f t="shared" si="3"/>
        <v>-49821860.292001516</v>
      </c>
      <c r="W24" s="4">
        <f>SUMIFS('FCPIS F'!$R$6:$R$135,'FCPIS F'!$B$6:$B$135,'PIS F'!$A24,'FCPIS F'!$C$6:$C$135,'PIS F'!$B24)*1000</f>
        <v>122484275.20999901</v>
      </c>
      <c r="X24" s="4">
        <f t="shared" si="4"/>
        <v>-9.8347663879394531E-7</v>
      </c>
    </row>
    <row r="25" spans="1:24">
      <c r="A25" s="6" t="s">
        <v>923</v>
      </c>
      <c r="C25" s="129" t="s">
        <v>876</v>
      </c>
      <c r="D25" s="4">
        <f>SUMIFS('FCPIS F'!$F$6:$F$135,'FCPIS F'!$B$6:$B$135,'PIS F'!$A25,'FCPIS F'!$C$6:$C$135,'PIS F'!$B25)*1000</f>
        <v>0</v>
      </c>
      <c r="E25" s="13"/>
      <c r="F25" s="4">
        <f>SUMIFS('FCPIS F'!$S$138:$S$225,'FCPIS F'!$B$138:$B$225,'PIS F'!$A25,'FCPIS F'!$C$138:$C$225,'PIS F'!$B25)*1000</f>
        <v>0</v>
      </c>
      <c r="G25" s="13"/>
      <c r="H25" s="4">
        <f>SUMIFS('FCPIS F'!$S$228:$S$278,'FCPIS F'!$B$228:$B$278,'PIS F'!$A25,'FCPIS F'!$C$228:$C$278,'PIS F'!$B25)*-1000</f>
        <v>0</v>
      </c>
      <c r="I25" s="13"/>
      <c r="J25" s="4">
        <f>SUMIFS('FCPIS F'!$S$395:$S$416,'FCPIS F'!$B$395:$B$416,'PIS F'!$A25,'FCPIS F'!$C$395:$C$416,'PIS F'!$B25)*1000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9">
        <f>SUMIFS('FCPIS F'!$R$281:$R$408,'FCPIS F'!$B$281:$B$408,'PIS F'!$A25,'FCPIS F'!$C$281:$C$408,'PIS F'!$B25)*-1000</f>
        <v>0</v>
      </c>
      <c r="Q25" s="2"/>
      <c r="R25" s="9">
        <f t="shared" si="2"/>
        <v>0</v>
      </c>
      <c r="T25" s="9">
        <f t="shared" si="6"/>
        <v>0</v>
      </c>
      <c r="U25" s="13"/>
      <c r="V25" s="9">
        <f t="shared" si="3"/>
        <v>0</v>
      </c>
      <c r="W25" s="4">
        <f>SUMIFS('FCPIS F'!$R$6:$R$135,'FCPIS F'!$B$6:$B$135,'PIS F'!$A25,'FCPIS F'!$C$6:$C$135,'PIS F'!$B25)*1000</f>
        <v>0</v>
      </c>
      <c r="X25" s="4">
        <f t="shared" si="4"/>
        <v>0</v>
      </c>
    </row>
    <row r="26" spans="1:24">
      <c r="A26" s="6" t="s">
        <v>923</v>
      </c>
      <c r="C26" s="129" t="s">
        <v>877</v>
      </c>
      <c r="D26" s="4">
        <f>SUMIFS('FCPIS F'!$F$6:$F$135,'FCPIS F'!$B$6:$B$135,'PIS F'!$A26,'FCPIS F'!$C$6:$C$135,'PIS F'!$B26)*1000</f>
        <v>0</v>
      </c>
      <c r="E26" s="13"/>
      <c r="F26" s="4">
        <f>SUMIFS('FCPIS F'!$S$138:$S$225,'FCPIS F'!$B$138:$B$225,'PIS F'!$A26,'FCPIS F'!$C$138:$C$225,'PIS F'!$B26)*1000</f>
        <v>0</v>
      </c>
      <c r="G26" s="13"/>
      <c r="H26" s="4">
        <f>SUMIFS('FCPIS F'!$S$228:$S$278,'FCPIS F'!$B$228:$B$278,'PIS F'!$A26,'FCPIS F'!$C$228:$C$278,'PIS F'!$B26)*-1000</f>
        <v>0</v>
      </c>
      <c r="I26" s="13"/>
      <c r="J26" s="4">
        <f>SUMIFS('FCPIS F'!$S$395:$S$416,'FCPIS F'!$B$395:$B$416,'PIS F'!$A26,'FCPIS F'!$C$395:$C$416,'PIS F'!$B26)*1000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9">
        <f>SUMIFS('FCPIS F'!$R$281:$R$408,'FCPIS F'!$B$281:$B$408,'PIS F'!$A26,'FCPIS F'!$C$281:$C$408,'PIS F'!$B26)*-1000</f>
        <v>0</v>
      </c>
      <c r="Q26" s="2"/>
      <c r="R26" s="9">
        <f t="shared" si="2"/>
        <v>0</v>
      </c>
      <c r="T26" s="9">
        <f t="shared" si="6"/>
        <v>0</v>
      </c>
      <c r="U26" s="13"/>
      <c r="V26" s="9">
        <f t="shared" si="3"/>
        <v>0</v>
      </c>
      <c r="W26" s="4">
        <f>SUMIFS('FCPIS F'!$R$6:$R$135,'FCPIS F'!$B$6:$B$135,'PIS F'!$A26,'FCPIS F'!$C$6:$C$135,'PIS F'!$B26)*1000</f>
        <v>0</v>
      </c>
      <c r="X26" s="4">
        <f t="shared" si="4"/>
        <v>0</v>
      </c>
    </row>
    <row r="27" spans="1:24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F'!$A27,'FCPIS F'!$C$6:$C$135,'PIS F'!$B27)*1000</f>
        <v>367963.87</v>
      </c>
      <c r="E27" s="13"/>
      <c r="F27" s="4">
        <f>SUMIFS('FCPIS F'!$S$138:$S$225,'FCPIS F'!$B$138:$B$225,'PIS F'!$A27,'FCPIS F'!$C$138:$C$225,'PIS F'!$B27)*1000</f>
        <v>0</v>
      </c>
      <c r="G27" s="13"/>
      <c r="H27" s="4">
        <f>SUMIFS('FCPIS F'!$S$228:$S$278,'FCPIS F'!$B$228:$B$278,'PIS F'!$A27,'FCPIS F'!$C$228:$C$278,'PIS F'!$B27)*-1000</f>
        <v>0</v>
      </c>
      <c r="I27" s="13"/>
      <c r="J27" s="4">
        <f>SUMIFS('FCPIS F'!$S$395:$S$416,'FCPIS F'!$B$395:$B$416,'PIS F'!$A27,'FCPIS F'!$C$395:$C$416,'PIS F'!$B27)*1000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9">
        <f>SUMIFS('FCPIS F'!$R$281:$R$408,'FCPIS F'!$B$281:$B$408,'PIS F'!$A27,'FCPIS F'!$C$281:$C$408,'PIS F'!$B27)*-1000</f>
        <v>-64972.763332015304</v>
      </c>
      <c r="Q27" s="2"/>
      <c r="R27" s="9">
        <f t="shared" si="2"/>
        <v>302991.10666798468</v>
      </c>
      <c r="T27" s="9">
        <f t="shared" si="6"/>
        <v>0</v>
      </c>
      <c r="U27" s="13"/>
      <c r="V27" s="9">
        <f t="shared" si="3"/>
        <v>-64972.763332015304</v>
      </c>
      <c r="W27" s="4">
        <f>SUMIFS('FCPIS F'!$R$6:$R$135,'FCPIS F'!$B$6:$B$135,'PIS F'!$A27,'FCPIS F'!$C$6:$C$135,'PIS F'!$B27)*1000</f>
        <v>367963.87</v>
      </c>
      <c r="X27" s="4">
        <f t="shared" si="4"/>
        <v>0</v>
      </c>
    </row>
    <row r="28" spans="1:24">
      <c r="A28" s="6" t="s">
        <v>923</v>
      </c>
      <c r="C28" s="782" t="s">
        <v>878</v>
      </c>
      <c r="D28" s="130">
        <f>SUMIFS('FCPIS F'!$F$6:$F$135,'FCPIS F'!$B$6:$B$135,'PIS F'!$A28,'FCPIS F'!$C$6:$C$135,'PIS F'!$B28)*1000</f>
        <v>0</v>
      </c>
      <c r="E28" s="130"/>
      <c r="F28" s="130">
        <f>SUMIFS('FCPIS F'!$S$138:$S$225,'FCPIS F'!$B$138:$B$225,'PIS F'!$A28,'FCPIS F'!$C$138:$C$225,'PIS F'!$B28)*1000</f>
        <v>0</v>
      </c>
      <c r="G28" s="130"/>
      <c r="H28" s="130">
        <f>SUMIFS('FCPIS F'!$S$228:$S$278,'FCPIS F'!$B$228:$B$278,'PIS F'!$A28,'FCPIS F'!$C$228:$C$278,'PIS F'!$B28)*-1000</f>
        <v>0</v>
      </c>
      <c r="I28" s="130"/>
      <c r="J28" s="130">
        <f>SUMIFS('FCPIS F'!$S$395:$S$416,'FCPIS F'!$B$395:$B$416,'PIS F'!$A28,'FCPIS F'!$C$395:$C$416,'PIS F'!$B28)*1000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783">
        <f>SUMIFS('FCPIS F'!$R$281:$R$408,'FCPIS F'!$B$281:$B$408,'PIS F'!$A28,'FCPIS F'!$C$281:$C$408,'PIS F'!$B28)*-1000</f>
        <v>0</v>
      </c>
      <c r="Q28" s="129"/>
      <c r="R28" s="783">
        <f t="shared" si="2"/>
        <v>0</v>
      </c>
      <c r="S28" s="129"/>
      <c r="T28" s="783">
        <f t="shared" si="6"/>
        <v>0</v>
      </c>
      <c r="U28" s="2"/>
      <c r="V28" s="9">
        <f t="shared" si="3"/>
        <v>0</v>
      </c>
      <c r="W28" s="4">
        <f>SUMIFS('FCPIS F'!$R$6:$R$135,'FCPIS F'!$B$6:$B$135,'PIS F'!$A28,'FCPIS F'!$C$6:$C$135,'PIS F'!$B28)*1000</f>
        <v>0</v>
      </c>
      <c r="X28" s="4">
        <f t="shared" si="4"/>
        <v>0</v>
      </c>
    </row>
    <row r="29" spans="1:24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-570327086.71708786</v>
      </c>
      <c r="Q29" s="129"/>
      <c r="R29" s="784">
        <f>SUM(R11:R28)</f>
        <v>1047048121.6629109</v>
      </c>
      <c r="S29" s="129"/>
      <c r="T29" s="784">
        <f>'FC CWIP &amp; RWIP F'!P22*1000</f>
        <v>1739806.0599999998</v>
      </c>
      <c r="U29" s="2"/>
      <c r="V29" s="784">
        <f t="shared" si="3"/>
        <v>-568587280.65708792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F'!$A32,'FCPIS F'!$C$6:$C$135,'PIS F'!$B32)*1000</f>
        <v>7134532.4400000004</v>
      </c>
      <c r="E32" s="130"/>
      <c r="F32" s="130">
        <f>SUMIFS('FCPIS F'!$S$138:$S$225,'FCPIS F'!$B$138:$B$225,'PIS F'!$A32,'FCPIS F'!$C$138:$C$225,'PIS F'!$B32)*1000</f>
        <v>0</v>
      </c>
      <c r="G32" s="130"/>
      <c r="H32" s="130">
        <f>SUMIFS('FCPIS F'!$S$228:$S$278,'FCPIS F'!$B$228:$B$278,'PIS F'!$A32,'FCPIS F'!$C$228:$C$278,'PIS F'!$B32)*-1000</f>
        <v>-87767.08</v>
      </c>
      <c r="I32" s="130"/>
      <c r="J32" s="130">
        <f>SUMIFS('FCPIS F'!$S$395:$S$416,'FCPIS F'!$B$395:$B$416,'PIS F'!$A32,'FCPIS F'!$C$395:$C$416,'PIS F'!$B32)*1000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786">
        <f>SUMIFS('FCPIS F'!$R$281:$R$408,'FCPIS F'!$B$281:$B$408,'PIS F'!$A32,'FCPIS F'!$C$281:$C$408,'PIS F'!$B32)*-1000</f>
        <v>-3416969.37695699</v>
      </c>
      <c r="Q32" s="129"/>
      <c r="R32" s="786">
        <f t="shared" ref="R32:R38" si="17">SUM(N32:P32)</f>
        <v>3629795.9830430103</v>
      </c>
      <c r="S32" s="129"/>
      <c r="T32" s="9"/>
      <c r="U32" s="2"/>
      <c r="V32" s="9">
        <f t="shared" ref="V32:V50" si="18">P32+T32</f>
        <v>-3416969.37695699</v>
      </c>
      <c r="W32" s="4">
        <f>SUMIFS('FCPIS F'!$R$6:$R$135,'FCPIS F'!$B$6:$B$135,'PIS F'!$A32,'FCPIS F'!$C$6:$C$135,'PIS F'!$B32)*1000</f>
        <v>7046765.3600000003</v>
      </c>
      <c r="X32" s="4">
        <f t="shared" ref="X32:X81" si="19">W32-N32</f>
        <v>0</v>
      </c>
    </row>
    <row r="33" spans="1:24">
      <c r="A33" s="6" t="s">
        <v>923</v>
      </c>
      <c r="C33" s="129" t="s">
        <v>880</v>
      </c>
      <c r="D33" s="130">
        <f>SUMIFS('FCPIS F'!$F$6:$F$135,'FCPIS F'!$B$6:$B$135,'PIS F'!$A33,'FCPIS F'!$C$6:$C$135,'PIS F'!$B33)*1000</f>
        <v>0</v>
      </c>
      <c r="E33" s="130"/>
      <c r="F33" s="130">
        <f>SUMIFS('FCPIS F'!$S$138:$S$225,'FCPIS F'!$B$138:$B$225,'PIS F'!$A33,'FCPIS F'!$C$138:$C$225,'PIS F'!$B33)*1000</f>
        <v>0</v>
      </c>
      <c r="G33" s="130"/>
      <c r="H33" s="130">
        <f>SUMIFS('FCPIS F'!$S$228:$S$278,'FCPIS F'!$B$228:$B$278,'PIS F'!$A33,'FCPIS F'!$C$228:$C$278,'PIS F'!$B33)*-1000</f>
        <v>0</v>
      </c>
      <c r="I33" s="130"/>
      <c r="J33" s="130">
        <f>SUMIFS('FCPIS F'!$S$395:$S$416,'FCPIS F'!$B$395:$B$416,'PIS F'!$A33,'FCPIS F'!$C$395:$C$416,'PIS F'!$B33)*1000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786">
        <f>SUMIFS('FCPIS F'!$R$281:$R$408,'FCPIS F'!$B$281:$B$408,'PIS F'!$A33,'FCPIS F'!$C$281:$C$408,'PIS F'!$B33)*-1000</f>
        <v>0</v>
      </c>
      <c r="Q33" s="129"/>
      <c r="R33" s="786">
        <f t="shared" si="17"/>
        <v>0</v>
      </c>
      <c r="S33" s="129"/>
      <c r="T33" s="9"/>
      <c r="U33" s="2"/>
      <c r="V33" s="9">
        <f t="shared" si="18"/>
        <v>0</v>
      </c>
      <c r="W33" s="4">
        <f>SUMIFS('FCPIS F'!$R$6:$R$135,'FCPIS F'!$B$6:$B$135,'PIS F'!$A33,'FCPIS F'!$C$6:$C$135,'PIS F'!$B33)*1000</f>
        <v>0</v>
      </c>
      <c r="X33" s="4">
        <f t="shared" si="19"/>
        <v>0</v>
      </c>
    </row>
    <row r="34" spans="1:24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F'!$A34,'FCPIS F'!$C$6:$C$135,'PIS F'!$B34)*1000</f>
        <v>6786023.1999999993</v>
      </c>
      <c r="E34" s="130"/>
      <c r="F34" s="130">
        <f>SUMIFS('FCPIS F'!$S$138:$S$225,'FCPIS F'!$B$138:$B$225,'PIS F'!$A34,'FCPIS F'!$C$138:$C$225,'PIS F'!$B34)*1000</f>
        <v>599881.42000000004</v>
      </c>
      <c r="G34" s="130"/>
      <c r="H34" s="130">
        <f>SUMIFS('FCPIS F'!$S$228:$S$278,'FCPIS F'!$B$228:$B$278,'PIS F'!$A34,'FCPIS F'!$C$228:$C$278,'PIS F'!$B34)*-1000</f>
        <v>-73231.16</v>
      </c>
      <c r="I34" s="130"/>
      <c r="J34" s="130">
        <f>SUMIFS('FCPIS F'!$S$395:$S$416,'FCPIS F'!$B$395:$B$416,'PIS F'!$A34,'FCPIS F'!$C$395:$C$416,'PIS F'!$B34)*1000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786">
        <f>SUMIFS('FCPIS F'!$R$281:$R$408,'FCPIS F'!$B$281:$B$408,'PIS F'!$A34,'FCPIS F'!$C$281:$C$408,'PIS F'!$B34)*-1000</f>
        <v>-3078329.8429800002</v>
      </c>
      <c r="Q34" s="129"/>
      <c r="R34" s="786">
        <f t="shared" si="17"/>
        <v>4234343.6170199988</v>
      </c>
      <c r="S34" s="129"/>
      <c r="T34" s="9"/>
      <c r="U34" s="2"/>
      <c r="V34" s="9">
        <f t="shared" si="18"/>
        <v>-3078329.8429800002</v>
      </c>
      <c r="W34" s="4">
        <f>SUMIFS('FCPIS F'!$R$6:$R$135,'FCPIS F'!$B$6:$B$135,'PIS F'!$A34,'FCPIS F'!$C$6:$C$135,'PIS F'!$B34)*1000</f>
        <v>7312673.46</v>
      </c>
      <c r="X34" s="4">
        <f t="shared" si="19"/>
        <v>0</v>
      </c>
    </row>
    <row r="35" spans="1:24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F'!$A35,'FCPIS F'!$C$6:$C$135,'PIS F'!$B35)*1000</f>
        <v>0</v>
      </c>
      <c r="E35" s="130"/>
      <c r="F35" s="130">
        <f>SUMIFS('FCPIS F'!$S$138:$S$225,'FCPIS F'!$B$138:$B$225,'PIS F'!$A35,'FCPIS F'!$C$138:$C$225,'PIS F'!$B35)*1000</f>
        <v>0</v>
      </c>
      <c r="G35" s="130"/>
      <c r="H35" s="130">
        <f>SUMIFS('FCPIS F'!$S$228:$S$278,'FCPIS F'!$B$228:$B$278,'PIS F'!$A35,'FCPIS F'!$C$228:$C$278,'PIS F'!$B35)*-1000</f>
        <v>0</v>
      </c>
      <c r="I35" s="130"/>
      <c r="J35" s="130">
        <f>SUMIFS('FCPIS F'!$S$395:$S$416,'FCPIS F'!$B$395:$B$416,'PIS F'!$A35,'FCPIS F'!$C$395:$C$416,'PIS F'!$B35)*1000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786">
        <f>SUMIFS('FCPIS F'!$R$281:$R$408,'FCPIS F'!$B$281:$B$408,'PIS F'!$A35,'FCPIS F'!$C$281:$C$408,'PIS F'!$B35)*-1000</f>
        <v>0</v>
      </c>
      <c r="Q35" s="129"/>
      <c r="R35" s="786">
        <f t="shared" si="17"/>
        <v>0</v>
      </c>
      <c r="S35" s="129"/>
      <c r="T35" s="9"/>
      <c r="U35" s="2"/>
      <c r="V35" s="9">
        <f t="shared" si="18"/>
        <v>0</v>
      </c>
      <c r="W35" s="4">
        <f>SUMIFS('FCPIS F'!$R$6:$R$135,'FCPIS F'!$B$6:$B$135,'PIS F'!$A35,'FCPIS F'!$C$6:$C$135,'PIS F'!$B35)*1000</f>
        <v>0</v>
      </c>
      <c r="X35" s="4">
        <f t="shared" si="19"/>
        <v>0</v>
      </c>
    </row>
    <row r="36" spans="1:24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F'!$A36,'FCPIS F'!$C$6:$C$135,'PIS F'!$B36)*1000</f>
        <v>2084182.35</v>
      </c>
      <c r="E36" s="130"/>
      <c r="F36" s="130">
        <f>SUMIFS('FCPIS F'!$S$138:$S$225,'FCPIS F'!$B$138:$B$225,'PIS F'!$A36,'FCPIS F'!$C$138:$C$225,'PIS F'!$B36)*1000</f>
        <v>0</v>
      </c>
      <c r="G36" s="130"/>
      <c r="H36" s="130">
        <f>SUMIFS('FCPIS F'!$S$228:$S$278,'FCPIS F'!$B$228:$B$278,'PIS F'!$A36,'FCPIS F'!$C$228:$C$278,'PIS F'!$B36)*-1000</f>
        <v>0</v>
      </c>
      <c r="I36" s="130"/>
      <c r="J36" s="130">
        <f>SUMIFS('FCPIS F'!$S$395:$S$416,'FCPIS F'!$B$395:$B$416,'PIS F'!$A36,'FCPIS F'!$C$395:$C$416,'PIS F'!$B36)*1000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786">
        <f>SUMIFS('FCPIS F'!$R$281:$R$408,'FCPIS F'!$B$281:$B$408,'PIS F'!$A36,'FCPIS F'!$C$281:$C$408,'PIS F'!$B36)*-1000</f>
        <v>-1629164.7795510991</v>
      </c>
      <c r="Q36" s="129"/>
      <c r="R36" s="786">
        <f t="shared" si="17"/>
        <v>455017.57044890104</v>
      </c>
      <c r="S36" s="129"/>
      <c r="T36" s="9"/>
      <c r="U36" s="2"/>
      <c r="V36" s="9">
        <f t="shared" si="18"/>
        <v>-1629164.7795510991</v>
      </c>
      <c r="W36" s="4">
        <f>SUMIFS('FCPIS F'!$R$6:$R$135,'FCPIS F'!$B$6:$B$135,'PIS F'!$A36,'FCPIS F'!$C$6:$C$135,'PIS F'!$B36)*1000</f>
        <v>2084182.35</v>
      </c>
      <c r="X36" s="4">
        <f t="shared" si="19"/>
        <v>0</v>
      </c>
    </row>
    <row r="37" spans="1:24">
      <c r="A37" s="6" t="s">
        <v>923</v>
      </c>
      <c r="C37" s="129" t="s">
        <v>882</v>
      </c>
      <c r="D37" s="130">
        <f>SUMIFS('FCPIS F'!$F$6:$F$135,'FCPIS F'!$B$6:$B$135,'PIS F'!$A37,'FCPIS F'!$C$6:$C$135,'PIS F'!$B37)*1000</f>
        <v>0</v>
      </c>
      <c r="E37" s="130"/>
      <c r="F37" s="130">
        <f>SUMIFS('FCPIS F'!$S$138:$S$225,'FCPIS F'!$B$138:$B$225,'PIS F'!$A37,'FCPIS F'!$C$138:$C$225,'PIS F'!$B37)*1000</f>
        <v>0</v>
      </c>
      <c r="G37" s="130"/>
      <c r="H37" s="130">
        <f>SUMIFS('FCPIS F'!$S$228:$S$278,'FCPIS F'!$B$228:$B$278,'PIS F'!$A37,'FCPIS F'!$C$228:$C$278,'PIS F'!$B37)*-1000</f>
        <v>0</v>
      </c>
      <c r="I37" s="130"/>
      <c r="J37" s="130">
        <f>SUMIFS('FCPIS F'!$S$395:$S$416,'FCPIS F'!$B$395:$B$416,'PIS F'!$A37,'FCPIS F'!$C$395:$C$416,'PIS F'!$B37)*1000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783">
        <f>SUMIFS('FCPIS F'!$R$281:$R$408,'FCPIS F'!$B$281:$B$408,'PIS F'!$A37,'FCPIS F'!$C$281:$C$408,'PIS F'!$B37)*-1000</f>
        <v>0</v>
      </c>
      <c r="Q37" s="787"/>
      <c r="R37" s="783">
        <f t="shared" si="17"/>
        <v>0</v>
      </c>
      <c r="S37" s="129"/>
      <c r="T37" s="9"/>
      <c r="U37" s="2"/>
      <c r="V37" s="9">
        <f t="shared" si="18"/>
        <v>0</v>
      </c>
      <c r="W37" s="4">
        <f>SUMIFS('FCPIS F'!$R$6:$R$135,'FCPIS F'!$B$6:$B$135,'PIS F'!$A37,'FCPIS F'!$C$6:$C$135,'PIS F'!$B37)*1000</f>
        <v>0</v>
      </c>
      <c r="X37" s="4">
        <f t="shared" si="19"/>
        <v>0</v>
      </c>
    </row>
    <row r="38" spans="1:24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F'!$A38,'FCPIS F'!$C$6:$C$135,'PIS F'!$B38)*1000</f>
        <v>7061420.1899999995</v>
      </c>
      <c r="E38" s="130"/>
      <c r="F38" s="130">
        <f>SUMIFS('FCPIS F'!$S$138:$S$225,'FCPIS F'!$B$138:$B$225,'PIS F'!$A38,'FCPIS F'!$C$138:$C$225,'PIS F'!$B38)*1000</f>
        <v>176833.34</v>
      </c>
      <c r="G38" s="130"/>
      <c r="H38" s="130">
        <f>SUMIFS('FCPIS F'!$S$228:$S$278,'FCPIS F'!$B$228:$B$278,'PIS F'!$A38,'FCPIS F'!$C$228:$C$278,'PIS F'!$B38)*-1000</f>
        <v>0</v>
      </c>
      <c r="I38" s="130"/>
      <c r="J38" s="130">
        <f>SUMIFS('FCPIS F'!$S$395:$S$416,'FCPIS F'!$B$395:$B$416,'PIS F'!$A38,'FCPIS F'!$C$395:$C$416,'PIS F'!$B38)*1000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783">
        <f>SUMIFS('FCPIS F'!$R$281:$R$408,'FCPIS F'!$B$281:$B$408,'PIS F'!$A38,'FCPIS F'!$C$281:$C$408,'PIS F'!$B38)*-1000</f>
        <v>-4523884.8194800001</v>
      </c>
      <c r="Q38" s="129"/>
      <c r="R38" s="783">
        <f t="shared" si="17"/>
        <v>2714368.7105199993</v>
      </c>
      <c r="S38" s="129"/>
      <c r="T38" s="9"/>
      <c r="U38" s="2"/>
      <c r="V38" s="9">
        <f t="shared" si="18"/>
        <v>-4523884.8194800001</v>
      </c>
      <c r="W38" s="4">
        <f>SUMIFS('FCPIS F'!$R$6:$R$135,'FCPIS F'!$B$6:$B$135,'PIS F'!$A38,'FCPIS F'!$C$6:$C$135,'PIS F'!$B38)*1000</f>
        <v>7238253.5300000003</v>
      </c>
      <c r="X38" s="4">
        <f t="shared" si="19"/>
        <v>0</v>
      </c>
    </row>
    <row r="39" spans="1:24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-12648348.818968089</v>
      </c>
      <c r="Q39" s="129"/>
      <c r="R39" s="784">
        <f>SUM(R32:R38)</f>
        <v>11033525.88103191</v>
      </c>
      <c r="S39" s="129"/>
      <c r="T39" s="784">
        <f>'FC CWIP &amp; RWIP F'!Q23*1000</f>
        <v>0</v>
      </c>
      <c r="U39" s="2"/>
      <c r="V39" s="784">
        <f t="shared" si="18"/>
        <v>-12648348.818968089</v>
      </c>
      <c r="W39" s="4"/>
      <c r="X39" s="4"/>
    </row>
    <row r="40" spans="1:24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F'!$A42,'FCPIS F'!$C$6:$C$135,'PIS F'!$B42)*1000</f>
        <v>6.5</v>
      </c>
      <c r="E42" s="13"/>
      <c r="F42" s="4">
        <f>SUMIFS('FCPIS F'!$S$138:$S$225,'FCPIS F'!$B$138:$B$225,'PIS F'!$A42,'FCPIS F'!$C$138:$C$225,'PIS F'!$B42)*1000</f>
        <v>0</v>
      </c>
      <c r="G42" s="13"/>
      <c r="H42" s="4">
        <f>SUMIFS('FCPIS F'!$S$228:$S$278,'FCPIS F'!$B$228:$B$278,'PIS F'!$A42,'FCPIS F'!$C$228:$C$278,'PIS F'!$B42)*-1000</f>
        <v>0</v>
      </c>
      <c r="I42" s="13"/>
      <c r="J42" s="4">
        <f>SUMIFS('FCPIS F'!$S$395:$S$416,'FCPIS F'!$B$395:$B$416,'PIS F'!$A42,'FCPIS F'!$C$395:$C$416,'PIS F'!$B42)*1000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9">
        <f>SUMIFS('FCPIS F'!$R$281:$R$408,'FCPIS F'!$B$281:$B$408,'PIS F'!$A42,'FCPIS F'!$C$281:$C$408,'PIS F'!$B42)*-1000</f>
        <v>0</v>
      </c>
      <c r="Q42" s="2"/>
      <c r="R42" s="9">
        <f t="shared" ref="R42:R49" si="22">SUM(N42:P42)</f>
        <v>6.5</v>
      </c>
      <c r="T42" s="9"/>
      <c r="U42" s="13"/>
      <c r="V42" s="9">
        <f t="shared" si="18"/>
        <v>0</v>
      </c>
      <c r="W42" s="4">
        <f>SUMIFS('FCPIS F'!$R$6:$R$135,'FCPIS F'!$B$6:$B$135,'PIS F'!$A42,'FCPIS F'!$C$6:$C$135,'PIS F'!$B42)*1000</f>
        <v>6.5</v>
      </c>
      <c r="X42" s="4">
        <f t="shared" si="19"/>
        <v>0</v>
      </c>
    </row>
    <row r="43" spans="1:24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F'!$A43,'FCPIS F'!$C$6:$C$135,'PIS F'!$B43)*1000</f>
        <v>12870684.619999999</v>
      </c>
      <c r="E43" s="13"/>
      <c r="F43" s="4">
        <f>SUMIFS('FCPIS F'!$S$138:$S$225,'FCPIS F'!$B$138:$B$225,'PIS F'!$A43,'FCPIS F'!$C$138:$C$225,'PIS F'!$B43)*1000</f>
        <v>0</v>
      </c>
      <c r="G43" s="13"/>
      <c r="H43" s="4">
        <f>SUMIFS('FCPIS F'!$S$228:$S$278,'FCPIS F'!$B$228:$B$278,'PIS F'!$A43,'FCPIS F'!$C$228:$C$278,'PIS F'!$B43)*-1000</f>
        <v>0</v>
      </c>
      <c r="I43" s="13"/>
      <c r="J43" s="4">
        <f>SUMIFS('FCPIS F'!$S$395:$S$416,'FCPIS F'!$B$395:$B$416,'PIS F'!$A43,'FCPIS F'!$C$395:$C$416,'PIS F'!$B43)*1000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9">
        <f>SUMIFS('FCPIS F'!$R$281:$R$408,'FCPIS F'!$B$281:$B$408,'PIS F'!$A43,'FCPIS F'!$C$281:$C$408,'PIS F'!$B43)*-1000</f>
        <v>-4879492.40966585</v>
      </c>
      <c r="Q43" s="2"/>
      <c r="R43" s="9">
        <f t="shared" si="22"/>
        <v>7991192.2103341492</v>
      </c>
      <c r="T43" s="9">
        <f t="shared" ref="T43:T49" si="23">F43/F$50*T$50</f>
        <v>0</v>
      </c>
      <c r="U43" s="13"/>
      <c r="V43" s="9">
        <f t="shared" si="18"/>
        <v>-4879492.40966585</v>
      </c>
      <c r="W43" s="4">
        <f>SUMIFS('FCPIS F'!$R$6:$R$135,'FCPIS F'!$B$6:$B$135,'PIS F'!$A43,'FCPIS F'!$C$6:$C$135,'PIS F'!$B43)*1000</f>
        <v>12870684.619999999</v>
      </c>
      <c r="X43" s="4">
        <f t="shared" si="19"/>
        <v>0</v>
      </c>
    </row>
    <row r="44" spans="1:24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F'!$A44,'FCPIS F'!$C$6:$C$135,'PIS F'!$B44)*1000</f>
        <v>26209847.310000002</v>
      </c>
      <c r="E44" s="13"/>
      <c r="F44" s="4">
        <f>SUMIFS('FCPIS F'!$S$138:$S$225,'FCPIS F'!$B$138:$B$225,'PIS F'!$A44,'FCPIS F'!$C$138:$C$225,'PIS F'!$B44)*1000</f>
        <v>0</v>
      </c>
      <c r="G44" s="13"/>
      <c r="H44" s="4">
        <f>SUMIFS('FCPIS F'!$S$228:$S$278,'FCPIS F'!$B$228:$B$278,'PIS F'!$A44,'FCPIS F'!$C$228:$C$278,'PIS F'!$B44)*-1000</f>
        <v>0</v>
      </c>
      <c r="I44" s="13"/>
      <c r="J44" s="4">
        <f>SUMIFS('FCPIS F'!$S$395:$S$416,'FCPIS F'!$B$395:$B$416,'PIS F'!$A44,'FCPIS F'!$C$395:$C$416,'PIS F'!$B44)*1000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9">
        <f>SUMIFS('FCPIS F'!$R$281:$R$408,'FCPIS F'!$B$281:$B$408,'PIS F'!$A44,'FCPIS F'!$C$281:$C$408,'PIS F'!$B44)*-1000</f>
        <v>-4274401.1046372</v>
      </c>
      <c r="Q44" s="2"/>
      <c r="R44" s="9">
        <f t="shared" si="22"/>
        <v>21935446.205362804</v>
      </c>
      <c r="T44" s="9">
        <f t="shared" si="23"/>
        <v>0</v>
      </c>
      <c r="U44" s="13"/>
      <c r="V44" s="9">
        <f t="shared" si="18"/>
        <v>-4274401.1046372</v>
      </c>
      <c r="W44" s="4">
        <f>SUMIFS('FCPIS F'!$R$6:$R$135,'FCPIS F'!$B$6:$B$135,'PIS F'!$A44,'FCPIS F'!$C$6:$C$135,'PIS F'!$B44)*1000</f>
        <v>26209847.310000002</v>
      </c>
      <c r="X44" s="4">
        <f t="shared" si="19"/>
        <v>0</v>
      </c>
    </row>
    <row r="45" spans="1:24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F'!$A45,'FCPIS F'!$C$6:$C$135,'PIS F'!$B45)*1000</f>
        <v>101920448.2</v>
      </c>
      <c r="E45" s="13"/>
      <c r="F45" s="4">
        <f>SUMIFS('FCPIS F'!$S$138:$S$225,'FCPIS F'!$B$138:$B$225,'PIS F'!$A45,'FCPIS F'!$C$138:$C$225,'PIS F'!$B45)*1000</f>
        <v>0</v>
      </c>
      <c r="G45" s="13"/>
      <c r="H45" s="4">
        <f>SUMIFS('FCPIS F'!$S$228:$S$278,'FCPIS F'!$B$228:$B$278,'PIS F'!$A45,'FCPIS F'!$C$228:$C$278,'PIS F'!$B45)*-1000</f>
        <v>0</v>
      </c>
      <c r="I45" s="13"/>
      <c r="J45" s="4">
        <f>SUMIFS('FCPIS F'!$S$395:$S$416,'FCPIS F'!$B$395:$B$416,'PIS F'!$A45,'FCPIS F'!$C$395:$C$416,'PIS F'!$B45)*1000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9">
        <f>SUMIFS('FCPIS F'!$R$281:$R$408,'FCPIS F'!$B$281:$B$408,'PIS F'!$A45,'FCPIS F'!$C$281:$C$408,'PIS F'!$B45)*-1000</f>
        <v>-8737234.9701899886</v>
      </c>
      <c r="Q45" s="2"/>
      <c r="R45" s="9">
        <f t="shared" si="22"/>
        <v>93183213.229810014</v>
      </c>
      <c r="T45" s="9">
        <f t="shared" si="23"/>
        <v>0</v>
      </c>
      <c r="U45" s="13"/>
      <c r="V45" s="9">
        <f t="shared" si="18"/>
        <v>-8737234.9701899886</v>
      </c>
      <c r="W45" s="4">
        <f>SUMIFS('FCPIS F'!$R$6:$R$135,'FCPIS F'!$B$6:$B$135,'PIS F'!$A45,'FCPIS F'!$C$6:$C$135,'PIS F'!$B45)*1000</f>
        <v>101920448.2</v>
      </c>
      <c r="X45" s="4">
        <f t="shared" si="19"/>
        <v>0</v>
      </c>
    </row>
    <row r="46" spans="1:24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F'!$A46,'FCPIS F'!$C$6:$C$135,'PIS F'!$B46)*1000</f>
        <v>13160323.68</v>
      </c>
      <c r="E46" s="13"/>
      <c r="F46" s="4">
        <f>SUMIFS('FCPIS F'!$S$138:$S$225,'FCPIS F'!$B$138:$B$225,'PIS F'!$A46,'FCPIS F'!$C$138:$C$225,'PIS F'!$B46)*1000</f>
        <v>0</v>
      </c>
      <c r="G46" s="13"/>
      <c r="H46" s="4">
        <f>SUMIFS('FCPIS F'!$S$228:$S$278,'FCPIS F'!$B$228:$B$278,'PIS F'!$A46,'FCPIS F'!$C$228:$C$278,'PIS F'!$B46)*-1000</f>
        <v>0</v>
      </c>
      <c r="I46" s="13"/>
      <c r="J46" s="4">
        <f>SUMIFS('FCPIS F'!$S$395:$S$416,'FCPIS F'!$B$395:$B$416,'PIS F'!$A46,'FCPIS F'!$C$395:$C$416,'PIS F'!$B46)*1000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9">
        <f>SUMIFS('FCPIS F'!$R$281:$R$408,'FCPIS F'!$B$281:$B$408,'PIS F'!$A46,'FCPIS F'!$C$281:$C$408,'PIS F'!$B46)*-1000</f>
        <v>-3715224.9560000002</v>
      </c>
      <c r="Q46" s="2"/>
      <c r="R46" s="9">
        <f t="shared" si="22"/>
        <v>9445098.7239999995</v>
      </c>
      <c r="T46" s="9">
        <f t="shared" si="23"/>
        <v>0</v>
      </c>
      <c r="U46" s="13"/>
      <c r="V46" s="9">
        <f t="shared" si="18"/>
        <v>-3715224.9560000002</v>
      </c>
      <c r="W46" s="4">
        <f>SUMIFS('FCPIS F'!$R$6:$R$135,'FCPIS F'!$B$6:$B$135,'PIS F'!$A46,'FCPIS F'!$C$6:$C$135,'PIS F'!$B46)*1000</f>
        <v>13160323.68</v>
      </c>
      <c r="X46" s="4">
        <f t="shared" si="19"/>
        <v>0</v>
      </c>
    </row>
    <row r="47" spans="1:24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F'!$A47,'FCPIS F'!$C$6:$C$135,'PIS F'!$B47)*1000</f>
        <v>3563125.77</v>
      </c>
      <c r="E47" s="13"/>
      <c r="F47" s="4">
        <f>SUMIFS('FCPIS F'!$S$138:$S$225,'FCPIS F'!$B$138:$B$225,'PIS F'!$A47,'FCPIS F'!$C$138:$C$225,'PIS F'!$B47)*1000</f>
        <v>0</v>
      </c>
      <c r="G47" s="13"/>
      <c r="H47" s="4">
        <f>SUMIFS('FCPIS F'!$S$228:$S$278,'FCPIS F'!$B$228:$B$278,'PIS F'!$A47,'FCPIS F'!$C$228:$C$278,'PIS F'!$B47)*-1000</f>
        <v>0</v>
      </c>
      <c r="I47" s="13"/>
      <c r="J47" s="4">
        <f>SUMIFS('FCPIS F'!$S$395:$S$416,'FCPIS F'!$B$395:$B$416,'PIS F'!$A47,'FCPIS F'!$C$395:$C$416,'PIS F'!$B47)*1000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9">
        <f>SUMIFS('FCPIS F'!$R$281:$R$408,'FCPIS F'!$B$281:$B$408,'PIS F'!$A47,'FCPIS F'!$C$281:$C$408,'PIS F'!$B47)*-1000</f>
        <v>-528029.95120708505</v>
      </c>
      <c r="Q47" s="2"/>
      <c r="R47" s="9">
        <f t="shared" si="22"/>
        <v>3035095.818792915</v>
      </c>
      <c r="T47" s="9">
        <f t="shared" si="23"/>
        <v>0</v>
      </c>
      <c r="U47" s="13"/>
      <c r="V47" s="9">
        <f t="shared" si="18"/>
        <v>-528029.95120708505</v>
      </c>
      <c r="W47" s="4">
        <f>SUMIFS('FCPIS F'!$R$6:$R$135,'FCPIS F'!$B$6:$B$135,'PIS F'!$A47,'FCPIS F'!$C$6:$C$135,'PIS F'!$B47)*1000</f>
        <v>3563125.77</v>
      </c>
      <c r="X47" s="4">
        <f t="shared" si="19"/>
        <v>0</v>
      </c>
    </row>
    <row r="48" spans="1:24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F'!$A48,'FCPIS F'!$C$6:$C$135,'PIS F'!$B48)*1000</f>
        <v>29930.61</v>
      </c>
      <c r="E48" s="13"/>
      <c r="F48" s="4">
        <f>SUMIFS('FCPIS F'!$S$138:$S$225,'FCPIS F'!$B$138:$B$225,'PIS F'!$A48,'FCPIS F'!$C$138:$C$225,'PIS F'!$B48)*1000</f>
        <v>102812.75</v>
      </c>
      <c r="G48" s="13"/>
      <c r="H48" s="4">
        <f>SUMIFS('FCPIS F'!$S$228:$S$278,'FCPIS F'!$B$228:$B$278,'PIS F'!$A48,'FCPIS F'!$C$228:$C$278,'PIS F'!$B48)*-1000</f>
        <v>0</v>
      </c>
      <c r="I48" s="13"/>
      <c r="J48" s="4">
        <f>SUMIFS('FCPIS F'!$S$395:$S$416,'FCPIS F'!$B$395:$B$416,'PIS F'!$A48,'FCPIS F'!$C$395:$C$416,'PIS F'!$B48)*1000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9">
        <f>SUMIFS('FCPIS F'!$R$281:$R$408,'FCPIS F'!$B$281:$B$408,'PIS F'!$A48,'FCPIS F'!$C$281:$C$408,'PIS F'!$B48)*-1000</f>
        <v>-22627.486662586001</v>
      </c>
      <c r="Q48" s="2"/>
      <c r="R48" s="9">
        <f t="shared" si="22"/>
        <v>110115.87333741398</v>
      </c>
      <c r="T48" s="9">
        <f t="shared" si="23"/>
        <v>9910.8500000011209</v>
      </c>
      <c r="U48" s="13"/>
      <c r="V48" s="9">
        <f t="shared" si="18"/>
        <v>-12716.63666258488</v>
      </c>
      <c r="W48" s="4">
        <f>SUMIFS('FCPIS F'!$R$6:$R$135,'FCPIS F'!$B$6:$B$135,'PIS F'!$A48,'FCPIS F'!$C$6:$C$135,'PIS F'!$B48)*1000</f>
        <v>132743.35999999999</v>
      </c>
      <c r="X48" s="4">
        <f t="shared" si="19"/>
        <v>0</v>
      </c>
    </row>
    <row r="49" spans="1:24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F'!$A49,'FCPIS F'!$C$6:$C$135,'PIS F'!$B49)*1000</f>
        <v>463569.14999999997</v>
      </c>
      <c r="E49" s="13"/>
      <c r="F49" s="4">
        <f>SUMIFS('FCPIS F'!$S$138:$S$225,'FCPIS F'!$B$138:$B$225,'PIS F'!$A49,'FCPIS F'!$C$138:$C$225,'PIS F'!$B49)*1000</f>
        <v>0</v>
      </c>
      <c r="G49" s="13"/>
      <c r="H49" s="4">
        <f>SUMIFS('FCPIS F'!$S$228:$S$278,'FCPIS F'!$B$228:$B$278,'PIS F'!$A49,'FCPIS F'!$C$228:$C$278,'PIS F'!$B49)*-1000</f>
        <v>0</v>
      </c>
      <c r="I49" s="13"/>
      <c r="J49" s="4">
        <f>SUMIFS('FCPIS F'!$S$395:$S$416,'FCPIS F'!$B$395:$B$416,'PIS F'!$A49,'FCPIS F'!$C$395:$C$416,'PIS F'!$B49)*1000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9">
        <f>SUMIFS('FCPIS F'!$R$281:$R$408,'FCPIS F'!$B$281:$B$408,'PIS F'!$A49,'FCPIS F'!$C$281:$C$408,'PIS F'!$B49)*-1000</f>
        <v>-119308.457862375</v>
      </c>
      <c r="Q49" s="2"/>
      <c r="R49" s="9">
        <f t="shared" si="22"/>
        <v>344260.69213762495</v>
      </c>
      <c r="T49" s="9">
        <f t="shared" si="23"/>
        <v>0</v>
      </c>
      <c r="U49" s="13"/>
      <c r="V49" s="9">
        <f t="shared" si="18"/>
        <v>-119308.457862375</v>
      </c>
      <c r="W49" s="4">
        <f>SUMIFS('FCPIS F'!$R$6:$R$135,'FCPIS F'!$B$6:$B$135,'PIS F'!$A49,'FCPIS F'!$C$6:$C$135,'PIS F'!$B49)*1000</f>
        <v>463569.14999999997</v>
      </c>
      <c r="X49" s="4">
        <f t="shared" si="19"/>
        <v>0</v>
      </c>
    </row>
    <row r="50" spans="1:24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-22276319.336225085</v>
      </c>
      <c r="Q50" s="129"/>
      <c r="R50" s="784">
        <f>SUM(R42:R49)</f>
        <v>136044429.25377491</v>
      </c>
      <c r="S50" s="129"/>
      <c r="T50" s="784">
        <f>'FC CWIP &amp; RWIP F'!P24*1000</f>
        <v>9910.8500000011209</v>
      </c>
      <c r="U50" s="2"/>
      <c r="V50" s="784">
        <f t="shared" si="18"/>
        <v>-22266408.486225083</v>
      </c>
      <c r="W50" s="4"/>
      <c r="X50" s="4"/>
    </row>
    <row r="51" spans="1:24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F'!$A53,'FCPIS F'!$C$6:$C$135,'PIS F'!$B53)*1000</f>
        <v>2240.29</v>
      </c>
      <c r="E53" s="13"/>
      <c r="F53" s="4">
        <f>SUMIFS('FCPIS F'!$S$138:$S$225,'FCPIS F'!$B$138:$B$225,'PIS F'!$A53,'FCPIS F'!$C$138:$C$225,'PIS F'!$B53)*1000</f>
        <v>0</v>
      </c>
      <c r="G53" s="13"/>
      <c r="H53" s="4">
        <f>SUMIFS('FCPIS F'!$S$228:$S$278,'FCPIS F'!$B$228:$B$278,'PIS F'!$A53,'FCPIS F'!$C$228:$C$278,'PIS F'!$B53)*-1000</f>
        <v>0</v>
      </c>
      <c r="I53" s="13"/>
      <c r="J53" s="4">
        <f>SUMIFS('FCPIS F'!$S$395:$S$416,'FCPIS F'!$B$395:$B$416,'PIS F'!$A53,'FCPIS F'!$C$395:$C$416,'PIS F'!$B53)*1000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F'!$R$281:$R$408,'FCPIS F'!$B$281:$B$408,'PIS F'!$A53,'FCPIS F'!$C$281:$C$408,'PIS F'!$B53)*-1000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F'!$R$6:$R$135,'FCPIS F'!$B$6:$B$135,'PIS F'!$A53,'FCPIS F'!$C$6:$C$135,'PIS F'!$B53)*1000</f>
        <v>2240.29</v>
      </c>
      <c r="X53" s="4">
        <f t="shared" si="19"/>
        <v>0</v>
      </c>
    </row>
    <row r="54" spans="1:24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F'!$A54,'FCPIS F'!$C$6:$C$135,'PIS F'!$B54)*1000</f>
        <v>0</v>
      </c>
      <c r="E54" s="13"/>
      <c r="F54" s="4">
        <f>SUMIFS('FCPIS F'!$S$138:$S$225,'FCPIS F'!$B$138:$B$225,'PIS F'!$A54,'FCPIS F'!$C$138:$C$225,'PIS F'!$B54)*1000</f>
        <v>0</v>
      </c>
      <c r="G54" s="13"/>
      <c r="H54" s="4">
        <f>SUMIFS('FCPIS F'!$S$228:$S$278,'FCPIS F'!$B$228:$B$278,'PIS F'!$A54,'FCPIS F'!$C$228:$C$278,'PIS F'!$B54)*-1000</f>
        <v>0</v>
      </c>
      <c r="I54" s="13"/>
      <c r="J54" s="4">
        <f>SUMIFS('FCPIS F'!$S$395:$S$416,'FCPIS F'!$B$395:$B$416,'PIS F'!$A54,'FCPIS F'!$C$395:$C$416,'PIS F'!$B54)*1000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F'!$R$281:$R$408,'FCPIS F'!$B$281:$B$408,'PIS F'!$A54,'FCPIS F'!$C$281:$C$408,'PIS F'!$B54)*-1000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F'!$R$6:$R$135,'FCPIS F'!$B$6:$B$135,'PIS F'!$A54,'FCPIS F'!$C$6:$C$135,'PIS F'!$B54)*1000</f>
        <v>0</v>
      </c>
      <c r="X54" s="4">
        <f t="shared" si="19"/>
        <v>0</v>
      </c>
    </row>
    <row r="55" spans="1:24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F'!P25*1000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F'!$A58,'FCPIS F'!$C$6:$C$135,'PIS F'!$B58)*1000</f>
        <v>414278.16000000003</v>
      </c>
      <c r="E58" s="13"/>
      <c r="F58" s="4">
        <f>SUMIFS('FCPIS F'!$S$138:$S$225,'FCPIS F'!$B$138:$B$225,'PIS F'!$A58,'FCPIS F'!$C$138:$C$225,'PIS F'!$B58)*1000</f>
        <v>0</v>
      </c>
      <c r="G58" s="13"/>
      <c r="H58" s="4">
        <f>SUMIFS('FCPIS F'!$S$228:$S$278,'FCPIS F'!$B$228:$B$278,'PIS F'!$A58,'FCPIS F'!$C$228:$C$278,'PIS F'!$B58)*-1000</f>
        <v>0</v>
      </c>
      <c r="I58" s="13"/>
      <c r="J58" s="4">
        <f>SUMIFS('FCPIS F'!$S$395:$S$416,'FCPIS F'!$B$395:$B$416,'PIS F'!$A58,'FCPIS F'!$C$395:$C$416,'PIS F'!$B58)*1000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9">
        <f>SUMIFS('FCPIS F'!$R$281:$R$408,'FCPIS F'!$B$281:$B$408,'PIS F'!$A58,'FCPIS F'!$C$281:$C$408,'PIS F'!$B58)*-1000</f>
        <v>0</v>
      </c>
      <c r="Q58" s="2"/>
      <c r="R58" s="9">
        <f t="shared" ref="R58:R66" si="27">SUM(N58:P58)</f>
        <v>414278.16000000003</v>
      </c>
      <c r="T58" s="9"/>
      <c r="U58" s="13"/>
      <c r="V58" s="9">
        <f t="shared" si="24"/>
        <v>0</v>
      </c>
      <c r="W58" s="4">
        <f>SUMIFS('FCPIS F'!$R$6:$R$135,'FCPIS F'!$B$6:$B$135,'PIS F'!$A58,'FCPIS F'!$C$6:$C$135,'PIS F'!$B58)*1000</f>
        <v>414278.16000000003</v>
      </c>
      <c r="X58" s="4">
        <f t="shared" si="19"/>
        <v>0</v>
      </c>
    </row>
    <row r="59" spans="1:24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F'!$A59,'FCPIS F'!$C$6:$C$135,'PIS F'!$B59)*1000</f>
        <v>33942182.450000003</v>
      </c>
      <c r="E59" s="13"/>
      <c r="F59" s="4">
        <f>SUMIFS('FCPIS F'!$S$138:$S$225,'FCPIS F'!$B$138:$B$225,'PIS F'!$A59,'FCPIS F'!$C$138:$C$225,'PIS F'!$B59)*1000</f>
        <v>0</v>
      </c>
      <c r="G59" s="13"/>
      <c r="H59" s="4">
        <f>SUMIFS('FCPIS F'!$S$228:$S$278,'FCPIS F'!$B$228:$B$278,'PIS F'!$A59,'FCPIS F'!$C$228:$C$278,'PIS F'!$B59)*-1000</f>
        <v>0</v>
      </c>
      <c r="I59" s="13"/>
      <c r="J59" s="4">
        <f>SUMIFS('FCPIS F'!$S$395:$S$416,'FCPIS F'!$B$395:$B$416,'PIS F'!$A59,'FCPIS F'!$C$395:$C$416,'PIS F'!$B59)*1000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9">
        <f>SUMIFS('FCPIS F'!$R$281:$R$408,'FCPIS F'!$B$281:$B$408,'PIS F'!$A59,'FCPIS F'!$C$281:$C$408,'PIS F'!$B59)*-1000</f>
        <v>-14844281.037643559</v>
      </c>
      <c r="Q59" s="2"/>
      <c r="R59" s="9">
        <f t="shared" si="27"/>
        <v>19097901.412356444</v>
      </c>
      <c r="T59" s="9">
        <f t="shared" ref="T59:T66" si="28">F59/F$67*T$67</f>
        <v>0</v>
      </c>
      <c r="U59" s="13"/>
      <c r="V59" s="9">
        <f t="shared" si="24"/>
        <v>-14844281.037643559</v>
      </c>
      <c r="W59" s="4">
        <f>SUMIFS('FCPIS F'!$R$6:$R$135,'FCPIS F'!$B$6:$B$135,'PIS F'!$A59,'FCPIS F'!$C$6:$C$135,'PIS F'!$B59)*1000</f>
        <v>33942182.450000003</v>
      </c>
      <c r="X59" s="4">
        <f t="shared" si="19"/>
        <v>0</v>
      </c>
    </row>
    <row r="60" spans="1:24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F'!$A60,'FCPIS F'!$C$6:$C$135,'PIS F'!$B60)*1000</f>
        <v>24767192.59</v>
      </c>
      <c r="E60" s="13"/>
      <c r="F60" s="4">
        <f>SUMIFS('FCPIS F'!$S$138:$S$225,'FCPIS F'!$B$138:$B$225,'PIS F'!$A60,'FCPIS F'!$C$138:$C$225,'PIS F'!$B60)*1000</f>
        <v>0</v>
      </c>
      <c r="G60" s="13"/>
      <c r="H60" s="4">
        <f>SUMIFS('FCPIS F'!$S$228:$S$278,'FCPIS F'!$B$228:$B$278,'PIS F'!$A60,'FCPIS F'!$C$228:$C$278,'PIS F'!$B60)*-1000</f>
        <v>0</v>
      </c>
      <c r="I60" s="13"/>
      <c r="J60" s="4">
        <f>SUMIFS('FCPIS F'!$S$395:$S$416,'FCPIS F'!$B$395:$B$416,'PIS F'!$A60,'FCPIS F'!$C$395:$C$416,'PIS F'!$B60)*1000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9">
        <f>SUMIFS('FCPIS F'!$R$281:$R$408,'FCPIS F'!$B$281:$B$408,'PIS F'!$A60,'FCPIS F'!$C$281:$C$408,'PIS F'!$B60)*-1000</f>
        <v>-7874068.4050621996</v>
      </c>
      <c r="Q60" s="2"/>
      <c r="R60" s="9">
        <f t="shared" si="27"/>
        <v>16893124.184937801</v>
      </c>
      <c r="T60" s="9">
        <f t="shared" si="28"/>
        <v>0</v>
      </c>
      <c r="U60" s="13"/>
      <c r="V60" s="9">
        <f t="shared" si="24"/>
        <v>-7874068.4050621996</v>
      </c>
      <c r="W60" s="4">
        <f>SUMIFS('FCPIS F'!$R$6:$R$135,'FCPIS F'!$B$6:$B$135,'PIS F'!$A60,'FCPIS F'!$C$6:$C$135,'PIS F'!$B60)*1000</f>
        <v>24767192.59</v>
      </c>
      <c r="X60" s="4">
        <f t="shared" si="19"/>
        <v>0</v>
      </c>
    </row>
    <row r="61" spans="1:24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F'!$A61,'FCPIS F'!$C$6:$C$135,'PIS F'!$B61)*1000</f>
        <v>244334181.90999898</v>
      </c>
      <c r="E61" s="13"/>
      <c r="F61" s="4">
        <f>SUMIFS('FCPIS F'!$S$138:$S$225,'FCPIS F'!$B$138:$B$225,'PIS F'!$A61,'FCPIS F'!$C$138:$C$225,'PIS F'!$B61)*1000</f>
        <v>14069997.68</v>
      </c>
      <c r="G61" s="13"/>
      <c r="H61" s="4">
        <f>SUMIFS('FCPIS F'!$S$228:$S$278,'FCPIS F'!$B$228:$B$278,'PIS F'!$A61,'FCPIS F'!$C$228:$C$278,'PIS F'!$B61)*-1000</f>
        <v>-1140984.23</v>
      </c>
      <c r="I61" s="13"/>
      <c r="J61" s="4">
        <f>SUMIFS('FCPIS F'!$S$395:$S$416,'FCPIS F'!$B$395:$B$416,'PIS F'!$A61,'FCPIS F'!$C$395:$C$416,'PIS F'!$B61)*1000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9">
        <f>SUMIFS('FCPIS F'!$R$281:$R$408,'FCPIS F'!$B$281:$B$408,'PIS F'!$A61,'FCPIS F'!$C$281:$C$408,'PIS F'!$B61)*-1000</f>
        <v>-84285251.885224</v>
      </c>
      <c r="Q61" s="2"/>
      <c r="R61" s="9">
        <f t="shared" si="27"/>
        <v>172977943.47477496</v>
      </c>
      <c r="T61" s="9">
        <f t="shared" si="28"/>
        <v>818.37213385925475</v>
      </c>
      <c r="U61" s="13"/>
      <c r="V61" s="9">
        <f t="shared" si="24"/>
        <v>-84284433.513090134</v>
      </c>
      <c r="W61" s="4">
        <f>SUMIFS('FCPIS F'!$R$6:$R$135,'FCPIS F'!$B$6:$B$135,'PIS F'!$A61,'FCPIS F'!$C$6:$C$135,'PIS F'!$B61)*1000</f>
        <v>257263195.35999998</v>
      </c>
      <c r="X61" s="4">
        <f t="shared" si="19"/>
        <v>1.0132789611816406E-6</v>
      </c>
    </row>
    <row r="62" spans="1:24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F'!$A62,'FCPIS F'!$C$6:$C$135,'PIS F'!$B62)*1000</f>
        <v>59666441.119999997</v>
      </c>
      <c r="E62" s="13"/>
      <c r="F62" s="4">
        <f>SUMIFS('FCPIS F'!$S$138:$S$225,'FCPIS F'!$B$138:$B$225,'PIS F'!$A62,'FCPIS F'!$C$138:$C$225,'PIS F'!$B62)*1000</f>
        <v>713358.2</v>
      </c>
      <c r="G62" s="13"/>
      <c r="H62" s="4">
        <f>SUMIFS('FCPIS F'!$S$228:$S$278,'FCPIS F'!$B$228:$B$278,'PIS F'!$A62,'FCPIS F'!$C$228:$C$278,'PIS F'!$B62)*-1000</f>
        <v>0</v>
      </c>
      <c r="I62" s="13"/>
      <c r="J62" s="4">
        <f>SUMIFS('FCPIS F'!$S$395:$S$416,'FCPIS F'!$B$395:$B$416,'PIS F'!$A62,'FCPIS F'!$C$395:$C$416,'PIS F'!$B62)*1000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9">
        <f>SUMIFS('FCPIS F'!$R$281:$R$408,'FCPIS F'!$B$281:$B$408,'PIS F'!$A62,'FCPIS F'!$C$281:$C$408,'PIS F'!$B62)*-1000</f>
        <v>-28978675.842026703</v>
      </c>
      <c r="Q62" s="2"/>
      <c r="R62" s="9">
        <f t="shared" si="27"/>
        <v>31401123.477973297</v>
      </c>
      <c r="T62" s="9">
        <f t="shared" si="28"/>
        <v>41.492009140117858</v>
      </c>
      <c r="U62" s="13"/>
      <c r="V62" s="9">
        <f t="shared" si="24"/>
        <v>-28978634.350017563</v>
      </c>
      <c r="W62" s="4">
        <f>SUMIFS('FCPIS F'!$R$6:$R$135,'FCPIS F'!$B$6:$B$135,'PIS F'!$A62,'FCPIS F'!$C$6:$C$135,'PIS F'!$B62)*1000</f>
        <v>60379799.32</v>
      </c>
      <c r="X62" s="4">
        <f t="shared" si="19"/>
        <v>0</v>
      </c>
    </row>
    <row r="63" spans="1:24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F'!$A63,'FCPIS F'!$C$6:$C$135,'PIS F'!$B63)*1000</f>
        <v>32129983.469999999</v>
      </c>
      <c r="E63" s="13"/>
      <c r="F63" s="4">
        <f>SUMIFS('FCPIS F'!$S$138:$S$225,'FCPIS F'!$B$138:$B$225,'PIS F'!$A63,'FCPIS F'!$C$138:$C$225,'PIS F'!$B63)*1000</f>
        <v>1333259.4200000002</v>
      </c>
      <c r="G63" s="13"/>
      <c r="H63" s="4">
        <f>SUMIFS('FCPIS F'!$S$228:$S$278,'FCPIS F'!$B$228:$B$278,'PIS F'!$A63,'FCPIS F'!$C$228:$C$278,'PIS F'!$B63)*-1000</f>
        <v>0</v>
      </c>
      <c r="I63" s="13"/>
      <c r="J63" s="4">
        <f>SUMIFS('FCPIS F'!$S$395:$S$416,'FCPIS F'!$B$395:$B$416,'PIS F'!$A63,'FCPIS F'!$C$395:$C$416,'PIS F'!$B63)*1000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9">
        <f>SUMIFS('FCPIS F'!$R$281:$R$408,'FCPIS F'!$B$281:$B$408,'PIS F'!$A63,'FCPIS F'!$C$281:$C$408,'PIS F'!$B63)*-1000</f>
        <v>-15170080.080860598</v>
      </c>
      <c r="Q63" s="2"/>
      <c r="R63" s="9">
        <f t="shared" si="27"/>
        <v>18293162.809139401</v>
      </c>
      <c r="T63" s="9">
        <f t="shared" si="28"/>
        <v>77.548154686927603</v>
      </c>
      <c r="U63" s="13"/>
      <c r="V63" s="9">
        <f t="shared" si="24"/>
        <v>-15170002.532705911</v>
      </c>
      <c r="W63" s="4">
        <f>SUMIFS('FCPIS F'!$R$6:$R$135,'FCPIS F'!$B$6:$B$135,'PIS F'!$A63,'FCPIS F'!$C$6:$C$135,'PIS F'!$B63)*1000</f>
        <v>33463242.890000001</v>
      </c>
      <c r="X63" s="4">
        <f t="shared" si="19"/>
        <v>0</v>
      </c>
    </row>
    <row r="64" spans="1:24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F'!$A64,'FCPIS F'!$C$6:$C$135,'PIS F'!$B64)*1000</f>
        <v>5537528.2699999996</v>
      </c>
      <c r="E64" s="13"/>
      <c r="F64" s="4">
        <f>SUMIFS('FCPIS F'!$S$138:$S$225,'FCPIS F'!$B$138:$B$225,'PIS F'!$A64,'FCPIS F'!$C$138:$C$225,'PIS F'!$B64)*1000</f>
        <v>922690.80999999982</v>
      </c>
      <c r="G64" s="13"/>
      <c r="H64" s="4">
        <f>SUMIFS('FCPIS F'!$S$228:$S$278,'FCPIS F'!$B$228:$B$278,'PIS F'!$A64,'FCPIS F'!$C$228:$C$278,'PIS F'!$B64)*-1000</f>
        <v>0</v>
      </c>
      <c r="I64" s="13"/>
      <c r="J64" s="4">
        <f>SUMIFS('FCPIS F'!$S$395:$S$416,'FCPIS F'!$B$395:$B$416,'PIS F'!$A64,'FCPIS F'!$C$395:$C$416,'PIS F'!$B64)*1000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9">
        <f>SUMIFS('FCPIS F'!$R$281:$R$408,'FCPIS F'!$B$281:$B$408,'PIS F'!$A64,'FCPIS F'!$C$281:$C$408,'PIS F'!$B64)*-1000</f>
        <v>-2575288.2979107699</v>
      </c>
      <c r="Q64" s="2"/>
      <c r="R64" s="9">
        <f t="shared" si="27"/>
        <v>3884930.7820892292</v>
      </c>
      <c r="T64" s="9">
        <f t="shared" si="28"/>
        <v>53.66770231564275</v>
      </c>
      <c r="U64" s="13"/>
      <c r="V64" s="9">
        <f t="shared" si="24"/>
        <v>-2575234.6302084541</v>
      </c>
      <c r="W64" s="4">
        <f>SUMIFS('FCPIS F'!$R$6:$R$135,'FCPIS F'!$B$6:$B$135,'PIS F'!$A64,'FCPIS F'!$C$6:$C$135,'PIS F'!$B64)*1000</f>
        <v>6460219.0800000001</v>
      </c>
      <c r="X64" s="4">
        <f t="shared" si="19"/>
        <v>0</v>
      </c>
    </row>
    <row r="65" spans="1:24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F'!$A65,'FCPIS F'!$C$6:$C$135,'PIS F'!$B65)*1000</f>
        <v>111984.04</v>
      </c>
      <c r="E65" s="13"/>
      <c r="F65" s="4">
        <f>SUMIFS('FCPIS F'!$S$138:$S$225,'FCPIS F'!$B$138:$B$225,'PIS F'!$A65,'FCPIS F'!$C$138:$C$225,'PIS F'!$B65)*1000</f>
        <v>0</v>
      </c>
      <c r="G65" s="13"/>
      <c r="H65" s="4">
        <f>SUMIFS('FCPIS F'!$S$228:$S$278,'FCPIS F'!$B$228:$B$278,'PIS F'!$A65,'FCPIS F'!$C$228:$C$278,'PIS F'!$B65)*-1000</f>
        <v>0</v>
      </c>
      <c r="I65" s="13"/>
      <c r="J65" s="4">
        <f>SUMIFS('FCPIS F'!$S$395:$S$416,'FCPIS F'!$B$395:$B$416,'PIS F'!$A65,'FCPIS F'!$C$395:$C$416,'PIS F'!$B65)*1000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F'!$R$281:$R$408,'FCPIS F'!$B$281:$B$408,'PIS F'!$A65,'FCPIS F'!$C$281:$C$408,'PIS F'!$B65)*-1000</f>
        <v>-27489.087312366799</v>
      </c>
      <c r="Q65" s="2"/>
      <c r="R65" s="9">
        <f t="shared" si="27"/>
        <v>84494.952687633195</v>
      </c>
      <c r="T65" s="9">
        <f t="shared" si="28"/>
        <v>0</v>
      </c>
      <c r="U65" s="13"/>
      <c r="V65" s="9">
        <f t="shared" si="24"/>
        <v>-27489.087312366799</v>
      </c>
      <c r="W65" s="4">
        <f>SUMIFS('FCPIS F'!$R$6:$R$135,'FCPIS F'!$B$6:$B$135,'PIS F'!$A65,'FCPIS F'!$C$6:$C$135,'PIS F'!$B65)*1000</f>
        <v>111984.04</v>
      </c>
      <c r="X65" s="4">
        <f t="shared" si="19"/>
        <v>0</v>
      </c>
    </row>
    <row r="66" spans="1:24">
      <c r="A66" s="6" t="s">
        <v>923</v>
      </c>
      <c r="C66" s="129" t="s">
        <v>52</v>
      </c>
      <c r="D66" s="4">
        <f>SUMIFS('FCPIS F'!$F$6:$F$135,'FCPIS F'!$B$6:$B$135,'PIS F'!$A66,'FCPIS F'!$C$6:$C$135,'PIS F'!$B66)*1000</f>
        <v>0</v>
      </c>
      <c r="E66" s="13"/>
      <c r="F66" s="4">
        <f>SUMIFS('FCPIS F'!$S$138:$S$225,'FCPIS F'!$B$138:$B$225,'PIS F'!$A66,'FCPIS F'!$C$138:$C$225,'PIS F'!$B66)*1000</f>
        <v>0</v>
      </c>
      <c r="G66" s="13"/>
      <c r="H66" s="4">
        <f>SUMIFS('FCPIS F'!$S$228:$S$278,'FCPIS F'!$B$228:$B$278,'PIS F'!$A66,'FCPIS F'!$C$228:$C$278,'PIS F'!$B66)*-1000</f>
        <v>0</v>
      </c>
      <c r="I66" s="13"/>
      <c r="J66" s="4">
        <f>SUMIFS('FCPIS F'!$S$395:$S$416,'FCPIS F'!$B$395:$B$416,'PIS F'!$A66,'FCPIS F'!$C$395:$C$416,'PIS F'!$B66)*1000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F'!$R$281:$R$408,'FCPIS F'!$B$281:$B$408,'PIS F'!$A66,'FCPIS F'!$C$281:$C$408,'PIS F'!$B66)*-1000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F'!$R$6:$R$135,'FCPIS F'!$B$6:$B$135,'PIS F'!$A66,'FCPIS F'!$C$6:$C$135,'PIS F'!$B66)*1000</f>
        <v>0</v>
      </c>
      <c r="X66" s="4">
        <f t="shared" si="19"/>
        <v>0</v>
      </c>
    </row>
    <row r="67" spans="1:24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-153755134.63604021</v>
      </c>
      <c r="Q67" s="129"/>
      <c r="R67" s="784">
        <f>SUM(R58:R66)</f>
        <v>263046959.25395873</v>
      </c>
      <c r="S67" s="129"/>
      <c r="T67" s="784">
        <f>SUM('FC CWIP &amp; RWIP F'!P26:P26)*1000</f>
        <v>991.08000000194295</v>
      </c>
      <c r="U67" s="2"/>
      <c r="V67" s="784">
        <f t="shared" si="24"/>
        <v>-153754143.5560402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F'!$A70,'FCPIS F'!$C$6:$C$135,'PIS F'!$B70)*1000</f>
        <v>11234131.25999999</v>
      </c>
      <c r="E70" s="13"/>
      <c r="F70" s="4">
        <f>SUMIFS('FCPIS F'!$S$138:$S$225,'FCPIS F'!$B$138:$B$225,'PIS F'!$A70,'FCPIS F'!$C$138:$C$225,'PIS F'!$B70)*1000</f>
        <v>0</v>
      </c>
      <c r="G70" s="13"/>
      <c r="H70" s="4">
        <f>SUMIFS('FCPIS F'!$S$228:$S$278,'FCPIS F'!$B$228:$B$278,'PIS F'!$A70,'FCPIS F'!$C$228:$C$278,'PIS F'!$B70)*-1000</f>
        <v>0</v>
      </c>
      <c r="I70" s="13"/>
      <c r="J70" s="4">
        <f>SUMIFS('FCPIS F'!$S$395:$S$416,'FCPIS F'!$B$395:$B$416,'PIS F'!$A70,'FCPIS F'!$C$395:$C$416,'PIS F'!$B70)*1000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9">
        <f>SUMIFS('FCPIS F'!$R$281:$R$408,'FCPIS F'!$B$281:$B$408,'PIS F'!$A70,'FCPIS F'!$C$281:$C$408,'PIS F'!$B70)*-1000</f>
        <v>0</v>
      </c>
      <c r="Q70" s="2"/>
      <c r="R70" s="9">
        <f t="shared" ref="R70:R81" si="32">SUM(N70:P70)</f>
        <v>11234131.25999999</v>
      </c>
      <c r="T70" s="9"/>
      <c r="U70" s="13"/>
      <c r="V70" s="9">
        <f t="shared" ref="V70:V82" si="33">P70+T70</f>
        <v>0</v>
      </c>
      <c r="W70" s="4">
        <f>SUMIFS('FCPIS F'!$R$6:$R$135,'FCPIS F'!$B$6:$B$135,'PIS F'!$A70,'FCPIS F'!$C$6:$C$135,'PIS F'!$B70)*1000</f>
        <v>11234131.25999999</v>
      </c>
      <c r="X70" s="4">
        <f t="shared" si="19"/>
        <v>0</v>
      </c>
    </row>
    <row r="71" spans="1:24">
      <c r="A71" s="6" t="s">
        <v>923</v>
      </c>
      <c r="C71" s="129" t="s">
        <v>888</v>
      </c>
      <c r="D71" s="4">
        <f>SUMIFS('FCPIS F'!$F$6:$F$135,'FCPIS F'!$B$6:$B$135,'PIS F'!$A71,'FCPIS F'!$C$6:$C$135,'PIS F'!$B71)*1000</f>
        <v>0</v>
      </c>
      <c r="E71" s="13"/>
      <c r="F71" s="4">
        <f>SUMIFS('FCPIS F'!$S$138:$S$225,'FCPIS F'!$B$138:$B$225,'PIS F'!$A71,'FCPIS F'!$C$138:$C$225,'PIS F'!$B71)*1000</f>
        <v>0</v>
      </c>
      <c r="G71" s="13"/>
      <c r="H71" s="4">
        <f>SUMIFS('FCPIS F'!$S$228:$S$278,'FCPIS F'!$B$228:$B$278,'PIS F'!$A71,'FCPIS F'!$C$228:$C$278,'PIS F'!$B71)*-1000</f>
        <v>0</v>
      </c>
      <c r="I71" s="13"/>
      <c r="J71" s="4">
        <f>SUMIFS('FCPIS F'!$S$395:$S$416,'FCPIS F'!$B$395:$B$416,'PIS F'!$A71,'FCPIS F'!$C$395:$C$416,'PIS F'!$B71)*1000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F'!$R$281:$R$408,'FCPIS F'!$B$281:$B$408,'PIS F'!$A71,'FCPIS F'!$C$281:$C$408,'PIS F'!$B71)*-1000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F'!$R$6:$R$135,'FCPIS F'!$B$6:$B$135,'PIS F'!$A71,'FCPIS F'!$C$6:$C$135,'PIS F'!$B71)*1000</f>
        <v>0</v>
      </c>
      <c r="X71" s="4">
        <f t="shared" si="19"/>
        <v>0</v>
      </c>
    </row>
    <row r="72" spans="1:24">
      <c r="A72" s="6" t="s">
        <v>923</v>
      </c>
      <c r="C72" s="129" t="s">
        <v>889</v>
      </c>
      <c r="D72" s="4">
        <f>SUMIFS('FCPIS F'!$F$6:$F$135,'FCPIS F'!$B$6:$B$135,'PIS F'!$A72,'FCPIS F'!$C$6:$C$135,'PIS F'!$B72)*1000</f>
        <v>0</v>
      </c>
      <c r="E72" s="13"/>
      <c r="F72" s="4">
        <f>SUMIFS('FCPIS F'!$S$138:$S$225,'FCPIS F'!$B$138:$B$225,'PIS F'!$A72,'FCPIS F'!$C$138:$C$225,'PIS F'!$B72)*1000</f>
        <v>0</v>
      </c>
      <c r="G72" s="13"/>
      <c r="H72" s="4">
        <f>SUMIFS('FCPIS F'!$S$228:$S$278,'FCPIS F'!$B$228:$B$278,'PIS F'!$A72,'FCPIS F'!$C$228:$C$278,'PIS F'!$B72)*-1000</f>
        <v>0</v>
      </c>
      <c r="I72" s="13"/>
      <c r="J72" s="4">
        <f>SUMIFS('FCPIS F'!$S$395:$S$416,'FCPIS F'!$B$395:$B$416,'PIS F'!$A72,'FCPIS F'!$C$395:$C$416,'PIS F'!$B72)*1000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F'!$R$281:$R$408,'FCPIS F'!$B$281:$B$408,'PIS F'!$A72,'FCPIS F'!$C$281:$C$408,'PIS F'!$B72)*-1000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F'!$R$6:$R$135,'FCPIS F'!$B$6:$B$135,'PIS F'!$A72,'FCPIS F'!$C$6:$C$135,'PIS F'!$B72)*1000</f>
        <v>0</v>
      </c>
      <c r="X72" s="4">
        <f t="shared" si="19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F'!$A73,'FCPIS F'!$C$6:$C$135,'PIS F'!$B73)*1000</f>
        <v>311454485.73000002</v>
      </c>
      <c r="E73" s="13"/>
      <c r="F73" s="4">
        <f>SUMIFS('FCPIS F'!$S$138:$S$225,'FCPIS F'!$B$138:$B$225,'PIS F'!$A73,'FCPIS F'!$C$138:$C$225,'PIS F'!$B73)*1000</f>
        <v>1564651.07</v>
      </c>
      <c r="G73" s="13"/>
      <c r="H73" s="4">
        <f>SUMIFS('FCPIS F'!$S$228:$S$278,'FCPIS F'!$B$228:$B$278,'PIS F'!$A73,'FCPIS F'!$C$228:$C$278,'PIS F'!$B73)*-1000</f>
        <v>-16810647.609999999</v>
      </c>
      <c r="I73" s="13"/>
      <c r="J73" s="4">
        <f>SUMIFS('FCPIS F'!$S$395:$S$416,'FCPIS F'!$B$395:$B$416,'PIS F'!$A73,'FCPIS F'!$C$395:$C$416,'PIS F'!$B73)*1000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9">
        <f>SUMIFS('FCPIS F'!$R$281:$R$408,'FCPIS F'!$B$281:$B$408,'PIS F'!$A73,'FCPIS F'!$C$281:$C$408,'PIS F'!$B73)*-1000</f>
        <v>-166710717.2213929</v>
      </c>
      <c r="Q73" s="2"/>
      <c r="R73" s="9">
        <f t="shared" si="32"/>
        <v>129497771.9686071</v>
      </c>
      <c r="T73" s="9">
        <f t="shared" si="34"/>
        <v>13096.287475110386</v>
      </c>
      <c r="U73" s="13"/>
      <c r="V73" s="9">
        <f t="shared" si="33"/>
        <v>-166697620.93391779</v>
      </c>
      <c r="W73" s="4">
        <f>SUMIFS('FCPIS F'!$R$6:$R$135,'FCPIS F'!$B$6:$B$135,'PIS F'!$A73,'FCPIS F'!$C$6:$C$135,'PIS F'!$B73)*1000</f>
        <v>296208489.19</v>
      </c>
      <c r="X73" s="4">
        <f t="shared" si="19"/>
        <v>0</v>
      </c>
    </row>
    <row r="74" spans="1:24">
      <c r="A74" s="6" t="s">
        <v>923</v>
      </c>
      <c r="C74" s="129" t="s">
        <v>56</v>
      </c>
      <c r="D74" s="4">
        <f>SUMIFS('FCPIS F'!$F$6:$F$135,'FCPIS F'!$B$6:$B$135,'PIS F'!$A74,'FCPIS F'!$C$6:$C$135,'PIS F'!$B74)*1000</f>
        <v>0</v>
      </c>
      <c r="E74" s="13"/>
      <c r="F74" s="4">
        <f>SUMIFS('FCPIS F'!$S$138:$S$225,'FCPIS F'!$B$138:$B$225,'PIS F'!$A74,'FCPIS F'!$C$138:$C$225,'PIS F'!$B74)*1000</f>
        <v>0</v>
      </c>
      <c r="G74" s="13"/>
      <c r="H74" s="4">
        <f>SUMIFS('FCPIS F'!$S$228:$S$278,'FCPIS F'!$B$228:$B$278,'PIS F'!$A74,'FCPIS F'!$C$228:$C$278,'PIS F'!$B74)*-1000</f>
        <v>0</v>
      </c>
      <c r="I74" s="13"/>
      <c r="J74" s="4">
        <f>SUMIFS('FCPIS F'!$S$395:$S$416,'FCPIS F'!$B$395:$B$416,'PIS F'!$A74,'FCPIS F'!$C$395:$C$416,'PIS F'!$B74)*1000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F'!$R$281:$R$408,'FCPIS F'!$B$281:$B$408,'PIS F'!$A74,'FCPIS F'!$C$281:$C$408,'PIS F'!$B74)*-1000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F'!$R$6:$R$135,'FCPIS F'!$B$6:$B$135,'PIS F'!$A74,'FCPIS F'!$C$6:$C$135,'PIS F'!$B74)*1000</f>
        <v>0</v>
      </c>
      <c r="X74" s="4">
        <f t="shared" si="19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F'!$A75,'FCPIS F'!$C$6:$C$135,'PIS F'!$B75)*1000</f>
        <v>2567170950.3000002</v>
      </c>
      <c r="E75" s="13"/>
      <c r="F75" s="4">
        <f>SUMIFS('FCPIS F'!$S$138:$S$225,'FCPIS F'!$B$138:$B$225,'PIS F'!$A75,'FCPIS F'!$C$138:$C$225,'PIS F'!$B75)*1000</f>
        <v>118754387.0999998</v>
      </c>
      <c r="G75" s="13"/>
      <c r="H75" s="4">
        <f>SUMIFS('FCPIS F'!$S$228:$S$278,'FCPIS F'!$B$228:$B$278,'PIS F'!$A75,'FCPIS F'!$C$228:$C$278,'PIS F'!$B75)*-1000</f>
        <v>-20122200.059999999</v>
      </c>
      <c r="I75" s="13"/>
      <c r="J75" s="4">
        <f>SUMIFS('FCPIS F'!$S$395:$S$416,'FCPIS F'!$B$395:$B$416,'PIS F'!$A75,'FCPIS F'!$C$395:$C$416,'PIS F'!$B75)*1000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9">
        <f>SUMIFS('FCPIS F'!$R$281:$R$408,'FCPIS F'!$B$281:$B$408,'PIS F'!$A75,'FCPIS F'!$C$281:$C$408,'PIS F'!$B75)*-1000</f>
        <v>-569567042.5813297</v>
      </c>
      <c r="Q75" s="2"/>
      <c r="R75" s="9">
        <f t="shared" si="32"/>
        <v>2096236094.7586703</v>
      </c>
      <c r="T75" s="9">
        <f t="shared" si="34"/>
        <v>993986.21341954404</v>
      </c>
      <c r="U75" s="13"/>
      <c r="V75" s="9">
        <f t="shared" si="33"/>
        <v>-568573056.36791015</v>
      </c>
      <c r="W75" s="4">
        <f>SUMIFS('FCPIS F'!$R$6:$R$135,'FCPIS F'!$B$6:$B$135,'PIS F'!$A75,'FCPIS F'!$C$6:$C$135,'PIS F'!$B75)*1000</f>
        <v>2665803137.3399901</v>
      </c>
      <c r="X75" s="4">
        <f t="shared" si="19"/>
        <v>-1.0013580322265625E-5</v>
      </c>
    </row>
    <row r="76" spans="1:24">
      <c r="A76" s="6" t="s">
        <v>923</v>
      </c>
      <c r="C76" s="129" t="s">
        <v>58</v>
      </c>
      <c r="D76" s="4">
        <f>SUMIFS('FCPIS F'!$F$6:$F$135,'FCPIS F'!$B$6:$B$135,'PIS F'!$A76,'FCPIS F'!$C$6:$C$135,'PIS F'!$B76)*1000</f>
        <v>0</v>
      </c>
      <c r="E76" s="13"/>
      <c r="F76" s="4">
        <f>SUMIFS('FCPIS F'!$S$138:$S$225,'FCPIS F'!$B$138:$B$225,'PIS F'!$A76,'FCPIS F'!$C$138:$C$225,'PIS F'!$B76)*1000</f>
        <v>0</v>
      </c>
      <c r="G76" s="13"/>
      <c r="H76" s="4">
        <f>SUMIFS('FCPIS F'!$S$228:$S$278,'FCPIS F'!$B$228:$B$278,'PIS F'!$A76,'FCPIS F'!$C$228:$C$278,'PIS F'!$B76)*-1000</f>
        <v>0</v>
      </c>
      <c r="I76" s="13"/>
      <c r="J76" s="4">
        <f>SUMIFS('FCPIS F'!$S$395:$S$416,'FCPIS F'!$B$395:$B$416,'PIS F'!$A76,'FCPIS F'!$C$395:$C$416,'PIS F'!$B76)*1000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F'!$R$281:$R$408,'FCPIS F'!$B$281:$B$408,'PIS F'!$A76,'FCPIS F'!$C$281:$C$408,'PIS F'!$B76)*-1000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F'!$R$6:$R$135,'FCPIS F'!$B$6:$B$135,'PIS F'!$A76,'FCPIS F'!$C$6:$C$135,'PIS F'!$B76)*1000</f>
        <v>0</v>
      </c>
      <c r="X76" s="4">
        <f t="shared" si="19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F'!$A77,'FCPIS F'!$C$6:$C$135,'PIS F'!$B77)*1000</f>
        <v>234071399.299999</v>
      </c>
      <c r="E77" s="13"/>
      <c r="F77" s="4">
        <f>SUMIFS('FCPIS F'!$S$138:$S$225,'FCPIS F'!$B$138:$B$225,'PIS F'!$A77,'FCPIS F'!$C$138:$C$225,'PIS F'!$B77)*1000</f>
        <v>12965193.050000001</v>
      </c>
      <c r="G77" s="13"/>
      <c r="H77" s="4">
        <f>SUMIFS('FCPIS F'!$S$228:$S$278,'FCPIS F'!$B$228:$B$278,'PIS F'!$A77,'FCPIS F'!$C$228:$C$278,'PIS F'!$B77)*-1000</f>
        <v>-3093934.2699999991</v>
      </c>
      <c r="I77" s="13"/>
      <c r="J77" s="4">
        <f>SUMIFS('FCPIS F'!$S$395:$S$416,'FCPIS F'!$B$395:$B$416,'PIS F'!$A77,'FCPIS F'!$C$395:$C$416,'PIS F'!$B77)*1000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9">
        <f>SUMIFS('FCPIS F'!$R$281:$R$408,'FCPIS F'!$B$281:$B$408,'PIS F'!$A77,'FCPIS F'!$C$281:$C$408,'PIS F'!$B77)*-1000</f>
        <v>-112802579.171408</v>
      </c>
      <c r="Q77" s="2"/>
      <c r="R77" s="9">
        <f t="shared" si="32"/>
        <v>131140078.908591</v>
      </c>
      <c r="T77" s="9">
        <f t="shared" si="34"/>
        <v>108519.97522559662</v>
      </c>
      <c r="U77" s="13"/>
      <c r="V77" s="9">
        <f t="shared" si="33"/>
        <v>-112694059.1961824</v>
      </c>
      <c r="W77" s="4">
        <f>SUMIFS('FCPIS F'!$R$6:$R$135,'FCPIS F'!$B$6:$B$135,'PIS F'!$A77,'FCPIS F'!$C$6:$C$135,'PIS F'!$B77)*1000</f>
        <v>243942658.079999</v>
      </c>
      <c r="X77" s="4">
        <f t="shared" si="19"/>
        <v>0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F'!$A78,'FCPIS F'!$C$6:$C$135,'PIS F'!$B78)*1000</f>
        <v>183557540.87</v>
      </c>
      <c r="E78" s="13"/>
      <c r="F78" s="4">
        <f>SUMIFS('FCPIS F'!$S$138:$S$225,'FCPIS F'!$B$138:$B$225,'PIS F'!$A78,'FCPIS F'!$C$138:$C$225,'PIS F'!$B78)*1000</f>
        <v>3151518.4200000004</v>
      </c>
      <c r="G78" s="13"/>
      <c r="H78" s="4">
        <f>SUMIFS('FCPIS F'!$S$228:$S$278,'FCPIS F'!$B$228:$B$278,'PIS F'!$A78,'FCPIS F'!$C$228:$C$278,'PIS F'!$B78)*-1000</f>
        <v>-1120.8599999999999</v>
      </c>
      <c r="I78" s="13"/>
      <c r="J78" s="4">
        <f>SUMIFS('FCPIS F'!$S$395:$S$416,'FCPIS F'!$B$395:$B$416,'PIS F'!$A78,'FCPIS F'!$C$395:$C$416,'PIS F'!$B78)*1000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9">
        <f>SUMIFS('FCPIS F'!$R$281:$R$408,'FCPIS F'!$B$281:$B$408,'PIS F'!$A78,'FCPIS F'!$C$281:$C$408,'PIS F'!$B78)*-1000</f>
        <v>-96499384.068827927</v>
      </c>
      <c r="Q78" s="2"/>
      <c r="R78" s="9">
        <f t="shared" si="32"/>
        <v>90208554.36117208</v>
      </c>
      <c r="T78" s="9">
        <f t="shared" si="34"/>
        <v>26378.527457515291</v>
      </c>
      <c r="U78" s="13"/>
      <c r="V78" s="9">
        <f t="shared" si="33"/>
        <v>-96473005.541370407</v>
      </c>
      <c r="W78" s="4">
        <f>SUMIFS('FCPIS F'!$R$6:$R$135,'FCPIS F'!$B$6:$B$135,'PIS F'!$A78,'FCPIS F'!$C$6:$C$135,'PIS F'!$B78)*1000</f>
        <v>186707938.43000001</v>
      </c>
      <c r="X78" s="4">
        <f t="shared" si="19"/>
        <v>0</v>
      </c>
    </row>
    <row r="79" spans="1:24">
      <c r="A79" s="6" t="s">
        <v>923</v>
      </c>
      <c r="C79" s="129" t="s">
        <v>61</v>
      </c>
      <c r="D79" s="4">
        <f>SUMIFS('FCPIS F'!$F$6:$F$135,'FCPIS F'!$B$6:$B$135,'PIS F'!$A79,'FCPIS F'!$C$6:$C$135,'PIS F'!$B79)*1000</f>
        <v>0</v>
      </c>
      <c r="E79" s="13"/>
      <c r="F79" s="4">
        <f>SUMIFS('FCPIS F'!$S$138:$S$225,'FCPIS F'!$B$138:$B$225,'PIS F'!$A79,'FCPIS F'!$C$138:$C$225,'PIS F'!$B79)*1000</f>
        <v>0</v>
      </c>
      <c r="G79" s="13"/>
      <c r="H79" s="4">
        <f>SUMIFS('FCPIS F'!$S$228:$S$278,'FCPIS F'!$B$228:$B$278,'PIS F'!$A79,'FCPIS F'!$C$228:$C$278,'PIS F'!$B79)*-1000</f>
        <v>0</v>
      </c>
      <c r="I79" s="13"/>
      <c r="J79" s="4">
        <f>SUMIFS('FCPIS F'!$S$395:$S$416,'FCPIS F'!$B$395:$B$416,'PIS F'!$A79,'FCPIS F'!$C$395:$C$416,'PIS F'!$B79)*1000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F'!$R$281:$R$408,'FCPIS F'!$B$281:$B$408,'PIS F'!$A79,'FCPIS F'!$C$281:$C$408,'PIS F'!$B79)*-1000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F'!$R$6:$R$135,'FCPIS F'!$B$6:$B$135,'PIS F'!$A79,'FCPIS F'!$C$6:$C$135,'PIS F'!$B79)*1000</f>
        <v>0</v>
      </c>
      <c r="X79" s="4">
        <f t="shared" si="19"/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F'!$A80,'FCPIS F'!$C$6:$C$135,'PIS F'!$B80)*1000</f>
        <v>20731715.18</v>
      </c>
      <c r="E80" s="13"/>
      <c r="F80" s="4">
        <f>SUMIFS('FCPIS F'!$S$138:$S$225,'FCPIS F'!$B$138:$B$225,'PIS F'!$A80,'FCPIS F'!$C$138:$C$225,'PIS F'!$B80)*1000</f>
        <v>23800980.009999998</v>
      </c>
      <c r="G80" s="13"/>
      <c r="H80" s="4">
        <f>SUMIFS('FCPIS F'!$S$228:$S$278,'FCPIS F'!$B$228:$B$278,'PIS F'!$A80,'FCPIS F'!$C$228:$C$278,'PIS F'!$B80)*-1000</f>
        <v>-608122.24</v>
      </c>
      <c r="I80" s="13"/>
      <c r="J80" s="4">
        <f>SUMIFS('FCPIS F'!$S$395:$S$416,'FCPIS F'!$B$395:$B$416,'PIS F'!$A80,'FCPIS F'!$C$395:$C$416,'PIS F'!$B80)*1000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9">
        <f>SUMIFS('FCPIS F'!$R$281:$R$408,'FCPIS F'!$B$281:$B$408,'PIS F'!$A80,'FCPIS F'!$C$281:$C$408,'PIS F'!$B80)*-1000</f>
        <v>-6566461.4476675158</v>
      </c>
      <c r="Q80" s="2"/>
      <c r="R80" s="9">
        <f t="shared" si="32"/>
        <v>37358111.502332486</v>
      </c>
      <c r="T80" s="9">
        <f t="shared" si="34"/>
        <v>199216.60642223296</v>
      </c>
      <c r="U80" s="13"/>
      <c r="V80" s="9">
        <f t="shared" si="33"/>
        <v>-6367244.8412452824</v>
      </c>
      <c r="W80" s="4">
        <f>SUMIFS('FCPIS F'!$R$6:$R$135,'FCPIS F'!$B$6:$B$135,'PIS F'!$A80,'FCPIS F'!$C$6:$C$135,'PIS F'!$B80)*1000</f>
        <v>43924572.950000003</v>
      </c>
      <c r="X80" s="4">
        <f t="shared" si="19"/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F'!$A81,'FCPIS F'!$C$6:$C$135,'PIS F'!$B81)*1000</f>
        <v>89186900.099999994</v>
      </c>
      <c r="E81" s="13"/>
      <c r="F81" s="4">
        <f>SUMIFS('FCPIS F'!$S$138:$S$225,'FCPIS F'!$B$138:$B$225,'PIS F'!$A81,'FCPIS F'!$C$138:$C$225,'PIS F'!$B81)*1000</f>
        <v>0</v>
      </c>
      <c r="G81" s="13"/>
      <c r="H81" s="4">
        <f>SUMIFS('FCPIS F'!$S$228:$S$278,'FCPIS F'!$B$228:$B$278,'PIS F'!$A81,'FCPIS F'!$C$228:$C$278,'PIS F'!$B81)*-1000</f>
        <v>-13078638.460000001</v>
      </c>
      <c r="I81" s="13"/>
      <c r="J81" s="4">
        <f>SUMIFS('FCPIS F'!$S$395:$S$416,'FCPIS F'!$B$395:$B$416,'PIS F'!$A81,'FCPIS F'!$C$395:$C$416,'PIS F'!$B81)*1000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9">
        <f>SUMIFS('FCPIS F'!$R$281:$R$408,'FCPIS F'!$B$281:$B$408,'PIS F'!$A81,'FCPIS F'!$C$281:$C$408,'PIS F'!$B81)*-1000</f>
        <v>-46120647.501213826</v>
      </c>
      <c r="Q81" s="2"/>
      <c r="R81" s="9">
        <f t="shared" si="32"/>
        <v>29987614.138786159</v>
      </c>
      <c r="T81" s="9">
        <f t="shared" si="34"/>
        <v>0</v>
      </c>
      <c r="U81" s="13"/>
      <c r="V81" s="9">
        <f t="shared" si="33"/>
        <v>-46120647.501213826</v>
      </c>
      <c r="W81" s="4">
        <f>SUMIFS('FCPIS F'!$R$6:$R$135,'FCPIS F'!$B$6:$B$135,'PIS F'!$A81,'FCPIS F'!$C$6:$C$135,'PIS F'!$B81)*1000</f>
        <v>76108261.640000001</v>
      </c>
      <c r="X81" s="4">
        <f t="shared" si="19"/>
        <v>0</v>
      </c>
    </row>
    <row r="82" spans="1:24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-998266831.99183977</v>
      </c>
      <c r="Q82" s="129"/>
      <c r="R82" s="784">
        <f>SUM(R70:R81)</f>
        <v>2525662356.8981595</v>
      </c>
      <c r="S82" s="129"/>
      <c r="T82" s="784">
        <f>SUM('FC CWIP &amp; RWIP F'!P27:P30)*1000</f>
        <v>1341197.6099999989</v>
      </c>
      <c r="U82" s="2"/>
      <c r="V82" s="784">
        <f t="shared" si="33"/>
        <v>-996925634.38183975</v>
      </c>
      <c r="W82" s="4"/>
      <c r="X82" s="4"/>
    </row>
    <row r="83" spans="1:24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F'!$A85,'FCPIS F'!$C$6:$C$135,'PIS F'!$B85)*1000</f>
        <v>11144162.02</v>
      </c>
      <c r="E85" s="13"/>
      <c r="F85" s="4">
        <f>SUMIFS('FCPIS F'!$S$138:$S$225,'FCPIS F'!$B$138:$B$225,'PIS F'!$A85,'FCPIS F'!$C$138:$C$225,'PIS F'!$B85)*1000</f>
        <v>0</v>
      </c>
      <c r="G85" s="13"/>
      <c r="H85" s="4">
        <f>SUMIFS('FCPIS F'!$S$228:$S$278,'FCPIS F'!$B$228:$B$278,'PIS F'!$A85,'FCPIS F'!$C$228:$C$278,'PIS F'!$B85)*-1000</f>
        <v>0</v>
      </c>
      <c r="I85" s="13"/>
      <c r="J85" s="4">
        <f>SUMIFS('FCPIS F'!$S$395:$S$416,'FCPIS F'!$B$395:$B$416,'PIS F'!$A85,'FCPIS F'!$C$395:$C$416,'PIS F'!$B85)*1000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F'!$R$281:$R$408,'FCPIS F'!$B$281:$B$408,'PIS F'!$A85,'FCPIS F'!$C$281:$C$408,'PIS F'!$B85)*-1000</f>
        <v>-3432848.02914199</v>
      </c>
      <c r="Q85" s="2"/>
      <c r="R85" s="9">
        <f t="shared" ref="R85:R96" si="38">SUM(N85:P85)</f>
        <v>7711313.9908580091</v>
      </c>
      <c r="T85" s="9">
        <f>F85/F$97*T$97</f>
        <v>0</v>
      </c>
      <c r="U85" s="13"/>
      <c r="V85" s="9">
        <f t="shared" ref="V85:V97" si="39">P85+T85</f>
        <v>-3432848.02914199</v>
      </c>
      <c r="W85" s="4">
        <f>SUMIFS('FCPIS F'!$R$6:$R$135,'FCPIS F'!$B$6:$B$135,'PIS F'!$A85,'FCPIS F'!$C$6:$C$135,'PIS F'!$B85)*1000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F'!$F$6:$F$135,'FCPIS F'!$B$6:$B$135,'PIS F'!$A86,'FCPIS F'!$C$6:$C$135,'PIS F'!$B86)*1000</f>
        <v>0</v>
      </c>
      <c r="E86" s="13"/>
      <c r="F86" s="4">
        <f>SUMIFS('FCPIS F'!$S$138:$S$225,'FCPIS F'!$B$138:$B$225,'PIS F'!$A86,'FCPIS F'!$C$138:$C$225,'PIS F'!$B86)*1000</f>
        <v>0</v>
      </c>
      <c r="G86" s="13"/>
      <c r="H86" s="4">
        <f>SUMIFS('FCPIS F'!$S$228:$S$278,'FCPIS F'!$B$228:$B$278,'PIS F'!$A86,'FCPIS F'!$C$228:$C$278,'PIS F'!$B86)*-1000</f>
        <v>0</v>
      </c>
      <c r="I86" s="13"/>
      <c r="J86" s="4">
        <f>SUMIFS('FCPIS F'!$S$395:$S$416,'FCPIS F'!$B$395:$B$416,'PIS F'!$A86,'FCPIS F'!$C$395:$C$416,'PIS F'!$B86)*1000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F'!$R$281:$R$408,'FCPIS F'!$B$281:$B$408,'PIS F'!$A86,'FCPIS F'!$C$281:$C$408,'PIS F'!$B86)*-1000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F'!$R$6:$R$135,'FCPIS F'!$B$6:$B$135,'PIS F'!$A86,'FCPIS F'!$C$6:$C$135,'PIS F'!$B86)*1000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F'!$A87,'FCPIS F'!$C$6:$C$135,'PIS F'!$B87)*1000</f>
        <v>17704470.390000001</v>
      </c>
      <c r="E87" s="13"/>
      <c r="F87" s="4">
        <f>SUMIFS('FCPIS F'!$S$138:$S$225,'FCPIS F'!$B$138:$B$225,'PIS F'!$A87,'FCPIS F'!$C$138:$C$225,'PIS F'!$B87)*1000</f>
        <v>46997.569999999905</v>
      </c>
      <c r="G87" s="13"/>
      <c r="H87" s="4">
        <f>SUMIFS('FCPIS F'!$S$228:$S$278,'FCPIS F'!$B$228:$B$278,'PIS F'!$A87,'FCPIS F'!$C$228:$C$278,'PIS F'!$B87)*-1000</f>
        <v>0</v>
      </c>
      <c r="I87" s="13"/>
      <c r="J87" s="4">
        <f>SUMIFS('FCPIS F'!$S$395:$S$416,'FCPIS F'!$B$395:$B$416,'PIS F'!$A87,'FCPIS F'!$C$395:$C$416,'PIS F'!$B87)*1000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9">
        <f>SUMIFS('FCPIS F'!$R$281:$R$408,'FCPIS F'!$B$281:$B$408,'PIS F'!$A87,'FCPIS F'!$C$281:$C$408,'PIS F'!$B87)*-1000</f>
        <v>-3087988.6685976158</v>
      </c>
      <c r="Q87" s="2"/>
      <c r="R87" s="9">
        <f t="shared" si="38"/>
        <v>14663479.291402385</v>
      </c>
      <c r="T87" s="9">
        <f t="shared" si="41"/>
        <v>3199.3672829255097</v>
      </c>
      <c r="U87" s="13"/>
      <c r="V87" s="9">
        <f t="shared" si="39"/>
        <v>-3084789.3013146902</v>
      </c>
      <c r="W87" s="4">
        <f>SUMIFS('FCPIS F'!$R$6:$R$135,'FCPIS F'!$B$6:$B$135,'PIS F'!$A87,'FCPIS F'!$C$6:$C$135,'PIS F'!$B87)*1000</f>
        <v>17751467.960000001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F'!$A88,'FCPIS F'!$C$6:$C$135,'PIS F'!$B88)*1000</f>
        <v>237589447.03999999</v>
      </c>
      <c r="E88" s="13"/>
      <c r="F88" s="4">
        <f>SUMIFS('FCPIS F'!$S$138:$S$225,'FCPIS F'!$B$138:$B$225,'PIS F'!$A88,'FCPIS F'!$C$138:$C$225,'PIS F'!$B88)*1000</f>
        <v>19547454.91</v>
      </c>
      <c r="G88" s="13"/>
      <c r="H88" s="4">
        <f>SUMIFS('FCPIS F'!$S$228:$S$278,'FCPIS F'!$B$228:$B$278,'PIS F'!$A88,'FCPIS F'!$C$228:$C$278,'PIS F'!$B88)*-1000</f>
        <v>-1960915.1199999992</v>
      </c>
      <c r="I88" s="13"/>
      <c r="J88" s="4">
        <f>SUMIFS('FCPIS F'!$S$395:$S$416,'FCPIS F'!$B$395:$B$416,'PIS F'!$A88,'FCPIS F'!$C$395:$C$416,'PIS F'!$B88)*1000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9">
        <f>SUMIFS('FCPIS F'!$R$281:$R$408,'FCPIS F'!$B$281:$B$408,'PIS F'!$A88,'FCPIS F'!$C$281:$C$408,'PIS F'!$B88)*-1000</f>
        <v>-71677647.374801829</v>
      </c>
      <c r="Q88" s="2"/>
      <c r="R88" s="9">
        <f t="shared" si="38"/>
        <v>183498339.45519817</v>
      </c>
      <c r="T88" s="9">
        <f t="shared" si="41"/>
        <v>1330696.1977718365</v>
      </c>
      <c r="U88" s="13"/>
      <c r="V88" s="9">
        <f t="shared" si="39"/>
        <v>-70346951.177029997</v>
      </c>
      <c r="W88" s="4">
        <f>SUMIFS('FCPIS F'!$R$6:$R$135,'FCPIS F'!$B$6:$B$135,'PIS F'!$A88,'FCPIS F'!$C$6:$C$135,'PIS F'!$B88)*1000</f>
        <v>255175986.82999989</v>
      </c>
      <c r="X88" s="4">
        <f t="shared" si="40"/>
        <v>0</v>
      </c>
    </row>
    <row r="89" spans="1:24">
      <c r="A89" s="6" t="s">
        <v>923</v>
      </c>
      <c r="C89" s="129" t="s">
        <v>69</v>
      </c>
      <c r="D89" s="4">
        <f>SUMIFS('FCPIS F'!$F$6:$F$135,'FCPIS F'!$B$6:$B$135,'PIS F'!$A89,'FCPIS F'!$C$6:$C$135,'PIS F'!$B89)*1000</f>
        <v>0</v>
      </c>
      <c r="E89" s="13"/>
      <c r="F89" s="4">
        <f>SUMIFS('FCPIS F'!$S$138:$S$225,'FCPIS F'!$B$138:$B$225,'PIS F'!$A89,'FCPIS F'!$C$138:$C$225,'PIS F'!$B89)*1000</f>
        <v>0</v>
      </c>
      <c r="G89" s="13"/>
      <c r="H89" s="4">
        <f>SUMIFS('FCPIS F'!$S$228:$S$278,'FCPIS F'!$B$228:$B$278,'PIS F'!$A89,'FCPIS F'!$C$228:$C$278,'PIS F'!$B89)*-1000</f>
        <v>0</v>
      </c>
      <c r="I89" s="13"/>
      <c r="J89" s="4">
        <f>SUMIFS('FCPIS F'!$S$395:$S$416,'FCPIS F'!$B$395:$B$416,'PIS F'!$A89,'FCPIS F'!$C$395:$C$416,'PIS F'!$B89)*1000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F'!$R$281:$R$408,'FCPIS F'!$B$281:$B$408,'PIS F'!$A89,'FCPIS F'!$C$281:$C$408,'PIS F'!$B89)*-1000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F'!$R$6:$R$135,'FCPIS F'!$B$6:$B$135,'PIS F'!$A89,'FCPIS F'!$C$6:$C$135,'PIS F'!$B89)*1000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F'!$A90,'FCPIS F'!$C$6:$C$135,'PIS F'!$B90)*1000</f>
        <v>43849203.200000003</v>
      </c>
      <c r="E90" s="13"/>
      <c r="F90" s="4">
        <f>SUMIFS('FCPIS F'!$S$138:$S$225,'FCPIS F'!$B$138:$B$225,'PIS F'!$A90,'FCPIS F'!$C$138:$C$225,'PIS F'!$B90)*1000</f>
        <v>0</v>
      </c>
      <c r="G90" s="13"/>
      <c r="H90" s="4">
        <f>SUMIFS('FCPIS F'!$S$228:$S$278,'FCPIS F'!$B$228:$B$278,'PIS F'!$A90,'FCPIS F'!$C$228:$C$278,'PIS F'!$B90)*-1000</f>
        <v>0</v>
      </c>
      <c r="I90" s="13"/>
      <c r="J90" s="4">
        <f>SUMIFS('FCPIS F'!$S$395:$S$416,'FCPIS F'!$B$395:$B$416,'PIS F'!$A90,'FCPIS F'!$C$395:$C$416,'PIS F'!$B90)*1000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9">
        <f>SUMIFS('FCPIS F'!$R$281:$R$408,'FCPIS F'!$B$281:$B$408,'PIS F'!$A90,'FCPIS F'!$C$281:$C$408,'PIS F'!$B90)*-1000</f>
        <v>-27770885.668017711</v>
      </c>
      <c r="Q90" s="2"/>
      <c r="R90" s="9">
        <f t="shared" si="38"/>
        <v>16078317.531982291</v>
      </c>
      <c r="T90" s="9">
        <f t="shared" si="41"/>
        <v>0</v>
      </c>
      <c r="U90" s="13"/>
      <c r="V90" s="9">
        <f t="shared" si="39"/>
        <v>-27770885.668017711</v>
      </c>
      <c r="W90" s="4">
        <f>SUMIFS('FCPIS F'!$R$6:$R$135,'FCPIS F'!$B$6:$B$135,'PIS F'!$A90,'FCPIS F'!$C$6:$C$135,'PIS F'!$B90)*1000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F'!$A91,'FCPIS F'!$C$6:$C$135,'PIS F'!$B91)*1000</f>
        <v>102772233.67</v>
      </c>
      <c r="E91" s="13"/>
      <c r="F91" s="4">
        <f>SUMIFS('FCPIS F'!$S$138:$S$225,'FCPIS F'!$B$138:$B$225,'PIS F'!$A91,'FCPIS F'!$C$138:$C$225,'PIS F'!$B91)*1000</f>
        <v>7638083.3700000001</v>
      </c>
      <c r="G91" s="13"/>
      <c r="H91" s="4">
        <f>SUMIFS('FCPIS F'!$S$228:$S$278,'FCPIS F'!$B$228:$B$278,'PIS F'!$A91,'FCPIS F'!$C$228:$C$278,'PIS F'!$B91)*-1000</f>
        <v>0</v>
      </c>
      <c r="I91" s="13"/>
      <c r="J91" s="4">
        <f>SUMIFS('FCPIS F'!$S$395:$S$416,'FCPIS F'!$B$395:$B$416,'PIS F'!$A91,'FCPIS F'!$C$395:$C$416,'PIS F'!$B91)*1000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9">
        <f>SUMIFS('FCPIS F'!$R$281:$R$408,'FCPIS F'!$B$281:$B$408,'PIS F'!$A91,'FCPIS F'!$C$281:$C$408,'PIS F'!$B91)*-1000</f>
        <v>-32041028.671343897</v>
      </c>
      <c r="Q91" s="2"/>
      <c r="R91" s="9">
        <f t="shared" si="38"/>
        <v>78369288.368656114</v>
      </c>
      <c r="T91" s="9">
        <f t="shared" si="41"/>
        <v>519963.77766415308</v>
      </c>
      <c r="U91" s="13"/>
      <c r="V91" s="9">
        <f t="shared" si="39"/>
        <v>-31521064.893679742</v>
      </c>
      <c r="W91" s="4">
        <f>SUMIFS('FCPIS F'!$R$6:$R$135,'FCPIS F'!$B$6:$B$135,'PIS F'!$A91,'FCPIS F'!$C$6:$C$135,'PIS F'!$B91)*1000</f>
        <v>110410317.03999999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F'!$A92,'FCPIS F'!$C$6:$C$135,'PIS F'!$B92)*1000</f>
        <v>61404207.490000002</v>
      </c>
      <c r="E92" s="13"/>
      <c r="F92" s="4">
        <f>SUMIFS('FCPIS F'!$S$138:$S$225,'FCPIS F'!$B$138:$B$225,'PIS F'!$A92,'FCPIS F'!$C$138:$C$225,'PIS F'!$B92)*1000</f>
        <v>1217202.1699999897</v>
      </c>
      <c r="G92" s="13"/>
      <c r="H92" s="4">
        <f>SUMIFS('FCPIS F'!$S$228:$S$278,'FCPIS F'!$B$228:$B$278,'PIS F'!$A92,'FCPIS F'!$C$228:$C$278,'PIS F'!$B92)*-1000</f>
        <v>0</v>
      </c>
      <c r="I92" s="13"/>
      <c r="J92" s="4">
        <f>SUMIFS('FCPIS F'!$S$395:$S$416,'FCPIS F'!$B$395:$B$416,'PIS F'!$A92,'FCPIS F'!$C$395:$C$416,'PIS F'!$B92)*1000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9">
        <f>SUMIFS('FCPIS F'!$R$281:$R$408,'FCPIS F'!$B$281:$B$408,'PIS F'!$A92,'FCPIS F'!$C$281:$C$408,'PIS F'!$B92)*-1000</f>
        <v>-32864549.637059987</v>
      </c>
      <c r="Q92" s="2"/>
      <c r="R92" s="9">
        <f t="shared" si="38"/>
        <v>29756860.022940002</v>
      </c>
      <c r="T92" s="9">
        <f t="shared" si="41"/>
        <v>82861.237281074515</v>
      </c>
      <c r="U92" s="13"/>
      <c r="V92" s="9">
        <f t="shared" si="39"/>
        <v>-32781688.399778914</v>
      </c>
      <c r="W92" s="4">
        <f>SUMIFS('FCPIS F'!$R$6:$R$135,'FCPIS F'!$B$6:$B$135,'PIS F'!$A92,'FCPIS F'!$C$6:$C$135,'PIS F'!$B92)*1000</f>
        <v>62621409.659999996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F'!$A93,'FCPIS F'!$C$6:$C$135,'PIS F'!$B93)*1000</f>
        <v>1804058.6900000002</v>
      </c>
      <c r="E93" s="13"/>
      <c r="F93" s="4">
        <f>SUMIFS('FCPIS F'!$S$138:$S$225,'FCPIS F'!$B$138:$B$225,'PIS F'!$A93,'FCPIS F'!$C$138:$C$225,'PIS F'!$B93)*1000</f>
        <v>0</v>
      </c>
      <c r="G93" s="13"/>
      <c r="H93" s="4">
        <f>SUMIFS('FCPIS F'!$S$228:$S$278,'FCPIS F'!$B$228:$B$278,'PIS F'!$A93,'FCPIS F'!$C$228:$C$278,'PIS F'!$B93)*-1000</f>
        <v>0</v>
      </c>
      <c r="I93" s="13"/>
      <c r="J93" s="4">
        <f>SUMIFS('FCPIS F'!$S$395:$S$416,'FCPIS F'!$B$395:$B$416,'PIS F'!$A93,'FCPIS F'!$C$395:$C$416,'PIS F'!$B93)*1000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9">
        <f>SUMIFS('FCPIS F'!$R$281:$R$408,'FCPIS F'!$B$281:$B$408,'PIS F'!$A93,'FCPIS F'!$C$281:$C$408,'PIS F'!$B93)*-1000</f>
        <v>-810183.28906159999</v>
      </c>
      <c r="Q93" s="2"/>
      <c r="R93" s="9">
        <f t="shared" si="38"/>
        <v>993875.40093840018</v>
      </c>
      <c r="T93" s="9">
        <f t="shared" si="41"/>
        <v>0</v>
      </c>
      <c r="U93" s="13"/>
      <c r="V93" s="9">
        <f t="shared" si="39"/>
        <v>-810183.28906159999</v>
      </c>
      <c r="W93" s="4">
        <f>SUMIFS('FCPIS F'!$R$6:$R$135,'FCPIS F'!$B$6:$B$135,'PIS F'!$A93,'FCPIS F'!$C$6:$C$135,'PIS F'!$B93)*1000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F'!$A94,'FCPIS F'!$C$6:$C$135,'PIS F'!$B94)*1000</f>
        <v>7529169.8200000003</v>
      </c>
      <c r="E94" s="13"/>
      <c r="F94" s="4">
        <f>SUMIFS('FCPIS F'!$S$138:$S$225,'FCPIS F'!$B$138:$B$225,'PIS F'!$A94,'FCPIS F'!$C$138:$C$225,'PIS F'!$B94)*1000</f>
        <v>0</v>
      </c>
      <c r="G94" s="13"/>
      <c r="H94" s="4">
        <f>SUMIFS('FCPIS F'!$S$228:$S$278,'FCPIS F'!$B$228:$B$278,'PIS F'!$A94,'FCPIS F'!$C$228:$C$278,'PIS F'!$B94)*-1000</f>
        <v>0</v>
      </c>
      <c r="I94" s="13"/>
      <c r="J94" s="4">
        <f>SUMIFS('FCPIS F'!$S$395:$S$416,'FCPIS F'!$B$395:$B$416,'PIS F'!$A94,'FCPIS F'!$C$395:$C$416,'PIS F'!$B94)*1000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9">
        <f>SUMIFS('FCPIS F'!$R$281:$R$408,'FCPIS F'!$B$281:$B$408,'PIS F'!$A94,'FCPIS F'!$C$281:$C$408,'PIS F'!$B94)*-1000</f>
        <v>-3861309.2156990003</v>
      </c>
      <c r="Q94" s="2"/>
      <c r="R94" s="9">
        <f t="shared" si="38"/>
        <v>3667860.604301</v>
      </c>
      <c r="T94" s="9">
        <f t="shared" si="41"/>
        <v>0</v>
      </c>
      <c r="U94" s="13"/>
      <c r="V94" s="9">
        <f t="shared" si="39"/>
        <v>-3861309.2156990003</v>
      </c>
      <c r="W94" s="4">
        <f>SUMIFS('FCPIS F'!$R$6:$R$135,'FCPIS F'!$B$6:$B$135,'PIS F'!$A94,'FCPIS F'!$C$6:$C$135,'PIS F'!$B94)*1000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F'!$F$6:$F$135,'FCPIS F'!$B$6:$B$135,'PIS F'!$A95,'FCPIS F'!$C$6:$C$135,'PIS F'!$B95)*1000</f>
        <v>0</v>
      </c>
      <c r="E95" s="13"/>
      <c r="F95" s="4">
        <f>SUMIFS('FCPIS F'!$S$138:$S$225,'FCPIS F'!$B$138:$B$225,'PIS F'!$A95,'FCPIS F'!$C$138:$C$225,'PIS F'!$B95)*1000</f>
        <v>0</v>
      </c>
      <c r="G95" s="13"/>
      <c r="H95" s="4">
        <f>SUMIFS('FCPIS F'!$S$228:$S$278,'FCPIS F'!$B$228:$B$278,'PIS F'!$A95,'FCPIS F'!$C$228:$C$278,'PIS F'!$B95)*-1000</f>
        <v>0</v>
      </c>
      <c r="I95" s="13"/>
      <c r="J95" s="4">
        <f>SUMIFS('FCPIS F'!$S$395:$S$416,'FCPIS F'!$B$395:$B$416,'PIS F'!$A95,'FCPIS F'!$C$395:$C$416,'PIS F'!$B95)*1000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F'!$R$281:$R$408,'FCPIS F'!$B$281:$B$408,'PIS F'!$A95,'FCPIS F'!$C$281:$C$408,'PIS F'!$B95)*-1000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F'!$R$6:$R$135,'FCPIS F'!$B$6:$B$135,'PIS F'!$A95,'FCPIS F'!$C$6:$C$135,'PIS F'!$B95)*1000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F'!$A96,'FCPIS F'!$C$6:$C$135,'PIS F'!$B96)*1000</f>
        <v>195962.44999999998</v>
      </c>
      <c r="E96" s="13"/>
      <c r="F96" s="4">
        <f>SUMIFS('FCPIS F'!$S$138:$S$225,'FCPIS F'!$B$138:$B$225,'PIS F'!$A96,'FCPIS F'!$C$138:$C$225,'PIS F'!$B96)*1000</f>
        <v>0</v>
      </c>
      <c r="G96" s="13"/>
      <c r="H96" s="4">
        <f>SUMIFS('FCPIS F'!$S$228:$S$278,'FCPIS F'!$B$228:$B$278,'PIS F'!$A96,'FCPIS F'!$C$228:$C$278,'PIS F'!$B96)*-1000</f>
        <v>0</v>
      </c>
      <c r="I96" s="13"/>
      <c r="J96" s="4">
        <f>SUMIFS('FCPIS F'!$S$395:$S$416,'FCPIS F'!$B$395:$B$416,'PIS F'!$A96,'FCPIS F'!$C$395:$C$416,'PIS F'!$B96)*1000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9">
        <f>SUMIFS('FCPIS F'!$R$281:$R$408,'FCPIS F'!$B$281:$B$408,'PIS F'!$A96,'FCPIS F'!$C$281:$C$408,'PIS F'!$B96)*-1000</f>
        <v>-51576.613023448903</v>
      </c>
      <c r="Q96" s="2"/>
      <c r="R96" s="9">
        <f t="shared" si="38"/>
        <v>144385.83697655107</v>
      </c>
      <c r="T96" s="9">
        <f t="shared" si="41"/>
        <v>0</v>
      </c>
      <c r="U96" s="13"/>
      <c r="V96" s="9">
        <f t="shared" si="39"/>
        <v>-51576.613023448903</v>
      </c>
      <c r="W96" s="4">
        <f>SUMIFS('FCPIS F'!$R$6:$R$135,'FCPIS F'!$B$6:$B$135,'PIS F'!$A96,'FCPIS F'!$C$6:$C$135,'PIS F'!$B96)*1000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-175598017.16674709</v>
      </c>
      <c r="Q97" s="129"/>
      <c r="R97" s="784">
        <f>SUM(R85:R96)</f>
        <v>334883720.50325286</v>
      </c>
      <c r="S97" s="129"/>
      <c r="T97" s="784">
        <f>'FC CWIP &amp; RWIP F'!P31*1000</f>
        <v>1936720.5799999898</v>
      </c>
      <c r="U97" s="2"/>
      <c r="V97" s="784">
        <f t="shared" si="39"/>
        <v>-173661296.58674711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5.7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-1932871738.6669083</v>
      </c>
      <c r="Q100" s="132"/>
      <c r="R100" s="788">
        <f>R97+R82+R67+R55+R50+R39+R29</f>
        <v>4317721353.7430897</v>
      </c>
      <c r="T100" s="788">
        <f>T97+T82+T67+T55+T50+T39+T29</f>
        <v>5028626.1799999913</v>
      </c>
      <c r="V100" s="788">
        <f>V97+V82+V67+V55+V50+V39+V29</f>
        <v>-1927843112.4869084</v>
      </c>
      <c r="W100" s="176"/>
      <c r="X100" s="176"/>
    </row>
    <row r="101" spans="1:24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802">
        <f>'FC CWIP &amp; RWIP F'!P32*1000</f>
        <v>5028626.1799999923</v>
      </c>
      <c r="W101" s="176"/>
      <c r="X101" s="176"/>
    </row>
    <row r="102" spans="1:24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F'!$A110,'FCPIS F'!$C$6:$C$135,'PIS F'!$B110)*1000*$A$4</f>
        <v>1079432.1152999999</v>
      </c>
      <c r="E110" s="13"/>
      <c r="F110" s="4">
        <f>SUMIFS('FCPIS F'!$S$138:$S$225,'FCPIS F'!$B$138:$B$225,'PIS F'!$A110,'FCPIS F'!$C$138:$C$225,'PIS F'!$B110)*1000*$A$4</f>
        <v>0</v>
      </c>
      <c r="G110" s="13"/>
      <c r="H110" s="4">
        <f>SUMIFS('FCPIS F'!$S$228:$S$278,'FCPIS F'!$B$228:$B$278,'PIS F'!$A110,'FCPIS F'!$C$228:$C$278,'PIS F'!$B110)*-1000*$A$4</f>
        <v>0</v>
      </c>
      <c r="I110" s="13"/>
      <c r="J110" s="4">
        <f>SUMIFS('FCPIS F'!$S$395:$S$416,'FCPIS F'!$B$395:$B$416,'PIS F'!$A110,'FCPIS F'!$C$395:$C$416,'PIS F'!$B110)*1000*$A$4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9">
        <f>SUMIFS('FCPIS F'!$R$281:$R$408,'FCPIS F'!$B$281:$B$408,'PIS F'!$A110,'FCPIS F'!$C$281:$C$408,'PIS F'!$B110)*-1000*$A$4</f>
        <v>0</v>
      </c>
      <c r="Q110" s="2"/>
      <c r="R110" s="9">
        <f t="shared" ref="R110:R139" si="44">SUM(N110:P110)</f>
        <v>1079432.1152999999</v>
      </c>
      <c r="S110" s="6"/>
      <c r="T110" s="9">
        <f>F110/F$140*T$140</f>
        <v>0</v>
      </c>
      <c r="U110" s="13"/>
      <c r="V110" s="9">
        <f t="shared" ref="V110:V140" si="45">P110+T110</f>
        <v>0</v>
      </c>
      <c r="W110" s="4">
        <f>SUMIFS('FCPIS F'!$R$6:$R$135,'FCPIS F'!$B$6:$B$135,'PIS F'!$A110,'FCPIS F'!$C$6:$C$135,'PIS F'!$B110)*1000*$A$4</f>
        <v>1079432.1152999999</v>
      </c>
      <c r="X110" s="4">
        <f t="shared" ref="X110:X139" si="46"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F'!$F$6:$F$135,'FCPIS F'!$B$6:$B$135,'PIS F'!$A111,'FCPIS F'!$C$6:$C$135,'PIS F'!$B111)*1000*$A$4</f>
        <v>0</v>
      </c>
      <c r="E111" s="130"/>
      <c r="F111" s="130">
        <f>SUMIFS('FCPIS F'!$S$138:$S$225,'FCPIS F'!$B$138:$B$225,'PIS F'!$A111,'FCPIS F'!$C$138:$C$225,'PIS F'!$B111)*1000*$A$4</f>
        <v>0</v>
      </c>
      <c r="G111" s="130"/>
      <c r="H111" s="130">
        <f>SUMIFS('FCPIS F'!$S$228:$S$278,'FCPIS F'!$B$228:$B$278,'PIS F'!$A111,'FCPIS F'!$C$228:$C$278,'PIS F'!$B111)*-1000*$A$4</f>
        <v>0</v>
      </c>
      <c r="I111" s="130"/>
      <c r="J111" s="130">
        <f>SUMIFS('FCPIS F'!$S$395:$S$416,'FCPIS F'!$B$395:$B$416,'PIS F'!$A111,'FCPIS F'!$C$395:$C$416,'PIS F'!$B111)*1000*$A$4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786">
        <f>SUMIFS('FCPIS F'!$R$281:$R$408,'FCPIS F'!$B$281:$B$408,'PIS F'!$A111,'FCPIS F'!$C$281:$C$408,'PIS F'!$B111)*-1000*$A$4</f>
        <v>0</v>
      </c>
      <c r="Q111" s="129"/>
      <c r="R111" s="786">
        <f t="shared" si="44"/>
        <v>0</v>
      </c>
      <c r="T111" s="9">
        <f t="shared" ref="T111:T139" si="48">F111/F$140*T$140</f>
        <v>0</v>
      </c>
      <c r="V111" s="9">
        <f t="shared" si="45"/>
        <v>0</v>
      </c>
      <c r="W111" s="176">
        <f>SUMIFS('FCPIS F'!$R$6:$R$135,'FCPIS F'!$B$6:$B$135,'PIS F'!$A111,'FCPIS F'!$C$6:$C$135,'PIS F'!$B111)*1000*$A$4</f>
        <v>0</v>
      </c>
      <c r="X111" s="176">
        <f t="shared" si="46"/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F'!$A112,'FCPIS F'!$C$6:$C$135,'PIS F'!$B112)*1000*$A$4</f>
        <v>59185822.660199925</v>
      </c>
      <c r="E112" s="130"/>
      <c r="F112" s="130">
        <f>SUMIFS('FCPIS F'!$S$138:$S$225,'FCPIS F'!$B$138:$B$225,'PIS F'!$A112,'FCPIS F'!$C$138:$C$225,'PIS F'!$B112)*1000*$A$4</f>
        <v>4268621.692499998</v>
      </c>
      <c r="G112" s="130"/>
      <c r="H112" s="130">
        <f>SUMIFS('FCPIS F'!$S$228:$S$278,'FCPIS F'!$B$228:$B$278,'PIS F'!$A112,'FCPIS F'!$C$228:$C$278,'PIS F'!$B112)*-1000*$A$4</f>
        <v>0</v>
      </c>
      <c r="I112" s="130"/>
      <c r="J112" s="130">
        <f>SUMIFS('FCPIS F'!$S$395:$S$416,'FCPIS F'!$B$395:$B$416,'PIS F'!$A112,'FCPIS F'!$C$395:$C$416,'PIS F'!$B112)*1000*$A$4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786">
        <f>SUMIFS('FCPIS F'!$R$281:$R$408,'FCPIS F'!$B$281:$B$408,'PIS F'!$A112,'FCPIS F'!$C$281:$C$408,'PIS F'!$B112)*-1000*$A$4</f>
        <v>-27993641.347726293</v>
      </c>
      <c r="Q112" s="129"/>
      <c r="R112" s="786">
        <f t="shared" si="44"/>
        <v>35460803.004973628</v>
      </c>
      <c r="T112" s="9">
        <f t="shared" si="48"/>
        <v>2.4439983982295443E-12</v>
      </c>
      <c r="V112" s="9">
        <f t="shared" si="45"/>
        <v>-27993641.347726293</v>
      </c>
      <c r="W112" s="176">
        <f>SUMIFS('FCPIS F'!$R$6:$R$135,'FCPIS F'!$B$6:$B$135,'PIS F'!$A112,'FCPIS F'!$C$6:$C$135,'PIS F'!$B112)*1000*$A$4</f>
        <v>63454444.352699935</v>
      </c>
      <c r="X112" s="176">
        <f t="shared" si="46"/>
        <v>0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F'!$F$6:$F$135,'FCPIS F'!$B$6:$B$135,'PIS F'!$A113,'FCPIS F'!$C$6:$C$135,'PIS F'!$B113)*1000*$A$4</f>
        <v>0</v>
      </c>
      <c r="E113" s="130"/>
      <c r="F113" s="130">
        <f>SUMIFS('FCPIS F'!$S$138:$S$225,'FCPIS F'!$B$138:$B$225,'PIS F'!$A113,'FCPIS F'!$C$138:$C$225,'PIS F'!$B113)*1000*$A$4</f>
        <v>0</v>
      </c>
      <c r="G113" s="130"/>
      <c r="H113" s="130">
        <f>SUMIFS('FCPIS F'!$S$228:$S$278,'FCPIS F'!$B$228:$B$278,'PIS F'!$A113,'FCPIS F'!$C$228:$C$278,'PIS F'!$B113)*-1000*$A$4</f>
        <v>0</v>
      </c>
      <c r="I113" s="130"/>
      <c r="J113" s="130">
        <f>SUMIFS('FCPIS F'!$S$395:$S$416,'FCPIS F'!$B$395:$B$416,'PIS F'!$A113,'FCPIS F'!$C$395:$C$416,'PIS F'!$B113)*1000*$A$4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786">
        <f>SUMIFS('FCPIS F'!$R$281:$R$408,'FCPIS F'!$B$281:$B$408,'PIS F'!$A113,'FCPIS F'!$C$281:$C$408,'PIS F'!$B113)*-1000*$A$4</f>
        <v>0</v>
      </c>
      <c r="Q113" s="129"/>
      <c r="R113" s="786">
        <f t="shared" si="44"/>
        <v>0</v>
      </c>
      <c r="T113" s="9">
        <f t="shared" si="48"/>
        <v>0</v>
      </c>
      <c r="V113" s="9">
        <f t="shared" si="45"/>
        <v>0</v>
      </c>
      <c r="W113" s="176">
        <f>SUMIFS('FCPIS F'!$R$6:$R$135,'FCPIS F'!$B$6:$B$135,'PIS F'!$A113,'FCPIS F'!$C$6:$C$135,'PIS F'!$B113)*1000*$A$4</f>
        <v>0</v>
      </c>
      <c r="X113" s="176">
        <f t="shared" si="46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F'!$F$6:$F$135,'FCPIS F'!$B$6:$B$135,'PIS F'!$A114,'FCPIS F'!$C$6:$C$135,'PIS F'!$B114)*1000*$A$4</f>
        <v>0</v>
      </c>
      <c r="E114" s="130"/>
      <c r="F114" s="130">
        <f>SUMIFS('FCPIS F'!$S$138:$S$225,'FCPIS F'!$B$138:$B$225,'PIS F'!$A114,'FCPIS F'!$C$138:$C$225,'PIS F'!$B114)*1000*$A$4</f>
        <v>0</v>
      </c>
      <c r="G114" s="130"/>
      <c r="H114" s="130">
        <f>SUMIFS('FCPIS F'!$S$228:$S$278,'FCPIS F'!$B$228:$B$278,'PIS F'!$A114,'FCPIS F'!$C$228:$C$278,'PIS F'!$B114)*-1000*$A$4</f>
        <v>0</v>
      </c>
      <c r="I114" s="130"/>
      <c r="J114" s="130">
        <f>SUMIFS('FCPIS F'!$S$395:$S$416,'FCPIS F'!$B$395:$B$416,'PIS F'!$A114,'FCPIS F'!$C$395:$C$416,'PIS F'!$B114)*1000*$A$4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786">
        <f>SUMIFS('FCPIS F'!$R$281:$R$408,'FCPIS F'!$B$281:$B$408,'PIS F'!$A114,'FCPIS F'!$C$281:$C$408,'PIS F'!$B114)*-1000*$A$4</f>
        <v>0</v>
      </c>
      <c r="Q114" s="129"/>
      <c r="R114" s="786">
        <f t="shared" si="44"/>
        <v>0</v>
      </c>
      <c r="T114" s="9">
        <f t="shared" si="48"/>
        <v>0</v>
      </c>
      <c r="V114" s="9">
        <f t="shared" si="45"/>
        <v>0</v>
      </c>
      <c r="W114" s="176">
        <f>SUMIFS('FCPIS F'!$R$6:$R$135,'FCPIS F'!$B$6:$B$135,'PIS F'!$A114,'FCPIS F'!$C$6:$C$135,'PIS F'!$B114)*1000*$A$4</f>
        <v>0</v>
      </c>
      <c r="X114" s="176">
        <f t="shared" si="46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F'!$F$6:$F$135,'FCPIS F'!$B$6:$B$135,'PIS F'!$A115,'FCPIS F'!$C$6:$C$135,'PIS F'!$B115)*1000*$A$4</f>
        <v>0</v>
      </c>
      <c r="E115" s="130"/>
      <c r="F115" s="130">
        <f>SUMIFS('FCPIS F'!$S$138:$S$225,'FCPIS F'!$B$138:$B$225,'PIS F'!$A115,'FCPIS F'!$C$138:$C$225,'PIS F'!$B115)*1000*$A$4</f>
        <v>0</v>
      </c>
      <c r="G115" s="130"/>
      <c r="H115" s="130">
        <f>SUMIFS('FCPIS F'!$S$228:$S$278,'FCPIS F'!$B$228:$B$278,'PIS F'!$A115,'FCPIS F'!$C$228:$C$278,'PIS F'!$B115)*-1000*$A$4</f>
        <v>0</v>
      </c>
      <c r="I115" s="130"/>
      <c r="J115" s="130">
        <f>SUMIFS('FCPIS F'!$S$395:$S$416,'FCPIS F'!$B$395:$B$416,'PIS F'!$A115,'FCPIS F'!$C$395:$C$416,'PIS F'!$B115)*1000*$A$4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786">
        <f>SUMIFS('FCPIS F'!$R$281:$R$408,'FCPIS F'!$B$281:$B$408,'PIS F'!$A115,'FCPIS F'!$C$281:$C$408,'PIS F'!$B115)*-1000*$A$4</f>
        <v>0</v>
      </c>
      <c r="Q115" s="129"/>
      <c r="R115" s="786">
        <f t="shared" si="44"/>
        <v>0</v>
      </c>
      <c r="T115" s="9">
        <f t="shared" si="48"/>
        <v>0</v>
      </c>
      <c r="V115" s="9">
        <f t="shared" si="45"/>
        <v>0</v>
      </c>
      <c r="W115" s="176">
        <f>SUMIFS('FCPIS F'!$R$6:$R$135,'FCPIS F'!$B$6:$B$135,'PIS F'!$A115,'FCPIS F'!$C$6:$C$135,'PIS F'!$B115)*1000*$A$4</f>
        <v>0</v>
      </c>
      <c r="X115" s="176">
        <f t="shared" si="46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F'!$F$6:$F$135,'FCPIS F'!$B$6:$B$135,'PIS F'!$A116,'FCPIS F'!$C$6:$C$135,'PIS F'!$B116)*1000*$A$4</f>
        <v>0</v>
      </c>
      <c r="E116" s="130"/>
      <c r="F116" s="130">
        <f>SUMIFS('FCPIS F'!$S$138:$S$225,'FCPIS F'!$B$138:$B$225,'PIS F'!$A116,'FCPIS F'!$C$138:$C$225,'PIS F'!$B116)*1000*$A$4</f>
        <v>0</v>
      </c>
      <c r="G116" s="130"/>
      <c r="H116" s="130">
        <f>SUMIFS('FCPIS F'!$S$228:$S$278,'FCPIS F'!$B$228:$B$278,'PIS F'!$A116,'FCPIS F'!$C$228:$C$278,'PIS F'!$B116)*-1000*$A$4</f>
        <v>0</v>
      </c>
      <c r="I116" s="130"/>
      <c r="J116" s="130">
        <f>SUMIFS('FCPIS F'!$S$395:$S$416,'FCPIS F'!$B$395:$B$416,'PIS F'!$A116,'FCPIS F'!$C$395:$C$416,'PIS F'!$B116)*1000*$A$4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786">
        <f>SUMIFS('FCPIS F'!$R$281:$R$408,'FCPIS F'!$B$281:$B$408,'PIS F'!$A116,'FCPIS F'!$C$281:$C$408,'PIS F'!$B116)*-1000*$A$4</f>
        <v>0</v>
      </c>
      <c r="Q116" s="129"/>
      <c r="R116" s="786">
        <f t="shared" si="44"/>
        <v>0</v>
      </c>
      <c r="T116" s="9">
        <f t="shared" si="48"/>
        <v>0</v>
      </c>
      <c r="V116" s="9">
        <f t="shared" si="45"/>
        <v>0</v>
      </c>
      <c r="W116" s="176">
        <f>SUMIFS('FCPIS F'!$R$6:$R$135,'FCPIS F'!$B$6:$B$135,'PIS F'!$A116,'FCPIS F'!$C$6:$C$135,'PIS F'!$B116)*1000*$A$4</f>
        <v>0</v>
      </c>
      <c r="X116" s="176">
        <f t="shared" si="46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F'!$A117,'FCPIS F'!$C$6:$C$135,'PIS F'!$B117)*1000*$A$4</f>
        <v>29951905.068299998</v>
      </c>
      <c r="E117" s="130"/>
      <c r="F117" s="130">
        <f>SUMIFS('FCPIS F'!$S$138:$S$225,'FCPIS F'!$B$138:$B$225,'PIS F'!$A117,'FCPIS F'!$C$138:$C$225,'PIS F'!$B117)*1000*$A$4</f>
        <v>4484194.7561999997</v>
      </c>
      <c r="G117" s="130"/>
      <c r="H117" s="130">
        <f>SUMIFS('FCPIS F'!$S$228:$S$278,'FCPIS F'!$B$228:$B$278,'PIS F'!$A117,'FCPIS F'!$C$228:$C$278,'PIS F'!$B117)*-1000*$A$4</f>
        <v>-5823174.6356999995</v>
      </c>
      <c r="I117" s="130"/>
      <c r="J117" s="130">
        <f>SUMIFS('FCPIS F'!$S$395:$S$416,'FCPIS F'!$B$395:$B$416,'PIS F'!$A117,'FCPIS F'!$C$395:$C$416,'PIS F'!$B117)*1000*$A$4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786">
        <f>SUMIFS('FCPIS F'!$R$281:$R$408,'FCPIS F'!$B$281:$B$408,'PIS F'!$A117,'FCPIS F'!$C$281:$C$408,'PIS F'!$B117)*-1000*$A$4</f>
        <v>-11528319.155833548</v>
      </c>
      <c r="Q117" s="129"/>
      <c r="R117" s="786">
        <f t="shared" si="44"/>
        <v>17084606.03296645</v>
      </c>
      <c r="T117" s="9">
        <f t="shared" si="48"/>
        <v>2.5674247077827981E-12</v>
      </c>
      <c r="V117" s="9">
        <f t="shared" si="45"/>
        <v>-11528319.155833548</v>
      </c>
      <c r="W117" s="176">
        <f>SUMIFS('FCPIS F'!$R$6:$R$135,'FCPIS F'!$B$6:$B$135,'PIS F'!$A117,'FCPIS F'!$C$6:$C$135,'PIS F'!$B117)*1000*$A$4</f>
        <v>28612925.188799996</v>
      </c>
      <c r="X117" s="176">
        <f t="shared" si="46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F'!$F$6:$F$135,'FCPIS F'!$B$6:$B$135,'PIS F'!$A118,'FCPIS F'!$C$6:$C$135,'PIS F'!$B118)*1000*$A$4</f>
        <v>0</v>
      </c>
      <c r="E118" s="130"/>
      <c r="F118" s="130">
        <f>SUMIFS('FCPIS F'!$S$138:$S$225,'FCPIS F'!$B$138:$B$225,'PIS F'!$A118,'FCPIS F'!$C$138:$C$225,'PIS F'!$B118)*1000*$A$4</f>
        <v>0</v>
      </c>
      <c r="G118" s="130"/>
      <c r="H118" s="130">
        <f>SUMIFS('FCPIS F'!$S$228:$S$278,'FCPIS F'!$B$228:$B$278,'PIS F'!$A118,'FCPIS F'!$C$228:$C$278,'PIS F'!$B118)*-1000*$A$4</f>
        <v>0</v>
      </c>
      <c r="I118" s="130"/>
      <c r="J118" s="130">
        <f>SUMIFS('FCPIS F'!$S$395:$S$416,'FCPIS F'!$B$395:$B$416,'PIS F'!$A118,'FCPIS F'!$C$395:$C$416,'PIS F'!$B118)*1000*$A$4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786">
        <f>SUMIFS('FCPIS F'!$R$281:$R$408,'FCPIS F'!$B$281:$B$408,'PIS F'!$A118,'FCPIS F'!$C$281:$C$408,'PIS F'!$B118)*-1000*$A$4</f>
        <v>0</v>
      </c>
      <c r="Q118" s="129"/>
      <c r="R118" s="786">
        <f t="shared" si="44"/>
        <v>0</v>
      </c>
      <c r="T118" s="9">
        <f t="shared" si="48"/>
        <v>0</v>
      </c>
      <c r="V118" s="9">
        <f t="shared" si="45"/>
        <v>0</v>
      </c>
      <c r="W118" s="176">
        <f>SUMIFS('FCPIS F'!$R$6:$R$135,'FCPIS F'!$B$6:$B$135,'PIS F'!$A118,'FCPIS F'!$C$6:$C$135,'PIS F'!$B118)*1000*$A$4</f>
        <v>0</v>
      </c>
      <c r="X118" s="176">
        <f t="shared" si="46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F'!$F$6:$F$135,'FCPIS F'!$B$6:$B$135,'PIS F'!$A119,'FCPIS F'!$C$6:$C$135,'PIS F'!$B119)*1000*$A$4</f>
        <v>0</v>
      </c>
      <c r="E119" s="130"/>
      <c r="F119" s="130">
        <f>SUMIFS('FCPIS F'!$S$138:$S$225,'FCPIS F'!$B$138:$B$225,'PIS F'!$A119,'FCPIS F'!$C$138:$C$225,'PIS F'!$B119)*1000*$A$4</f>
        <v>0</v>
      </c>
      <c r="G119" s="130"/>
      <c r="H119" s="130">
        <f>SUMIFS('FCPIS F'!$S$228:$S$278,'FCPIS F'!$B$228:$B$278,'PIS F'!$A119,'FCPIS F'!$C$228:$C$278,'PIS F'!$B119)*-1000*$A$4</f>
        <v>0</v>
      </c>
      <c r="I119" s="130"/>
      <c r="J119" s="130">
        <f>SUMIFS('FCPIS F'!$S$395:$S$416,'FCPIS F'!$B$395:$B$416,'PIS F'!$A119,'FCPIS F'!$C$395:$C$416,'PIS F'!$B119)*1000*$A$4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786">
        <f>SUMIFS('FCPIS F'!$R$281:$R$408,'FCPIS F'!$B$281:$B$408,'PIS F'!$A119,'FCPIS F'!$C$281:$C$408,'PIS F'!$B119)*-1000*$A$4</f>
        <v>0</v>
      </c>
      <c r="Q119" s="129"/>
      <c r="R119" s="786">
        <f t="shared" si="44"/>
        <v>0</v>
      </c>
      <c r="T119" s="9">
        <f t="shared" si="48"/>
        <v>0</v>
      </c>
      <c r="V119" s="9">
        <f t="shared" si="45"/>
        <v>0</v>
      </c>
      <c r="W119" s="176">
        <f>SUMIFS('FCPIS F'!$R$6:$R$135,'FCPIS F'!$B$6:$B$135,'PIS F'!$A119,'FCPIS F'!$C$6:$C$135,'PIS F'!$B119)*1000*$A$4</f>
        <v>0</v>
      </c>
      <c r="X119" s="176">
        <f t="shared" si="46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F'!$F$6:$F$135,'FCPIS F'!$B$6:$B$135,'PIS F'!$A120,'FCPIS F'!$C$6:$C$135,'PIS F'!$B120)*1000*$A$4</f>
        <v>0</v>
      </c>
      <c r="E120" s="130"/>
      <c r="F120" s="130">
        <f>SUMIFS('FCPIS F'!$S$138:$S$225,'FCPIS F'!$B$138:$B$225,'PIS F'!$A120,'FCPIS F'!$C$138:$C$225,'PIS F'!$B120)*1000*$A$4</f>
        <v>0</v>
      </c>
      <c r="G120" s="130"/>
      <c r="H120" s="130">
        <f>SUMIFS('FCPIS F'!$S$228:$S$278,'FCPIS F'!$B$228:$B$278,'PIS F'!$A120,'FCPIS F'!$C$228:$C$278,'PIS F'!$B120)*-1000*$A$4</f>
        <v>0</v>
      </c>
      <c r="I120" s="130"/>
      <c r="J120" s="130">
        <f>SUMIFS('FCPIS F'!$S$395:$S$416,'FCPIS F'!$B$395:$B$416,'PIS F'!$A120,'FCPIS F'!$C$395:$C$416,'PIS F'!$B120)*1000*$A$4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786">
        <f>SUMIFS('FCPIS F'!$R$281:$R$408,'FCPIS F'!$B$281:$B$408,'PIS F'!$A120,'FCPIS F'!$C$281:$C$408,'PIS F'!$B120)*-1000*$A$4</f>
        <v>0</v>
      </c>
      <c r="Q120" s="129"/>
      <c r="R120" s="786">
        <f t="shared" si="44"/>
        <v>0</v>
      </c>
      <c r="T120" s="9">
        <f t="shared" si="48"/>
        <v>0</v>
      </c>
      <c r="V120" s="9">
        <f t="shared" si="45"/>
        <v>0</v>
      </c>
      <c r="W120" s="176">
        <f>SUMIFS('FCPIS F'!$R$6:$R$135,'FCPIS F'!$B$6:$B$135,'PIS F'!$A120,'FCPIS F'!$C$6:$C$135,'PIS F'!$B120)*1000*$A$4</f>
        <v>0</v>
      </c>
      <c r="X120" s="176">
        <f t="shared" si="46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F'!$F$6:$F$135,'FCPIS F'!$B$6:$B$135,'PIS F'!$A121,'FCPIS F'!$C$6:$C$135,'PIS F'!$B121)*1000*$A$4</f>
        <v>0</v>
      </c>
      <c r="E121" s="130"/>
      <c r="F121" s="130">
        <f>SUMIFS('FCPIS F'!$S$138:$S$225,'FCPIS F'!$B$138:$B$225,'PIS F'!$A121,'FCPIS F'!$C$138:$C$225,'PIS F'!$B121)*1000*$A$4</f>
        <v>0</v>
      </c>
      <c r="G121" s="130"/>
      <c r="H121" s="130">
        <f>SUMIFS('FCPIS F'!$S$228:$S$278,'FCPIS F'!$B$228:$B$278,'PIS F'!$A121,'FCPIS F'!$C$228:$C$278,'PIS F'!$B121)*-1000*$A$4</f>
        <v>0</v>
      </c>
      <c r="I121" s="130"/>
      <c r="J121" s="130">
        <f>SUMIFS('FCPIS F'!$S$395:$S$416,'FCPIS F'!$B$395:$B$416,'PIS F'!$A121,'FCPIS F'!$C$395:$C$416,'PIS F'!$B121)*1000*$A$4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786">
        <f>SUMIFS('FCPIS F'!$R$281:$R$408,'FCPIS F'!$B$281:$B$408,'PIS F'!$A121,'FCPIS F'!$C$281:$C$408,'PIS F'!$B121)*-1000*$A$4</f>
        <v>0</v>
      </c>
      <c r="Q121" s="129"/>
      <c r="R121" s="786">
        <f t="shared" si="44"/>
        <v>0</v>
      </c>
      <c r="T121" s="9">
        <f t="shared" si="48"/>
        <v>0</v>
      </c>
      <c r="V121" s="9">
        <f t="shared" si="45"/>
        <v>0</v>
      </c>
      <c r="W121" s="176">
        <f>SUMIFS('FCPIS F'!$R$6:$R$135,'FCPIS F'!$B$6:$B$135,'PIS F'!$A121,'FCPIS F'!$C$6:$C$135,'PIS F'!$B121)*1000*$A$4</f>
        <v>0</v>
      </c>
      <c r="X121" s="176">
        <f t="shared" si="46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F'!$F$6:$F$135,'FCPIS F'!$B$6:$B$135,'PIS F'!$A122,'FCPIS F'!$C$6:$C$135,'PIS F'!$B122)*1000*$A$4</f>
        <v>0</v>
      </c>
      <c r="E122" s="130"/>
      <c r="F122" s="130">
        <f>SUMIFS('FCPIS F'!$S$138:$S$225,'FCPIS F'!$B$138:$B$225,'PIS F'!$A122,'FCPIS F'!$C$138:$C$225,'PIS F'!$B122)*1000*$A$4</f>
        <v>0</v>
      </c>
      <c r="G122" s="130"/>
      <c r="H122" s="130">
        <f>SUMIFS('FCPIS F'!$S$228:$S$278,'FCPIS F'!$B$228:$B$278,'PIS F'!$A122,'FCPIS F'!$C$228:$C$278,'PIS F'!$B122)*-1000*$A$4</f>
        <v>0</v>
      </c>
      <c r="I122" s="130"/>
      <c r="J122" s="130">
        <f>SUMIFS('FCPIS F'!$S$395:$S$416,'FCPIS F'!$B$395:$B$416,'PIS F'!$A122,'FCPIS F'!$C$395:$C$416,'PIS F'!$B122)*1000*$A$4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786">
        <f>SUMIFS('FCPIS F'!$R$281:$R$408,'FCPIS F'!$B$281:$B$408,'PIS F'!$A122,'FCPIS F'!$C$281:$C$408,'PIS F'!$B122)*-1000*$A$4</f>
        <v>0</v>
      </c>
      <c r="Q122" s="129"/>
      <c r="R122" s="786">
        <f t="shared" si="44"/>
        <v>0</v>
      </c>
      <c r="T122" s="9">
        <f t="shared" si="48"/>
        <v>0</v>
      </c>
      <c r="V122" s="9">
        <f t="shared" si="45"/>
        <v>0</v>
      </c>
      <c r="W122" s="176">
        <f>SUMIFS('FCPIS F'!$R$6:$R$135,'FCPIS F'!$B$6:$B$135,'PIS F'!$A122,'FCPIS F'!$C$6:$C$135,'PIS F'!$B122)*1000*$A$4</f>
        <v>0</v>
      </c>
      <c r="X122" s="176">
        <f t="shared" si="46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F'!$A123,'FCPIS F'!$C$6:$C$135,'PIS F'!$B123)*1000*$A$4</f>
        <v>224487.9327</v>
      </c>
      <c r="E123" s="130"/>
      <c r="F123" s="130">
        <f>SUMIFS('FCPIS F'!$S$138:$S$225,'FCPIS F'!$B$138:$B$225,'PIS F'!$A123,'FCPIS F'!$C$138:$C$225,'PIS F'!$B123)*1000*$A$4</f>
        <v>0</v>
      </c>
      <c r="G123" s="130"/>
      <c r="H123" s="130">
        <f>SUMIFS('FCPIS F'!$S$228:$S$278,'FCPIS F'!$B$228:$B$278,'PIS F'!$A123,'FCPIS F'!$C$228:$C$278,'PIS F'!$B123)*-1000*$A$4</f>
        <v>0</v>
      </c>
      <c r="I123" s="130"/>
      <c r="J123" s="130">
        <f>SUMIFS('FCPIS F'!$S$395:$S$416,'FCPIS F'!$B$395:$B$416,'PIS F'!$A123,'FCPIS F'!$C$395:$C$416,'PIS F'!$B123)*1000*$A$4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786">
        <f>SUMIFS('FCPIS F'!$R$281:$R$408,'FCPIS F'!$B$281:$B$408,'PIS F'!$A123,'FCPIS F'!$C$281:$C$408,'PIS F'!$B123)*-1000*$A$4</f>
        <v>-120953.0788172843</v>
      </c>
      <c r="Q123" s="129"/>
      <c r="R123" s="786">
        <f t="shared" si="44"/>
        <v>103534.8538827157</v>
      </c>
      <c r="T123" s="9">
        <f t="shared" si="48"/>
        <v>0</v>
      </c>
      <c r="V123" s="9">
        <f t="shared" si="45"/>
        <v>-120953.0788172843</v>
      </c>
      <c r="W123" s="176">
        <f>SUMIFS('FCPIS F'!$R$6:$R$135,'FCPIS F'!$B$6:$B$135,'PIS F'!$A123,'FCPIS F'!$C$6:$C$135,'PIS F'!$B123)*1000*$A$4</f>
        <v>224487.9327</v>
      </c>
      <c r="X123" s="176">
        <f t="shared" si="46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F'!$F$6:$F$135,'FCPIS F'!$B$6:$B$135,'PIS F'!$A124,'FCPIS F'!$C$6:$C$135,'PIS F'!$B124)*1000*$A$4</f>
        <v>0</v>
      </c>
      <c r="E124" s="130"/>
      <c r="F124" s="130">
        <f>SUMIFS('FCPIS F'!$S$138:$S$225,'FCPIS F'!$B$138:$B$225,'PIS F'!$A124,'FCPIS F'!$C$138:$C$225,'PIS F'!$B124)*1000*$A$4</f>
        <v>0</v>
      </c>
      <c r="G124" s="130"/>
      <c r="H124" s="130">
        <f>SUMIFS('FCPIS F'!$S$228:$S$278,'FCPIS F'!$B$228:$B$278,'PIS F'!$A124,'FCPIS F'!$C$228:$C$278,'PIS F'!$B124)*-1000*$A$4</f>
        <v>0</v>
      </c>
      <c r="I124" s="130"/>
      <c r="J124" s="130">
        <f>SUMIFS('FCPIS F'!$S$395:$S$416,'FCPIS F'!$B$395:$B$416,'PIS F'!$A124,'FCPIS F'!$C$395:$C$416,'PIS F'!$B124)*1000*$A$4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786">
        <f>SUMIFS('FCPIS F'!$R$281:$R$408,'FCPIS F'!$B$281:$B$408,'PIS F'!$A124,'FCPIS F'!$C$281:$C$408,'PIS F'!$B124)*-1000*$A$4</f>
        <v>0</v>
      </c>
      <c r="Q124" s="129"/>
      <c r="R124" s="786">
        <f t="shared" si="44"/>
        <v>0</v>
      </c>
      <c r="T124" s="9">
        <f t="shared" si="48"/>
        <v>0</v>
      </c>
      <c r="V124" s="9">
        <f t="shared" si="45"/>
        <v>0</v>
      </c>
      <c r="W124" s="176">
        <f>SUMIFS('FCPIS F'!$R$6:$R$135,'FCPIS F'!$B$6:$B$135,'PIS F'!$A124,'FCPIS F'!$C$6:$C$135,'PIS F'!$B124)*1000*$A$4</f>
        <v>0</v>
      </c>
      <c r="X124" s="176">
        <f t="shared" si="46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F'!$F$6:$F$135,'FCPIS F'!$B$6:$B$135,'PIS F'!$A125,'FCPIS F'!$C$6:$C$135,'PIS F'!$B125)*1000*$A$4</f>
        <v>0</v>
      </c>
      <c r="E125" s="130"/>
      <c r="F125" s="130">
        <f>SUMIFS('FCPIS F'!$S$138:$S$225,'FCPIS F'!$B$138:$B$225,'PIS F'!$A125,'FCPIS F'!$C$138:$C$225,'PIS F'!$B125)*1000*$A$4</f>
        <v>0</v>
      </c>
      <c r="G125" s="130"/>
      <c r="H125" s="130">
        <f>SUMIFS('FCPIS F'!$S$228:$S$278,'FCPIS F'!$B$228:$B$278,'PIS F'!$A125,'FCPIS F'!$C$228:$C$278,'PIS F'!$B125)*-1000*$A$4</f>
        <v>0</v>
      </c>
      <c r="I125" s="130"/>
      <c r="J125" s="130">
        <f>SUMIFS('FCPIS F'!$S$395:$S$416,'FCPIS F'!$B$395:$B$416,'PIS F'!$A125,'FCPIS F'!$C$395:$C$416,'PIS F'!$B125)*1000*$A$4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786">
        <f>SUMIFS('FCPIS F'!$R$281:$R$408,'FCPIS F'!$B$281:$B$408,'PIS F'!$A125,'FCPIS F'!$C$281:$C$408,'PIS F'!$B125)*-1000*$A$4</f>
        <v>0</v>
      </c>
      <c r="Q125" s="129"/>
      <c r="R125" s="786">
        <f t="shared" si="44"/>
        <v>0</v>
      </c>
      <c r="T125" s="9">
        <f t="shared" si="48"/>
        <v>0</v>
      </c>
      <c r="V125" s="9">
        <f t="shared" si="45"/>
        <v>0</v>
      </c>
      <c r="W125" s="176">
        <f>SUMIFS('FCPIS F'!$R$6:$R$135,'FCPIS F'!$B$6:$B$135,'PIS F'!$A125,'FCPIS F'!$C$6:$C$135,'PIS F'!$B125)*1000*$A$4</f>
        <v>0</v>
      </c>
      <c r="X125" s="176">
        <f t="shared" si="46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F'!$A126,'FCPIS F'!$C$6:$C$135,'PIS F'!$B126)*1000*$A$4</f>
        <v>1181432.6831999999</v>
      </c>
      <c r="E126" s="130"/>
      <c r="F126" s="130">
        <f>SUMIFS('FCPIS F'!$S$138:$S$225,'FCPIS F'!$B$138:$B$225,'PIS F'!$A126,'FCPIS F'!$C$138:$C$225,'PIS F'!$B126)*1000*$A$4</f>
        <v>0</v>
      </c>
      <c r="G126" s="130"/>
      <c r="H126" s="130">
        <f>SUMIFS('FCPIS F'!$S$228:$S$278,'FCPIS F'!$B$228:$B$278,'PIS F'!$A126,'FCPIS F'!$C$228:$C$278,'PIS F'!$B126)*-1000*$A$4</f>
        <v>0</v>
      </c>
      <c r="I126" s="130"/>
      <c r="J126" s="130">
        <f>SUMIFS('FCPIS F'!$S$395:$S$416,'FCPIS F'!$B$395:$B$416,'PIS F'!$A126,'FCPIS F'!$C$395:$C$416,'PIS F'!$B126)*1000*$A$4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786">
        <f>SUMIFS('FCPIS F'!$R$281:$R$408,'FCPIS F'!$B$281:$B$408,'PIS F'!$A126,'FCPIS F'!$C$281:$C$408,'PIS F'!$B126)*-1000*$A$4</f>
        <v>-826608.44507715001</v>
      </c>
      <c r="Q126" s="129"/>
      <c r="R126" s="786">
        <f t="shared" si="44"/>
        <v>354824.23812284984</v>
      </c>
      <c r="T126" s="9">
        <f t="shared" si="48"/>
        <v>0</v>
      </c>
      <c r="V126" s="9">
        <f t="shared" si="45"/>
        <v>-826608.44507715001</v>
      </c>
      <c r="W126" s="176">
        <f>SUMIFS('FCPIS F'!$R$6:$R$135,'FCPIS F'!$B$6:$B$135,'PIS F'!$A126,'FCPIS F'!$C$6:$C$135,'PIS F'!$B126)*1000*$A$4</f>
        <v>1181432.6831999999</v>
      </c>
      <c r="X126" s="176">
        <f t="shared" si="46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F'!$A127,'FCPIS F'!$C$6:$C$135,'PIS F'!$B127)*1000*$A$4</f>
        <v>2904111.4334999993</v>
      </c>
      <c r="E127" s="130"/>
      <c r="F127" s="130">
        <f>SUMIFS('FCPIS F'!$S$138:$S$225,'FCPIS F'!$B$138:$B$225,'PIS F'!$A127,'FCPIS F'!$C$138:$C$225,'PIS F'!$B127)*1000*$A$4</f>
        <v>27599.999999999996</v>
      </c>
      <c r="G127" s="130"/>
      <c r="H127" s="130">
        <f>SUMIFS('FCPIS F'!$S$228:$S$278,'FCPIS F'!$B$228:$B$278,'PIS F'!$A127,'FCPIS F'!$C$228:$C$278,'PIS F'!$B127)*-1000*$A$4</f>
        <v>-30473.498099999997</v>
      </c>
      <c r="I127" s="130"/>
      <c r="J127" s="130">
        <f>SUMIFS('FCPIS F'!$S$395:$S$416,'FCPIS F'!$B$395:$B$416,'PIS F'!$A127,'FCPIS F'!$C$395:$C$416,'PIS F'!$B127)*1000*$A$4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786">
        <f>SUMIFS('FCPIS F'!$R$281:$R$408,'FCPIS F'!$B$281:$B$408,'PIS F'!$A127,'FCPIS F'!$C$281:$C$408,'PIS F'!$B127)*-1000*$A$4</f>
        <v>-1821747.5592461997</v>
      </c>
      <c r="Q127" s="129"/>
      <c r="R127" s="786">
        <f t="shared" si="44"/>
        <v>1079490.3761537997</v>
      </c>
      <c r="T127" s="9">
        <f t="shared" si="48"/>
        <v>1.5802373845790373E-14</v>
      </c>
      <c r="V127" s="9">
        <f t="shared" si="45"/>
        <v>-1821747.5592461997</v>
      </c>
      <c r="W127" s="176">
        <f>SUMIFS('FCPIS F'!$R$6:$R$135,'FCPIS F'!$B$6:$B$135,'PIS F'!$A127,'FCPIS F'!$C$6:$C$135,'PIS F'!$B127)*1000*$A$4</f>
        <v>2901237.9353999998</v>
      </c>
      <c r="X127" s="176">
        <f t="shared" si="46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F'!$A128,'FCPIS F'!$C$6:$C$135,'PIS F'!$B128)*1000*$A$4</f>
        <v>0</v>
      </c>
      <c r="E128" s="130"/>
      <c r="F128" s="130">
        <f>SUMIFS('FCPIS F'!$S$138:$S$225,'FCPIS F'!$B$138:$B$225,'PIS F'!$A128,'FCPIS F'!$C$138:$C$225,'PIS F'!$B128)*1000*$A$4</f>
        <v>0</v>
      </c>
      <c r="G128" s="130"/>
      <c r="H128" s="130">
        <f>SUMIFS('FCPIS F'!$S$228:$S$278,'FCPIS F'!$B$228:$B$278,'PIS F'!$A128,'FCPIS F'!$C$228:$C$278,'PIS F'!$B128)*-1000*$A$4</f>
        <v>0</v>
      </c>
      <c r="I128" s="130"/>
      <c r="J128" s="130">
        <f>SUMIFS('FCPIS F'!$S$395:$S$416,'FCPIS F'!$B$395:$B$416,'PIS F'!$A128,'FCPIS F'!$C$395:$C$416,'PIS F'!$B128)*1000*$A$4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786">
        <f>SUMIFS('FCPIS F'!$R$281:$R$408,'FCPIS F'!$B$281:$B$408,'PIS F'!$A128,'FCPIS F'!$C$281:$C$408,'PIS F'!$B128)*-1000*$A$4</f>
        <v>0</v>
      </c>
      <c r="Q128" s="129"/>
      <c r="R128" s="786">
        <f t="shared" si="44"/>
        <v>0</v>
      </c>
      <c r="T128" s="9">
        <f t="shared" si="48"/>
        <v>0</v>
      </c>
      <c r="V128" s="9">
        <f t="shared" si="45"/>
        <v>0</v>
      </c>
      <c r="W128" s="176">
        <f>SUMIFS('FCPIS F'!$R$6:$R$135,'FCPIS F'!$B$6:$B$135,'PIS F'!$A128,'FCPIS F'!$C$6:$C$135,'PIS F'!$B128)*1000*$A$4</f>
        <v>0</v>
      </c>
      <c r="X128" s="176">
        <f t="shared" si="46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F'!$A129,'FCPIS F'!$C$6:$C$135,'PIS F'!$B129)*1000*$A$4</f>
        <v>365595.60299999994</v>
      </c>
      <c r="E129" s="130"/>
      <c r="F129" s="130">
        <f>SUMIFS('FCPIS F'!$S$138:$S$225,'FCPIS F'!$B$138:$B$225,'PIS F'!$A129,'FCPIS F'!$C$138:$C$225,'PIS F'!$B129)*1000*$A$4</f>
        <v>0</v>
      </c>
      <c r="G129" s="130"/>
      <c r="H129" s="130">
        <f>SUMIFS('FCPIS F'!$S$228:$S$278,'FCPIS F'!$B$228:$B$278,'PIS F'!$A129,'FCPIS F'!$C$228:$C$278,'PIS F'!$B129)*-1000*$A$4</f>
        <v>0</v>
      </c>
      <c r="I129" s="130"/>
      <c r="J129" s="130">
        <f>SUMIFS('FCPIS F'!$S$395:$S$416,'FCPIS F'!$B$395:$B$416,'PIS F'!$A129,'FCPIS F'!$C$395:$C$416,'PIS F'!$B129)*1000*$A$4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786">
        <f>SUMIFS('FCPIS F'!$R$281:$R$408,'FCPIS F'!$B$281:$B$408,'PIS F'!$A129,'FCPIS F'!$C$281:$C$408,'PIS F'!$B129)*-1000*$A$4</f>
        <v>-175433.91399033761</v>
      </c>
      <c r="Q129" s="129"/>
      <c r="R129" s="786">
        <f t="shared" si="44"/>
        <v>190161.68900966234</v>
      </c>
      <c r="T129" s="9">
        <f t="shared" si="48"/>
        <v>0</v>
      </c>
      <c r="V129" s="9">
        <f t="shared" si="45"/>
        <v>-175433.91399033761</v>
      </c>
      <c r="W129" s="176">
        <f>SUMIFS('FCPIS F'!$R$6:$R$135,'FCPIS F'!$B$6:$B$135,'PIS F'!$A129,'FCPIS F'!$C$6:$C$135,'PIS F'!$B129)*1000*$A$4</f>
        <v>365595.60299999994</v>
      </c>
      <c r="X129" s="176">
        <f t="shared" si="46"/>
        <v>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F'!$F$6:$F$135,'FCPIS F'!$B$6:$B$135,'PIS F'!$A130,'FCPIS F'!$C$6:$C$135,'PIS F'!$B130)*1000*$A$4</f>
        <v>0</v>
      </c>
      <c r="E130" s="130"/>
      <c r="F130" s="130">
        <f>SUMIFS('FCPIS F'!$S$138:$S$225,'FCPIS F'!$B$138:$B$225,'PIS F'!$A130,'FCPIS F'!$C$138:$C$225,'PIS F'!$B130)*1000*$A$4</f>
        <v>0</v>
      </c>
      <c r="G130" s="130"/>
      <c r="H130" s="130">
        <f>SUMIFS('FCPIS F'!$S$228:$S$278,'FCPIS F'!$B$228:$B$278,'PIS F'!$A130,'FCPIS F'!$C$228:$C$278,'PIS F'!$B130)*-1000*$A$4</f>
        <v>0</v>
      </c>
      <c r="I130" s="130"/>
      <c r="J130" s="130">
        <f>SUMIFS('FCPIS F'!$S$395:$S$416,'FCPIS F'!$B$395:$B$416,'PIS F'!$A130,'FCPIS F'!$C$395:$C$416,'PIS F'!$B130)*1000*$A$4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786">
        <f>SUMIFS('FCPIS F'!$R$281:$R$408,'FCPIS F'!$B$281:$B$408,'PIS F'!$A130,'FCPIS F'!$C$281:$C$408,'PIS F'!$B130)*-1000*$A$4</f>
        <v>0</v>
      </c>
      <c r="Q130" s="129"/>
      <c r="R130" s="786">
        <f t="shared" si="44"/>
        <v>0</v>
      </c>
      <c r="T130" s="9">
        <f t="shared" si="48"/>
        <v>0</v>
      </c>
      <c r="V130" s="9">
        <f t="shared" si="45"/>
        <v>0</v>
      </c>
      <c r="W130" s="176">
        <f>SUMIFS('FCPIS F'!$R$6:$R$135,'FCPIS F'!$B$6:$B$135,'PIS F'!$A130,'FCPIS F'!$C$6:$C$135,'PIS F'!$B130)*1000*$A$4</f>
        <v>0</v>
      </c>
      <c r="X130" s="176">
        <f t="shared" si="46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F'!$A131,'FCPIS F'!$C$6:$C$135,'PIS F'!$B131)*1000*$A$4</f>
        <v>25535566.367999934</v>
      </c>
      <c r="E131" s="130"/>
      <c r="F131" s="130">
        <f>SUMIFS('FCPIS F'!$S$138:$S$225,'FCPIS F'!$B$138:$B$225,'PIS F'!$A131,'FCPIS F'!$C$138:$C$225,'PIS F'!$B131)*1000*$A$4</f>
        <v>2470076.0621999996</v>
      </c>
      <c r="G131" s="130"/>
      <c r="H131" s="130">
        <f>SUMIFS('FCPIS F'!$S$228:$S$278,'FCPIS F'!$B$228:$B$278,'PIS F'!$A131,'FCPIS F'!$C$228:$C$278,'PIS F'!$B131)*-1000*$A$4</f>
        <v>0</v>
      </c>
      <c r="I131" s="130"/>
      <c r="J131" s="130">
        <f>SUMIFS('FCPIS F'!$S$395:$S$416,'FCPIS F'!$B$395:$B$416,'PIS F'!$A131,'FCPIS F'!$C$395:$C$416,'PIS F'!$B131)*1000*$A$4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786">
        <f>SUMIFS('FCPIS F'!$R$281:$R$408,'FCPIS F'!$B$281:$B$408,'PIS F'!$A131,'FCPIS F'!$C$281:$C$408,'PIS F'!$B131)*-1000*$A$4</f>
        <v>-19284148.645633426</v>
      </c>
      <c r="Q131" s="129"/>
      <c r="R131" s="786">
        <f t="shared" si="44"/>
        <v>8721493.7845665067</v>
      </c>
      <c r="T131" s="9">
        <f t="shared" si="48"/>
        <v>1.414241498638484E-12</v>
      </c>
      <c r="V131" s="9">
        <f t="shared" si="45"/>
        <v>-19284148.645633426</v>
      </c>
      <c r="W131" s="176">
        <f>SUMIFS('FCPIS F'!$R$6:$R$135,'FCPIS F'!$B$6:$B$135,'PIS F'!$A131,'FCPIS F'!$C$6:$C$135,'PIS F'!$B131)*1000*$A$4</f>
        <v>28005642.430199929</v>
      </c>
      <c r="X131" s="176">
        <f t="shared" si="46"/>
        <v>0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F'!$F$6:$F$135,'FCPIS F'!$B$6:$B$135,'PIS F'!$A132,'FCPIS F'!$C$6:$C$135,'PIS F'!$B132)*1000*$A$4</f>
        <v>0</v>
      </c>
      <c r="E132" s="130"/>
      <c r="F132" s="130">
        <f>SUMIFS('FCPIS F'!$S$138:$S$225,'FCPIS F'!$B$138:$B$225,'PIS F'!$A132,'FCPIS F'!$C$138:$C$225,'PIS F'!$B132)*1000*$A$4</f>
        <v>0</v>
      </c>
      <c r="G132" s="130"/>
      <c r="H132" s="130">
        <f>SUMIFS('FCPIS F'!$S$228:$S$278,'FCPIS F'!$B$228:$B$278,'PIS F'!$A132,'FCPIS F'!$C$228:$C$278,'PIS F'!$B132)*-1000*$A$4</f>
        <v>0</v>
      </c>
      <c r="I132" s="130"/>
      <c r="J132" s="130">
        <f>SUMIFS('FCPIS F'!$S$395:$S$416,'FCPIS F'!$B$395:$B$416,'PIS F'!$A132,'FCPIS F'!$C$395:$C$416,'PIS F'!$B132)*1000*$A$4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786">
        <f>SUMIFS('FCPIS F'!$R$281:$R$408,'FCPIS F'!$B$281:$B$408,'PIS F'!$A132,'FCPIS F'!$C$281:$C$408,'PIS F'!$B132)*-1000*$A$4</f>
        <v>0</v>
      </c>
      <c r="Q132" s="129"/>
      <c r="R132" s="786">
        <f t="shared" si="44"/>
        <v>0</v>
      </c>
      <c r="T132" s="9">
        <f t="shared" si="48"/>
        <v>0</v>
      </c>
      <c r="V132" s="9">
        <f t="shared" si="45"/>
        <v>0</v>
      </c>
      <c r="W132" s="176">
        <f>SUMIFS('FCPIS F'!$R$6:$R$135,'FCPIS F'!$B$6:$B$135,'PIS F'!$A132,'FCPIS F'!$C$6:$C$135,'PIS F'!$B132)*1000*$A$4</f>
        <v>0</v>
      </c>
      <c r="X132" s="176">
        <f t="shared" si="46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F'!$A133,'FCPIS F'!$C$6:$C$135,'PIS F'!$B133)*1000*$A$4</f>
        <v>0</v>
      </c>
      <c r="E133" s="130"/>
      <c r="F133" s="130">
        <f>SUMIFS('FCPIS F'!$S$138:$S$225,'FCPIS F'!$B$138:$B$225,'PIS F'!$A133,'FCPIS F'!$C$138:$C$225,'PIS F'!$B133)*1000*$A$4</f>
        <v>0</v>
      </c>
      <c r="G133" s="130"/>
      <c r="H133" s="130">
        <f>SUMIFS('FCPIS F'!$S$228:$S$278,'FCPIS F'!$B$228:$B$278,'PIS F'!$A133,'FCPIS F'!$C$228:$C$278,'PIS F'!$B133)*-1000*$A$4</f>
        <v>0</v>
      </c>
      <c r="I133" s="130"/>
      <c r="J133" s="130">
        <f>SUMIFS('FCPIS F'!$S$395:$S$416,'FCPIS F'!$B$395:$B$416,'PIS F'!$A133,'FCPIS F'!$C$395:$C$416,'PIS F'!$B133)*1000*$A$4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786">
        <f>SUMIFS('FCPIS F'!$R$281:$R$408,'FCPIS F'!$B$281:$B$408,'PIS F'!$A133,'FCPIS F'!$C$281:$C$408,'PIS F'!$B133)*-1000*$A$4</f>
        <v>0</v>
      </c>
      <c r="Q133" s="129"/>
      <c r="R133" s="786">
        <f t="shared" si="44"/>
        <v>0</v>
      </c>
      <c r="T133" s="9">
        <f t="shared" si="48"/>
        <v>0</v>
      </c>
      <c r="V133" s="9">
        <f t="shared" si="45"/>
        <v>0</v>
      </c>
      <c r="W133" s="176">
        <f>SUMIFS('FCPIS F'!$R$6:$R$135,'FCPIS F'!$B$6:$B$135,'PIS F'!$A133,'FCPIS F'!$C$6:$C$135,'PIS F'!$B133)*1000*$A$4</f>
        <v>0</v>
      </c>
      <c r="X133" s="176">
        <f t="shared" si="46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F'!$A134,'FCPIS F'!$C$6:$C$135,'PIS F'!$B134)*1000*$A$4</f>
        <v>0</v>
      </c>
      <c r="E134" s="130"/>
      <c r="F134" s="130">
        <f>SUMIFS('FCPIS F'!$S$138:$S$225,'FCPIS F'!$B$138:$B$225,'PIS F'!$A134,'FCPIS F'!$C$138:$C$225,'PIS F'!$B134)*1000*$A$4</f>
        <v>0</v>
      </c>
      <c r="G134" s="130"/>
      <c r="H134" s="130">
        <f>SUMIFS('FCPIS F'!$S$228:$S$278,'FCPIS F'!$B$228:$B$278,'PIS F'!$A134,'FCPIS F'!$C$228:$C$278,'PIS F'!$B134)*-1000*$A$4</f>
        <v>0</v>
      </c>
      <c r="I134" s="130"/>
      <c r="J134" s="130">
        <f>SUMIFS('FCPIS F'!$S$395:$S$416,'FCPIS F'!$B$395:$B$416,'PIS F'!$A134,'FCPIS F'!$C$395:$C$416,'PIS F'!$B134)*1000*$A$4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786">
        <f>SUMIFS('FCPIS F'!$R$281:$R$408,'FCPIS F'!$B$281:$B$408,'PIS F'!$A134,'FCPIS F'!$C$281:$C$408,'PIS F'!$B134)*-1000*$A$4</f>
        <v>0</v>
      </c>
      <c r="Q134" s="129"/>
      <c r="R134" s="786">
        <f t="shared" si="44"/>
        <v>0</v>
      </c>
      <c r="T134" s="9">
        <f t="shared" si="48"/>
        <v>0</v>
      </c>
      <c r="V134" s="9">
        <f t="shared" si="45"/>
        <v>0</v>
      </c>
      <c r="W134" s="176">
        <f>SUMIFS('FCPIS F'!$R$6:$R$135,'FCPIS F'!$B$6:$B$135,'PIS F'!$A134,'FCPIS F'!$C$6:$C$135,'PIS F'!$B134)*1000*$A$4</f>
        <v>0</v>
      </c>
      <c r="X134" s="176">
        <f t="shared" si="46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F'!$A135,'FCPIS F'!$C$6:$C$135,'PIS F'!$B135)*1000*$A$4</f>
        <v>57809.780099999931</v>
      </c>
      <c r="E135" s="130"/>
      <c r="F135" s="130">
        <f>SUMIFS('FCPIS F'!$S$138:$S$225,'FCPIS F'!$B$138:$B$225,'PIS F'!$A135,'FCPIS F'!$C$138:$C$225,'PIS F'!$B135)*1000*$A$4</f>
        <v>0</v>
      </c>
      <c r="G135" s="130"/>
      <c r="H135" s="130">
        <f>SUMIFS('FCPIS F'!$S$228:$S$278,'FCPIS F'!$B$228:$B$278,'PIS F'!$A135,'FCPIS F'!$C$228:$C$278,'PIS F'!$B135)*-1000*$A$4</f>
        <v>0</v>
      </c>
      <c r="I135" s="130"/>
      <c r="J135" s="130">
        <f>SUMIFS('FCPIS F'!$S$395:$S$416,'FCPIS F'!$B$395:$B$416,'PIS F'!$A135,'FCPIS F'!$C$395:$C$416,'PIS F'!$B135)*1000*$A$4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786">
        <f>SUMIFS('FCPIS F'!$R$281:$R$408,'FCPIS F'!$B$281:$B$408,'PIS F'!$A135,'FCPIS F'!$C$281:$C$408,'PIS F'!$B135)*-1000*$A$4</f>
        <v>0</v>
      </c>
      <c r="Q135" s="129"/>
      <c r="R135" s="786">
        <f t="shared" si="44"/>
        <v>57809.780099999931</v>
      </c>
      <c r="T135" s="9">
        <f t="shared" si="48"/>
        <v>0</v>
      </c>
      <c r="V135" s="9">
        <f t="shared" si="45"/>
        <v>0</v>
      </c>
      <c r="W135" s="176">
        <f>SUMIFS('FCPIS F'!$R$6:$R$135,'FCPIS F'!$B$6:$B$135,'PIS F'!$A135,'FCPIS F'!$C$6:$C$135,'PIS F'!$B135)*1000*$A$4</f>
        <v>57809.780099999931</v>
      </c>
      <c r="X135" s="176">
        <f t="shared" si="46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F'!$A136,'FCPIS F'!$C$6:$C$135,'PIS F'!$B136)*1000*$A$4</f>
        <v>0</v>
      </c>
      <c r="E136" s="130"/>
      <c r="F136" s="130">
        <f>SUMIFS('FCPIS F'!$S$138:$S$225,'FCPIS F'!$B$138:$B$225,'PIS F'!$A136,'FCPIS F'!$C$138:$C$225,'PIS F'!$B136)*1000*$A$4</f>
        <v>0</v>
      </c>
      <c r="G136" s="130"/>
      <c r="H136" s="130">
        <f>SUMIFS('FCPIS F'!$S$228:$S$278,'FCPIS F'!$B$228:$B$278,'PIS F'!$A136,'FCPIS F'!$C$228:$C$278,'PIS F'!$B136)*-1000*$A$4</f>
        <v>0</v>
      </c>
      <c r="I136" s="130"/>
      <c r="J136" s="130">
        <f>SUMIFS('FCPIS F'!$S$395:$S$416,'FCPIS F'!$B$395:$B$416,'PIS F'!$A136,'FCPIS F'!$C$395:$C$416,'PIS F'!$B136)*1000*$A$4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786">
        <f>SUMIFS('FCPIS F'!$R$281:$R$408,'FCPIS F'!$B$281:$B$408,'PIS F'!$A136,'FCPIS F'!$C$281:$C$408,'PIS F'!$B136)*-1000*$A$4</f>
        <v>0</v>
      </c>
      <c r="Q136" s="129"/>
      <c r="R136" s="786">
        <f t="shared" si="44"/>
        <v>0</v>
      </c>
      <c r="T136" s="9">
        <f t="shared" si="48"/>
        <v>0</v>
      </c>
      <c r="V136" s="9">
        <f t="shared" si="45"/>
        <v>0</v>
      </c>
      <c r="W136" s="176">
        <f>SUMIFS('FCPIS F'!$R$6:$R$135,'FCPIS F'!$B$6:$B$135,'PIS F'!$A136,'FCPIS F'!$C$6:$C$135,'PIS F'!$B136)*1000*$A$4</f>
        <v>0</v>
      </c>
      <c r="X136" s="176">
        <f t="shared" si="46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F'!$A137,'FCPIS F'!$C$6:$C$135,'PIS F'!$B137)*1000*$A$4</f>
        <v>57199629.825599857</v>
      </c>
      <c r="E137" s="130"/>
      <c r="F137" s="130">
        <f>SUMIFS('FCPIS F'!$S$138:$S$225,'FCPIS F'!$B$138:$B$225,'PIS F'!$A137,'FCPIS F'!$C$138:$C$225,'PIS F'!$B137)*1000*$A$4</f>
        <v>14438513.442</v>
      </c>
      <c r="G137" s="130"/>
      <c r="H137" s="130">
        <f>SUMIFS('FCPIS F'!$S$228:$S$278,'FCPIS F'!$B$228:$B$278,'PIS F'!$A137,'FCPIS F'!$C$228:$C$278,'PIS F'!$B137)*-1000*$A$4</f>
        <v>-7456030.4969999995</v>
      </c>
      <c r="I137" s="130"/>
      <c r="J137" s="130">
        <f>SUMIFS('FCPIS F'!$S$395:$S$416,'FCPIS F'!$B$395:$B$416,'PIS F'!$A137,'FCPIS F'!$C$395:$C$416,'PIS F'!$B137)*1000*$A$4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786">
        <f>SUMIFS('FCPIS F'!$R$281:$R$408,'FCPIS F'!$B$281:$B$408,'PIS F'!$A137,'FCPIS F'!$C$281:$C$408,'PIS F'!$B137)*-1000*$A$4</f>
        <v>-26355945.803621933</v>
      </c>
      <c r="Q137" s="129"/>
      <c r="R137" s="786">
        <f t="shared" si="44"/>
        <v>37826166.966977924</v>
      </c>
      <c r="T137" s="9">
        <f t="shared" si="48"/>
        <v>8.2667676517374486E-12</v>
      </c>
      <c r="V137" s="9">
        <f t="shared" si="45"/>
        <v>-26355945.803621933</v>
      </c>
      <c r="W137" s="176">
        <f>SUMIFS('FCPIS F'!$R$6:$R$135,'FCPIS F'!$B$6:$B$135,'PIS F'!$A137,'FCPIS F'!$C$6:$C$135,'PIS F'!$B137)*1000*$A$4</f>
        <v>64182112.770599857</v>
      </c>
      <c r="X137" s="176">
        <f t="shared" si="46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F'!$F$6:$F$135,'FCPIS F'!$B$6:$B$135,'PIS F'!$A138,'FCPIS F'!$C$6:$C$135,'PIS F'!$B138)*1000*$A$4</f>
        <v>0</v>
      </c>
      <c r="E138" s="130"/>
      <c r="F138" s="130">
        <f>SUMIFS('FCPIS F'!$S$138:$S$225,'FCPIS F'!$B$138:$B$225,'PIS F'!$A138,'FCPIS F'!$C$138:$C$225,'PIS F'!$B138)*1000*$A$4</f>
        <v>0</v>
      </c>
      <c r="G138" s="130"/>
      <c r="H138" s="130">
        <f>SUMIFS('FCPIS F'!$S$228:$S$278,'FCPIS F'!$B$228:$B$278,'PIS F'!$A138,'FCPIS F'!$C$228:$C$278,'PIS F'!$B138)*-1000*$A$4</f>
        <v>0</v>
      </c>
      <c r="I138" s="130"/>
      <c r="J138" s="130">
        <f>SUMIFS('FCPIS F'!$S$395:$S$416,'FCPIS F'!$B$395:$B$416,'PIS F'!$A138,'FCPIS F'!$C$395:$C$416,'PIS F'!$B138)*1000*$A$4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786">
        <f>SUMIFS('FCPIS F'!$R$281:$R$408,'FCPIS F'!$B$281:$B$408,'PIS F'!$A138,'FCPIS F'!$C$281:$C$408,'PIS F'!$B138)*-1000*$A$4</f>
        <v>0</v>
      </c>
      <c r="Q138" s="129"/>
      <c r="R138" s="786">
        <f t="shared" si="44"/>
        <v>0</v>
      </c>
      <c r="T138" s="9">
        <f t="shared" si="48"/>
        <v>0</v>
      </c>
      <c r="V138" s="9">
        <f t="shared" si="45"/>
        <v>0</v>
      </c>
      <c r="W138" s="176">
        <f>SUMIFS('FCPIS F'!$R$6:$R$135,'FCPIS F'!$B$6:$B$135,'PIS F'!$A138,'FCPIS F'!$C$6:$C$135,'PIS F'!$B138)*1000*$A$4</f>
        <v>0</v>
      </c>
      <c r="X138" s="176">
        <f t="shared" si="46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F'!$F$6:$F$135,'FCPIS F'!$B$6:$B$135,'PIS F'!$A139,'FCPIS F'!$C$6:$C$135,'PIS F'!$B139)*1000*$A$4</f>
        <v>0</v>
      </c>
      <c r="E139" s="130"/>
      <c r="F139" s="794">
        <f>SUMIFS('FCPIS F'!$S$138:$S$225,'FCPIS F'!$B$138:$B$225,'PIS F'!$A139,'FCPIS F'!$C$138:$C$225,'PIS F'!$B139)*1000*$A$4</f>
        <v>0</v>
      </c>
      <c r="G139" s="130"/>
      <c r="H139" s="794">
        <f>SUMIFS('FCPIS F'!$S$228:$S$278,'FCPIS F'!$B$228:$B$278,'PIS F'!$A139,'FCPIS F'!$C$228:$C$278,'PIS F'!$B139)*-1000*$A$4</f>
        <v>0</v>
      </c>
      <c r="I139" s="130"/>
      <c r="J139" s="794">
        <f>SUMIFS('FCPIS F'!$S$395:$S$416,'FCPIS F'!$B$395:$B$416,'PIS F'!$A139,'FCPIS F'!$C$395:$C$416,'PIS F'!$B139)*1000*$A$4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795">
        <f>SUMIFS('FCPIS F'!$R$281:$R$408,'FCPIS F'!$B$281:$B$408,'PIS F'!$A139,'FCPIS F'!$C$281:$C$408,'PIS F'!$B139)*-1000*$A$4</f>
        <v>0</v>
      </c>
      <c r="Q139" s="129"/>
      <c r="R139" s="795">
        <f t="shared" si="44"/>
        <v>0</v>
      </c>
      <c r="T139" s="9">
        <f t="shared" si="48"/>
        <v>0</v>
      </c>
      <c r="V139" s="9">
        <f t="shared" si="45"/>
        <v>0</v>
      </c>
      <c r="W139" s="176">
        <f>SUMIFS('FCPIS F'!$R$6:$R$135,'FCPIS F'!$B$6:$B$135,'PIS F'!$A139,'FCPIS F'!$C$6:$C$135,'PIS F'!$B139)*1000*$A$4</f>
        <v>0</v>
      </c>
      <c r="X139" s="176">
        <f t="shared" si="46"/>
        <v>0</v>
      </c>
    </row>
    <row r="140" spans="1:24" s="174" customFormat="1" ht="15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-88106797.94994618</v>
      </c>
      <c r="Q140" s="132"/>
      <c r="R140" s="130">
        <f>SUM(R110:R139)</f>
        <v>101958322.84205353</v>
      </c>
      <c r="T140" s="784">
        <f>'FC CWIP &amp; RWIP F'!P21*1000*A4</f>
        <v>1.4708234630234067E-11</v>
      </c>
      <c r="U140" s="2"/>
      <c r="V140" s="784">
        <f t="shared" si="45"/>
        <v>-88106797.94994618</v>
      </c>
      <c r="W140" s="176"/>
      <c r="X140" s="176"/>
    </row>
    <row r="141" spans="1:24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5.7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-88106797.94994618</v>
      </c>
      <c r="Q143" s="132"/>
      <c r="R143" s="788">
        <f>R140</f>
        <v>101958322.84205353</v>
      </c>
      <c r="T143" s="788">
        <f>T140</f>
        <v>1.4708234630234067E-11</v>
      </c>
      <c r="V143" s="788">
        <f>V140</f>
        <v>-88106797.94994618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5.7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-2020978536.6168544</v>
      </c>
      <c r="Q145" s="132"/>
      <c r="R145" s="788">
        <f>R100+R143</f>
        <v>4419679676.5851431</v>
      </c>
      <c r="T145" s="788">
        <f>T100+T143</f>
        <v>5028626.1799999913</v>
      </c>
      <c r="V145" s="788">
        <f>V100+V143</f>
        <v>-2015949910.4368546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 ht="15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F'!$A157,'FCPIS F'!$C$6:$C$135,'PIS F'!$B157)*1000</f>
        <v>2896992.1</v>
      </c>
      <c r="E157" s="799"/>
      <c r="F157" s="799">
        <f>SUMIFS('FCPIS F'!$S$138:$S$225,'FCPIS F'!$B$138:$B$225,'PIS F'!$A157,'FCPIS F'!$C$138:$C$225,'PIS F'!$B157)*1000</f>
        <v>0</v>
      </c>
      <c r="G157" s="799"/>
      <c r="H157" s="799">
        <f>SUMIFS('FCPIS F'!$S$228:$S$278,'FCPIS F'!$B$228:$B$278,'PIS F'!$A157,'FCPIS F'!$C$228:$C$278,'PIS F'!$B157)*-1000</f>
        <v>0</v>
      </c>
      <c r="I157" s="799"/>
      <c r="J157" s="799">
        <f>SUMIFS('FCPIS F'!$S$395:$S$416,'FCPIS F'!$B$395:$B$416,'PIS F'!$A157,'FCPIS F'!$C$395:$C$416,'PIS F'!$B157)*1000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799">
        <f>SUMIFS('FCPIS F'!$R$281:$R$408,'FCPIS F'!$B$281:$B$408,'PIS F'!$A157,'FCPIS F'!$C$281:$C$408,'PIS F'!$B157)*-1000</f>
        <v>0</v>
      </c>
      <c r="Q157" s="799"/>
      <c r="R157" s="799">
        <f>SUM(N157:P157)</f>
        <v>2896992.1</v>
      </c>
      <c r="S157" s="799"/>
      <c r="T157" s="799">
        <v>0</v>
      </c>
      <c r="U157" s="799"/>
      <c r="V157" s="799">
        <f>P157+T157</f>
        <v>0</v>
      </c>
      <c r="W157" s="176">
        <f>SUMIFS('FCPIS F'!$R$6:$R$135,'FCPIS F'!$B$6:$B$135,'PIS F'!$A157,'FCPIS F'!$C$6:$C$135,'PIS F'!$B157)*1000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F'!$A158,'FCPIS F'!$C$6:$C$135,'PIS F'!$B158)*1000</f>
        <v>11748.709999999899</v>
      </c>
      <c r="E158" s="176"/>
      <c r="F158" s="175">
        <f>SUMIFS('FCPIS F'!$S$138:$S$225,'FCPIS F'!$B$138:$B$225,'PIS F'!$A158,'FCPIS F'!$C$138:$C$225,'PIS F'!$B158)*1000</f>
        <v>0</v>
      </c>
      <c r="G158" s="176"/>
      <c r="H158" s="175">
        <f>SUMIFS('FCPIS F'!$S$228:$S$278,'FCPIS F'!$B$228:$B$278,'PIS F'!$A158,'FCPIS F'!$C$228:$C$278,'PIS F'!$B158)*-1000</f>
        <v>0</v>
      </c>
      <c r="I158" s="176"/>
      <c r="J158" s="175">
        <f>SUMIFS('FCPIS F'!$S$395:$S$416,'FCPIS F'!$B$395:$B$416,'PIS F'!$A158,'FCPIS F'!$C$395:$C$416,'PIS F'!$B158)*1000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F'!$R$281:$R$408,'FCPIS F'!$B$281:$B$408,'PIS F'!$A158,'FCPIS F'!$C$281:$C$408,'PIS F'!$B158)*-1000</f>
        <v>-9.8899999999999988</v>
      </c>
      <c r="Q158" s="176"/>
      <c r="R158" s="175">
        <f>SUM(N158:P158)</f>
        <v>11738.8199999999</v>
      </c>
      <c r="S158" s="176"/>
      <c r="T158" s="175">
        <v>0</v>
      </c>
      <c r="U158" s="176"/>
      <c r="V158" s="175">
        <f>P158+T158</f>
        <v>-9.8899999999999988</v>
      </c>
      <c r="W158" s="176">
        <f>SUMIFS('FCPIS F'!$R$6:$R$135,'FCPIS F'!$B$6:$B$135,'PIS F'!$A158,'FCPIS F'!$C$6:$C$135,'PIS F'!$B158)*1000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-9.8899999999999988</v>
      </c>
      <c r="Q159" s="176"/>
      <c r="R159" s="176">
        <f>SUM(R157:R158)</f>
        <v>2908730.92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F'!$A162,'FCPIS F'!$C$6:$C$135,'PIS F'!$B162)*1000</f>
        <v>0</v>
      </c>
      <c r="E162" s="176"/>
      <c r="F162" s="176">
        <f>SUMIFS('FCPIS F'!$S$138:$S$225,'FCPIS F'!$B$138:$B$225,'PIS F'!$A162,'FCPIS F'!$C$138:$C$225,'PIS F'!$B162)*1000</f>
        <v>0</v>
      </c>
      <c r="G162" s="176"/>
      <c r="H162" s="176">
        <f>SUMIFS('FCPIS F'!$S$228:$S$278,'FCPIS F'!$B$228:$B$278,'PIS F'!$A162,'FCPIS F'!$C$228:$C$278,'PIS F'!$B162)*-1000</f>
        <v>0</v>
      </c>
      <c r="I162" s="176"/>
      <c r="J162" s="176">
        <f>SUMIFS('FCPIS F'!$S$395:$S$416,'FCPIS F'!$B$395:$B$416,'PIS F'!$A162,'FCPIS F'!$C$395:$C$416,'PIS F'!$B162)*1000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F'!$R$281:$R$408,'FCPIS F'!$B$281:$B$408,'PIS F'!$A162,'FCPIS F'!$C$281:$C$408,'PIS F'!$B162)*-1000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F'!$R$6:$R$135,'FCPIS F'!$B$6:$B$135,'PIS F'!$A162,'FCPIS F'!$C$6:$C$135,'PIS F'!$B162)*1000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F'!$A163,'FCPIS F'!$C$6:$C$135,'PIS F'!$B163)*1000</f>
        <v>0</v>
      </c>
      <c r="E163" s="176"/>
      <c r="F163" s="176">
        <f>SUMIFS('FCPIS F'!$S$138:$S$225,'FCPIS F'!$B$138:$B$225,'PIS F'!$A163,'FCPIS F'!$C$138:$C$225,'PIS F'!$B163)*1000</f>
        <v>0</v>
      </c>
      <c r="G163" s="176"/>
      <c r="H163" s="176">
        <f>SUMIFS('FCPIS F'!$S$228:$S$278,'FCPIS F'!$B$228:$B$278,'PIS F'!$A163,'FCPIS F'!$C$228:$C$278,'PIS F'!$B163)*-1000</f>
        <v>0</v>
      </c>
      <c r="I163" s="176"/>
      <c r="J163" s="176">
        <f>SUMIFS('FCPIS F'!$S$395:$S$416,'FCPIS F'!$B$395:$B$416,'PIS F'!$A163,'FCPIS F'!$C$395:$C$416,'PIS F'!$B163)*1000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F'!$R$281:$R$408,'FCPIS F'!$B$281:$B$408,'PIS F'!$A163,'FCPIS F'!$C$281:$C$408,'PIS F'!$B163)*-1000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F'!$R$6:$R$135,'FCPIS F'!$B$6:$B$135,'PIS F'!$A163,'FCPIS F'!$C$6:$C$135,'PIS F'!$B163)*1000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F'!$F$6:$F$135,'FCPIS F'!$B$6:$B$135,'PIS F'!$A164,'FCPIS F'!$C$6:$C$135,'PIS F'!$B164)*1000</f>
        <v>0</v>
      </c>
      <c r="E164" s="176"/>
      <c r="F164" s="176">
        <f>SUMIFS('FCPIS F'!$S$138:$S$225,'FCPIS F'!$B$138:$B$225,'PIS F'!$A164,'FCPIS F'!$C$138:$C$225,'PIS F'!$B164)*1000</f>
        <v>0</v>
      </c>
      <c r="G164" s="176"/>
      <c r="H164" s="176">
        <f>SUMIFS('FCPIS F'!$S$228:$S$278,'FCPIS F'!$B$228:$B$278,'PIS F'!$A164,'FCPIS F'!$C$228:$C$278,'PIS F'!$B164)*-1000</f>
        <v>0</v>
      </c>
      <c r="I164" s="176"/>
      <c r="J164" s="176">
        <f>SUMIFS('FCPIS F'!$S$395:$S$416,'FCPIS F'!$B$395:$B$416,'PIS F'!$A164,'FCPIS F'!$C$395:$C$416,'PIS F'!$B164)*1000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F'!$R$281:$R$408,'FCPIS F'!$B$281:$B$408,'PIS F'!$A164,'FCPIS F'!$C$281:$C$408,'PIS F'!$B164)*-1000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F'!$R$6:$R$135,'FCPIS F'!$B$6:$B$135,'PIS F'!$A164,'FCPIS F'!$C$6:$C$135,'PIS F'!$B164)*1000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F'!$A165,'FCPIS F'!$C$6:$C$135,'PIS F'!$B165)*1000</f>
        <v>0</v>
      </c>
      <c r="E165" s="176"/>
      <c r="F165" s="176">
        <f>SUMIFS('FCPIS F'!$S$138:$S$225,'FCPIS F'!$B$138:$B$225,'PIS F'!$A165,'FCPIS F'!$C$138:$C$225,'PIS F'!$B165)*1000</f>
        <v>0</v>
      </c>
      <c r="G165" s="176"/>
      <c r="H165" s="176">
        <f>SUMIFS('FCPIS F'!$S$228:$S$278,'FCPIS F'!$B$228:$B$278,'PIS F'!$A165,'FCPIS F'!$C$228:$C$278,'PIS F'!$B165)*-1000</f>
        <v>0</v>
      </c>
      <c r="I165" s="176"/>
      <c r="J165" s="176">
        <f>SUMIFS('FCPIS F'!$S$395:$S$416,'FCPIS F'!$B$395:$B$416,'PIS F'!$A165,'FCPIS F'!$C$395:$C$416,'PIS F'!$B165)*1000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F'!$R$281:$R$408,'FCPIS F'!$B$281:$B$408,'PIS F'!$A165,'FCPIS F'!$C$281:$C$408,'PIS F'!$B165)*-1000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F'!$R$6:$R$135,'FCPIS F'!$B$6:$B$135,'PIS F'!$A165,'FCPIS F'!$C$6:$C$135,'PIS F'!$B165)*1000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F'!$A166,'FCPIS F'!$C$6:$C$135,'PIS F'!$B166)*1000</f>
        <v>0</v>
      </c>
      <c r="E166" s="176"/>
      <c r="F166" s="176">
        <f>SUMIFS('FCPIS F'!$S$138:$S$225,'FCPIS F'!$B$138:$B$225,'PIS F'!$A166,'FCPIS F'!$C$138:$C$225,'PIS F'!$B166)*1000</f>
        <v>0</v>
      </c>
      <c r="G166" s="176"/>
      <c r="H166" s="176">
        <f>SUMIFS('FCPIS F'!$S$228:$S$278,'FCPIS F'!$B$228:$B$278,'PIS F'!$A166,'FCPIS F'!$C$228:$C$278,'PIS F'!$B166)*-1000</f>
        <v>0</v>
      </c>
      <c r="I166" s="176"/>
      <c r="J166" s="176">
        <f>SUMIFS('FCPIS F'!$S$395:$S$416,'FCPIS F'!$B$395:$B$416,'PIS F'!$A166,'FCPIS F'!$C$395:$C$416,'PIS F'!$B166)*1000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F'!$R$281:$R$408,'FCPIS F'!$B$281:$B$408,'PIS F'!$A166,'FCPIS F'!$C$281:$C$408,'PIS F'!$B166)*-1000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F'!$R$6:$R$135,'FCPIS F'!$B$6:$B$135,'PIS F'!$A166,'FCPIS F'!$C$6:$C$135,'PIS F'!$B166)*1000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F'!$A167,'FCPIS F'!$C$6:$C$135,'PIS F'!$B167)*1000</f>
        <v>0</v>
      </c>
      <c r="E167" s="176"/>
      <c r="F167" s="175">
        <f>SUMIFS('FCPIS F'!$S$138:$S$225,'FCPIS F'!$B$138:$B$225,'PIS F'!$A167,'FCPIS F'!$C$138:$C$225,'PIS F'!$B167)*1000</f>
        <v>0</v>
      </c>
      <c r="G167" s="176"/>
      <c r="H167" s="175">
        <f>SUMIFS('FCPIS F'!$S$228:$S$278,'FCPIS F'!$B$228:$B$278,'PIS F'!$A167,'FCPIS F'!$C$228:$C$278,'PIS F'!$B167)*-1000</f>
        <v>0</v>
      </c>
      <c r="I167" s="176"/>
      <c r="J167" s="175">
        <f>SUMIFS('FCPIS F'!$S$395:$S$416,'FCPIS F'!$B$395:$B$416,'PIS F'!$A167,'FCPIS F'!$C$395:$C$416,'PIS F'!$B167)*1000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F'!$R$281:$R$408,'FCPIS F'!$B$281:$B$408,'PIS F'!$A167,'FCPIS F'!$C$281:$C$408,'PIS F'!$B167)*-1000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F'!$R$6:$R$135,'FCPIS F'!$B$6:$B$135,'PIS F'!$A167,'FCPIS F'!$C$6:$C$135,'PIS F'!$B167)*1000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4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4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F'!$A172,'FCPIS F'!$C$6:$C$135,'PIS F'!$B172)*1000</f>
        <v>211410</v>
      </c>
      <c r="E172" s="799"/>
      <c r="F172" s="799">
        <f>SUMIFS('FCPIS F'!$S$138:$S$225,'FCPIS F'!$B$138:$B$225,'PIS F'!$A172,'FCPIS F'!$C$138:$C$225,'PIS F'!$B172)*1000</f>
        <v>0</v>
      </c>
      <c r="G172" s="799"/>
      <c r="H172" s="799">
        <f>SUMIFS('FCPIS F'!$S$228:$S$278,'FCPIS F'!$B$228:$B$278,'PIS F'!$A172,'FCPIS F'!$C$228:$C$278,'PIS F'!$B172)*-1000</f>
        <v>0</v>
      </c>
      <c r="I172" s="799"/>
      <c r="J172" s="799">
        <f>SUMIFS('FCPIS F'!$S$395:$S$416,'FCPIS F'!$B$395:$B$416,'PIS F'!$A172,'FCPIS F'!$C$395:$C$416,'PIS F'!$B172)*1000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175">
        <f>SUMIFS('FCPIS F'!$R$281:$R$408,'FCPIS F'!$B$281:$B$408,'PIS F'!$A172,'FCPIS F'!$C$281:$C$408,'PIS F'!$B172)*-1000</f>
        <v>0</v>
      </c>
      <c r="Q172" s="176"/>
      <c r="R172" s="175">
        <f>SUM(N172:P172)</f>
        <v>211410</v>
      </c>
      <c r="S172" s="176"/>
      <c r="T172" s="175">
        <v>0</v>
      </c>
      <c r="U172" s="176"/>
      <c r="V172" s="175">
        <f>P172+T172</f>
        <v>0</v>
      </c>
      <c r="W172" s="799">
        <f>SUMIFS('FCPIS F'!$R$6:$R$135,'FCPIS F'!$B$6:$B$135,'PIS F'!$A172,'FCPIS F'!$C$6:$C$135,'PIS F'!$B172)*1000</f>
        <v>211410</v>
      </c>
      <c r="X172" s="799">
        <f>W172-N172</f>
        <v>0</v>
      </c>
    </row>
    <row r="173" spans="1:24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0</v>
      </c>
      <c r="R173" s="800">
        <f>SUM(R172:R172)</f>
        <v>211410</v>
      </c>
      <c r="T173" s="800">
        <f>SUM(T172:T172)</f>
        <v>0</v>
      </c>
      <c r="V173" s="800">
        <f>SUM(V172:V172)</f>
        <v>0</v>
      </c>
    </row>
    <row r="174" spans="1:24">
      <c r="C174" s="129"/>
      <c r="E174" s="799"/>
      <c r="G174" s="799"/>
      <c r="I174" s="799"/>
      <c r="K174" s="799"/>
      <c r="M174" s="799"/>
    </row>
    <row r="175" spans="1:24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-9.8899999999999988</v>
      </c>
      <c r="R175" s="801">
        <f>R168+R159+R173</f>
        <v>3120140.92</v>
      </c>
      <c r="T175" s="801">
        <f>T168+T159+T173</f>
        <v>0</v>
      </c>
      <c r="V175" s="801">
        <f>V168+V159+V173</f>
        <v>-9.8899999999999988</v>
      </c>
    </row>
    <row r="176" spans="1:24" ht="13.5" thickTop="1"/>
    <row r="177" spans="3:24" s="174" customFormat="1" ht="15.7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-2020978546.5068545</v>
      </c>
      <c r="Q177" s="132"/>
      <c r="R177" s="788">
        <f>R145+R175</f>
        <v>4422799817.5051432</v>
      </c>
      <c r="T177" s="788">
        <f>T145+T175</f>
        <v>5028626.1799999913</v>
      </c>
      <c r="V177" s="788">
        <f>V145+V175</f>
        <v>-2015949920.3268547</v>
      </c>
      <c r="W177" s="176"/>
      <c r="X177" s="176"/>
    </row>
    <row r="178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8"/>
  <sheetViews>
    <sheetView topLeftCell="A4" zoomScale="70" zoomScaleNormal="70" workbookViewId="0">
      <pane xSplit="3" ySplit="4" topLeftCell="E8" activePane="bottomRight" state="frozen"/>
      <selection activeCell="A24" sqref="A24"/>
      <selection pane="topRight" activeCell="A24" sqref="A24"/>
      <selection pane="bottomLeft" activeCell="A24" sqref="A24"/>
      <selection pane="bottomRight" activeCell="F16" sqref="F16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5.44140625" style="799" customWidth="1"/>
    <col min="17" max="17" width="1.44140625" style="6" customWidth="1"/>
    <col min="18" max="18" width="18.6640625" style="6" customWidth="1"/>
    <col min="19" max="19" width="1.44140625" style="6" customWidth="1"/>
    <col min="20" max="20" width="18.6640625" style="6" customWidth="1"/>
    <col min="21" max="21" width="2" style="6" customWidth="1"/>
    <col min="22" max="22" width="15.44140625" style="6" customWidth="1"/>
    <col min="23" max="23" width="1.44140625" style="6" customWidth="1"/>
    <col min="24" max="24" width="18.6640625" style="6" customWidth="1"/>
    <col min="25" max="26" width="15.44140625" style="799" customWidth="1"/>
    <col min="27" max="16384" width="9" style="6"/>
  </cols>
  <sheetData>
    <row r="1" spans="1:26" s="1" customFormat="1" ht="15">
      <c r="C1" s="848" t="s">
        <v>0</v>
      </c>
      <c r="D1" s="848"/>
      <c r="E1" s="848"/>
      <c r="F1" s="848"/>
      <c r="G1" s="848"/>
      <c r="H1" s="848"/>
      <c r="I1" s="848"/>
      <c r="J1" s="848"/>
      <c r="K1" s="848"/>
      <c r="L1" s="848"/>
      <c r="M1" s="848"/>
      <c r="N1" s="848"/>
      <c r="O1" s="848"/>
      <c r="P1" s="848"/>
      <c r="Q1" s="848"/>
      <c r="R1" s="848"/>
      <c r="S1" s="848"/>
      <c r="T1" s="848"/>
    </row>
    <row r="2" spans="1:26" s="1" customFormat="1" ht="15">
      <c r="C2" s="848" t="s">
        <v>1</v>
      </c>
      <c r="D2" s="848"/>
      <c r="E2" s="848"/>
      <c r="F2" s="848"/>
      <c r="G2" s="848"/>
      <c r="H2" s="848"/>
      <c r="I2" s="848"/>
      <c r="J2" s="848"/>
      <c r="K2" s="848"/>
      <c r="L2" s="848"/>
      <c r="M2" s="848"/>
      <c r="N2" s="848"/>
      <c r="O2" s="848"/>
      <c r="P2" s="848"/>
      <c r="Q2" s="848"/>
      <c r="R2" s="848"/>
      <c r="S2" s="848"/>
      <c r="T2" s="848"/>
    </row>
    <row r="3" spans="1:26">
      <c r="C3" s="849" t="s">
        <v>2</v>
      </c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S3" s="850"/>
      <c r="T3" s="850"/>
      <c r="Y3" s="6"/>
      <c r="Z3" s="6"/>
    </row>
    <row r="4" spans="1:26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P4" s="779"/>
      <c r="Y4" s="774" t="s">
        <v>1034</v>
      </c>
      <c r="Z4" s="779"/>
    </row>
    <row r="5" spans="1:26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P5" s="127" t="s">
        <v>1029</v>
      </c>
      <c r="T5" s="127" t="s">
        <v>1029</v>
      </c>
      <c r="V5" s="127" t="s">
        <v>1029</v>
      </c>
      <c r="X5" s="127" t="s">
        <v>1029</v>
      </c>
      <c r="Y5" s="780" t="s">
        <v>1828</v>
      </c>
      <c r="Z5" s="781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3" t="s">
        <v>5</v>
      </c>
      <c r="Q6" s="2"/>
      <c r="R6" s="127" t="s">
        <v>1029</v>
      </c>
      <c r="S6" s="2"/>
      <c r="T6" s="127" t="s">
        <v>6</v>
      </c>
      <c r="V6" s="127" t="s">
        <v>237</v>
      </c>
      <c r="W6" s="2"/>
      <c r="X6" s="127" t="s">
        <v>12</v>
      </c>
      <c r="Y6" s="3" t="s">
        <v>5</v>
      </c>
      <c r="Z6" s="3"/>
    </row>
    <row r="7" spans="1:26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7</v>
      </c>
      <c r="Q7" s="2"/>
      <c r="R7" s="7" t="s">
        <v>12</v>
      </c>
      <c r="S7" s="2"/>
      <c r="T7" s="7" t="s">
        <v>13</v>
      </c>
      <c r="V7" s="7" t="s">
        <v>238</v>
      </c>
      <c r="W7" s="2"/>
      <c r="X7" s="7" t="s">
        <v>1533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2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2"/>
      <c r="R9" s="2"/>
      <c r="S9" s="2"/>
      <c r="T9" s="2"/>
      <c r="V9" s="2"/>
      <c r="W9" s="2"/>
      <c r="X9" s="2"/>
      <c r="Y9" s="4"/>
      <c r="Z9" s="4"/>
    </row>
    <row r="10" spans="1:26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2"/>
      <c r="R10" s="2"/>
      <c r="S10" s="2"/>
      <c r="T10" s="2"/>
      <c r="V10" s="2"/>
      <c r="W10" s="2"/>
      <c r="X10" s="2"/>
      <c r="Y10" s="4"/>
      <c r="Z10" s="4"/>
    </row>
    <row r="11" spans="1:26">
      <c r="C11" s="782" t="s">
        <v>77</v>
      </c>
      <c r="D11" s="4">
        <f>SUMIFS('FCPIS F'!$F$6:$F$135,'FCPIS F'!$B$6:$B$135,'PIS F AVG'!$A11,'FCPIS F'!$C$6:$C$135,'PIS F AVG'!$B11)*1000</f>
        <v>0</v>
      </c>
      <c r="E11" s="13"/>
      <c r="F11" s="4">
        <f>SUMIFS('FCPIS F'!$S$138:$S$225,'FCPIS F'!$B$138:$B$225,'PIS F AVG'!$A11,'FCPIS F'!$C$138:$C$225,'PIS F AVG'!$B11)*1000</f>
        <v>0</v>
      </c>
      <c r="G11" s="13"/>
      <c r="H11" s="4">
        <f>SUMIFS('FCPIS F'!$S$228:$S$278,'FCPIS F'!$B$228:$B$278,'PIS F AVG'!$A11,'FCPIS F'!$C$228:$C$278,'PIS F AVG'!$B11)*-1000</f>
        <v>0</v>
      </c>
      <c r="I11" s="13"/>
      <c r="J11" s="4">
        <f>SUMIFS('FCPIS F'!$S$395:$S$416,'FCPIS F'!$B$395:$B$416,'PIS F AVG'!$A11,'FCPIS F'!$C$395:$C$416,'PIS F AVG'!$B11)*1000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4">
        <f>SUMIFS('FCPIS F'!$T$6:$T$135,'FCPIS F'!$B$6:$B$135,'PIS F AVG'!$A11,'FCPIS F'!$C$6:$C$135,'PIS F AVG'!$B11)*1000</f>
        <v>0</v>
      </c>
      <c r="Q11" s="2"/>
      <c r="R11" s="9">
        <f>SUMIFS('FCPIS F'!$T$281:$T$408,'FCPIS F'!$B$281:$B$408,'PIS F AVG'!$A11,'FCPIS F'!$C$281:$C$408,'PIS F AVG'!$B11)*-1000</f>
        <v>0</v>
      </c>
      <c r="S11" s="2"/>
      <c r="T11" s="9">
        <f>SUM(P11:R11)</f>
        <v>0</v>
      </c>
      <c r="V11" s="9"/>
      <c r="W11" s="13"/>
      <c r="X11" s="9">
        <f t="shared" ref="X11:X29" si="2">R11+V11</f>
        <v>0</v>
      </c>
      <c r="Y11" s="4">
        <f>SUMIFS('FCPIS F'!$R$6:$R$135,'FCPIS F'!$B$6:$B$135,'PIS F AVG'!$A11,'FCPIS F'!$C$6:$C$135,'PIS F AVG'!$B11)*1000</f>
        <v>0</v>
      </c>
      <c r="Z11" s="4">
        <f t="shared" ref="Z11:Z28" si="3">Y11-N11</f>
        <v>0</v>
      </c>
    </row>
    <row r="12" spans="1:26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 AVG'!$A12,'FCPIS F'!$C$6:$C$135,'PIS F AVG'!$B12)*1000</f>
        <v>4103252.72</v>
      </c>
      <c r="E12" s="13"/>
      <c r="F12" s="4">
        <f>SUMIFS('FCPIS F'!$S$138:$S$225,'FCPIS F'!$B$138:$B$225,'PIS F AVG'!$A12,'FCPIS F'!$C$138:$C$225,'PIS F AVG'!$B12)*1000</f>
        <v>0</v>
      </c>
      <c r="G12" s="13"/>
      <c r="H12" s="4">
        <f>SUMIFS('FCPIS F'!$S$228:$S$278,'FCPIS F'!$B$228:$B$278,'PIS F AVG'!$A12,'FCPIS F'!$C$228:$C$278,'PIS F AVG'!$B12)*-1000</f>
        <v>0</v>
      </c>
      <c r="I12" s="13"/>
      <c r="J12" s="4">
        <f>SUMIFS('FCPIS F'!$S$395:$S$416,'FCPIS F'!$B$395:$B$416,'PIS F AVG'!$A12,'FCPIS F'!$C$395:$C$416,'PIS F AVG'!$B12)*1000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4">
        <f>SUMIFS('FCPIS F'!$T$6:$T$135,'FCPIS F'!$B$6:$B$135,'PIS F AVG'!$A12,'FCPIS F'!$C$6:$C$135,'PIS F AVG'!$B12)*1000</f>
        <v>4103252.7200000021</v>
      </c>
      <c r="Q12" s="2"/>
      <c r="R12" s="9">
        <f>SUMIFS('FCPIS F'!$T$281:$T$408,'FCPIS F'!$B$281:$B$408,'PIS F AVG'!$A12,'FCPIS F'!$C$281:$C$408,'PIS F AVG'!$B12)*-1000</f>
        <v>46078.459999999992</v>
      </c>
      <c r="S12" s="2"/>
      <c r="T12" s="9">
        <f t="shared" ref="T12:T28" si="4">SUM(P12:R12)</f>
        <v>4149331.180000002</v>
      </c>
      <c r="V12" s="9"/>
      <c r="W12" s="13"/>
      <c r="X12" s="9">
        <f t="shared" si="2"/>
        <v>46078.459999999992</v>
      </c>
      <c r="Y12" s="4">
        <f>SUMIFS('FCPIS F'!$R$6:$R$135,'FCPIS F'!$B$6:$B$135,'PIS F AVG'!$A12,'FCPIS F'!$C$6:$C$135,'PIS F AVG'!$B12)*1000</f>
        <v>4103252.72</v>
      </c>
      <c r="Z12" s="4">
        <f t="shared" si="3"/>
        <v>0</v>
      </c>
    </row>
    <row r="13" spans="1:26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 AVG'!$A13,'FCPIS F'!$C$6:$C$135,'PIS F AVG'!$B13)*1000</f>
        <v>19719161.619999997</v>
      </c>
      <c r="E13" s="13"/>
      <c r="F13" s="4">
        <f>SUMIFS('FCPIS F'!$S$138:$S$225,'FCPIS F'!$B$138:$B$225,'PIS F AVG'!$A13,'FCPIS F'!$C$138:$C$225,'PIS F AVG'!$B13)*1000</f>
        <v>19667048.540000003</v>
      </c>
      <c r="G13" s="13"/>
      <c r="H13" s="4">
        <f>SUMIFS('FCPIS F'!$S$228:$S$278,'FCPIS F'!$B$228:$B$278,'PIS F AVG'!$A13,'FCPIS F'!$C$228:$C$278,'PIS F AVG'!$B13)*-1000</f>
        <v>0</v>
      </c>
      <c r="I13" s="13"/>
      <c r="J13" s="4">
        <f>SUMIFS('FCPIS F'!$S$395:$S$416,'FCPIS F'!$B$395:$B$416,'PIS F AVG'!$A13,'FCPIS F'!$C$395:$C$416,'PIS F AVG'!$B13)*1000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4">
        <f>SUMIFS('FCPIS F'!$T$6:$T$135,'FCPIS F'!$B$6:$B$135,'PIS F AVG'!$A13,'FCPIS F'!$C$6:$C$135,'PIS F AVG'!$B13)*1000</f>
        <v>31522130.619999945</v>
      </c>
      <c r="Q13" s="2"/>
      <c r="R13" s="9">
        <f>SUMIFS('FCPIS F'!$T$281:$T$408,'FCPIS F'!$B$281:$B$408,'PIS F AVG'!$A13,'FCPIS F'!$C$281:$C$408,'PIS F AVG'!$B13)*-1000</f>
        <v>-1684483.308775303</v>
      </c>
      <c r="S13" s="2"/>
      <c r="T13" s="9">
        <f t="shared" si="4"/>
        <v>29837647.311224643</v>
      </c>
      <c r="V13" s="9">
        <f>F13/(F$29-$F$12)*V$29</f>
        <v>212638.8720640009</v>
      </c>
      <c r="W13" s="13"/>
      <c r="X13" s="9">
        <f t="shared" si="2"/>
        <v>-1471844.436711302</v>
      </c>
      <c r="Y13" s="4">
        <f>SUMIFS('FCPIS F'!$R$6:$R$135,'FCPIS F'!$B$6:$B$135,'PIS F AVG'!$A13,'FCPIS F'!$C$6:$C$135,'PIS F AVG'!$B13)*1000</f>
        <v>39386210.1599999</v>
      </c>
      <c r="Z13" s="4">
        <f t="shared" si="3"/>
        <v>-9.6857547760009766E-8</v>
      </c>
    </row>
    <row r="14" spans="1:26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 AVG'!$A14,'FCPIS F'!$C$6:$C$135,'PIS F AVG'!$B14)*1000</f>
        <v>145671787.94</v>
      </c>
      <c r="E14" s="13"/>
      <c r="F14" s="4">
        <f>SUMIFS('FCPIS F'!$S$138:$S$225,'FCPIS F'!$B$138:$B$225,'PIS F AVG'!$A14,'FCPIS F'!$C$138:$C$225,'PIS F AVG'!$B14)*1000</f>
        <v>15436125.790000001</v>
      </c>
      <c r="G14" s="13"/>
      <c r="H14" s="4">
        <f>SUMIFS('FCPIS F'!$S$228:$S$278,'FCPIS F'!$B$228:$B$278,'PIS F AVG'!$A14,'FCPIS F'!$C$228:$C$278,'PIS F AVG'!$B14)*-1000</f>
        <v>0</v>
      </c>
      <c r="I14" s="13"/>
      <c r="J14" s="4">
        <f>SUMIFS('FCPIS F'!$S$395:$S$416,'FCPIS F'!$B$395:$B$416,'PIS F AVG'!$A14,'FCPIS F'!$C$395:$C$416,'PIS F AVG'!$B14)*1000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4">
        <f>SUMIFS('FCPIS F'!$T$6:$T$135,'FCPIS F'!$B$6:$B$135,'PIS F AVG'!$A14,'FCPIS F'!$C$6:$C$135,'PIS F AVG'!$B14)*1000</f>
        <v>155480834.24615383</v>
      </c>
      <c r="Q14" s="2"/>
      <c r="R14" s="9">
        <f>SUMIFS('FCPIS F'!$T$281:$T$408,'FCPIS F'!$B$281:$B$408,'PIS F AVG'!$A14,'FCPIS F'!$C$281:$C$408,'PIS F AVG'!$B14)*-1000</f>
        <v>-49140563.034430578</v>
      </c>
      <c r="S14" s="2"/>
      <c r="T14" s="9">
        <f t="shared" si="4"/>
        <v>106340271.21172325</v>
      </c>
      <c r="V14" s="9">
        <f t="shared" ref="V14:V28" si="6">F14/(F$29-$F$12)*V$29</f>
        <v>166894.40565257458</v>
      </c>
      <c r="W14" s="13"/>
      <c r="X14" s="9">
        <f t="shared" si="2"/>
        <v>-48973668.628778003</v>
      </c>
      <c r="Y14" s="4">
        <f>SUMIFS('FCPIS F'!$R$6:$R$135,'FCPIS F'!$B$6:$B$135,'PIS F AVG'!$A14,'FCPIS F'!$C$6:$C$135,'PIS F AVG'!$B14)*1000</f>
        <v>161107913.72999999</v>
      </c>
      <c r="Z14" s="4">
        <f t="shared" si="3"/>
        <v>0</v>
      </c>
    </row>
    <row r="15" spans="1:26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 AVG'!$A15,'FCPIS F'!$C$6:$C$135,'PIS F AVG'!$B15)*1000</f>
        <v>211648101.28</v>
      </c>
      <c r="E15" s="13"/>
      <c r="F15" s="4">
        <f>SUMIFS('FCPIS F'!$S$138:$S$225,'FCPIS F'!$B$138:$B$225,'PIS F AVG'!$A15,'FCPIS F'!$C$138:$C$225,'PIS F AVG'!$B15)*1000</f>
        <v>9095072.4799999986</v>
      </c>
      <c r="G15" s="13"/>
      <c r="H15" s="4">
        <f>SUMIFS('FCPIS F'!$S$228:$S$278,'FCPIS F'!$B$228:$B$278,'PIS F AVG'!$A15,'FCPIS F'!$C$228:$C$278,'PIS F AVG'!$B15)*-1000</f>
        <v>-1896721.9999999991</v>
      </c>
      <c r="I15" s="13"/>
      <c r="J15" s="4">
        <f>SUMIFS('FCPIS F'!$S$395:$S$416,'FCPIS F'!$B$395:$B$416,'PIS F AVG'!$A15,'FCPIS F'!$C$395:$C$416,'PIS F AVG'!$B15)*1000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4">
        <f>SUMIFS('FCPIS F'!$T$6:$T$135,'FCPIS F'!$B$6:$B$135,'PIS F AVG'!$A15,'FCPIS F'!$C$6:$C$135,'PIS F AVG'!$B15)*1000</f>
        <v>215120718.84230724</v>
      </c>
      <c r="Q15" s="2"/>
      <c r="R15" s="9">
        <f>SUMIFS('FCPIS F'!$T$281:$T$408,'FCPIS F'!$B$281:$B$408,'PIS F AVG'!$A15,'FCPIS F'!$C$281:$C$408,'PIS F AVG'!$B15)*-1000</f>
        <v>-86374103.708286151</v>
      </c>
      <c r="S15" s="2"/>
      <c r="T15" s="9">
        <f t="shared" si="4"/>
        <v>128746615.13402109</v>
      </c>
      <c r="V15" s="9">
        <f t="shared" si="6"/>
        <v>98335.342466568953</v>
      </c>
      <c r="W15" s="13"/>
      <c r="X15" s="9">
        <f t="shared" si="2"/>
        <v>-86275768.365819588</v>
      </c>
      <c r="Y15" s="4">
        <f>SUMIFS('FCPIS F'!$R$6:$R$135,'FCPIS F'!$B$6:$B$135,'PIS F AVG'!$A15,'FCPIS F'!$C$6:$C$135,'PIS F AVG'!$B15)*1000</f>
        <v>218846451.75999901</v>
      </c>
      <c r="Z15" s="4">
        <f t="shared" si="3"/>
        <v>-9.8347663879394531E-7</v>
      </c>
    </row>
    <row r="16" spans="1:26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 AVG'!$A16,'FCPIS F'!$C$6:$C$135,'PIS F AVG'!$B16)*1000</f>
        <v>362102214.359999</v>
      </c>
      <c r="E16" s="13"/>
      <c r="F16" s="4">
        <f>SUMIFS('FCPIS F'!$S$138:$S$225,'FCPIS F'!$B$138:$B$225,'PIS F AVG'!$A16,'FCPIS F'!$C$138:$C$225,'PIS F AVG'!$B16)*1000</f>
        <v>35165780.699999988</v>
      </c>
      <c r="G16" s="13"/>
      <c r="H16" s="4">
        <f>SUMIFS('FCPIS F'!$S$228:$S$278,'FCPIS F'!$B$228:$B$278,'PIS F AVG'!$A16,'FCPIS F'!$C$228:$C$278,'PIS F AVG'!$B16)*-1000</f>
        <v>-2416237.16</v>
      </c>
      <c r="I16" s="13"/>
      <c r="J16" s="4">
        <f>SUMIFS('FCPIS F'!$S$395:$S$416,'FCPIS F'!$B$395:$B$416,'PIS F AVG'!$A16,'FCPIS F'!$C$395:$C$416,'PIS F AVG'!$B16)*1000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4">
        <f>SUMIFS('FCPIS F'!$T$6:$T$135,'FCPIS F'!$B$6:$B$135,'PIS F AVG'!$A16,'FCPIS F'!$C$6:$C$135,'PIS F AVG'!$B16)*1000</f>
        <v>377289104.34307593</v>
      </c>
      <c r="Q16" s="2"/>
      <c r="R16" s="9">
        <f>SUMIFS('FCPIS F'!$T$281:$T$408,'FCPIS F'!$B$281:$B$408,'PIS F AVG'!$A16,'FCPIS F'!$C$281:$C$408,'PIS F AVG'!$B16)*-1000</f>
        <v>-133783922.89132424</v>
      </c>
      <c r="S16" s="2"/>
      <c r="T16" s="9">
        <f t="shared" si="4"/>
        <v>243505181.45175171</v>
      </c>
      <c r="V16" s="9">
        <f t="shared" si="6"/>
        <v>380210.17378838523</v>
      </c>
      <c r="W16" s="13"/>
      <c r="X16" s="9">
        <f t="shared" si="2"/>
        <v>-133403712.71753585</v>
      </c>
      <c r="Y16" s="4">
        <f>SUMIFS('FCPIS F'!$R$6:$R$135,'FCPIS F'!$B$6:$B$135,'PIS F AVG'!$A16,'FCPIS F'!$C$6:$C$135,'PIS F AVG'!$B16)*1000</f>
        <v>394851757.89999896</v>
      </c>
      <c r="Z16" s="4">
        <f t="shared" si="3"/>
        <v>0</v>
      </c>
    </row>
    <row r="17" spans="1:26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 AVG'!$A17,'FCPIS F'!$C$6:$C$135,'PIS F AVG'!$B17)*1000</f>
        <v>96674999.529999897</v>
      </c>
      <c r="E17" s="13"/>
      <c r="F17" s="4">
        <f>SUMIFS('FCPIS F'!$S$138:$S$225,'FCPIS F'!$B$138:$B$225,'PIS F AVG'!$A17,'FCPIS F'!$C$138:$C$225,'PIS F AVG'!$B17)*1000</f>
        <v>11245191.390000001</v>
      </c>
      <c r="G17" s="13"/>
      <c r="H17" s="4">
        <f>SUMIFS('FCPIS F'!$S$228:$S$278,'FCPIS F'!$B$228:$B$278,'PIS F AVG'!$A17,'FCPIS F'!$C$228:$C$278,'PIS F AVG'!$B17)*-1000</f>
        <v>0</v>
      </c>
      <c r="I17" s="13"/>
      <c r="J17" s="4">
        <f>SUMIFS('FCPIS F'!$S$395:$S$416,'FCPIS F'!$B$395:$B$416,'PIS F AVG'!$A17,'FCPIS F'!$C$395:$C$416,'PIS F AVG'!$B17)*1000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4">
        <f>SUMIFS('FCPIS F'!$T$6:$T$135,'FCPIS F'!$B$6:$B$135,'PIS F AVG'!$A17,'FCPIS F'!$C$6:$C$135,'PIS F AVG'!$B17)*1000</f>
        <v>101000073.1415384</v>
      </c>
      <c r="Q17" s="2"/>
      <c r="R17" s="9">
        <f>SUMIFS('FCPIS F'!$T$281:$T$408,'FCPIS F'!$B$281:$B$408,'PIS F AVG'!$A17,'FCPIS F'!$C$281:$C$408,'PIS F AVG'!$B17)*-1000</f>
        <v>-34421273.960652307</v>
      </c>
      <c r="S17" s="2"/>
      <c r="T17" s="9">
        <f t="shared" si="4"/>
        <v>66578799.18088609</v>
      </c>
      <c r="V17" s="9">
        <f t="shared" si="6"/>
        <v>121582.29072603969</v>
      </c>
      <c r="W17" s="13"/>
      <c r="X17" s="9">
        <f t="shared" si="2"/>
        <v>-34299691.669926263</v>
      </c>
      <c r="Y17" s="4">
        <f>SUMIFS('FCPIS F'!$R$6:$R$135,'FCPIS F'!$B$6:$B$135,'PIS F AVG'!$A17,'FCPIS F'!$C$6:$C$135,'PIS F AVG'!$B17)*1000</f>
        <v>107920190.91999999</v>
      </c>
      <c r="Z17" s="4">
        <f t="shared" si="3"/>
        <v>0</v>
      </c>
    </row>
    <row r="18" spans="1:26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 AVG'!$A18,'FCPIS F'!$C$6:$C$135,'PIS F AVG'!$B18)*1000</f>
        <v>282784496.56</v>
      </c>
      <c r="E18" s="13"/>
      <c r="F18" s="4">
        <f>SUMIFS('FCPIS F'!$S$138:$S$225,'FCPIS F'!$B$138:$B$225,'PIS F AVG'!$A18,'FCPIS F'!$C$138:$C$225,'PIS F AVG'!$B18)*1000</f>
        <v>24380463.849999979</v>
      </c>
      <c r="G18" s="13"/>
      <c r="H18" s="4">
        <f>SUMIFS('FCPIS F'!$S$228:$S$278,'FCPIS F'!$B$228:$B$278,'PIS F AVG'!$A18,'FCPIS F'!$C$228:$C$278,'PIS F AVG'!$B18)*-1000</f>
        <v>-1024229.4500000001</v>
      </c>
      <c r="I18" s="13"/>
      <c r="J18" s="4">
        <f>SUMIFS('FCPIS F'!$S$395:$S$416,'FCPIS F'!$B$395:$B$416,'PIS F AVG'!$A18,'FCPIS F'!$C$395:$C$416,'PIS F AVG'!$B18)*1000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4">
        <f>SUMIFS('FCPIS F'!$T$6:$T$135,'FCPIS F'!$B$6:$B$135,'PIS F AVG'!$A18,'FCPIS F'!$C$6:$C$135,'PIS F AVG'!$B18)*1000</f>
        <v>294177307.13999945</v>
      </c>
      <c r="Q18" s="2"/>
      <c r="R18" s="9">
        <f>SUMIFS('FCPIS F'!$T$281:$T$408,'FCPIS F'!$B$281:$B$408,'PIS F AVG'!$A18,'FCPIS F'!$C$281:$C$408,'PIS F AVG'!$B18)*-1000</f>
        <v>-66559721.1670627</v>
      </c>
      <c r="S18" s="2"/>
      <c r="T18" s="9">
        <f t="shared" si="4"/>
        <v>227617585.97293675</v>
      </c>
      <c r="V18" s="9">
        <f t="shared" si="6"/>
        <v>263600.01720223262</v>
      </c>
      <c r="W18" s="13"/>
      <c r="X18" s="9">
        <f t="shared" si="2"/>
        <v>-66296121.149860464</v>
      </c>
      <c r="Y18" s="4">
        <f>SUMIFS('FCPIS F'!$R$6:$R$135,'FCPIS F'!$B$6:$B$135,'PIS F AVG'!$A18,'FCPIS F'!$C$6:$C$135,'PIS F AVG'!$B18)*1000</f>
        <v>306140730.95999902</v>
      </c>
      <c r="Z18" s="4">
        <f t="shared" si="3"/>
        <v>-9.5367431640625E-7</v>
      </c>
    </row>
    <row r="19" spans="1:26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 AVG'!$A19,'FCPIS F'!$C$6:$C$135,'PIS F AVG'!$B19)*1000</f>
        <v>173525385.43000001</v>
      </c>
      <c r="E19" s="13"/>
      <c r="F19" s="4">
        <f>SUMIFS('FCPIS F'!$S$138:$S$225,'FCPIS F'!$B$138:$B$225,'PIS F AVG'!$A19,'FCPIS F'!$C$138:$C$225,'PIS F AVG'!$B19)*1000</f>
        <v>7000576.1099999985</v>
      </c>
      <c r="G19" s="13"/>
      <c r="H19" s="4">
        <f>SUMIFS('FCPIS F'!$S$228:$S$278,'FCPIS F'!$B$228:$B$278,'PIS F AVG'!$A19,'FCPIS F'!$C$228:$C$278,'PIS F AVG'!$B19)*-1000</f>
        <v>-1178841.04</v>
      </c>
      <c r="I19" s="13"/>
      <c r="J19" s="4">
        <f>SUMIFS('FCPIS F'!$S$395:$S$416,'FCPIS F'!$B$395:$B$416,'PIS F AVG'!$A19,'FCPIS F'!$C$395:$C$416,'PIS F AVG'!$B19)*1000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4">
        <f>SUMIFS('FCPIS F'!$T$6:$T$135,'FCPIS F'!$B$6:$B$135,'PIS F AVG'!$A19,'FCPIS F'!$C$6:$C$135,'PIS F AVG'!$B19)*1000</f>
        <v>176418522.2015385</v>
      </c>
      <c r="Q19" s="2"/>
      <c r="R19" s="9">
        <f>SUMIFS('FCPIS F'!$T$281:$T$408,'FCPIS F'!$B$281:$B$408,'PIS F AVG'!$A19,'FCPIS F'!$C$281:$C$408,'PIS F AVG'!$B19)*-1000</f>
        <v>-83618844.175899237</v>
      </c>
      <c r="S19" s="2"/>
      <c r="T19" s="9">
        <f t="shared" si="4"/>
        <v>92799678.025639266</v>
      </c>
      <c r="V19" s="9">
        <f t="shared" si="6"/>
        <v>75689.781555224166</v>
      </c>
      <c r="W19" s="13"/>
      <c r="X19" s="9">
        <f t="shared" si="2"/>
        <v>-83543154.394344017</v>
      </c>
      <c r="Y19" s="4">
        <f>SUMIFS('FCPIS F'!$R$6:$R$135,'FCPIS F'!$B$6:$B$135,'PIS F AVG'!$A19,'FCPIS F'!$C$6:$C$135,'PIS F AVG'!$B19)*1000</f>
        <v>179347120.5</v>
      </c>
      <c r="Z19" s="4">
        <f t="shared" si="3"/>
        <v>0</v>
      </c>
    </row>
    <row r="20" spans="1:26">
      <c r="A20" s="6" t="s">
        <v>923</v>
      </c>
      <c r="C20" s="129" t="s">
        <v>873</v>
      </c>
      <c r="D20" s="4">
        <f>SUMIFS('FCPIS F'!$F$6:$F$135,'FCPIS F'!$B$6:$B$135,'PIS F AVG'!$A20,'FCPIS F'!$C$6:$C$135,'PIS F AVG'!$B20)*1000</f>
        <v>0</v>
      </c>
      <c r="E20" s="13"/>
      <c r="F20" s="4">
        <f>SUMIFS('FCPIS F'!$S$138:$S$225,'FCPIS F'!$B$138:$B$225,'PIS F AVG'!$A20,'FCPIS F'!$C$138:$C$225,'PIS F AVG'!$B20)*1000</f>
        <v>0</v>
      </c>
      <c r="G20" s="13"/>
      <c r="H20" s="4">
        <f>SUMIFS('FCPIS F'!$S$228:$S$278,'FCPIS F'!$B$228:$B$278,'PIS F AVG'!$A20,'FCPIS F'!$C$228:$C$278,'PIS F AVG'!$B20)*-1000</f>
        <v>0</v>
      </c>
      <c r="I20" s="13"/>
      <c r="J20" s="4">
        <f>SUMIFS('FCPIS F'!$S$395:$S$416,'FCPIS F'!$B$395:$B$416,'PIS F AVG'!$A20,'FCPIS F'!$C$395:$C$416,'PIS F AVG'!$B20)*1000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4">
        <f>SUMIFS('FCPIS F'!$T$6:$T$135,'FCPIS F'!$B$6:$B$135,'PIS F AVG'!$A20,'FCPIS F'!$C$6:$C$135,'PIS F AVG'!$B20)*1000</f>
        <v>0</v>
      </c>
      <c r="Q20" s="2"/>
      <c r="R20" s="9">
        <f>SUMIFS('FCPIS F'!$T$281:$T$408,'FCPIS F'!$B$281:$B$408,'PIS F AVG'!$A20,'FCPIS F'!$C$281:$C$408,'PIS F AVG'!$B20)*-1000</f>
        <v>0</v>
      </c>
      <c r="S20" s="2"/>
      <c r="T20" s="9">
        <f t="shared" si="4"/>
        <v>0</v>
      </c>
      <c r="V20" s="9">
        <f t="shared" si="6"/>
        <v>0</v>
      </c>
      <c r="W20" s="13"/>
      <c r="X20" s="9">
        <f t="shared" si="2"/>
        <v>0</v>
      </c>
      <c r="Y20" s="4">
        <f>SUMIFS('FCPIS F'!$R$6:$R$135,'FCPIS F'!$B$6:$B$135,'PIS F AVG'!$A20,'FCPIS F'!$C$6:$C$135,'PIS F AVG'!$B20)*1000</f>
        <v>0</v>
      </c>
      <c r="Z20" s="4">
        <f t="shared" si="3"/>
        <v>0</v>
      </c>
    </row>
    <row r="21" spans="1:26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 AVG'!$A21,'FCPIS F'!$C$6:$C$135,'PIS F AVG'!$B21)*1000</f>
        <v>37462116.850000001</v>
      </c>
      <c r="E21" s="13"/>
      <c r="F21" s="4">
        <f>SUMIFS('FCPIS F'!$S$138:$S$225,'FCPIS F'!$B$138:$B$225,'PIS F AVG'!$A21,'FCPIS F'!$C$138:$C$225,'PIS F AVG'!$B21)*1000</f>
        <v>732113.39999999991</v>
      </c>
      <c r="G21" s="13"/>
      <c r="H21" s="4">
        <f>SUMIFS('FCPIS F'!$S$228:$S$278,'FCPIS F'!$B$228:$B$278,'PIS F AVG'!$A21,'FCPIS F'!$C$228:$C$278,'PIS F AVG'!$B21)*-1000</f>
        <v>0</v>
      </c>
      <c r="I21" s="13"/>
      <c r="J21" s="4">
        <f>SUMIFS('FCPIS F'!$S$395:$S$416,'FCPIS F'!$B$395:$B$416,'PIS F AVG'!$A21,'FCPIS F'!$C$395:$C$416,'PIS F AVG'!$B21)*1000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4">
        <f>SUMIFS('FCPIS F'!$T$6:$T$135,'FCPIS F'!$B$6:$B$135,'PIS F AVG'!$A21,'FCPIS F'!$C$6:$C$135,'PIS F AVG'!$B21)*1000</f>
        <v>37740878.411538459</v>
      </c>
      <c r="Q21" s="2"/>
      <c r="R21" s="9">
        <f>SUMIFS('FCPIS F'!$T$281:$T$408,'FCPIS F'!$B$281:$B$408,'PIS F AVG'!$A21,'FCPIS F'!$C$281:$C$408,'PIS F AVG'!$B21)*-1000</f>
        <v>-27457723.42579231</v>
      </c>
      <c r="S21" s="2"/>
      <c r="T21" s="9">
        <f t="shared" si="4"/>
        <v>10283154.985746149</v>
      </c>
      <c r="V21" s="9">
        <f t="shared" si="6"/>
        <v>7915.5632977829964</v>
      </c>
      <c r="W21" s="13"/>
      <c r="X21" s="9">
        <f t="shared" si="2"/>
        <v>-27449807.862494528</v>
      </c>
      <c r="Y21" s="4">
        <f>SUMIFS('FCPIS F'!$R$6:$R$135,'FCPIS F'!$B$6:$B$135,'PIS F AVG'!$A21,'FCPIS F'!$C$6:$C$135,'PIS F AVG'!$B21)*1000</f>
        <v>38194230.25</v>
      </c>
      <c r="Z21" s="4">
        <f t="shared" si="3"/>
        <v>0</v>
      </c>
    </row>
    <row r="22" spans="1:26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 AVG'!$A22,'FCPIS F'!$C$6:$C$135,'PIS F AVG'!$B22)*1000</f>
        <v>43083034.399999902</v>
      </c>
      <c r="E22" s="13"/>
      <c r="F22" s="4">
        <f>SUMIFS('FCPIS F'!$S$138:$S$225,'FCPIS F'!$B$138:$B$225,'PIS F AVG'!$A22,'FCPIS F'!$C$138:$C$225,'PIS F AVG'!$B22)*1000</f>
        <v>1385539.8499999987</v>
      </c>
      <c r="G22" s="13"/>
      <c r="H22" s="4">
        <f>SUMIFS('FCPIS F'!$S$228:$S$278,'FCPIS F'!$B$228:$B$278,'PIS F AVG'!$A22,'FCPIS F'!$C$228:$C$278,'PIS F AVG'!$B22)*-1000</f>
        <v>0</v>
      </c>
      <c r="I22" s="13"/>
      <c r="J22" s="4">
        <f>SUMIFS('FCPIS F'!$S$395:$S$416,'FCPIS F'!$B$395:$B$416,'PIS F AVG'!$A22,'FCPIS F'!$C$395:$C$416,'PIS F AVG'!$B22)*1000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4">
        <f>SUMIFS('FCPIS F'!$T$6:$T$135,'FCPIS F'!$B$6:$B$135,'PIS F AVG'!$A22,'FCPIS F'!$C$6:$C$135,'PIS F AVG'!$B22)*1000</f>
        <v>43691863.67999994</v>
      </c>
      <c r="Q22" s="2"/>
      <c r="R22" s="9">
        <f>SUMIFS('FCPIS F'!$T$281:$T$408,'FCPIS F'!$B$281:$B$408,'PIS F AVG'!$A22,'FCPIS F'!$C$281:$C$408,'PIS F AVG'!$B22)*-1000</f>
        <v>-25699057.21167298</v>
      </c>
      <c r="S22" s="2"/>
      <c r="T22" s="9">
        <f t="shared" si="4"/>
        <v>17992806.46832696</v>
      </c>
      <c r="V22" s="9">
        <f t="shared" si="6"/>
        <v>14980.368320366422</v>
      </c>
      <c r="W22" s="13"/>
      <c r="X22" s="9">
        <f t="shared" si="2"/>
        <v>-25684076.843352612</v>
      </c>
      <c r="Y22" s="4">
        <f>SUMIFS('FCPIS F'!$R$6:$R$135,'FCPIS F'!$B$6:$B$135,'PIS F AVG'!$A22,'FCPIS F'!$C$6:$C$135,'PIS F AVG'!$B22)*1000</f>
        <v>44468574.249999903</v>
      </c>
      <c r="Z22" s="4">
        <f t="shared" si="3"/>
        <v>0</v>
      </c>
    </row>
    <row r="23" spans="1:26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 AVG'!$A23,'FCPIS F'!$C$6:$C$135,'PIS F AVG'!$B23)*1000</f>
        <v>156536.15</v>
      </c>
      <c r="E23" s="13"/>
      <c r="F23" s="4">
        <f>SUMIFS('FCPIS F'!$S$138:$S$225,'FCPIS F'!$B$138:$B$225,'PIS F AVG'!$A23,'FCPIS F'!$C$138:$C$225,'PIS F AVG'!$B23)*1000</f>
        <v>0</v>
      </c>
      <c r="G23" s="13"/>
      <c r="H23" s="4">
        <f>SUMIFS('FCPIS F'!$S$228:$S$278,'FCPIS F'!$B$228:$B$278,'PIS F AVG'!$A23,'FCPIS F'!$C$228:$C$278,'PIS F AVG'!$B23)*-1000</f>
        <v>0</v>
      </c>
      <c r="I23" s="13"/>
      <c r="J23" s="4">
        <f>SUMIFS('FCPIS F'!$S$395:$S$416,'FCPIS F'!$B$395:$B$416,'PIS F AVG'!$A23,'FCPIS F'!$C$395:$C$416,'PIS F AVG'!$B23)*1000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4">
        <f>SUMIFS('FCPIS F'!$T$6:$T$135,'FCPIS F'!$B$6:$B$135,'PIS F AVG'!$A23,'FCPIS F'!$C$6:$C$135,'PIS F AVG'!$B23)*1000</f>
        <v>156536.14999999997</v>
      </c>
      <c r="Q23" s="2"/>
      <c r="R23" s="9">
        <f>SUMIFS('FCPIS F'!$T$281:$T$408,'FCPIS F'!$B$281:$B$408,'PIS F AVG'!$A23,'FCPIS F'!$C$281:$C$408,'PIS F AVG'!$B23)*-1000</f>
        <v>-18252.092712100002</v>
      </c>
      <c r="S23" s="2"/>
      <c r="T23" s="9">
        <f t="shared" ref="T23" si="10">SUM(P23:R23)</f>
        <v>138284.05728789995</v>
      </c>
      <c r="V23" s="9">
        <f t="shared" ref="V23" si="11">F23/(F$29-$F$12)*V$29</f>
        <v>0</v>
      </c>
      <c r="W23" s="13"/>
      <c r="X23" s="9">
        <f t="shared" ref="X23" si="12">R23+V23</f>
        <v>-18252.092712100002</v>
      </c>
      <c r="Y23" s="4">
        <f>SUMIFS('FCPIS F'!$R$6:$R$135,'FCPIS F'!$B$6:$B$135,'PIS F AVG'!$A23,'FCPIS F'!$C$6:$C$135,'PIS F AVG'!$B23)*1000</f>
        <v>156536.15</v>
      </c>
      <c r="Z23" s="4">
        <f t="shared" ref="Z23" si="13">Y23-N23</f>
        <v>0</v>
      </c>
    </row>
    <row r="24" spans="1:26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 AVG'!$A24,'FCPIS F'!$C$6:$C$135,'PIS F AVG'!$B24)*1000</f>
        <v>117557140.84999999</v>
      </c>
      <c r="E24" s="13"/>
      <c r="F24" s="4">
        <f>SUMIFS('FCPIS F'!$S$138:$S$225,'FCPIS F'!$B$138:$B$225,'PIS F AVG'!$A24,'FCPIS F'!$C$138:$C$225,'PIS F AVG'!$B24)*1000</f>
        <v>4927134.3600000013</v>
      </c>
      <c r="G24" s="13"/>
      <c r="H24" s="4">
        <f>SUMIFS('FCPIS F'!$S$228:$S$278,'FCPIS F'!$B$228:$B$278,'PIS F AVG'!$A24,'FCPIS F'!$C$228:$C$278,'PIS F AVG'!$B24)*-1000</f>
        <v>0</v>
      </c>
      <c r="I24" s="13"/>
      <c r="J24" s="4">
        <f>SUMIFS('FCPIS F'!$S$395:$S$416,'FCPIS F'!$B$395:$B$416,'PIS F AVG'!$A24,'FCPIS F'!$C$395:$C$416,'PIS F AVG'!$B24)*1000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4">
        <f>SUMIFS('FCPIS F'!$T$6:$T$135,'FCPIS F'!$B$6:$B$135,'PIS F AVG'!$A24,'FCPIS F'!$C$6:$C$135,'PIS F AVG'!$B24)*1000</f>
        <v>120047049.5030763</v>
      </c>
      <c r="Q24" s="2"/>
      <c r="R24" s="9">
        <f>SUMIFS('FCPIS F'!$T$281:$T$408,'FCPIS F'!$B$281:$B$408,'PIS F AVG'!$A24,'FCPIS F'!$C$281:$C$408,'PIS F AVG'!$B24)*-1000</f>
        <v>-47776669.641636357</v>
      </c>
      <c r="S24" s="2"/>
      <c r="T24" s="9">
        <f t="shared" si="4"/>
        <v>72270379.861439943</v>
      </c>
      <c r="V24" s="9">
        <f t="shared" si="6"/>
        <v>53271.861849901303</v>
      </c>
      <c r="W24" s="13"/>
      <c r="X24" s="9">
        <f t="shared" si="2"/>
        <v>-47723397.779786453</v>
      </c>
      <c r="Y24" s="4">
        <f>SUMIFS('FCPIS F'!$R$6:$R$135,'FCPIS F'!$B$6:$B$135,'PIS F AVG'!$A24,'FCPIS F'!$C$6:$C$135,'PIS F AVG'!$B24)*1000</f>
        <v>122484275.20999901</v>
      </c>
      <c r="Z24" s="4">
        <f t="shared" si="3"/>
        <v>-9.8347663879394531E-7</v>
      </c>
    </row>
    <row r="25" spans="1:26">
      <c r="A25" s="6" t="s">
        <v>923</v>
      </c>
      <c r="C25" s="129" t="s">
        <v>876</v>
      </c>
      <c r="D25" s="4">
        <f>SUMIFS('FCPIS F'!$F$6:$F$135,'FCPIS F'!$B$6:$B$135,'PIS F AVG'!$A25,'FCPIS F'!$C$6:$C$135,'PIS F AVG'!$B25)*1000</f>
        <v>0</v>
      </c>
      <c r="E25" s="13"/>
      <c r="F25" s="4">
        <f>SUMIFS('FCPIS F'!$S$138:$S$225,'FCPIS F'!$B$138:$B$225,'PIS F AVG'!$A25,'FCPIS F'!$C$138:$C$225,'PIS F AVG'!$B25)*1000</f>
        <v>0</v>
      </c>
      <c r="G25" s="13"/>
      <c r="H25" s="4">
        <f>SUMIFS('FCPIS F'!$S$228:$S$278,'FCPIS F'!$B$228:$B$278,'PIS F AVG'!$A25,'FCPIS F'!$C$228:$C$278,'PIS F AVG'!$B25)*-1000</f>
        <v>0</v>
      </c>
      <c r="I25" s="13"/>
      <c r="J25" s="4">
        <f>SUMIFS('FCPIS F'!$S$395:$S$416,'FCPIS F'!$B$395:$B$416,'PIS F AVG'!$A25,'FCPIS F'!$C$395:$C$416,'PIS F AVG'!$B25)*1000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4">
        <f>SUMIFS('FCPIS F'!$T$6:$T$135,'FCPIS F'!$B$6:$B$135,'PIS F AVG'!$A25,'FCPIS F'!$C$6:$C$135,'PIS F AVG'!$B25)*1000</f>
        <v>0</v>
      </c>
      <c r="Q25" s="2"/>
      <c r="R25" s="9">
        <f>SUMIFS('FCPIS F'!$T$281:$T$408,'FCPIS F'!$B$281:$B$408,'PIS F AVG'!$A25,'FCPIS F'!$C$281:$C$408,'PIS F AVG'!$B25)*-1000</f>
        <v>0</v>
      </c>
      <c r="S25" s="2"/>
      <c r="T25" s="9">
        <f t="shared" si="4"/>
        <v>0</v>
      </c>
      <c r="V25" s="9">
        <f t="shared" si="6"/>
        <v>0</v>
      </c>
      <c r="W25" s="13"/>
      <c r="X25" s="9">
        <f t="shared" si="2"/>
        <v>0</v>
      </c>
      <c r="Y25" s="4">
        <f>SUMIFS('FCPIS F'!$R$6:$R$135,'FCPIS F'!$B$6:$B$135,'PIS F AVG'!$A25,'FCPIS F'!$C$6:$C$135,'PIS F AVG'!$B25)*1000</f>
        <v>0</v>
      </c>
      <c r="Z25" s="4">
        <f t="shared" si="3"/>
        <v>0</v>
      </c>
    </row>
    <row r="26" spans="1:26">
      <c r="A26" s="6" t="s">
        <v>923</v>
      </c>
      <c r="C26" s="129" t="s">
        <v>877</v>
      </c>
      <c r="D26" s="4">
        <f>SUMIFS('FCPIS F'!$F$6:$F$135,'FCPIS F'!$B$6:$B$135,'PIS F AVG'!$A26,'FCPIS F'!$C$6:$C$135,'PIS F AVG'!$B26)*1000</f>
        <v>0</v>
      </c>
      <c r="E26" s="13"/>
      <c r="F26" s="4">
        <f>SUMIFS('FCPIS F'!$S$138:$S$225,'FCPIS F'!$B$138:$B$225,'PIS F AVG'!$A26,'FCPIS F'!$C$138:$C$225,'PIS F AVG'!$B26)*1000</f>
        <v>0</v>
      </c>
      <c r="G26" s="13"/>
      <c r="H26" s="4">
        <f>SUMIFS('FCPIS F'!$S$228:$S$278,'FCPIS F'!$B$228:$B$278,'PIS F AVG'!$A26,'FCPIS F'!$C$228:$C$278,'PIS F AVG'!$B26)*-1000</f>
        <v>0</v>
      </c>
      <c r="I26" s="13"/>
      <c r="J26" s="4">
        <f>SUMIFS('FCPIS F'!$S$395:$S$416,'FCPIS F'!$B$395:$B$416,'PIS F AVG'!$A26,'FCPIS F'!$C$395:$C$416,'PIS F AVG'!$B26)*1000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4">
        <f>SUMIFS('FCPIS F'!$T$6:$T$135,'FCPIS F'!$B$6:$B$135,'PIS F AVG'!$A26,'FCPIS F'!$C$6:$C$135,'PIS F AVG'!$B26)*1000</f>
        <v>0</v>
      </c>
      <c r="Q26" s="2"/>
      <c r="R26" s="9">
        <f>SUMIFS('FCPIS F'!$T$281:$T$408,'FCPIS F'!$B$281:$B$408,'PIS F AVG'!$A26,'FCPIS F'!$C$281:$C$408,'PIS F AVG'!$B26)*-1000</f>
        <v>0</v>
      </c>
      <c r="S26" s="2"/>
      <c r="T26" s="9">
        <f t="shared" si="4"/>
        <v>0</v>
      </c>
      <c r="V26" s="9">
        <f t="shared" si="6"/>
        <v>0</v>
      </c>
      <c r="W26" s="13"/>
      <c r="X26" s="9">
        <f t="shared" si="2"/>
        <v>0</v>
      </c>
      <c r="Y26" s="4">
        <f>SUMIFS('FCPIS F'!$R$6:$R$135,'FCPIS F'!$B$6:$B$135,'PIS F AVG'!$A26,'FCPIS F'!$C$6:$C$135,'PIS F AVG'!$B26)*1000</f>
        <v>0</v>
      </c>
      <c r="Z26" s="4">
        <f t="shared" si="3"/>
        <v>0</v>
      </c>
    </row>
    <row r="27" spans="1:26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 AVG'!$A27,'FCPIS F'!$C$6:$C$135,'PIS F AVG'!$B27)*1000</f>
        <v>367963.87</v>
      </c>
      <c r="E27" s="13"/>
      <c r="F27" s="4">
        <f>SUMIFS('FCPIS F'!$S$138:$S$225,'FCPIS F'!$B$138:$B$225,'PIS F AVG'!$A27,'FCPIS F'!$C$138:$C$225,'PIS F AVG'!$B27)*1000</f>
        <v>0</v>
      </c>
      <c r="G27" s="13"/>
      <c r="H27" s="4">
        <f>SUMIFS('FCPIS F'!$S$228:$S$278,'FCPIS F'!$B$228:$B$278,'PIS F AVG'!$A27,'FCPIS F'!$C$228:$C$278,'PIS F AVG'!$B27)*-1000</f>
        <v>0</v>
      </c>
      <c r="I27" s="13"/>
      <c r="J27" s="4">
        <f>SUMIFS('FCPIS F'!$S$395:$S$416,'FCPIS F'!$B$395:$B$416,'PIS F AVG'!$A27,'FCPIS F'!$C$395:$C$416,'PIS F AVG'!$B27)*1000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4">
        <f>SUMIFS('FCPIS F'!$T$6:$T$135,'FCPIS F'!$B$6:$B$135,'PIS F AVG'!$A27,'FCPIS F'!$C$6:$C$135,'PIS F AVG'!$B27)*1000</f>
        <v>367963.86999999994</v>
      </c>
      <c r="Q27" s="2"/>
      <c r="R27" s="9">
        <f>SUMIFS('FCPIS F'!$T$281:$T$408,'FCPIS F'!$B$281:$B$408,'PIS F AVG'!$A27,'FCPIS F'!$C$281:$C$408,'PIS F AVG'!$B27)*-1000</f>
        <v>-62784.092886862905</v>
      </c>
      <c r="S27" s="2"/>
      <c r="T27" s="9">
        <f t="shared" si="4"/>
        <v>305179.77711313701</v>
      </c>
      <c r="V27" s="9">
        <f t="shared" si="6"/>
        <v>0</v>
      </c>
      <c r="W27" s="13"/>
      <c r="X27" s="9">
        <f t="shared" si="2"/>
        <v>-62784.092886862905</v>
      </c>
      <c r="Y27" s="4">
        <f>SUMIFS('FCPIS F'!$R$6:$R$135,'FCPIS F'!$B$6:$B$135,'PIS F AVG'!$A27,'FCPIS F'!$C$6:$C$135,'PIS F AVG'!$B27)*1000</f>
        <v>367963.87</v>
      </c>
      <c r="Z27" s="4">
        <f t="shared" si="3"/>
        <v>0</v>
      </c>
    </row>
    <row r="28" spans="1:26">
      <c r="A28" s="6" t="s">
        <v>923</v>
      </c>
      <c r="C28" s="782" t="s">
        <v>878</v>
      </c>
      <c r="D28" s="130">
        <f>SUMIFS('FCPIS F'!$F$6:$F$135,'FCPIS F'!$B$6:$B$135,'PIS F AVG'!$A28,'FCPIS F'!$C$6:$C$135,'PIS F AVG'!$B28)*1000</f>
        <v>0</v>
      </c>
      <c r="E28" s="130"/>
      <c r="F28" s="130">
        <f>SUMIFS('FCPIS F'!$S$138:$S$225,'FCPIS F'!$B$138:$B$225,'PIS F AVG'!$A28,'FCPIS F'!$C$138:$C$225,'PIS F AVG'!$B28)*1000</f>
        <v>0</v>
      </c>
      <c r="G28" s="130"/>
      <c r="H28" s="130">
        <f>SUMIFS('FCPIS F'!$S$228:$S$278,'FCPIS F'!$B$228:$B$278,'PIS F AVG'!$A28,'FCPIS F'!$C$228:$C$278,'PIS F AVG'!$B28)*-1000</f>
        <v>0</v>
      </c>
      <c r="I28" s="130"/>
      <c r="J28" s="130">
        <f>SUMIFS('FCPIS F'!$S$395:$S$416,'FCPIS F'!$B$395:$B$416,'PIS F AVG'!$A28,'FCPIS F'!$C$395:$C$416,'PIS F AVG'!$B28)*1000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4">
        <f>SUMIFS('FCPIS F'!$T$6:$T$135,'FCPIS F'!$B$6:$B$135,'PIS F AVG'!$A28,'FCPIS F'!$C$6:$C$135,'PIS F AVG'!$B28)*1000</f>
        <v>0</v>
      </c>
      <c r="Q28" s="129"/>
      <c r="R28" s="783">
        <f>SUMIFS('FCPIS F'!$T$281:$T$408,'FCPIS F'!$B$281:$B$408,'PIS F AVG'!$A28,'FCPIS F'!$C$281:$C$408,'PIS F AVG'!$B28)*-1000</f>
        <v>0</v>
      </c>
      <c r="S28" s="129"/>
      <c r="T28" s="783">
        <f t="shared" si="4"/>
        <v>0</v>
      </c>
      <c r="U28" s="129"/>
      <c r="V28" s="783">
        <f t="shared" si="6"/>
        <v>0</v>
      </c>
      <c r="W28" s="2"/>
      <c r="X28" s="9">
        <f t="shared" si="2"/>
        <v>0</v>
      </c>
      <c r="Y28" s="4">
        <f>SUMIFS('FCPIS F'!$R$6:$R$135,'FCPIS F'!$B$6:$B$135,'PIS F AVG'!$A28,'FCPIS F'!$C$6:$C$135,'PIS F AVG'!$B28)*1000</f>
        <v>0</v>
      </c>
      <c r="Z28" s="4">
        <f t="shared" si="3"/>
        <v>0</v>
      </c>
    </row>
    <row r="29" spans="1:26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1557116234.8692279</v>
      </c>
      <c r="Q29" s="129"/>
      <c r="R29" s="784">
        <f>SUM(R11:R28)</f>
        <v>-556551320.25113106</v>
      </c>
      <c r="S29" s="129"/>
      <c r="T29" s="784">
        <f>SUM(T11:T28)</f>
        <v>1000564914.6180969</v>
      </c>
      <c r="U29" s="129"/>
      <c r="V29" s="784">
        <f>'FC CWIP &amp; RWIP F'!Q22*1000</f>
        <v>1395118.6769230769</v>
      </c>
      <c r="W29" s="2"/>
      <c r="X29" s="784">
        <f t="shared" si="2"/>
        <v>-555156201.57420802</v>
      </c>
      <c r="Y29" s="4"/>
      <c r="Z29" s="4"/>
    </row>
    <row r="30" spans="1:26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4"/>
      <c r="Q30" s="129"/>
      <c r="R30" s="129"/>
      <c r="S30" s="129"/>
      <c r="T30" s="129"/>
      <c r="U30" s="129"/>
      <c r="V30" s="9"/>
      <c r="W30" s="2"/>
      <c r="X30" s="9"/>
      <c r="Y30" s="4"/>
      <c r="Z30" s="4"/>
    </row>
    <row r="31" spans="1:26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4"/>
      <c r="Q31" s="129"/>
      <c r="R31" s="129"/>
      <c r="S31" s="129"/>
      <c r="T31" s="129"/>
      <c r="U31" s="129"/>
      <c r="V31" s="9"/>
      <c r="W31" s="2"/>
      <c r="X31" s="9"/>
      <c r="Y31" s="4"/>
      <c r="Z31" s="4"/>
    </row>
    <row r="32" spans="1:26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 AVG'!$A32,'FCPIS F'!$C$6:$C$135,'PIS F AVG'!$B32)*1000</f>
        <v>7134532.4400000004</v>
      </c>
      <c r="E32" s="130"/>
      <c r="F32" s="130">
        <f>SUMIFS('FCPIS F'!$S$138:$S$225,'FCPIS F'!$B$138:$B$225,'PIS F AVG'!$A32,'FCPIS F'!$C$138:$C$225,'PIS F AVG'!$B32)*1000</f>
        <v>0</v>
      </c>
      <c r="G32" s="130"/>
      <c r="H32" s="130">
        <f>SUMIFS('FCPIS F'!$S$228:$S$278,'FCPIS F'!$B$228:$B$278,'PIS F AVG'!$A32,'FCPIS F'!$C$228:$C$278,'PIS F AVG'!$B32)*-1000</f>
        <v>-87767.08</v>
      </c>
      <c r="I32" s="130"/>
      <c r="J32" s="130">
        <f>SUMIFS('FCPIS F'!$S$395:$S$416,'FCPIS F'!$B$395:$B$416,'PIS F AVG'!$A32,'FCPIS F'!$C$395:$C$416,'PIS F AVG'!$B32)*1000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4">
        <f>SUMIFS('FCPIS F'!$T$6:$T$135,'FCPIS F'!$B$6:$B$135,'PIS F AVG'!$A32,'FCPIS F'!$C$6:$C$135,'PIS F AVG'!$B32)*1000</f>
        <v>7107527.1846153857</v>
      </c>
      <c r="Q32" s="129"/>
      <c r="R32" s="786">
        <f>SUMIFS('FCPIS F'!$T$281:$T$408,'FCPIS F'!$B$281:$B$408,'PIS F AVG'!$A32,'FCPIS F'!$C$281:$C$408,'PIS F AVG'!$B32)*-1000</f>
        <v>-3326439.486601836</v>
      </c>
      <c r="S32" s="129"/>
      <c r="T32" s="786">
        <f t="shared" ref="T32:T38" si="17">SUM(P32:R32)</f>
        <v>3781087.6980135497</v>
      </c>
      <c r="U32" s="129"/>
      <c r="V32" s="9"/>
      <c r="W32" s="2"/>
      <c r="X32" s="9">
        <f t="shared" ref="X32:X50" si="18">R32+V32</f>
        <v>-3326439.486601836</v>
      </c>
      <c r="Y32" s="4">
        <f>SUMIFS('FCPIS F'!$R$6:$R$135,'FCPIS F'!$B$6:$B$135,'PIS F AVG'!$A32,'FCPIS F'!$C$6:$C$135,'PIS F AVG'!$B32)*1000</f>
        <v>7046765.3600000003</v>
      </c>
      <c r="Z32" s="4">
        <f t="shared" ref="Z32:Z81" si="19">Y32-N32</f>
        <v>0</v>
      </c>
    </row>
    <row r="33" spans="1:26">
      <c r="A33" s="6" t="s">
        <v>923</v>
      </c>
      <c r="C33" s="129" t="s">
        <v>880</v>
      </c>
      <c r="D33" s="130">
        <f>SUMIFS('FCPIS F'!$F$6:$F$135,'FCPIS F'!$B$6:$B$135,'PIS F AVG'!$A33,'FCPIS F'!$C$6:$C$135,'PIS F AVG'!$B33)*1000</f>
        <v>0</v>
      </c>
      <c r="E33" s="130"/>
      <c r="F33" s="130">
        <f>SUMIFS('FCPIS F'!$S$138:$S$225,'FCPIS F'!$B$138:$B$225,'PIS F AVG'!$A33,'FCPIS F'!$C$138:$C$225,'PIS F AVG'!$B33)*1000</f>
        <v>0</v>
      </c>
      <c r="G33" s="130"/>
      <c r="H33" s="130">
        <f>SUMIFS('FCPIS F'!$S$228:$S$278,'FCPIS F'!$B$228:$B$278,'PIS F AVG'!$A33,'FCPIS F'!$C$228:$C$278,'PIS F AVG'!$B33)*-1000</f>
        <v>0</v>
      </c>
      <c r="I33" s="130"/>
      <c r="J33" s="130">
        <f>SUMIFS('FCPIS F'!$S$395:$S$416,'FCPIS F'!$B$395:$B$416,'PIS F AVG'!$A33,'FCPIS F'!$C$395:$C$416,'PIS F AVG'!$B33)*1000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4">
        <f>SUMIFS('FCPIS F'!$T$6:$T$135,'FCPIS F'!$B$6:$B$135,'PIS F AVG'!$A33,'FCPIS F'!$C$6:$C$135,'PIS F AVG'!$B33)*1000</f>
        <v>0</v>
      </c>
      <c r="Q33" s="129"/>
      <c r="R33" s="786">
        <f>SUMIFS('FCPIS F'!$T$281:$T$408,'FCPIS F'!$B$281:$B$408,'PIS F AVG'!$A33,'FCPIS F'!$C$281:$C$408,'PIS F AVG'!$B33)*-1000</f>
        <v>0</v>
      </c>
      <c r="S33" s="129"/>
      <c r="T33" s="786">
        <f t="shared" si="17"/>
        <v>0</v>
      </c>
      <c r="U33" s="129"/>
      <c r="V33" s="9"/>
      <c r="W33" s="2"/>
      <c r="X33" s="9">
        <f t="shared" si="18"/>
        <v>0</v>
      </c>
      <c r="Y33" s="4">
        <f>SUMIFS('FCPIS F'!$R$6:$R$135,'FCPIS F'!$B$6:$B$135,'PIS F AVG'!$A33,'FCPIS F'!$C$6:$C$135,'PIS F AVG'!$B33)*1000</f>
        <v>0</v>
      </c>
      <c r="Z33" s="4">
        <f t="shared" si="19"/>
        <v>0</v>
      </c>
    </row>
    <row r="34" spans="1:26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 AVG'!$A34,'FCPIS F'!$C$6:$C$135,'PIS F AVG'!$B34)*1000</f>
        <v>6786023.1999999993</v>
      </c>
      <c r="E34" s="130"/>
      <c r="F34" s="130">
        <f>SUMIFS('FCPIS F'!$S$138:$S$225,'FCPIS F'!$B$138:$B$225,'PIS F AVG'!$A34,'FCPIS F'!$C$138:$C$225,'PIS F AVG'!$B34)*1000</f>
        <v>599881.42000000004</v>
      </c>
      <c r="G34" s="130"/>
      <c r="H34" s="130">
        <f>SUMIFS('FCPIS F'!$S$228:$S$278,'FCPIS F'!$B$228:$B$278,'PIS F AVG'!$A34,'FCPIS F'!$C$228:$C$278,'PIS F AVG'!$B34)*-1000</f>
        <v>-73231.16</v>
      </c>
      <c r="I34" s="130"/>
      <c r="J34" s="130">
        <f>SUMIFS('FCPIS F'!$S$395:$S$416,'FCPIS F'!$B$395:$B$416,'PIS F AVG'!$A34,'FCPIS F'!$C$395:$C$416,'PIS F AVG'!$B34)*1000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4">
        <f>SUMIFS('FCPIS F'!$T$6:$T$135,'FCPIS F'!$B$6:$B$135,'PIS F AVG'!$A34,'FCPIS F'!$C$6:$C$135,'PIS F AVG'!$B34)*1000</f>
        <v>6957514.1876923023</v>
      </c>
      <c r="Q34" s="129"/>
      <c r="R34" s="786">
        <f>SUMIFS('FCPIS F'!$T$281:$T$408,'FCPIS F'!$B$281:$B$408,'PIS F AVG'!$A34,'FCPIS F'!$C$281:$C$408,'PIS F AVG'!$B34)*-1000</f>
        <v>-2938282.7071515382</v>
      </c>
      <c r="S34" s="129"/>
      <c r="T34" s="786">
        <f t="shared" si="17"/>
        <v>4019231.4805407641</v>
      </c>
      <c r="U34" s="129"/>
      <c r="V34" s="9"/>
      <c r="W34" s="2"/>
      <c r="X34" s="9">
        <f t="shared" si="18"/>
        <v>-2938282.7071515382</v>
      </c>
      <c r="Y34" s="4">
        <f>SUMIFS('FCPIS F'!$R$6:$R$135,'FCPIS F'!$B$6:$B$135,'PIS F AVG'!$A34,'FCPIS F'!$C$6:$C$135,'PIS F AVG'!$B34)*1000</f>
        <v>7312673.46</v>
      </c>
      <c r="Z34" s="4">
        <f t="shared" si="19"/>
        <v>0</v>
      </c>
    </row>
    <row r="35" spans="1:26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 AVG'!$A35,'FCPIS F'!$C$6:$C$135,'PIS F AVG'!$B35)*1000</f>
        <v>0</v>
      </c>
      <c r="E35" s="130"/>
      <c r="F35" s="130">
        <f>SUMIFS('FCPIS F'!$S$138:$S$225,'FCPIS F'!$B$138:$B$225,'PIS F AVG'!$A35,'FCPIS F'!$C$138:$C$225,'PIS F AVG'!$B35)*1000</f>
        <v>0</v>
      </c>
      <c r="G35" s="130"/>
      <c r="H35" s="130">
        <f>SUMIFS('FCPIS F'!$S$228:$S$278,'FCPIS F'!$B$228:$B$278,'PIS F AVG'!$A35,'FCPIS F'!$C$228:$C$278,'PIS F AVG'!$B35)*-1000</f>
        <v>0</v>
      </c>
      <c r="I35" s="130"/>
      <c r="J35" s="130">
        <f>SUMIFS('FCPIS F'!$S$395:$S$416,'FCPIS F'!$B$395:$B$416,'PIS F AVG'!$A35,'FCPIS F'!$C$395:$C$416,'PIS F AVG'!$B35)*1000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4">
        <f>SUMIFS('FCPIS F'!$T$6:$T$135,'FCPIS F'!$B$6:$B$135,'PIS F AVG'!$A35,'FCPIS F'!$C$6:$C$135,'PIS F AVG'!$B35)*1000</f>
        <v>0</v>
      </c>
      <c r="Q35" s="129"/>
      <c r="R35" s="786">
        <f>SUMIFS('FCPIS F'!$T$281:$T$408,'FCPIS F'!$B$281:$B$408,'PIS F AVG'!$A35,'FCPIS F'!$C$281:$C$408,'PIS F AVG'!$B35)*-1000</f>
        <v>0</v>
      </c>
      <c r="S35" s="129"/>
      <c r="T35" s="786">
        <f t="shared" si="17"/>
        <v>0</v>
      </c>
      <c r="U35" s="129"/>
      <c r="V35" s="9"/>
      <c r="W35" s="2"/>
      <c r="X35" s="9">
        <f t="shared" si="18"/>
        <v>0</v>
      </c>
      <c r="Y35" s="4">
        <f>SUMIFS('FCPIS F'!$R$6:$R$135,'FCPIS F'!$B$6:$B$135,'PIS F AVG'!$A35,'FCPIS F'!$C$6:$C$135,'PIS F AVG'!$B35)*1000</f>
        <v>0</v>
      </c>
      <c r="Z35" s="4">
        <f t="shared" si="19"/>
        <v>0</v>
      </c>
    </row>
    <row r="36" spans="1:26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 AVG'!$A36,'FCPIS F'!$C$6:$C$135,'PIS F AVG'!$B36)*1000</f>
        <v>2084182.35</v>
      </c>
      <c r="E36" s="130"/>
      <c r="F36" s="130">
        <f>SUMIFS('FCPIS F'!$S$138:$S$225,'FCPIS F'!$B$138:$B$225,'PIS F AVG'!$A36,'FCPIS F'!$C$138:$C$225,'PIS F AVG'!$B36)*1000</f>
        <v>0</v>
      </c>
      <c r="G36" s="130"/>
      <c r="H36" s="130">
        <f>SUMIFS('FCPIS F'!$S$228:$S$278,'FCPIS F'!$B$228:$B$278,'PIS F AVG'!$A36,'FCPIS F'!$C$228:$C$278,'PIS F AVG'!$B36)*-1000</f>
        <v>0</v>
      </c>
      <c r="I36" s="130"/>
      <c r="J36" s="130">
        <f>SUMIFS('FCPIS F'!$S$395:$S$416,'FCPIS F'!$B$395:$B$416,'PIS F AVG'!$A36,'FCPIS F'!$C$395:$C$416,'PIS F AVG'!$B36)*1000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4">
        <f>SUMIFS('FCPIS F'!$T$6:$T$135,'FCPIS F'!$B$6:$B$135,'PIS F AVG'!$A36,'FCPIS F'!$C$6:$C$135,'PIS F AVG'!$B36)*1000</f>
        <v>2084182.35</v>
      </c>
      <c r="Q36" s="129"/>
      <c r="R36" s="786">
        <f>SUMIFS('FCPIS F'!$T$281:$T$408,'FCPIS F'!$B$281:$B$408,'PIS F AVG'!$A36,'FCPIS F'!$C$281:$C$408,'PIS F AVG'!$B36)*-1000</f>
        <v>-1620717.2106283</v>
      </c>
      <c r="S36" s="129"/>
      <c r="T36" s="786">
        <f t="shared" si="17"/>
        <v>463465.13937170012</v>
      </c>
      <c r="U36" s="129"/>
      <c r="V36" s="9"/>
      <c r="W36" s="2"/>
      <c r="X36" s="9">
        <f t="shared" si="18"/>
        <v>-1620717.2106283</v>
      </c>
      <c r="Y36" s="4">
        <f>SUMIFS('FCPIS F'!$R$6:$R$135,'FCPIS F'!$B$6:$B$135,'PIS F AVG'!$A36,'FCPIS F'!$C$6:$C$135,'PIS F AVG'!$B36)*1000</f>
        <v>2084182.35</v>
      </c>
      <c r="Z36" s="4">
        <f t="shared" si="19"/>
        <v>0</v>
      </c>
    </row>
    <row r="37" spans="1:26">
      <c r="A37" s="6" t="s">
        <v>923</v>
      </c>
      <c r="C37" s="129" t="s">
        <v>882</v>
      </c>
      <c r="D37" s="130">
        <f>SUMIFS('FCPIS F'!$F$6:$F$135,'FCPIS F'!$B$6:$B$135,'PIS F AVG'!$A37,'FCPIS F'!$C$6:$C$135,'PIS F AVG'!$B37)*1000</f>
        <v>0</v>
      </c>
      <c r="E37" s="130"/>
      <c r="F37" s="130">
        <f>SUMIFS('FCPIS F'!$S$138:$S$225,'FCPIS F'!$B$138:$B$225,'PIS F AVG'!$A37,'FCPIS F'!$C$138:$C$225,'PIS F AVG'!$B37)*1000</f>
        <v>0</v>
      </c>
      <c r="G37" s="130"/>
      <c r="H37" s="130">
        <f>SUMIFS('FCPIS F'!$S$228:$S$278,'FCPIS F'!$B$228:$B$278,'PIS F AVG'!$A37,'FCPIS F'!$C$228:$C$278,'PIS F AVG'!$B37)*-1000</f>
        <v>0</v>
      </c>
      <c r="I37" s="130"/>
      <c r="J37" s="130">
        <f>SUMIFS('FCPIS F'!$S$395:$S$416,'FCPIS F'!$B$395:$B$416,'PIS F AVG'!$A37,'FCPIS F'!$C$395:$C$416,'PIS F AVG'!$B37)*1000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4">
        <f>SUMIFS('FCPIS F'!$T$6:$T$135,'FCPIS F'!$B$6:$B$135,'PIS F AVG'!$A37,'FCPIS F'!$C$6:$C$135,'PIS F AVG'!$B37)*1000</f>
        <v>0</v>
      </c>
      <c r="Q37" s="787"/>
      <c r="R37" s="783">
        <f>SUMIFS('FCPIS F'!$T$281:$T$408,'FCPIS F'!$B$281:$B$408,'PIS F AVG'!$A37,'FCPIS F'!$C$281:$C$408,'PIS F AVG'!$B37)*-1000</f>
        <v>0</v>
      </c>
      <c r="S37" s="787"/>
      <c r="T37" s="783">
        <f t="shared" si="17"/>
        <v>0</v>
      </c>
      <c r="U37" s="129"/>
      <c r="V37" s="9"/>
      <c r="W37" s="2"/>
      <c r="X37" s="9">
        <f t="shared" si="18"/>
        <v>0</v>
      </c>
      <c r="Y37" s="4">
        <f>SUMIFS('FCPIS F'!$R$6:$R$135,'FCPIS F'!$B$6:$B$135,'PIS F AVG'!$A37,'FCPIS F'!$C$6:$C$135,'PIS F AVG'!$B37)*1000</f>
        <v>0</v>
      </c>
      <c r="Z37" s="4">
        <f t="shared" si="19"/>
        <v>0</v>
      </c>
    </row>
    <row r="38" spans="1:26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 AVG'!$A38,'FCPIS F'!$C$6:$C$135,'PIS F AVG'!$B38)*1000</f>
        <v>7061420.1899999995</v>
      </c>
      <c r="E38" s="130"/>
      <c r="F38" s="130">
        <f>SUMIFS('FCPIS F'!$S$138:$S$225,'FCPIS F'!$B$138:$B$225,'PIS F AVG'!$A38,'FCPIS F'!$C$138:$C$225,'PIS F AVG'!$B38)*1000</f>
        <v>176833.34</v>
      </c>
      <c r="G38" s="130"/>
      <c r="H38" s="130">
        <f>SUMIFS('FCPIS F'!$S$228:$S$278,'FCPIS F'!$B$228:$B$278,'PIS F AVG'!$A38,'FCPIS F'!$C$228:$C$278,'PIS F AVG'!$B38)*-1000</f>
        <v>0</v>
      </c>
      <c r="I38" s="130"/>
      <c r="J38" s="130">
        <f>SUMIFS('FCPIS F'!$S$395:$S$416,'FCPIS F'!$B$395:$B$416,'PIS F AVG'!$A38,'FCPIS F'!$C$395:$C$416,'PIS F AVG'!$B38)*1000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4">
        <f>SUMIFS('FCPIS F'!$T$6:$T$135,'FCPIS F'!$B$6:$B$135,'PIS F AVG'!$A38,'FCPIS F'!$C$6:$C$135,'PIS F AVG'!$B38)*1000</f>
        <v>7172349.6961538456</v>
      </c>
      <c r="Q38" s="129"/>
      <c r="R38" s="783">
        <f>SUMIFS('FCPIS F'!$T$281:$T$408,'FCPIS F'!$B$281:$B$408,'PIS F AVG'!$A38,'FCPIS F'!$C$281:$C$408,'PIS F AVG'!$B38)*-1000</f>
        <v>-4081574.9751269231</v>
      </c>
      <c r="S38" s="129"/>
      <c r="T38" s="783">
        <f t="shared" si="17"/>
        <v>3090774.7210269226</v>
      </c>
      <c r="U38" s="129"/>
      <c r="V38" s="9"/>
      <c r="W38" s="2"/>
      <c r="X38" s="9">
        <f t="shared" si="18"/>
        <v>-4081574.9751269231</v>
      </c>
      <c r="Y38" s="4">
        <f>SUMIFS('FCPIS F'!$R$6:$R$135,'FCPIS F'!$B$6:$B$135,'PIS F AVG'!$A38,'FCPIS F'!$C$6:$C$135,'PIS F AVG'!$B38)*1000</f>
        <v>7238253.5300000003</v>
      </c>
      <c r="Z38" s="4">
        <f t="shared" si="19"/>
        <v>0</v>
      </c>
    </row>
    <row r="39" spans="1:26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23321573.418461531</v>
      </c>
      <c r="Q39" s="129"/>
      <c r="R39" s="784">
        <f>SUM(R32:R38)</f>
        <v>-11967014.379508598</v>
      </c>
      <c r="S39" s="129"/>
      <c r="T39" s="784">
        <f>SUM(T32:T38)</f>
        <v>11354559.038952935</v>
      </c>
      <c r="U39" s="129"/>
      <c r="V39" s="784">
        <f>'FC CWIP &amp; RWIP F'!Q23*1000</f>
        <v>0</v>
      </c>
      <c r="W39" s="2"/>
      <c r="X39" s="784">
        <f t="shared" si="18"/>
        <v>-11967014.379508598</v>
      </c>
      <c r="Y39" s="4"/>
      <c r="Z39" s="4"/>
    </row>
    <row r="40" spans="1:26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4"/>
      <c r="Q40" s="129"/>
      <c r="R40" s="129"/>
      <c r="S40" s="129"/>
      <c r="T40" s="129"/>
      <c r="U40" s="129"/>
      <c r="V40" s="9"/>
      <c r="W40" s="2"/>
      <c r="X40" s="9"/>
      <c r="Y40" s="4"/>
      <c r="Z40" s="4"/>
    </row>
    <row r="41" spans="1:26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4"/>
      <c r="Q41" s="129"/>
      <c r="R41" s="129"/>
      <c r="S41" s="129"/>
      <c r="T41" s="129"/>
      <c r="U41" s="129"/>
      <c r="V41" s="9"/>
      <c r="W41" s="2"/>
      <c r="X41" s="9"/>
      <c r="Y41" s="4"/>
      <c r="Z41" s="4"/>
    </row>
    <row r="42" spans="1:26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 AVG'!$A42,'FCPIS F'!$C$6:$C$135,'PIS F AVG'!$B42)*1000</f>
        <v>6.5</v>
      </c>
      <c r="E42" s="13"/>
      <c r="F42" s="4">
        <f>SUMIFS('FCPIS F'!$S$138:$S$225,'FCPIS F'!$B$138:$B$225,'PIS F AVG'!$A42,'FCPIS F'!$C$138:$C$225,'PIS F AVG'!$B42)*1000</f>
        <v>0</v>
      </c>
      <c r="G42" s="13"/>
      <c r="H42" s="4">
        <f>SUMIFS('FCPIS F'!$S$228:$S$278,'FCPIS F'!$B$228:$B$278,'PIS F AVG'!$A42,'FCPIS F'!$C$228:$C$278,'PIS F AVG'!$B42)*-1000</f>
        <v>0</v>
      </c>
      <c r="I42" s="13"/>
      <c r="J42" s="4">
        <f>SUMIFS('FCPIS F'!$S$395:$S$416,'FCPIS F'!$B$395:$B$416,'PIS F AVG'!$A42,'FCPIS F'!$C$395:$C$416,'PIS F AVG'!$B42)*1000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4">
        <f>SUMIFS('FCPIS F'!$T$6:$T$135,'FCPIS F'!$B$6:$B$135,'PIS F AVG'!$A42,'FCPIS F'!$C$6:$C$135,'PIS F AVG'!$B42)*1000</f>
        <v>6.5000000000000018</v>
      </c>
      <c r="Q42" s="2"/>
      <c r="R42" s="9">
        <f>SUMIFS('FCPIS F'!$T$281:$T$408,'FCPIS F'!$B$281:$B$408,'PIS F AVG'!$A42,'FCPIS F'!$C$281:$C$408,'PIS F AVG'!$B42)*-1000</f>
        <v>0</v>
      </c>
      <c r="S42" s="2"/>
      <c r="T42" s="9">
        <f t="shared" ref="T42:T49" si="22">SUM(P42:R42)</f>
        <v>6.5000000000000018</v>
      </c>
      <c r="V42" s="9">
        <f>F42/F$50*V$50</f>
        <v>0</v>
      </c>
      <c r="W42" s="13"/>
      <c r="X42" s="9">
        <f t="shared" si="18"/>
        <v>0</v>
      </c>
      <c r="Y42" s="4">
        <f>SUMIFS('FCPIS F'!$R$6:$R$135,'FCPIS F'!$B$6:$B$135,'PIS F AVG'!$A42,'FCPIS F'!$C$6:$C$135,'PIS F AVG'!$B42)*1000</f>
        <v>6.5</v>
      </c>
      <c r="Z42" s="4">
        <f t="shared" si="19"/>
        <v>0</v>
      </c>
    </row>
    <row r="43" spans="1:26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 AVG'!$A43,'FCPIS F'!$C$6:$C$135,'PIS F AVG'!$B43)*1000</f>
        <v>12870684.619999999</v>
      </c>
      <c r="E43" s="13"/>
      <c r="F43" s="4">
        <f>SUMIFS('FCPIS F'!$S$138:$S$225,'FCPIS F'!$B$138:$B$225,'PIS F AVG'!$A43,'FCPIS F'!$C$138:$C$225,'PIS F AVG'!$B43)*1000</f>
        <v>0</v>
      </c>
      <c r="G43" s="13"/>
      <c r="H43" s="4">
        <f>SUMIFS('FCPIS F'!$S$228:$S$278,'FCPIS F'!$B$228:$B$278,'PIS F AVG'!$A43,'FCPIS F'!$C$228:$C$278,'PIS F AVG'!$B43)*-1000</f>
        <v>0</v>
      </c>
      <c r="I43" s="13"/>
      <c r="J43" s="4">
        <f>SUMIFS('FCPIS F'!$S$395:$S$416,'FCPIS F'!$B$395:$B$416,'PIS F AVG'!$A43,'FCPIS F'!$C$395:$C$416,'PIS F AVG'!$B43)*1000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4">
        <f>SUMIFS('FCPIS F'!$T$6:$T$135,'FCPIS F'!$B$6:$B$135,'PIS F AVG'!$A43,'FCPIS F'!$C$6:$C$135,'PIS F AVG'!$B43)*1000</f>
        <v>12870684.620000001</v>
      </c>
      <c r="Q43" s="2"/>
      <c r="R43" s="9">
        <f>SUMIFS('FCPIS F'!$T$281:$T$408,'FCPIS F'!$B$281:$B$408,'PIS F AVG'!$A43,'FCPIS F'!$C$281:$C$408,'PIS F AVG'!$B43)*-1000</f>
        <v>-4777223.1038728692</v>
      </c>
      <c r="S43" s="2"/>
      <c r="T43" s="9">
        <f t="shared" si="22"/>
        <v>8093461.5161271319</v>
      </c>
      <c r="V43" s="9">
        <f t="shared" ref="V43:V49" si="23">F43/F$50*V$50</f>
        <v>0</v>
      </c>
      <c r="W43" s="13"/>
      <c r="X43" s="9">
        <f t="shared" si="18"/>
        <v>-4777223.1038728692</v>
      </c>
      <c r="Y43" s="4">
        <f>SUMIFS('FCPIS F'!$R$6:$R$135,'FCPIS F'!$B$6:$B$135,'PIS F AVG'!$A43,'FCPIS F'!$C$6:$C$135,'PIS F AVG'!$B43)*1000</f>
        <v>12870684.619999999</v>
      </c>
      <c r="Z43" s="4">
        <f t="shared" si="19"/>
        <v>0</v>
      </c>
    </row>
    <row r="44" spans="1:26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 AVG'!$A44,'FCPIS F'!$C$6:$C$135,'PIS F AVG'!$B44)*1000</f>
        <v>26209847.310000002</v>
      </c>
      <c r="E44" s="13"/>
      <c r="F44" s="4">
        <f>SUMIFS('FCPIS F'!$S$138:$S$225,'FCPIS F'!$B$138:$B$225,'PIS F AVG'!$A44,'FCPIS F'!$C$138:$C$225,'PIS F AVG'!$B44)*1000</f>
        <v>0</v>
      </c>
      <c r="G44" s="13"/>
      <c r="H44" s="4">
        <f>SUMIFS('FCPIS F'!$S$228:$S$278,'FCPIS F'!$B$228:$B$278,'PIS F AVG'!$A44,'FCPIS F'!$C$228:$C$278,'PIS F AVG'!$B44)*-1000</f>
        <v>0</v>
      </c>
      <c r="I44" s="13"/>
      <c r="J44" s="4">
        <f>SUMIFS('FCPIS F'!$S$395:$S$416,'FCPIS F'!$B$395:$B$416,'PIS F AVG'!$A44,'FCPIS F'!$C$395:$C$416,'PIS F AVG'!$B44)*1000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4">
        <f>SUMIFS('FCPIS F'!$T$6:$T$135,'FCPIS F'!$B$6:$B$135,'PIS F AVG'!$A44,'FCPIS F'!$C$6:$C$135,'PIS F AVG'!$B44)*1000</f>
        <v>26209847.310000002</v>
      </c>
      <c r="Q44" s="2"/>
      <c r="R44" s="9">
        <f>SUMIFS('FCPIS F'!$T$281:$T$408,'FCPIS F'!$B$281:$B$408,'PIS F AVG'!$A44,'FCPIS F'!$C$281:$C$408,'PIS F AVG'!$B44)*-1000</f>
        <v>-4155146.2993661999</v>
      </c>
      <c r="S44" s="2"/>
      <c r="T44" s="9">
        <f t="shared" si="22"/>
        <v>22054701.010633804</v>
      </c>
      <c r="V44" s="9">
        <f t="shared" si="23"/>
        <v>0</v>
      </c>
      <c r="W44" s="13"/>
      <c r="X44" s="9">
        <f t="shared" si="18"/>
        <v>-4155146.2993661999</v>
      </c>
      <c r="Y44" s="4">
        <f>SUMIFS('FCPIS F'!$R$6:$R$135,'FCPIS F'!$B$6:$B$135,'PIS F AVG'!$A44,'FCPIS F'!$C$6:$C$135,'PIS F AVG'!$B44)*1000</f>
        <v>26209847.310000002</v>
      </c>
      <c r="Z44" s="4">
        <f t="shared" si="19"/>
        <v>0</v>
      </c>
    </row>
    <row r="45" spans="1:26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 AVG'!$A45,'FCPIS F'!$C$6:$C$135,'PIS F AVG'!$B45)*1000</f>
        <v>101920448.2</v>
      </c>
      <c r="E45" s="13"/>
      <c r="F45" s="4">
        <f>SUMIFS('FCPIS F'!$S$138:$S$225,'FCPIS F'!$B$138:$B$225,'PIS F AVG'!$A45,'FCPIS F'!$C$138:$C$225,'PIS F AVG'!$B45)*1000</f>
        <v>0</v>
      </c>
      <c r="G45" s="13"/>
      <c r="H45" s="4">
        <f>SUMIFS('FCPIS F'!$S$228:$S$278,'FCPIS F'!$B$228:$B$278,'PIS F AVG'!$A45,'FCPIS F'!$C$228:$C$278,'PIS F AVG'!$B45)*-1000</f>
        <v>0</v>
      </c>
      <c r="I45" s="13"/>
      <c r="J45" s="4">
        <f>SUMIFS('FCPIS F'!$S$395:$S$416,'FCPIS F'!$B$395:$B$416,'PIS F AVG'!$A45,'FCPIS F'!$C$395:$C$416,'PIS F AVG'!$B45)*1000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4">
        <f>SUMIFS('FCPIS F'!$T$6:$T$135,'FCPIS F'!$B$6:$B$135,'PIS F AVG'!$A45,'FCPIS F'!$C$6:$C$135,'PIS F AVG'!$B45)*1000</f>
        <v>101920448.2</v>
      </c>
      <c r="Q45" s="2"/>
      <c r="R45" s="9">
        <f>SUMIFS('FCPIS F'!$T$281:$T$408,'FCPIS F'!$B$281:$B$408,'PIS F AVG'!$A45,'FCPIS F'!$C$281:$C$408,'PIS F AVG'!$B45)*-1000</f>
        <v>-7086123.7091219909</v>
      </c>
      <c r="S45" s="2"/>
      <c r="T45" s="9">
        <f t="shared" si="22"/>
        <v>94834324.490878016</v>
      </c>
      <c r="V45" s="9">
        <f t="shared" si="23"/>
        <v>0</v>
      </c>
      <c r="W45" s="13"/>
      <c r="X45" s="9">
        <f t="shared" si="18"/>
        <v>-7086123.7091219909</v>
      </c>
      <c r="Y45" s="4">
        <f>SUMIFS('FCPIS F'!$R$6:$R$135,'FCPIS F'!$B$6:$B$135,'PIS F AVG'!$A45,'FCPIS F'!$C$6:$C$135,'PIS F AVG'!$B45)*1000</f>
        <v>101920448.2</v>
      </c>
      <c r="Z45" s="4">
        <f t="shared" si="19"/>
        <v>0</v>
      </c>
    </row>
    <row r="46" spans="1:26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 AVG'!$A46,'FCPIS F'!$C$6:$C$135,'PIS F AVG'!$B46)*1000</f>
        <v>13160323.68</v>
      </c>
      <c r="E46" s="13"/>
      <c r="F46" s="4">
        <f>SUMIFS('FCPIS F'!$S$138:$S$225,'FCPIS F'!$B$138:$B$225,'PIS F AVG'!$A46,'FCPIS F'!$C$138:$C$225,'PIS F AVG'!$B46)*1000</f>
        <v>0</v>
      </c>
      <c r="G46" s="13"/>
      <c r="H46" s="4">
        <f>SUMIFS('FCPIS F'!$S$228:$S$278,'FCPIS F'!$B$228:$B$278,'PIS F AVG'!$A46,'FCPIS F'!$C$228:$C$278,'PIS F AVG'!$B46)*-1000</f>
        <v>0</v>
      </c>
      <c r="I46" s="13"/>
      <c r="J46" s="4">
        <f>SUMIFS('FCPIS F'!$S$395:$S$416,'FCPIS F'!$B$395:$B$416,'PIS F AVG'!$A46,'FCPIS F'!$C$395:$C$416,'PIS F AVG'!$B46)*1000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4">
        <f>SUMIFS('FCPIS F'!$T$6:$T$135,'FCPIS F'!$B$6:$B$135,'PIS F AVG'!$A46,'FCPIS F'!$C$6:$C$135,'PIS F AVG'!$B46)*1000</f>
        <v>13160323.68</v>
      </c>
      <c r="Q46" s="2"/>
      <c r="R46" s="9">
        <f>SUMIFS('FCPIS F'!$T$281:$T$408,'FCPIS F'!$B$281:$B$408,'PIS F AVG'!$A46,'FCPIS F'!$C$281:$C$408,'PIS F AVG'!$B46)*-1000</f>
        <v>-3557959.088</v>
      </c>
      <c r="S46" s="2"/>
      <c r="T46" s="9">
        <f t="shared" si="22"/>
        <v>9602364.5920000002</v>
      </c>
      <c r="V46" s="9">
        <f t="shared" si="23"/>
        <v>0</v>
      </c>
      <c r="W46" s="13"/>
      <c r="X46" s="9">
        <f t="shared" si="18"/>
        <v>-3557959.088</v>
      </c>
      <c r="Y46" s="4">
        <f>SUMIFS('FCPIS F'!$R$6:$R$135,'FCPIS F'!$B$6:$B$135,'PIS F AVG'!$A46,'FCPIS F'!$C$6:$C$135,'PIS F AVG'!$B46)*1000</f>
        <v>13160323.68</v>
      </c>
      <c r="Z46" s="4">
        <f t="shared" si="19"/>
        <v>0</v>
      </c>
    </row>
    <row r="47" spans="1:26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 AVG'!$A47,'FCPIS F'!$C$6:$C$135,'PIS F AVG'!$B47)*1000</f>
        <v>3563125.77</v>
      </c>
      <c r="E47" s="13"/>
      <c r="F47" s="4">
        <f>SUMIFS('FCPIS F'!$S$138:$S$225,'FCPIS F'!$B$138:$B$225,'PIS F AVG'!$A47,'FCPIS F'!$C$138:$C$225,'PIS F AVG'!$B47)*1000</f>
        <v>0</v>
      </c>
      <c r="G47" s="13"/>
      <c r="H47" s="4">
        <f>SUMIFS('FCPIS F'!$S$228:$S$278,'FCPIS F'!$B$228:$B$278,'PIS F AVG'!$A47,'FCPIS F'!$C$228:$C$278,'PIS F AVG'!$B47)*-1000</f>
        <v>0</v>
      </c>
      <c r="I47" s="13"/>
      <c r="J47" s="4">
        <f>SUMIFS('FCPIS F'!$S$395:$S$416,'FCPIS F'!$B$395:$B$416,'PIS F AVG'!$A47,'FCPIS F'!$C$395:$C$416,'PIS F AVG'!$B47)*1000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4">
        <f>SUMIFS('FCPIS F'!$T$6:$T$135,'FCPIS F'!$B$6:$B$135,'PIS F AVG'!$A47,'FCPIS F'!$C$6:$C$135,'PIS F AVG'!$B47)*1000</f>
        <v>3563125.7699999991</v>
      </c>
      <c r="Q47" s="2"/>
      <c r="R47" s="9">
        <f>SUMIFS('FCPIS F'!$T$281:$T$408,'FCPIS F'!$B$281:$B$408,'PIS F AVG'!$A47,'FCPIS F'!$C$281:$C$408,'PIS F AVG'!$B47)*-1000</f>
        <v>-472843.508150607</v>
      </c>
      <c r="S47" s="2"/>
      <c r="T47" s="9">
        <f t="shared" si="22"/>
        <v>3090282.2618493922</v>
      </c>
      <c r="V47" s="9">
        <f t="shared" si="23"/>
        <v>0</v>
      </c>
      <c r="W47" s="13"/>
      <c r="X47" s="9">
        <f t="shared" si="18"/>
        <v>-472843.508150607</v>
      </c>
      <c r="Y47" s="4">
        <f>SUMIFS('FCPIS F'!$R$6:$R$135,'FCPIS F'!$B$6:$B$135,'PIS F AVG'!$A47,'FCPIS F'!$C$6:$C$135,'PIS F AVG'!$B47)*1000</f>
        <v>3563125.77</v>
      </c>
      <c r="Z47" s="4">
        <f t="shared" si="19"/>
        <v>0</v>
      </c>
    </row>
    <row r="48" spans="1:26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 AVG'!$A48,'FCPIS F'!$C$6:$C$135,'PIS F AVG'!$B48)*1000</f>
        <v>29930.61</v>
      </c>
      <c r="E48" s="13"/>
      <c r="F48" s="4">
        <f>SUMIFS('FCPIS F'!$S$138:$S$225,'FCPIS F'!$B$138:$B$225,'PIS F AVG'!$A48,'FCPIS F'!$C$138:$C$225,'PIS F AVG'!$B48)*1000</f>
        <v>102812.75</v>
      </c>
      <c r="G48" s="13"/>
      <c r="H48" s="4">
        <f>SUMIFS('FCPIS F'!$S$228:$S$278,'FCPIS F'!$B$228:$B$278,'PIS F AVG'!$A48,'FCPIS F'!$C$228:$C$278,'PIS F AVG'!$B48)*-1000</f>
        <v>0</v>
      </c>
      <c r="I48" s="13"/>
      <c r="J48" s="4">
        <f>SUMIFS('FCPIS F'!$S$395:$S$416,'FCPIS F'!$B$395:$B$416,'PIS F AVG'!$A48,'FCPIS F'!$C$395:$C$416,'PIS F AVG'!$B48)*1000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4">
        <f>SUMIFS('FCPIS F'!$T$6:$T$135,'FCPIS F'!$B$6:$B$135,'PIS F AVG'!$A48,'FCPIS F'!$C$6:$C$135,'PIS F AVG'!$B48)*1000</f>
        <v>85291.321538461518</v>
      </c>
      <c r="Q48" s="2"/>
      <c r="R48" s="9">
        <f>SUMIFS('FCPIS F'!$T$281:$T$408,'FCPIS F'!$B$281:$B$408,'PIS F AVG'!$A48,'FCPIS F'!$C$281:$C$408,'PIS F AVG'!$B48)*-1000</f>
        <v>-22293.445754608005</v>
      </c>
      <c r="S48" s="2"/>
      <c r="T48" s="9">
        <f t="shared" si="22"/>
        <v>62997.875783853509</v>
      </c>
      <c r="V48" s="9">
        <f t="shared" si="23"/>
        <v>1524.7461538472762</v>
      </c>
      <c r="W48" s="13"/>
      <c r="X48" s="9">
        <f t="shared" si="18"/>
        <v>-20768.69960076073</v>
      </c>
      <c r="Y48" s="4">
        <f>SUMIFS('FCPIS F'!$R$6:$R$135,'FCPIS F'!$B$6:$B$135,'PIS F AVG'!$A48,'FCPIS F'!$C$6:$C$135,'PIS F AVG'!$B48)*1000</f>
        <v>132743.35999999999</v>
      </c>
      <c r="Z48" s="4">
        <f t="shared" si="19"/>
        <v>0</v>
      </c>
    </row>
    <row r="49" spans="1:26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 AVG'!$A49,'FCPIS F'!$C$6:$C$135,'PIS F AVG'!$B49)*1000</f>
        <v>463569.14999999997</v>
      </c>
      <c r="E49" s="13"/>
      <c r="F49" s="4">
        <f>SUMIFS('FCPIS F'!$S$138:$S$225,'FCPIS F'!$B$138:$B$225,'PIS F AVG'!$A49,'FCPIS F'!$C$138:$C$225,'PIS F AVG'!$B49)*1000</f>
        <v>0</v>
      </c>
      <c r="G49" s="13"/>
      <c r="H49" s="4">
        <f>SUMIFS('FCPIS F'!$S$228:$S$278,'FCPIS F'!$B$228:$B$278,'PIS F AVG'!$A49,'FCPIS F'!$C$228:$C$278,'PIS F AVG'!$B49)*-1000</f>
        <v>0</v>
      </c>
      <c r="I49" s="13"/>
      <c r="J49" s="4">
        <f>SUMIFS('FCPIS F'!$S$395:$S$416,'FCPIS F'!$B$395:$B$416,'PIS F AVG'!$A49,'FCPIS F'!$C$395:$C$416,'PIS F AVG'!$B49)*1000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4">
        <f>SUMIFS('FCPIS F'!$T$6:$T$135,'FCPIS F'!$B$6:$B$135,'PIS F AVG'!$A49,'FCPIS F'!$C$6:$C$135,'PIS F AVG'!$B49)*1000</f>
        <v>463569.15</v>
      </c>
      <c r="Q49" s="2"/>
      <c r="R49" s="9">
        <f>SUMIFS('FCPIS F'!$T$281:$T$408,'FCPIS F'!$B$281:$B$408,'PIS F AVG'!$A49,'FCPIS F'!$C$281:$C$408,'PIS F AVG'!$B49)*-1000</f>
        <v>-103193.9643054302</v>
      </c>
      <c r="S49" s="2"/>
      <c r="T49" s="9">
        <f t="shared" si="22"/>
        <v>360375.18569456984</v>
      </c>
      <c r="V49" s="9">
        <f t="shared" si="23"/>
        <v>0</v>
      </c>
      <c r="W49" s="13"/>
      <c r="X49" s="9">
        <f t="shared" si="18"/>
        <v>-103193.9643054302</v>
      </c>
      <c r="Y49" s="4">
        <f>SUMIFS('FCPIS F'!$R$6:$R$135,'FCPIS F'!$B$6:$B$135,'PIS F AVG'!$A49,'FCPIS F'!$C$6:$C$135,'PIS F AVG'!$B49)*1000</f>
        <v>463569.14999999997</v>
      </c>
      <c r="Z49" s="4">
        <f t="shared" si="19"/>
        <v>0</v>
      </c>
    </row>
    <row r="50" spans="1:26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158273296.55153847</v>
      </c>
      <c r="Q50" s="129"/>
      <c r="R50" s="784">
        <f>SUM(R42:R49)</f>
        <v>-20174783.118571706</v>
      </c>
      <c r="S50" s="129"/>
      <c r="T50" s="784">
        <f>SUM(T42:T49)</f>
        <v>138098513.4329668</v>
      </c>
      <c r="U50" s="129"/>
      <c r="V50" s="784">
        <f>'FC CWIP &amp; RWIP F'!Q24*1000</f>
        <v>1524.7461538472762</v>
      </c>
      <c r="W50" s="2"/>
      <c r="X50" s="784">
        <f t="shared" si="18"/>
        <v>-20173258.37241786</v>
      </c>
      <c r="Y50" s="4"/>
      <c r="Z50" s="4"/>
    </row>
    <row r="51" spans="1:26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"/>
      <c r="Q51" s="129"/>
      <c r="R51" s="129"/>
      <c r="S51" s="129"/>
      <c r="T51" s="129"/>
      <c r="U51" s="129"/>
      <c r="V51" s="9"/>
      <c r="W51" s="2"/>
      <c r="X51" s="9"/>
      <c r="Y51" s="12"/>
      <c r="Z51" s="12"/>
    </row>
    <row r="52" spans="1:26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"/>
      <c r="Q52" s="129"/>
      <c r="R52" s="129"/>
      <c r="S52" s="129"/>
      <c r="T52" s="129"/>
      <c r="U52" s="129"/>
      <c r="V52" s="9"/>
      <c r="W52" s="2"/>
      <c r="X52" s="9"/>
      <c r="Y52" s="12"/>
      <c r="Z52" s="12"/>
    </row>
    <row r="53" spans="1:26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 AVG'!$A53,'FCPIS F'!$C$6:$C$135,'PIS F AVG'!$B53)*1000</f>
        <v>2240.29</v>
      </c>
      <c r="E53" s="13"/>
      <c r="F53" s="4">
        <f>SUMIFS('FCPIS F'!$S$138:$S$225,'FCPIS F'!$B$138:$B$225,'PIS F AVG'!$A53,'FCPIS F'!$C$138:$C$225,'PIS F AVG'!$B53)*1000</f>
        <v>0</v>
      </c>
      <c r="G53" s="13"/>
      <c r="H53" s="4">
        <f>SUMIFS('FCPIS F'!$S$228:$S$278,'FCPIS F'!$B$228:$B$278,'PIS F AVG'!$A53,'FCPIS F'!$C$228:$C$278,'PIS F AVG'!$B53)*-1000</f>
        <v>0</v>
      </c>
      <c r="I53" s="13"/>
      <c r="J53" s="4">
        <f>SUMIFS('FCPIS F'!$S$395:$S$416,'FCPIS F'!$B$395:$B$416,'PIS F AVG'!$A53,'FCPIS F'!$C$395:$C$416,'PIS F AVG'!$B53)*1000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4">
        <f>SUMIFS('FCPIS F'!$T$6:$T$135,'FCPIS F'!$B$6:$B$135,'PIS F AVG'!$A53,'FCPIS F'!$C$6:$C$135,'PIS F AVG'!$B53)*1000</f>
        <v>2240.2900000000009</v>
      </c>
      <c r="Q53" s="2"/>
      <c r="R53" s="9">
        <f>SUMIFS('FCPIS F'!$T$281:$T$408,'FCPIS F'!$B$281:$B$408,'PIS F AVG'!$A53,'FCPIS F'!$C$281:$C$408,'PIS F AVG'!$B53)*-1000</f>
        <v>0</v>
      </c>
      <c r="S53" s="2"/>
      <c r="T53" s="9">
        <f>SUM(P53:R53)</f>
        <v>2240.2900000000009</v>
      </c>
      <c r="V53" s="9"/>
      <c r="W53" s="13"/>
      <c r="X53" s="9">
        <f t="shared" ref="X53:X67" si="24">R53+V53</f>
        <v>0</v>
      </c>
      <c r="Y53" s="4">
        <f>SUMIFS('FCPIS F'!$R$6:$R$135,'FCPIS F'!$B$6:$B$135,'PIS F AVG'!$A53,'FCPIS F'!$C$6:$C$135,'PIS F AVG'!$B53)*1000</f>
        <v>2240.29</v>
      </c>
      <c r="Z53" s="4">
        <f t="shared" si="19"/>
        <v>0</v>
      </c>
    </row>
    <row r="54" spans="1:26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 AVG'!$A54,'FCPIS F'!$C$6:$C$135,'PIS F AVG'!$B54)*1000</f>
        <v>0</v>
      </c>
      <c r="E54" s="13"/>
      <c r="F54" s="4">
        <f>SUMIFS('FCPIS F'!$S$138:$S$225,'FCPIS F'!$B$138:$B$225,'PIS F AVG'!$A54,'FCPIS F'!$C$138:$C$225,'PIS F AVG'!$B54)*1000</f>
        <v>0</v>
      </c>
      <c r="G54" s="13"/>
      <c r="H54" s="4">
        <f>SUMIFS('FCPIS F'!$S$228:$S$278,'FCPIS F'!$B$228:$B$278,'PIS F AVG'!$A54,'FCPIS F'!$C$228:$C$278,'PIS F AVG'!$B54)*-1000</f>
        <v>0</v>
      </c>
      <c r="I54" s="13"/>
      <c r="J54" s="4">
        <f>SUMIFS('FCPIS F'!$S$395:$S$416,'FCPIS F'!$B$395:$B$416,'PIS F AVG'!$A54,'FCPIS F'!$C$395:$C$416,'PIS F AVG'!$B54)*1000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4">
        <f>SUMIFS('FCPIS F'!$T$6:$T$135,'FCPIS F'!$B$6:$B$135,'PIS F AVG'!$A54,'FCPIS F'!$C$6:$C$135,'PIS F AVG'!$B54)*1000</f>
        <v>0</v>
      </c>
      <c r="Q54" s="2"/>
      <c r="R54" s="9">
        <f>SUMIFS('FCPIS F'!$T$281:$T$408,'FCPIS F'!$B$281:$B$408,'PIS F AVG'!$A54,'FCPIS F'!$C$281:$C$408,'PIS F AVG'!$B54)*-1000</f>
        <v>0</v>
      </c>
      <c r="S54" s="2"/>
      <c r="T54" s="9">
        <f>SUM(P54:R54)</f>
        <v>0</v>
      </c>
      <c r="V54" s="9"/>
      <c r="W54" s="13"/>
      <c r="X54" s="9">
        <f t="shared" si="24"/>
        <v>0</v>
      </c>
      <c r="Y54" s="4">
        <f>SUMIFS('FCPIS F'!$R$6:$R$135,'FCPIS F'!$B$6:$B$135,'PIS F AVG'!$A54,'FCPIS F'!$C$6:$C$135,'PIS F AVG'!$B54)*1000</f>
        <v>0</v>
      </c>
      <c r="Z54" s="4">
        <f t="shared" si="19"/>
        <v>0</v>
      </c>
    </row>
    <row r="55" spans="1:26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2240.2900000000009</v>
      </c>
      <c r="Q55" s="129"/>
      <c r="R55" s="784">
        <f>SUM(R53:R54)</f>
        <v>0</v>
      </c>
      <c r="S55" s="129"/>
      <c r="T55" s="784">
        <f>SUM(T53:T54)</f>
        <v>2240.2900000000009</v>
      </c>
      <c r="U55" s="129"/>
      <c r="V55" s="784">
        <f>'FC CWIP &amp; RWIP F'!Q25*1000</f>
        <v>0</v>
      </c>
      <c r="W55" s="2"/>
      <c r="X55" s="784">
        <f t="shared" si="24"/>
        <v>0</v>
      </c>
      <c r="Y55" s="4"/>
      <c r="Z55" s="4"/>
    </row>
    <row r="56" spans="1:26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"/>
      <c r="Q56" s="129"/>
      <c r="R56" s="129"/>
      <c r="S56" s="129"/>
      <c r="T56" s="129"/>
      <c r="U56" s="129"/>
      <c r="V56" s="11"/>
      <c r="W56" s="10"/>
      <c r="X56" s="11"/>
      <c r="Y56" s="12"/>
      <c r="Z56" s="12"/>
    </row>
    <row r="57" spans="1:26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"/>
      <c r="Q57" s="129"/>
      <c r="R57" s="129"/>
      <c r="S57" s="129"/>
      <c r="T57" s="129"/>
      <c r="U57" s="129"/>
      <c r="V57" s="11"/>
      <c r="W57" s="10"/>
      <c r="X57" s="11"/>
      <c r="Y57" s="12"/>
      <c r="Z57" s="12"/>
    </row>
    <row r="58" spans="1:26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 AVG'!$A58,'FCPIS F'!$C$6:$C$135,'PIS F AVG'!$B58)*1000</f>
        <v>414278.16000000003</v>
      </c>
      <c r="E58" s="13"/>
      <c r="F58" s="4">
        <f>SUMIFS('FCPIS F'!$S$138:$S$225,'FCPIS F'!$B$138:$B$225,'PIS F AVG'!$A58,'FCPIS F'!$C$138:$C$225,'PIS F AVG'!$B58)*1000</f>
        <v>0</v>
      </c>
      <c r="G58" s="13"/>
      <c r="H58" s="4">
        <f>SUMIFS('FCPIS F'!$S$228:$S$278,'FCPIS F'!$B$228:$B$278,'PIS F AVG'!$A58,'FCPIS F'!$C$228:$C$278,'PIS F AVG'!$B58)*-1000</f>
        <v>0</v>
      </c>
      <c r="I58" s="13"/>
      <c r="J58" s="4">
        <f>SUMIFS('FCPIS F'!$S$395:$S$416,'FCPIS F'!$B$395:$B$416,'PIS F AVG'!$A58,'FCPIS F'!$C$395:$C$416,'PIS F AVG'!$B58)*1000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4">
        <f>SUMIFS('FCPIS F'!$T$6:$T$135,'FCPIS F'!$B$6:$B$135,'PIS F AVG'!$A58,'FCPIS F'!$C$6:$C$135,'PIS F AVG'!$B58)*1000</f>
        <v>414278.15999999992</v>
      </c>
      <c r="Q58" s="2"/>
      <c r="R58" s="9">
        <f>SUMIFS('FCPIS F'!$T$281:$T$408,'FCPIS F'!$B$281:$B$408,'PIS F AVG'!$A58,'FCPIS F'!$C$281:$C$408,'PIS F AVG'!$B58)*-1000</f>
        <v>0</v>
      </c>
      <c r="S58" s="2"/>
      <c r="T58" s="9">
        <f t="shared" ref="T58:T66" si="27">SUM(P58:R58)</f>
        <v>414278.15999999992</v>
      </c>
      <c r="V58" s="9">
        <f>F58/F$67*V$67</f>
        <v>0</v>
      </c>
      <c r="W58" s="13"/>
      <c r="X58" s="9">
        <f t="shared" si="24"/>
        <v>0</v>
      </c>
      <c r="Y58" s="4">
        <f>SUMIFS('FCPIS F'!$R$6:$R$135,'FCPIS F'!$B$6:$B$135,'PIS F AVG'!$A58,'FCPIS F'!$C$6:$C$135,'PIS F AVG'!$B58)*1000</f>
        <v>414278.16000000003</v>
      </c>
      <c r="Z58" s="4">
        <f t="shared" si="19"/>
        <v>0</v>
      </c>
    </row>
    <row r="59" spans="1:26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 AVG'!$A59,'FCPIS F'!$C$6:$C$135,'PIS F AVG'!$B59)*1000</f>
        <v>33942182.450000003</v>
      </c>
      <c r="E59" s="13"/>
      <c r="F59" s="4">
        <f>SUMIFS('FCPIS F'!$S$138:$S$225,'FCPIS F'!$B$138:$B$225,'PIS F AVG'!$A59,'FCPIS F'!$C$138:$C$225,'PIS F AVG'!$B59)*1000</f>
        <v>0</v>
      </c>
      <c r="G59" s="13"/>
      <c r="H59" s="4">
        <f>SUMIFS('FCPIS F'!$S$228:$S$278,'FCPIS F'!$B$228:$B$278,'PIS F AVG'!$A59,'FCPIS F'!$C$228:$C$278,'PIS F AVG'!$B59)*-1000</f>
        <v>0</v>
      </c>
      <c r="I59" s="13"/>
      <c r="J59" s="4">
        <f>SUMIFS('FCPIS F'!$S$395:$S$416,'FCPIS F'!$B$395:$B$416,'PIS F AVG'!$A59,'FCPIS F'!$C$395:$C$416,'PIS F AVG'!$B59)*1000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4">
        <f>SUMIFS('FCPIS F'!$T$6:$T$135,'FCPIS F'!$B$6:$B$135,'PIS F AVG'!$A59,'FCPIS F'!$C$6:$C$135,'PIS F AVG'!$B59)*1000</f>
        <v>33942182.450000003</v>
      </c>
      <c r="Q59" s="2"/>
      <c r="R59" s="9">
        <f>SUMIFS('FCPIS F'!$T$281:$T$408,'FCPIS F'!$B$281:$B$408,'PIS F AVG'!$A59,'FCPIS F'!$C$281:$C$408,'PIS F AVG'!$B59)*-1000</f>
        <v>-14312859.462667925</v>
      </c>
      <c r="S59" s="2"/>
      <c r="T59" s="9">
        <f t="shared" si="27"/>
        <v>19629322.987332076</v>
      </c>
      <c r="V59" s="9">
        <f t="shared" ref="V59:V66" si="28">F59/F$67*V$67</f>
        <v>0</v>
      </c>
      <c r="W59" s="13"/>
      <c r="X59" s="9">
        <f t="shared" si="24"/>
        <v>-14312859.462667925</v>
      </c>
      <c r="Y59" s="4">
        <f>SUMIFS('FCPIS F'!$R$6:$R$135,'FCPIS F'!$B$6:$B$135,'PIS F AVG'!$A59,'FCPIS F'!$C$6:$C$135,'PIS F AVG'!$B59)*1000</f>
        <v>33942182.450000003</v>
      </c>
      <c r="Z59" s="4">
        <f t="shared" si="19"/>
        <v>0</v>
      </c>
    </row>
    <row r="60" spans="1:26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 AVG'!$A60,'FCPIS F'!$C$6:$C$135,'PIS F AVG'!$B60)*1000</f>
        <v>24767192.59</v>
      </c>
      <c r="E60" s="13"/>
      <c r="F60" s="4">
        <f>SUMIFS('FCPIS F'!$S$138:$S$225,'FCPIS F'!$B$138:$B$225,'PIS F AVG'!$A60,'FCPIS F'!$C$138:$C$225,'PIS F AVG'!$B60)*1000</f>
        <v>0</v>
      </c>
      <c r="G60" s="13"/>
      <c r="H60" s="4">
        <f>SUMIFS('FCPIS F'!$S$228:$S$278,'FCPIS F'!$B$228:$B$278,'PIS F AVG'!$A60,'FCPIS F'!$C$228:$C$278,'PIS F AVG'!$B60)*-1000</f>
        <v>0</v>
      </c>
      <c r="I60" s="13"/>
      <c r="J60" s="4">
        <f>SUMIFS('FCPIS F'!$S$395:$S$416,'FCPIS F'!$B$395:$B$416,'PIS F AVG'!$A60,'FCPIS F'!$C$395:$C$416,'PIS F AVG'!$B60)*1000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4">
        <f>SUMIFS('FCPIS F'!$T$6:$T$135,'FCPIS F'!$B$6:$B$135,'PIS F AVG'!$A60,'FCPIS F'!$C$6:$C$135,'PIS F AVG'!$B60)*1000</f>
        <v>24767192.59</v>
      </c>
      <c r="Q60" s="2"/>
      <c r="R60" s="9">
        <f>SUMIFS('FCPIS F'!$T$281:$T$408,'FCPIS F'!$B$281:$B$408,'PIS F AVG'!$A60,'FCPIS F'!$C$281:$C$408,'PIS F AVG'!$B60)*-1000</f>
        <v>-7435569.4747885996</v>
      </c>
      <c r="S60" s="2"/>
      <c r="T60" s="9">
        <f t="shared" si="27"/>
        <v>17331623.115211401</v>
      </c>
      <c r="V60" s="9">
        <f t="shared" si="28"/>
        <v>0</v>
      </c>
      <c r="W60" s="13"/>
      <c r="X60" s="9">
        <f t="shared" si="24"/>
        <v>-7435569.4747885996</v>
      </c>
      <c r="Y60" s="4">
        <f>SUMIFS('FCPIS F'!$R$6:$R$135,'FCPIS F'!$B$6:$B$135,'PIS F AVG'!$A60,'FCPIS F'!$C$6:$C$135,'PIS F AVG'!$B60)*1000</f>
        <v>24767192.59</v>
      </c>
      <c r="Z60" s="4">
        <f t="shared" si="19"/>
        <v>0</v>
      </c>
    </row>
    <row r="61" spans="1:26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 AVG'!$A61,'FCPIS F'!$C$6:$C$135,'PIS F AVG'!$B61)*1000</f>
        <v>244334181.90999898</v>
      </c>
      <c r="E61" s="13"/>
      <c r="F61" s="4">
        <f>SUMIFS('FCPIS F'!$S$138:$S$225,'FCPIS F'!$B$138:$B$225,'PIS F AVG'!$A61,'FCPIS F'!$C$138:$C$225,'PIS F AVG'!$B61)*1000</f>
        <v>14069997.68</v>
      </c>
      <c r="G61" s="13"/>
      <c r="H61" s="4">
        <f>SUMIFS('FCPIS F'!$S$228:$S$278,'FCPIS F'!$B$228:$B$278,'PIS F AVG'!$A61,'FCPIS F'!$C$228:$C$278,'PIS F AVG'!$B61)*-1000</f>
        <v>-1140984.23</v>
      </c>
      <c r="I61" s="13"/>
      <c r="J61" s="4">
        <f>SUMIFS('FCPIS F'!$S$395:$S$416,'FCPIS F'!$B$395:$B$416,'PIS F AVG'!$A61,'FCPIS F'!$C$395:$C$416,'PIS F AVG'!$B61)*1000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4">
        <f>SUMIFS('FCPIS F'!$T$6:$T$135,'FCPIS F'!$B$6:$B$135,'PIS F AVG'!$A61,'FCPIS F'!$C$6:$C$135,'PIS F AVG'!$B61)*1000</f>
        <v>252457120.51076865</v>
      </c>
      <c r="Q61" s="2"/>
      <c r="R61" s="9">
        <f>SUMIFS('FCPIS F'!$T$281:$T$408,'FCPIS F'!$B$281:$B$408,'PIS F AVG'!$A61,'FCPIS F'!$C$281:$C$408,'PIS F AVG'!$B61)*-1000</f>
        <v>-80514851.232938617</v>
      </c>
      <c r="S61" s="2"/>
      <c r="T61" s="9">
        <f t="shared" si="27"/>
        <v>171942269.27783003</v>
      </c>
      <c r="V61" s="9">
        <f t="shared" si="28"/>
        <v>75978.688782348487</v>
      </c>
      <c r="W61" s="13"/>
      <c r="X61" s="9">
        <f t="shared" si="24"/>
        <v>-80438872.544156268</v>
      </c>
      <c r="Y61" s="4">
        <f>SUMIFS('FCPIS F'!$R$6:$R$135,'FCPIS F'!$B$6:$B$135,'PIS F AVG'!$A61,'FCPIS F'!$C$6:$C$135,'PIS F AVG'!$B61)*1000</f>
        <v>257263195.35999998</v>
      </c>
      <c r="Z61" s="4">
        <f t="shared" si="19"/>
        <v>1.0132789611816406E-6</v>
      </c>
    </row>
    <row r="62" spans="1:26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 AVG'!$A62,'FCPIS F'!$C$6:$C$135,'PIS F AVG'!$B62)*1000</f>
        <v>59666441.119999997</v>
      </c>
      <c r="E62" s="13"/>
      <c r="F62" s="4">
        <f>SUMIFS('FCPIS F'!$S$138:$S$225,'FCPIS F'!$B$138:$B$225,'PIS F AVG'!$A62,'FCPIS F'!$C$138:$C$225,'PIS F AVG'!$B62)*1000</f>
        <v>713358.2</v>
      </c>
      <c r="G62" s="13"/>
      <c r="H62" s="4">
        <f>SUMIFS('FCPIS F'!$S$228:$S$278,'FCPIS F'!$B$228:$B$278,'PIS F AVG'!$A62,'FCPIS F'!$C$228:$C$278,'PIS F AVG'!$B62)*-1000</f>
        <v>0</v>
      </c>
      <c r="I62" s="13"/>
      <c r="J62" s="4">
        <f>SUMIFS('FCPIS F'!$S$395:$S$416,'FCPIS F'!$B$395:$B$416,'PIS F AVG'!$A62,'FCPIS F'!$C$395:$C$416,'PIS F AVG'!$B62)*1000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4">
        <f>SUMIFS('FCPIS F'!$T$6:$T$135,'FCPIS F'!$B$6:$B$135,'PIS F AVG'!$A62,'FCPIS F'!$C$6:$C$135,'PIS F AVG'!$B62)*1000</f>
        <v>59993738.64538461</v>
      </c>
      <c r="Q62" s="2"/>
      <c r="R62" s="9">
        <f>SUMIFS('FCPIS F'!$T$281:$T$408,'FCPIS F'!$B$281:$B$408,'PIS F AVG'!$A62,'FCPIS F'!$C$281:$C$408,'PIS F AVG'!$B62)*-1000</f>
        <v>-28043769.314375576</v>
      </c>
      <c r="S62" s="2"/>
      <c r="T62" s="9">
        <f t="shared" si="27"/>
        <v>31949969.331009034</v>
      </c>
      <c r="V62" s="9">
        <f t="shared" si="28"/>
        <v>3852.1698368990992</v>
      </c>
      <c r="W62" s="13"/>
      <c r="X62" s="9">
        <f t="shared" si="24"/>
        <v>-28039917.144538678</v>
      </c>
      <c r="Y62" s="4">
        <f>SUMIFS('FCPIS F'!$R$6:$R$135,'FCPIS F'!$B$6:$B$135,'PIS F AVG'!$A62,'FCPIS F'!$C$6:$C$135,'PIS F AVG'!$B62)*1000</f>
        <v>60379799.32</v>
      </c>
      <c r="Z62" s="4">
        <f t="shared" si="19"/>
        <v>0</v>
      </c>
    </row>
    <row r="63" spans="1:26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 AVG'!$A63,'FCPIS F'!$C$6:$C$135,'PIS F AVG'!$B63)*1000</f>
        <v>32129983.469999999</v>
      </c>
      <c r="E63" s="13"/>
      <c r="F63" s="4">
        <f>SUMIFS('FCPIS F'!$S$138:$S$225,'FCPIS F'!$B$138:$B$225,'PIS F AVG'!$A63,'FCPIS F'!$C$138:$C$225,'PIS F AVG'!$B63)*1000</f>
        <v>1333259.4200000002</v>
      </c>
      <c r="G63" s="13"/>
      <c r="H63" s="4">
        <f>SUMIFS('FCPIS F'!$S$228:$S$278,'FCPIS F'!$B$228:$B$278,'PIS F AVG'!$A63,'FCPIS F'!$C$228:$C$278,'PIS F AVG'!$B63)*-1000</f>
        <v>0</v>
      </c>
      <c r="I63" s="13"/>
      <c r="J63" s="4">
        <f>SUMIFS('FCPIS F'!$S$395:$S$416,'FCPIS F'!$B$395:$B$416,'PIS F AVG'!$A63,'FCPIS F'!$C$395:$C$416,'PIS F AVG'!$B63)*1000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4">
        <f>SUMIFS('FCPIS F'!$T$6:$T$135,'FCPIS F'!$B$6:$B$135,'PIS F AVG'!$A63,'FCPIS F'!$C$6:$C$135,'PIS F AVG'!$B63)*1000</f>
        <v>32561502.810000002</v>
      </c>
      <c r="Q63" s="2"/>
      <c r="R63" s="9">
        <f>SUMIFS('FCPIS F'!$T$281:$T$408,'FCPIS F'!$B$281:$B$408,'PIS F AVG'!$A63,'FCPIS F'!$C$281:$C$408,'PIS F AVG'!$B63)*-1000</f>
        <v>-14380739.207369836</v>
      </c>
      <c r="S63" s="2"/>
      <c r="T63" s="9">
        <f t="shared" si="27"/>
        <v>18180763.602630168</v>
      </c>
      <c r="V63" s="9">
        <f t="shared" si="28"/>
        <v>7199.6673234927257</v>
      </c>
      <c r="W63" s="13"/>
      <c r="X63" s="9">
        <f t="shared" si="24"/>
        <v>-14373539.540046344</v>
      </c>
      <c r="Y63" s="4">
        <f>SUMIFS('FCPIS F'!$R$6:$R$135,'FCPIS F'!$B$6:$B$135,'PIS F AVG'!$A63,'FCPIS F'!$C$6:$C$135,'PIS F AVG'!$B63)*1000</f>
        <v>33463242.890000001</v>
      </c>
      <c r="Z63" s="4">
        <f t="shared" si="19"/>
        <v>0</v>
      </c>
    </row>
    <row r="64" spans="1:26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 AVG'!$A64,'FCPIS F'!$C$6:$C$135,'PIS F AVG'!$B64)*1000</f>
        <v>5537528.2699999996</v>
      </c>
      <c r="E64" s="13"/>
      <c r="F64" s="4">
        <f>SUMIFS('FCPIS F'!$S$138:$S$225,'FCPIS F'!$B$138:$B$225,'PIS F AVG'!$A64,'FCPIS F'!$C$138:$C$225,'PIS F AVG'!$B64)*1000</f>
        <v>922690.80999999982</v>
      </c>
      <c r="G64" s="13"/>
      <c r="H64" s="4">
        <f>SUMIFS('FCPIS F'!$S$228:$S$278,'FCPIS F'!$B$228:$B$278,'PIS F AVG'!$A64,'FCPIS F'!$C$228:$C$278,'PIS F AVG'!$B64)*-1000</f>
        <v>0</v>
      </c>
      <c r="I64" s="13"/>
      <c r="J64" s="4">
        <f>SUMIFS('FCPIS F'!$S$395:$S$416,'FCPIS F'!$B$395:$B$416,'PIS F AVG'!$A64,'FCPIS F'!$C$395:$C$416,'PIS F AVG'!$B64)*1000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4">
        <f>SUMIFS('FCPIS F'!$T$6:$T$135,'FCPIS F'!$B$6:$B$135,'PIS F AVG'!$A64,'FCPIS F'!$C$6:$C$135,'PIS F AVG'!$B64)*1000</f>
        <v>5796098.6353846146</v>
      </c>
      <c r="Q64" s="2"/>
      <c r="R64" s="9">
        <f>SUMIFS('FCPIS F'!$T$281:$T$408,'FCPIS F'!$B$281:$B$408,'PIS F AVG'!$A64,'FCPIS F'!$C$281:$C$408,'PIS F AVG'!$B64)*-1000</f>
        <v>-2470872.834756366</v>
      </c>
      <c r="S64" s="2"/>
      <c r="T64" s="9">
        <f t="shared" si="27"/>
        <v>3325225.8006282486</v>
      </c>
      <c r="V64" s="9">
        <f t="shared" si="28"/>
        <v>4982.5763649538158</v>
      </c>
      <c r="W64" s="13"/>
      <c r="X64" s="9">
        <f t="shared" si="24"/>
        <v>-2465890.258391412</v>
      </c>
      <c r="Y64" s="4">
        <f>SUMIFS('FCPIS F'!$R$6:$R$135,'FCPIS F'!$B$6:$B$135,'PIS F AVG'!$A64,'FCPIS F'!$C$6:$C$135,'PIS F AVG'!$B64)*1000</f>
        <v>6460219.0800000001</v>
      </c>
      <c r="Z64" s="4">
        <f t="shared" si="19"/>
        <v>0</v>
      </c>
    </row>
    <row r="65" spans="1:26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 AVG'!$A65,'FCPIS F'!$C$6:$C$135,'PIS F AVG'!$B65)*1000</f>
        <v>111984.04</v>
      </c>
      <c r="E65" s="13"/>
      <c r="F65" s="4">
        <f>SUMIFS('FCPIS F'!$S$138:$S$225,'FCPIS F'!$B$138:$B$225,'PIS F AVG'!$A65,'FCPIS F'!$C$138:$C$225,'PIS F AVG'!$B65)*1000</f>
        <v>0</v>
      </c>
      <c r="G65" s="13"/>
      <c r="H65" s="4">
        <f>SUMIFS('FCPIS F'!$S$228:$S$278,'FCPIS F'!$B$228:$B$278,'PIS F AVG'!$A65,'FCPIS F'!$C$228:$C$278,'PIS F AVG'!$B65)*-1000</f>
        <v>0</v>
      </c>
      <c r="I65" s="13"/>
      <c r="J65" s="4">
        <f>SUMIFS('FCPIS F'!$S$395:$S$416,'FCPIS F'!$B$395:$B$416,'PIS F AVG'!$A65,'FCPIS F'!$C$395:$C$416,'PIS F AVG'!$B65)*1000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4">
        <f>SUMIFS('FCPIS F'!$T$6:$T$135,'FCPIS F'!$B$6:$B$135,'PIS F AVG'!$A65,'FCPIS F'!$C$6:$C$135,'PIS F AVG'!$B65)*1000</f>
        <v>111984.04000000004</v>
      </c>
      <c r="Q65" s="2"/>
      <c r="R65" s="9">
        <f>SUMIFS('FCPIS F'!$T$281:$T$408,'FCPIS F'!$B$281:$B$408,'PIS F AVG'!$A65,'FCPIS F'!$C$281:$C$408,'PIS F AVG'!$B65)*-1000</f>
        <v>-25538.735530880822</v>
      </c>
      <c r="S65" s="2"/>
      <c r="T65" s="9">
        <f t="shared" si="27"/>
        <v>86445.304469119219</v>
      </c>
      <c r="V65" s="9">
        <f t="shared" si="28"/>
        <v>0</v>
      </c>
      <c r="W65" s="13"/>
      <c r="X65" s="9">
        <f t="shared" si="24"/>
        <v>-25538.735530880822</v>
      </c>
      <c r="Y65" s="4">
        <f>SUMIFS('FCPIS F'!$R$6:$R$135,'FCPIS F'!$B$6:$B$135,'PIS F AVG'!$A65,'FCPIS F'!$C$6:$C$135,'PIS F AVG'!$B65)*1000</f>
        <v>111984.04</v>
      </c>
      <c r="Z65" s="4">
        <f t="shared" si="19"/>
        <v>0</v>
      </c>
    </row>
    <row r="66" spans="1:26">
      <c r="A66" s="6" t="s">
        <v>923</v>
      </c>
      <c r="C66" s="129" t="s">
        <v>52</v>
      </c>
      <c r="D66" s="4">
        <f>SUMIFS('FCPIS F'!$F$6:$F$135,'FCPIS F'!$B$6:$B$135,'PIS F AVG'!$A66,'FCPIS F'!$C$6:$C$135,'PIS F AVG'!$B66)*1000</f>
        <v>0</v>
      </c>
      <c r="E66" s="13"/>
      <c r="F66" s="4">
        <f>SUMIFS('FCPIS F'!$S$138:$S$225,'FCPIS F'!$B$138:$B$225,'PIS F AVG'!$A66,'FCPIS F'!$C$138:$C$225,'PIS F AVG'!$B66)*1000</f>
        <v>0</v>
      </c>
      <c r="G66" s="13"/>
      <c r="H66" s="4">
        <f>SUMIFS('FCPIS F'!$S$228:$S$278,'FCPIS F'!$B$228:$B$278,'PIS F AVG'!$A66,'FCPIS F'!$C$228:$C$278,'PIS F AVG'!$B66)*-1000</f>
        <v>0</v>
      </c>
      <c r="I66" s="13"/>
      <c r="J66" s="4">
        <f>SUMIFS('FCPIS F'!$S$395:$S$416,'FCPIS F'!$B$395:$B$416,'PIS F AVG'!$A66,'FCPIS F'!$C$395:$C$416,'PIS F AVG'!$B66)*1000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4">
        <f>SUMIFS('FCPIS F'!$T$6:$T$135,'FCPIS F'!$B$6:$B$135,'PIS F AVG'!$A66,'FCPIS F'!$C$6:$C$135,'PIS F AVG'!$B66)*1000</f>
        <v>0</v>
      </c>
      <c r="Q66" s="2"/>
      <c r="R66" s="9">
        <f>SUMIFS('FCPIS F'!$T$281:$T$408,'FCPIS F'!$B$281:$B$408,'PIS F AVG'!$A66,'FCPIS F'!$C$281:$C$408,'PIS F AVG'!$B66)*-1000</f>
        <v>0</v>
      </c>
      <c r="S66" s="2"/>
      <c r="T66" s="9">
        <f t="shared" si="27"/>
        <v>0</v>
      </c>
      <c r="V66" s="9">
        <f t="shared" si="28"/>
        <v>0</v>
      </c>
      <c r="W66" s="13"/>
      <c r="X66" s="9">
        <f t="shared" si="24"/>
        <v>0</v>
      </c>
      <c r="Y66" s="4">
        <f>SUMIFS('FCPIS F'!$R$6:$R$135,'FCPIS F'!$B$6:$B$135,'PIS F AVG'!$A66,'FCPIS F'!$C$6:$C$135,'PIS F AVG'!$B66)*1000</f>
        <v>0</v>
      </c>
      <c r="Z66" s="4">
        <f t="shared" si="19"/>
        <v>0</v>
      </c>
    </row>
    <row r="67" spans="1:26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410044097.84153789</v>
      </c>
      <c r="Q67" s="129"/>
      <c r="R67" s="784">
        <f>SUM(R58:R66)</f>
        <v>-147184200.26242781</v>
      </c>
      <c r="S67" s="129"/>
      <c r="T67" s="784">
        <f>SUM(T58:T66)</f>
        <v>262859897.57911006</v>
      </c>
      <c r="U67" s="129"/>
      <c r="V67" s="784">
        <f>SUM('FC CWIP &amp; RWIP F'!Q26:Q26)*1000</f>
        <v>92013.10230769412</v>
      </c>
      <c r="W67" s="2"/>
      <c r="X67" s="784">
        <f t="shared" si="24"/>
        <v>-147092187.1601201</v>
      </c>
      <c r="Y67" s="4"/>
      <c r="Z67" s="4"/>
    </row>
    <row r="68" spans="1:26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"/>
      <c r="Q68" s="129"/>
      <c r="R68" s="129"/>
      <c r="S68" s="129"/>
      <c r="T68" s="129"/>
      <c r="U68" s="129"/>
      <c r="V68" s="9"/>
      <c r="W68" s="2"/>
      <c r="X68" s="9"/>
      <c r="Y68" s="12"/>
      <c r="Z68" s="12"/>
    </row>
    <row r="69" spans="1:26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"/>
      <c r="Q69" s="129"/>
      <c r="R69" s="129"/>
      <c r="S69" s="129"/>
      <c r="T69" s="129"/>
      <c r="U69" s="129"/>
      <c r="V69" s="9"/>
      <c r="W69" s="2"/>
      <c r="X69" s="9"/>
      <c r="Y69" s="12"/>
      <c r="Z69" s="12"/>
    </row>
    <row r="70" spans="1:26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 AVG'!$A70,'FCPIS F'!$C$6:$C$135,'PIS F AVG'!$B70)*1000</f>
        <v>11234131.25999999</v>
      </c>
      <c r="E70" s="13"/>
      <c r="F70" s="4">
        <f>SUMIFS('FCPIS F'!$S$138:$S$225,'FCPIS F'!$B$138:$B$225,'PIS F AVG'!$A70,'FCPIS F'!$C$138:$C$225,'PIS F AVG'!$B70)*1000</f>
        <v>0</v>
      </c>
      <c r="G70" s="13"/>
      <c r="H70" s="4">
        <f>SUMIFS('FCPIS F'!$S$228:$S$278,'FCPIS F'!$B$228:$B$278,'PIS F AVG'!$A70,'FCPIS F'!$C$228:$C$278,'PIS F AVG'!$B70)*-1000</f>
        <v>0</v>
      </c>
      <c r="I70" s="13"/>
      <c r="J70" s="4">
        <f>SUMIFS('FCPIS F'!$S$395:$S$416,'FCPIS F'!$B$395:$B$416,'PIS F AVG'!$A70,'FCPIS F'!$C$395:$C$416,'PIS F AVG'!$B70)*1000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4">
        <f>SUMIFS('FCPIS F'!$T$6:$T$135,'FCPIS F'!$B$6:$B$135,'PIS F AVG'!$A70,'FCPIS F'!$C$6:$C$135,'PIS F AVG'!$B70)*1000</f>
        <v>11234131.25999999</v>
      </c>
      <c r="Q70" s="2"/>
      <c r="R70" s="9">
        <f>SUMIFS('FCPIS F'!$T$281:$T$408,'FCPIS F'!$B$281:$B$408,'PIS F AVG'!$A70,'FCPIS F'!$C$281:$C$408,'PIS F AVG'!$B70)*-1000</f>
        <v>0</v>
      </c>
      <c r="S70" s="2"/>
      <c r="T70" s="9">
        <f t="shared" ref="T70:T81" si="32">SUM(P70:R70)</f>
        <v>11234131.25999999</v>
      </c>
      <c r="V70" s="9"/>
      <c r="W70" s="13"/>
      <c r="X70" s="9">
        <f t="shared" ref="X70:X82" si="33">R70+V70</f>
        <v>0</v>
      </c>
      <c r="Y70" s="4">
        <f>SUMIFS('FCPIS F'!$R$6:$R$135,'FCPIS F'!$B$6:$B$135,'PIS F AVG'!$A70,'FCPIS F'!$C$6:$C$135,'PIS F AVG'!$B70)*1000</f>
        <v>11234131.25999999</v>
      </c>
      <c r="Z70" s="4">
        <f t="shared" si="19"/>
        <v>0</v>
      </c>
    </row>
    <row r="71" spans="1:26">
      <c r="A71" s="6" t="s">
        <v>923</v>
      </c>
      <c r="C71" s="129" t="s">
        <v>888</v>
      </c>
      <c r="D71" s="4">
        <f>SUMIFS('FCPIS F'!$F$6:$F$135,'FCPIS F'!$B$6:$B$135,'PIS F AVG'!$A71,'FCPIS F'!$C$6:$C$135,'PIS F AVG'!$B71)*1000</f>
        <v>0</v>
      </c>
      <c r="E71" s="13"/>
      <c r="F71" s="4">
        <f>SUMIFS('FCPIS F'!$S$138:$S$225,'FCPIS F'!$B$138:$B$225,'PIS F AVG'!$A71,'FCPIS F'!$C$138:$C$225,'PIS F AVG'!$B71)*1000</f>
        <v>0</v>
      </c>
      <c r="G71" s="13"/>
      <c r="H71" s="4">
        <f>SUMIFS('FCPIS F'!$S$228:$S$278,'FCPIS F'!$B$228:$B$278,'PIS F AVG'!$A71,'FCPIS F'!$C$228:$C$278,'PIS F AVG'!$B71)*-1000</f>
        <v>0</v>
      </c>
      <c r="I71" s="13"/>
      <c r="J71" s="4">
        <f>SUMIFS('FCPIS F'!$S$395:$S$416,'FCPIS F'!$B$395:$B$416,'PIS F AVG'!$A71,'FCPIS F'!$C$395:$C$416,'PIS F AVG'!$B71)*1000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4">
        <f>SUMIFS('FCPIS F'!$T$6:$T$135,'FCPIS F'!$B$6:$B$135,'PIS F AVG'!$A71,'FCPIS F'!$C$6:$C$135,'PIS F AVG'!$B71)*1000</f>
        <v>0</v>
      </c>
      <c r="Q71" s="2"/>
      <c r="R71" s="9">
        <f>SUMIFS('FCPIS F'!$T$281:$T$408,'FCPIS F'!$B$281:$B$408,'PIS F AVG'!$A71,'FCPIS F'!$C$281:$C$408,'PIS F AVG'!$B71)*-1000</f>
        <v>0</v>
      </c>
      <c r="S71" s="2"/>
      <c r="T71" s="9">
        <f t="shared" si="32"/>
        <v>0</v>
      </c>
      <c r="V71" s="9">
        <f t="shared" ref="V71:V81" si="34">F71/(F$82-$F$70)*V$82</f>
        <v>0</v>
      </c>
      <c r="W71" s="13"/>
      <c r="X71" s="9">
        <f t="shared" si="33"/>
        <v>0</v>
      </c>
      <c r="Y71" s="4">
        <f>SUMIFS('FCPIS F'!$R$6:$R$135,'FCPIS F'!$B$6:$B$135,'PIS F AVG'!$A71,'FCPIS F'!$C$6:$C$135,'PIS F AVG'!$B71)*1000</f>
        <v>0</v>
      </c>
      <c r="Z71" s="4">
        <f t="shared" si="19"/>
        <v>0</v>
      </c>
    </row>
    <row r="72" spans="1:26">
      <c r="A72" s="6" t="s">
        <v>923</v>
      </c>
      <c r="C72" s="129" t="s">
        <v>889</v>
      </c>
      <c r="D72" s="4">
        <f>SUMIFS('FCPIS F'!$F$6:$F$135,'FCPIS F'!$B$6:$B$135,'PIS F AVG'!$A72,'FCPIS F'!$C$6:$C$135,'PIS F AVG'!$B72)*1000</f>
        <v>0</v>
      </c>
      <c r="E72" s="13"/>
      <c r="F72" s="4">
        <f>SUMIFS('FCPIS F'!$S$138:$S$225,'FCPIS F'!$B$138:$B$225,'PIS F AVG'!$A72,'FCPIS F'!$C$138:$C$225,'PIS F AVG'!$B72)*1000</f>
        <v>0</v>
      </c>
      <c r="G72" s="13"/>
      <c r="H72" s="4">
        <f>SUMIFS('FCPIS F'!$S$228:$S$278,'FCPIS F'!$B$228:$B$278,'PIS F AVG'!$A72,'FCPIS F'!$C$228:$C$278,'PIS F AVG'!$B72)*-1000</f>
        <v>0</v>
      </c>
      <c r="I72" s="13"/>
      <c r="J72" s="4">
        <f>SUMIFS('FCPIS F'!$S$395:$S$416,'FCPIS F'!$B$395:$B$416,'PIS F AVG'!$A72,'FCPIS F'!$C$395:$C$416,'PIS F AVG'!$B72)*1000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4">
        <f>SUMIFS('FCPIS F'!$T$6:$T$135,'FCPIS F'!$B$6:$B$135,'PIS F AVG'!$A72,'FCPIS F'!$C$6:$C$135,'PIS F AVG'!$B72)*1000</f>
        <v>0</v>
      </c>
      <c r="Q72" s="2"/>
      <c r="R72" s="9">
        <f>SUMIFS('FCPIS F'!$T$281:$T$408,'FCPIS F'!$B$281:$B$408,'PIS F AVG'!$A72,'FCPIS F'!$C$281:$C$408,'PIS F AVG'!$B72)*-1000</f>
        <v>0</v>
      </c>
      <c r="S72" s="2"/>
      <c r="T72" s="9">
        <f t="shared" si="32"/>
        <v>0</v>
      </c>
      <c r="V72" s="9">
        <f t="shared" si="34"/>
        <v>0</v>
      </c>
      <c r="W72" s="13"/>
      <c r="X72" s="9">
        <f t="shared" si="33"/>
        <v>0</v>
      </c>
      <c r="Y72" s="4">
        <f>SUMIFS('FCPIS F'!$R$6:$R$135,'FCPIS F'!$B$6:$B$135,'PIS F AVG'!$A72,'FCPIS F'!$C$6:$C$135,'PIS F AVG'!$B72)*1000</f>
        <v>0</v>
      </c>
      <c r="Z72" s="4">
        <f t="shared" si="19"/>
        <v>0</v>
      </c>
    </row>
    <row r="73" spans="1:26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 AVG'!$A73,'FCPIS F'!$C$6:$C$135,'PIS F AVG'!$B73)*1000</f>
        <v>311454485.73000002</v>
      </c>
      <c r="E73" s="13"/>
      <c r="F73" s="4">
        <f>SUMIFS('FCPIS F'!$S$138:$S$225,'FCPIS F'!$B$138:$B$225,'PIS F AVG'!$A73,'FCPIS F'!$C$138:$C$225,'PIS F AVG'!$B73)*1000</f>
        <v>1564651.07</v>
      </c>
      <c r="G73" s="13"/>
      <c r="H73" s="4">
        <f>SUMIFS('FCPIS F'!$S$228:$S$278,'FCPIS F'!$B$228:$B$278,'PIS F AVG'!$A73,'FCPIS F'!$C$228:$C$278,'PIS F AVG'!$B73)*-1000</f>
        <v>-16810647.609999999</v>
      </c>
      <c r="I73" s="13"/>
      <c r="J73" s="4">
        <f>SUMIFS('FCPIS F'!$S$395:$S$416,'FCPIS F'!$B$395:$B$416,'PIS F AVG'!$A73,'FCPIS F'!$C$395:$C$416,'PIS F AVG'!$B73)*1000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4">
        <f>SUMIFS('FCPIS F'!$T$6:$T$135,'FCPIS F'!$B$6:$B$135,'PIS F AVG'!$A73,'FCPIS F'!$C$6:$C$135,'PIS F AVG'!$B73)*1000</f>
        <v>305898610.75461531</v>
      </c>
      <c r="Q73" s="2"/>
      <c r="R73" s="9">
        <f>SUMIFS('FCPIS F'!$T$281:$T$408,'FCPIS F'!$B$281:$B$408,'PIS F AVG'!$A73,'FCPIS F'!$C$281:$C$408,'PIS F AVG'!$B73)*-1000</f>
        <v>-174085230.29240778</v>
      </c>
      <c r="S73" s="2"/>
      <c r="T73" s="9">
        <f t="shared" si="32"/>
        <v>131813380.46220753</v>
      </c>
      <c r="V73" s="9">
        <f t="shared" si="34"/>
        <v>134848.98124719877</v>
      </c>
      <c r="W73" s="13"/>
      <c r="X73" s="9">
        <f t="shared" si="33"/>
        <v>-173950381.31116059</v>
      </c>
      <c r="Y73" s="4">
        <f>SUMIFS('FCPIS F'!$R$6:$R$135,'FCPIS F'!$B$6:$B$135,'PIS F AVG'!$A73,'FCPIS F'!$C$6:$C$135,'PIS F AVG'!$B73)*1000</f>
        <v>296208489.19</v>
      </c>
      <c r="Z73" s="4">
        <f t="shared" si="19"/>
        <v>0</v>
      </c>
    </row>
    <row r="74" spans="1:26">
      <c r="A74" s="6" t="s">
        <v>923</v>
      </c>
      <c r="C74" s="129" t="s">
        <v>56</v>
      </c>
      <c r="D74" s="4">
        <f>SUMIFS('FCPIS F'!$F$6:$F$135,'FCPIS F'!$B$6:$B$135,'PIS F AVG'!$A74,'FCPIS F'!$C$6:$C$135,'PIS F AVG'!$B74)*1000</f>
        <v>0</v>
      </c>
      <c r="E74" s="13"/>
      <c r="F74" s="4">
        <f>SUMIFS('FCPIS F'!$S$138:$S$225,'FCPIS F'!$B$138:$B$225,'PIS F AVG'!$A74,'FCPIS F'!$C$138:$C$225,'PIS F AVG'!$B74)*1000</f>
        <v>0</v>
      </c>
      <c r="G74" s="13"/>
      <c r="H74" s="4">
        <f>SUMIFS('FCPIS F'!$S$228:$S$278,'FCPIS F'!$B$228:$B$278,'PIS F AVG'!$A74,'FCPIS F'!$C$228:$C$278,'PIS F AVG'!$B74)*-1000</f>
        <v>0</v>
      </c>
      <c r="I74" s="13"/>
      <c r="J74" s="4">
        <f>SUMIFS('FCPIS F'!$S$395:$S$416,'FCPIS F'!$B$395:$B$416,'PIS F AVG'!$A74,'FCPIS F'!$C$395:$C$416,'PIS F AVG'!$B74)*1000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4">
        <f>SUMIFS('FCPIS F'!$T$6:$T$135,'FCPIS F'!$B$6:$B$135,'PIS F AVG'!$A74,'FCPIS F'!$C$6:$C$135,'PIS F AVG'!$B74)*1000</f>
        <v>0</v>
      </c>
      <c r="Q74" s="2"/>
      <c r="R74" s="9">
        <f>SUMIFS('FCPIS F'!$T$281:$T$408,'FCPIS F'!$B$281:$B$408,'PIS F AVG'!$A74,'FCPIS F'!$C$281:$C$408,'PIS F AVG'!$B74)*-1000</f>
        <v>0</v>
      </c>
      <c r="S74" s="2"/>
      <c r="T74" s="9">
        <f t="shared" si="32"/>
        <v>0</v>
      </c>
      <c r="V74" s="9">
        <f t="shared" si="34"/>
        <v>0</v>
      </c>
      <c r="W74" s="13"/>
      <c r="X74" s="9">
        <f t="shared" si="33"/>
        <v>0</v>
      </c>
      <c r="Y74" s="4">
        <f>SUMIFS('FCPIS F'!$R$6:$R$135,'FCPIS F'!$B$6:$B$135,'PIS F AVG'!$A74,'FCPIS F'!$C$6:$C$135,'PIS F AVG'!$B74)*1000</f>
        <v>0</v>
      </c>
      <c r="Z74" s="4">
        <f t="shared" si="19"/>
        <v>0</v>
      </c>
    </row>
    <row r="75" spans="1:26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 AVG'!$A75,'FCPIS F'!$C$6:$C$135,'PIS F AVG'!$B75)*1000</f>
        <v>2567170950.3000002</v>
      </c>
      <c r="E75" s="13"/>
      <c r="F75" s="4">
        <f>SUMIFS('FCPIS F'!$S$138:$S$225,'FCPIS F'!$B$138:$B$225,'PIS F AVG'!$A75,'FCPIS F'!$C$138:$C$225,'PIS F AVG'!$B75)*1000</f>
        <v>118754387.0999998</v>
      </c>
      <c r="G75" s="13"/>
      <c r="H75" s="4">
        <f>SUMIFS('FCPIS F'!$S$228:$S$278,'FCPIS F'!$B$228:$B$278,'PIS F AVG'!$A75,'FCPIS F'!$C$228:$C$278,'PIS F AVG'!$B75)*-1000</f>
        <v>-20122200.059999999</v>
      </c>
      <c r="I75" s="13"/>
      <c r="J75" s="4">
        <f>SUMIFS('FCPIS F'!$S$395:$S$416,'FCPIS F'!$B$395:$B$416,'PIS F AVG'!$A75,'FCPIS F'!$C$395:$C$416,'PIS F AVG'!$B75)*1000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4">
        <f>SUMIFS('FCPIS F'!$T$6:$T$135,'FCPIS F'!$B$6:$B$135,'PIS F AVG'!$A75,'FCPIS F'!$C$6:$C$135,'PIS F AVG'!$B75)*1000</f>
        <v>2617706023.0323005</v>
      </c>
      <c r="Q75" s="2"/>
      <c r="R75" s="9">
        <f>SUMIFS('FCPIS F'!$T$281:$T$408,'FCPIS F'!$B$281:$B$408,'PIS F AVG'!$A75,'FCPIS F'!$C$281:$C$408,'PIS F AVG'!$B75)*-1000</f>
        <v>-544395757.52088308</v>
      </c>
      <c r="S75" s="2"/>
      <c r="T75" s="9">
        <f t="shared" si="32"/>
        <v>2073310265.5114174</v>
      </c>
      <c r="V75" s="9">
        <f t="shared" si="34"/>
        <v>10234811.087350268</v>
      </c>
      <c r="W75" s="13"/>
      <c r="X75" s="9">
        <f t="shared" si="33"/>
        <v>-534160946.43353283</v>
      </c>
      <c r="Y75" s="4">
        <f>SUMIFS('FCPIS F'!$R$6:$R$135,'FCPIS F'!$B$6:$B$135,'PIS F AVG'!$A75,'FCPIS F'!$C$6:$C$135,'PIS F AVG'!$B75)*1000</f>
        <v>2665803137.3399901</v>
      </c>
      <c r="Z75" s="4">
        <f t="shared" si="19"/>
        <v>-1.0013580322265625E-5</v>
      </c>
    </row>
    <row r="76" spans="1:26">
      <c r="A76" s="6" t="s">
        <v>923</v>
      </c>
      <c r="C76" s="129" t="s">
        <v>58</v>
      </c>
      <c r="D76" s="4">
        <f>SUMIFS('FCPIS F'!$F$6:$F$135,'FCPIS F'!$B$6:$B$135,'PIS F AVG'!$A76,'FCPIS F'!$C$6:$C$135,'PIS F AVG'!$B76)*1000</f>
        <v>0</v>
      </c>
      <c r="E76" s="13"/>
      <c r="F76" s="4">
        <f>SUMIFS('FCPIS F'!$S$138:$S$225,'FCPIS F'!$B$138:$B$225,'PIS F AVG'!$A76,'FCPIS F'!$C$138:$C$225,'PIS F AVG'!$B76)*1000</f>
        <v>0</v>
      </c>
      <c r="G76" s="13"/>
      <c r="H76" s="4">
        <f>SUMIFS('FCPIS F'!$S$228:$S$278,'FCPIS F'!$B$228:$B$278,'PIS F AVG'!$A76,'FCPIS F'!$C$228:$C$278,'PIS F AVG'!$B76)*-1000</f>
        <v>0</v>
      </c>
      <c r="I76" s="13"/>
      <c r="J76" s="4">
        <f>SUMIFS('FCPIS F'!$S$395:$S$416,'FCPIS F'!$B$395:$B$416,'PIS F AVG'!$A76,'FCPIS F'!$C$395:$C$416,'PIS F AVG'!$B76)*1000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4">
        <f>SUMIFS('FCPIS F'!$T$6:$T$135,'FCPIS F'!$B$6:$B$135,'PIS F AVG'!$A76,'FCPIS F'!$C$6:$C$135,'PIS F AVG'!$B76)*1000</f>
        <v>0</v>
      </c>
      <c r="Q76" s="2"/>
      <c r="R76" s="9">
        <f>SUMIFS('FCPIS F'!$T$281:$T$408,'FCPIS F'!$B$281:$B$408,'PIS F AVG'!$A76,'FCPIS F'!$C$281:$C$408,'PIS F AVG'!$B76)*-1000</f>
        <v>0</v>
      </c>
      <c r="S76" s="2"/>
      <c r="T76" s="9">
        <f t="shared" si="32"/>
        <v>0</v>
      </c>
      <c r="V76" s="9">
        <f t="shared" si="34"/>
        <v>0</v>
      </c>
      <c r="W76" s="13"/>
      <c r="X76" s="9">
        <f t="shared" si="33"/>
        <v>0</v>
      </c>
      <c r="Y76" s="4">
        <f>SUMIFS('FCPIS F'!$R$6:$R$135,'FCPIS F'!$B$6:$B$135,'PIS F AVG'!$A76,'FCPIS F'!$C$6:$C$135,'PIS F AVG'!$B76)*1000</f>
        <v>0</v>
      </c>
      <c r="Z76" s="4">
        <f t="shared" si="19"/>
        <v>0</v>
      </c>
    </row>
    <row r="77" spans="1:26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 AVG'!$A77,'FCPIS F'!$C$6:$C$135,'PIS F AVG'!$B77)*1000</f>
        <v>234071399.299999</v>
      </c>
      <c r="E77" s="13"/>
      <c r="F77" s="4">
        <f>SUMIFS('FCPIS F'!$S$138:$S$225,'FCPIS F'!$B$138:$B$225,'PIS F AVG'!$A77,'FCPIS F'!$C$138:$C$225,'PIS F AVG'!$B77)*1000</f>
        <v>12965193.050000001</v>
      </c>
      <c r="G77" s="13"/>
      <c r="H77" s="4">
        <f>SUMIFS('FCPIS F'!$S$228:$S$278,'FCPIS F'!$B$228:$B$278,'PIS F AVG'!$A77,'FCPIS F'!$C$228:$C$278,'PIS F AVG'!$B77)*-1000</f>
        <v>-3093934.2699999991</v>
      </c>
      <c r="I77" s="13"/>
      <c r="J77" s="4">
        <f>SUMIFS('FCPIS F'!$S$395:$S$416,'FCPIS F'!$B$395:$B$416,'PIS F AVG'!$A77,'FCPIS F'!$C$395:$C$416,'PIS F AVG'!$B77)*1000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4">
        <f>SUMIFS('FCPIS F'!$T$6:$T$135,'FCPIS F'!$B$6:$B$135,'PIS F AVG'!$A77,'FCPIS F'!$C$6:$C$135,'PIS F AVG'!$B77)*1000</f>
        <v>239942780.71538362</v>
      </c>
      <c r="Q77" s="2"/>
      <c r="R77" s="9">
        <f>SUMIFS('FCPIS F'!$T$281:$T$408,'FCPIS F'!$B$281:$B$408,'PIS F AVG'!$A77,'FCPIS F'!$C$281:$C$408,'PIS F AVG'!$B77)*-1000</f>
        <v>-111621399.26049331</v>
      </c>
      <c r="S77" s="2"/>
      <c r="T77" s="9">
        <f t="shared" si="32"/>
        <v>128321381.45489031</v>
      </c>
      <c r="V77" s="9">
        <f t="shared" si="34"/>
        <v>1117401.2583302436</v>
      </c>
      <c r="W77" s="13"/>
      <c r="X77" s="9">
        <f t="shared" si="33"/>
        <v>-110503998.00216307</v>
      </c>
      <c r="Y77" s="4">
        <f>SUMIFS('FCPIS F'!$R$6:$R$135,'FCPIS F'!$B$6:$B$135,'PIS F AVG'!$A77,'FCPIS F'!$C$6:$C$135,'PIS F AVG'!$B77)*1000</f>
        <v>243942658.079999</v>
      </c>
      <c r="Z77" s="4">
        <f t="shared" si="19"/>
        <v>0</v>
      </c>
    </row>
    <row r="78" spans="1:26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 AVG'!$A78,'FCPIS F'!$C$6:$C$135,'PIS F AVG'!$B78)*1000</f>
        <v>183557540.87</v>
      </c>
      <c r="E78" s="13"/>
      <c r="F78" s="4">
        <f>SUMIFS('FCPIS F'!$S$138:$S$225,'FCPIS F'!$B$138:$B$225,'PIS F AVG'!$A78,'FCPIS F'!$C$138:$C$225,'PIS F AVG'!$B78)*1000</f>
        <v>3151518.4200000004</v>
      </c>
      <c r="G78" s="13"/>
      <c r="H78" s="4">
        <f>SUMIFS('FCPIS F'!$S$228:$S$278,'FCPIS F'!$B$228:$B$278,'PIS F AVG'!$A78,'FCPIS F'!$C$228:$C$278,'PIS F AVG'!$B78)*-1000</f>
        <v>-1120.8599999999999</v>
      </c>
      <c r="I78" s="13"/>
      <c r="J78" s="4">
        <f>SUMIFS('FCPIS F'!$S$395:$S$416,'FCPIS F'!$B$395:$B$416,'PIS F AVG'!$A78,'FCPIS F'!$C$395:$C$416,'PIS F AVG'!$B78)*1000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4">
        <f>SUMIFS('FCPIS F'!$T$6:$T$135,'FCPIS F'!$B$6:$B$135,'PIS F AVG'!$A78,'FCPIS F'!$C$6:$C$135,'PIS F AVG'!$B78)*1000</f>
        <v>184975687.96384615</v>
      </c>
      <c r="Q78" s="2"/>
      <c r="R78" s="9">
        <f>SUMIFS('FCPIS F'!$T$281:$T$408,'FCPIS F'!$B$281:$B$408,'PIS F AVG'!$A78,'FCPIS F'!$C$281:$C$408,'PIS F AVG'!$B78)*-1000</f>
        <v>-94051988.23394984</v>
      </c>
      <c r="S78" s="2"/>
      <c r="T78" s="9">
        <f t="shared" si="32"/>
        <v>90923699.729896307</v>
      </c>
      <c r="V78" s="9">
        <f t="shared" si="34"/>
        <v>271612.66589539457</v>
      </c>
      <c r="W78" s="13"/>
      <c r="X78" s="9">
        <f t="shared" si="33"/>
        <v>-93780375.568054453</v>
      </c>
      <c r="Y78" s="4">
        <f>SUMIFS('FCPIS F'!$R$6:$R$135,'FCPIS F'!$B$6:$B$135,'PIS F AVG'!$A78,'FCPIS F'!$C$6:$C$135,'PIS F AVG'!$B78)*1000</f>
        <v>186707938.43000001</v>
      </c>
      <c r="Z78" s="4">
        <f t="shared" si="19"/>
        <v>0</v>
      </c>
    </row>
    <row r="79" spans="1:26">
      <c r="A79" s="6" t="s">
        <v>923</v>
      </c>
      <c r="C79" s="129" t="s">
        <v>61</v>
      </c>
      <c r="D79" s="4">
        <f>SUMIFS('FCPIS F'!$F$6:$F$135,'FCPIS F'!$B$6:$B$135,'PIS F AVG'!$A79,'FCPIS F'!$C$6:$C$135,'PIS F AVG'!$B79)*1000</f>
        <v>0</v>
      </c>
      <c r="E79" s="13"/>
      <c r="F79" s="4">
        <f>SUMIFS('FCPIS F'!$S$138:$S$225,'FCPIS F'!$B$138:$B$225,'PIS F AVG'!$A79,'FCPIS F'!$C$138:$C$225,'PIS F AVG'!$B79)*1000</f>
        <v>0</v>
      </c>
      <c r="G79" s="13"/>
      <c r="H79" s="4">
        <f>SUMIFS('FCPIS F'!$S$228:$S$278,'FCPIS F'!$B$228:$B$278,'PIS F AVG'!$A79,'FCPIS F'!$C$228:$C$278,'PIS F AVG'!$B79)*-1000</f>
        <v>0</v>
      </c>
      <c r="I79" s="13"/>
      <c r="J79" s="4">
        <f>SUMIFS('FCPIS F'!$S$395:$S$416,'FCPIS F'!$B$395:$B$416,'PIS F AVG'!$A79,'FCPIS F'!$C$395:$C$416,'PIS F AVG'!$B79)*1000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4">
        <f>SUMIFS('FCPIS F'!$T$6:$T$135,'FCPIS F'!$B$6:$B$135,'PIS F AVG'!$A79,'FCPIS F'!$C$6:$C$135,'PIS F AVG'!$B79)*1000</f>
        <v>0</v>
      </c>
      <c r="Q79" s="2"/>
      <c r="R79" s="9">
        <f>SUMIFS('FCPIS F'!$T$281:$T$408,'FCPIS F'!$B$281:$B$408,'PIS F AVG'!$A79,'FCPIS F'!$C$281:$C$408,'PIS F AVG'!$B79)*-1000</f>
        <v>0</v>
      </c>
      <c r="S79" s="2"/>
      <c r="T79" s="9">
        <f t="shared" si="32"/>
        <v>0</v>
      </c>
      <c r="V79" s="9">
        <f t="shared" si="34"/>
        <v>0</v>
      </c>
      <c r="W79" s="13"/>
      <c r="X79" s="9">
        <f t="shared" si="33"/>
        <v>0</v>
      </c>
      <c r="Y79" s="4">
        <f>SUMIFS('FCPIS F'!$R$6:$R$135,'FCPIS F'!$B$6:$B$135,'PIS F AVG'!$A79,'FCPIS F'!$C$6:$C$135,'PIS F AVG'!$B79)*1000</f>
        <v>0</v>
      </c>
      <c r="Z79" s="4">
        <f t="shared" si="19"/>
        <v>0</v>
      </c>
    </row>
    <row r="80" spans="1:26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 AVG'!$A80,'FCPIS F'!$C$6:$C$135,'PIS F AVG'!$B80)*1000</f>
        <v>20731715.18</v>
      </c>
      <c r="E80" s="13"/>
      <c r="F80" s="4">
        <f>SUMIFS('FCPIS F'!$S$138:$S$225,'FCPIS F'!$B$138:$B$225,'PIS F AVG'!$A80,'FCPIS F'!$C$138:$C$225,'PIS F AVG'!$B80)*1000</f>
        <v>23800980.009999998</v>
      </c>
      <c r="G80" s="13"/>
      <c r="H80" s="4">
        <f>SUMIFS('FCPIS F'!$S$228:$S$278,'FCPIS F'!$B$228:$B$278,'PIS F AVG'!$A80,'FCPIS F'!$C$228:$C$278,'PIS F AVG'!$B80)*-1000</f>
        <v>-608122.24</v>
      </c>
      <c r="I80" s="13"/>
      <c r="J80" s="4">
        <f>SUMIFS('FCPIS F'!$S$395:$S$416,'FCPIS F'!$B$395:$B$416,'PIS F AVG'!$A80,'FCPIS F'!$C$395:$C$416,'PIS F AVG'!$B80)*1000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4">
        <f>SUMIFS('FCPIS F'!$T$6:$T$135,'FCPIS F'!$B$6:$B$135,'PIS F AVG'!$A80,'FCPIS F'!$C$6:$C$135,'PIS F AVG'!$B80)*1000</f>
        <v>32388501.009230729</v>
      </c>
      <c r="Q80" s="2"/>
      <c r="R80" s="9">
        <f>SUMIFS('FCPIS F'!$T$281:$T$408,'FCPIS F'!$B$281:$B$408,'PIS F AVG'!$A80,'FCPIS F'!$C$281:$C$408,'PIS F AVG'!$B80)*-1000</f>
        <v>-6957065.3972266223</v>
      </c>
      <c r="S80" s="2"/>
      <c r="T80" s="9">
        <f t="shared" si="32"/>
        <v>25431435.612004109</v>
      </c>
      <c r="V80" s="9">
        <f t="shared" si="34"/>
        <v>2051280.2940999765</v>
      </c>
      <c r="W80" s="13"/>
      <c r="X80" s="9">
        <f t="shared" si="33"/>
        <v>-4905785.103126646</v>
      </c>
      <c r="Y80" s="4">
        <f>SUMIFS('FCPIS F'!$R$6:$R$135,'FCPIS F'!$B$6:$B$135,'PIS F AVG'!$A80,'FCPIS F'!$C$6:$C$135,'PIS F AVG'!$B80)*1000</f>
        <v>43924572.950000003</v>
      </c>
      <c r="Z80" s="4">
        <f t="shared" si="19"/>
        <v>0</v>
      </c>
    </row>
    <row r="81" spans="1:26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 AVG'!$A81,'FCPIS F'!$C$6:$C$135,'PIS F AVG'!$B81)*1000</f>
        <v>89186900.099999994</v>
      </c>
      <c r="E81" s="13"/>
      <c r="F81" s="4">
        <f>SUMIFS('FCPIS F'!$S$138:$S$225,'FCPIS F'!$B$138:$B$225,'PIS F AVG'!$A81,'FCPIS F'!$C$138:$C$225,'PIS F AVG'!$B81)*1000</f>
        <v>0</v>
      </c>
      <c r="G81" s="13"/>
      <c r="H81" s="4">
        <f>SUMIFS('FCPIS F'!$S$228:$S$278,'FCPIS F'!$B$228:$B$278,'PIS F AVG'!$A81,'FCPIS F'!$C$228:$C$278,'PIS F AVG'!$B81)*-1000</f>
        <v>-13078638.460000001</v>
      </c>
      <c r="I81" s="13"/>
      <c r="J81" s="4">
        <f>SUMIFS('FCPIS F'!$S$395:$S$416,'FCPIS F'!$B$395:$B$416,'PIS F AVG'!$A81,'FCPIS F'!$C$395:$C$416,'PIS F AVG'!$B81)*1000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4">
        <f>SUMIFS('FCPIS F'!$T$6:$T$135,'FCPIS F'!$B$6:$B$135,'PIS F AVG'!$A81,'FCPIS F'!$C$6:$C$135,'PIS F AVG'!$B81)*1000</f>
        <v>85132615.10307692</v>
      </c>
      <c r="Q81" s="2"/>
      <c r="R81" s="9">
        <f>SUMIFS('FCPIS F'!$T$281:$T$408,'FCPIS F'!$B$281:$B$408,'PIS F AVG'!$A81,'FCPIS F'!$C$281:$C$408,'PIS F AVG'!$B81)*-1000</f>
        <v>-50619183.042816848</v>
      </c>
      <c r="S81" s="2"/>
      <c r="T81" s="9">
        <f t="shared" si="32"/>
        <v>34513432.060260072</v>
      </c>
      <c r="V81" s="9">
        <f t="shared" si="34"/>
        <v>0</v>
      </c>
      <c r="W81" s="13"/>
      <c r="X81" s="9">
        <f t="shared" si="33"/>
        <v>-50619183.042816848</v>
      </c>
      <c r="Y81" s="4">
        <f>SUMIFS('FCPIS F'!$R$6:$R$135,'FCPIS F'!$B$6:$B$135,'PIS F AVG'!$A81,'FCPIS F'!$C$6:$C$135,'PIS F AVG'!$B81)*1000</f>
        <v>76108261.640000001</v>
      </c>
      <c r="Z81" s="4">
        <f t="shared" si="19"/>
        <v>0</v>
      </c>
    </row>
    <row r="82" spans="1:26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3477278349.8384533</v>
      </c>
      <c r="Q82" s="129"/>
      <c r="R82" s="784">
        <f>SUM(R70:R81)</f>
        <v>-981730623.74777746</v>
      </c>
      <c r="S82" s="129"/>
      <c r="T82" s="784">
        <f>SUM(T70:T81)</f>
        <v>2495547726.0906758</v>
      </c>
      <c r="U82" s="129"/>
      <c r="V82" s="784">
        <f>SUM('FC CWIP &amp; RWIP F'!Q27:Q30)*1000</f>
        <v>13809954.286923077</v>
      </c>
      <c r="W82" s="2"/>
      <c r="X82" s="784">
        <f t="shared" si="33"/>
        <v>-967920669.46085441</v>
      </c>
      <c r="Y82" s="4"/>
      <c r="Z82" s="4"/>
    </row>
    <row r="83" spans="1:26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4"/>
      <c r="Q83" s="129"/>
      <c r="R83" s="129"/>
      <c r="S83" s="129"/>
      <c r="T83" s="129"/>
      <c r="U83" s="129"/>
      <c r="V83" s="9"/>
      <c r="W83" s="2"/>
      <c r="X83" s="9"/>
      <c r="Y83" s="4"/>
      <c r="Z83" s="4"/>
    </row>
    <row r="84" spans="1:26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4"/>
      <c r="Q84" s="129"/>
      <c r="R84" s="129"/>
      <c r="S84" s="129"/>
      <c r="T84" s="129"/>
      <c r="U84" s="129"/>
      <c r="V84" s="9"/>
      <c r="W84" s="2"/>
      <c r="X84" s="9"/>
      <c r="Y84" s="4"/>
      <c r="Z84" s="4"/>
    </row>
    <row r="85" spans="1:26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 AVG'!$A85,'FCPIS F'!$C$6:$C$135,'PIS F AVG'!$B85)*1000</f>
        <v>11144162.02</v>
      </c>
      <c r="E85" s="13"/>
      <c r="F85" s="4">
        <f>SUMIFS('FCPIS F'!$S$138:$S$225,'FCPIS F'!$B$138:$B$225,'PIS F AVG'!$A85,'FCPIS F'!$C$138:$C$225,'PIS F AVG'!$B85)*1000</f>
        <v>0</v>
      </c>
      <c r="G85" s="13"/>
      <c r="H85" s="4">
        <f>SUMIFS('FCPIS F'!$S$228:$S$278,'FCPIS F'!$B$228:$B$278,'PIS F AVG'!$A85,'FCPIS F'!$C$228:$C$278,'PIS F AVG'!$B85)*-1000</f>
        <v>0</v>
      </c>
      <c r="I85" s="13"/>
      <c r="J85" s="4">
        <f>SUMIFS('FCPIS F'!$S$395:$S$416,'FCPIS F'!$B$395:$B$416,'PIS F AVG'!$A85,'FCPIS F'!$C$395:$C$416,'PIS F AVG'!$B85)*1000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4">
        <f>SUMIFS('FCPIS F'!$T$6:$T$135,'FCPIS F'!$B$6:$B$135,'PIS F AVG'!$A85,'FCPIS F'!$C$6:$C$135,'PIS F AVG'!$B85)*1000</f>
        <v>11144162.020000001</v>
      </c>
      <c r="Q85" s="2"/>
      <c r="R85" s="9">
        <f>SUMIFS('FCPIS F'!$T$281:$T$408,'FCPIS F'!$B$281:$B$408,'PIS F AVG'!$A85,'FCPIS F'!$C$281:$C$408,'PIS F AVG'!$B85)*-1000</f>
        <v>-3383898.4093759903</v>
      </c>
      <c r="S85" s="2"/>
      <c r="T85" s="9">
        <f t="shared" ref="T85:T96" si="38">SUM(P85:R85)</f>
        <v>7760263.6106240116</v>
      </c>
      <c r="V85" s="9">
        <f>F85/F$97*V$97</f>
        <v>0</v>
      </c>
      <c r="W85" s="13"/>
      <c r="X85" s="9">
        <f t="shared" ref="X85:X97" si="39">R85+V85</f>
        <v>-3383898.4093759903</v>
      </c>
      <c r="Y85" s="4">
        <f>SUMIFS('FCPIS F'!$R$6:$R$135,'FCPIS F'!$B$6:$B$135,'PIS F AVG'!$A85,'FCPIS F'!$C$6:$C$135,'PIS F AVG'!$B85)*1000</f>
        <v>11144162.02</v>
      </c>
      <c r="Z85" s="4">
        <f t="shared" ref="Z85:Z96" si="40">Y85-N85</f>
        <v>0</v>
      </c>
    </row>
    <row r="86" spans="1:26">
      <c r="A86" s="6" t="s">
        <v>923</v>
      </c>
      <c r="C86" s="129" t="s">
        <v>66</v>
      </c>
      <c r="D86" s="4">
        <f>SUMIFS('FCPIS F'!$F$6:$F$135,'FCPIS F'!$B$6:$B$135,'PIS F AVG'!$A86,'FCPIS F'!$C$6:$C$135,'PIS F AVG'!$B86)*1000</f>
        <v>0</v>
      </c>
      <c r="E86" s="13"/>
      <c r="F86" s="4">
        <f>SUMIFS('FCPIS F'!$S$138:$S$225,'FCPIS F'!$B$138:$B$225,'PIS F AVG'!$A86,'FCPIS F'!$C$138:$C$225,'PIS F AVG'!$B86)*1000</f>
        <v>0</v>
      </c>
      <c r="G86" s="13"/>
      <c r="H86" s="4">
        <f>SUMIFS('FCPIS F'!$S$228:$S$278,'FCPIS F'!$B$228:$B$278,'PIS F AVG'!$A86,'FCPIS F'!$C$228:$C$278,'PIS F AVG'!$B86)*-1000</f>
        <v>0</v>
      </c>
      <c r="I86" s="13"/>
      <c r="J86" s="4">
        <f>SUMIFS('FCPIS F'!$S$395:$S$416,'FCPIS F'!$B$395:$B$416,'PIS F AVG'!$A86,'FCPIS F'!$C$395:$C$416,'PIS F AVG'!$B86)*1000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4">
        <f>SUMIFS('FCPIS F'!$T$6:$T$135,'FCPIS F'!$B$6:$B$135,'PIS F AVG'!$A86,'FCPIS F'!$C$6:$C$135,'PIS F AVG'!$B86)*1000</f>
        <v>0</v>
      </c>
      <c r="Q86" s="2"/>
      <c r="R86" s="9">
        <f>SUMIFS('FCPIS F'!$T$281:$T$408,'FCPIS F'!$B$281:$B$408,'PIS F AVG'!$A86,'FCPIS F'!$C$281:$C$408,'PIS F AVG'!$B86)*-1000</f>
        <v>0</v>
      </c>
      <c r="S86" s="2"/>
      <c r="T86" s="9">
        <f t="shared" si="38"/>
        <v>0</v>
      </c>
      <c r="V86" s="9">
        <f t="shared" ref="V86:V96" si="41">F86/F$97*V$97</f>
        <v>0</v>
      </c>
      <c r="W86" s="13"/>
      <c r="X86" s="9">
        <f t="shared" si="39"/>
        <v>0</v>
      </c>
      <c r="Y86" s="4">
        <f>SUMIFS('FCPIS F'!$R$6:$R$135,'FCPIS F'!$B$6:$B$135,'PIS F AVG'!$A86,'FCPIS F'!$C$6:$C$135,'PIS F AVG'!$B86)*1000</f>
        <v>0</v>
      </c>
      <c r="Z86" s="4">
        <f t="shared" si="40"/>
        <v>0</v>
      </c>
    </row>
    <row r="87" spans="1:26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 AVG'!$A87,'FCPIS F'!$C$6:$C$135,'PIS F AVG'!$B87)*1000</f>
        <v>17704470.390000001</v>
      </c>
      <c r="E87" s="13"/>
      <c r="F87" s="4">
        <f>SUMIFS('FCPIS F'!$S$138:$S$225,'FCPIS F'!$B$138:$B$225,'PIS F AVG'!$A87,'FCPIS F'!$C$138:$C$225,'PIS F AVG'!$B87)*1000</f>
        <v>46997.569999999905</v>
      </c>
      <c r="G87" s="13"/>
      <c r="H87" s="4">
        <f>SUMIFS('FCPIS F'!$S$228:$S$278,'FCPIS F'!$B$228:$B$278,'PIS F AVG'!$A87,'FCPIS F'!$C$228:$C$278,'PIS F AVG'!$B87)*-1000</f>
        <v>0</v>
      </c>
      <c r="I87" s="13"/>
      <c r="J87" s="4">
        <f>SUMIFS('FCPIS F'!$S$395:$S$416,'FCPIS F'!$B$395:$B$416,'PIS F AVG'!$A87,'FCPIS F'!$C$395:$C$416,'PIS F AVG'!$B87)*1000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4">
        <f>SUMIFS('FCPIS F'!$T$6:$T$135,'FCPIS F'!$B$6:$B$135,'PIS F AVG'!$A87,'FCPIS F'!$C$6:$C$135,'PIS F AVG'!$B87)*1000</f>
        <v>17728931.077692308</v>
      </c>
      <c r="Q87" s="2"/>
      <c r="R87" s="9">
        <f>SUMIFS('FCPIS F'!$T$281:$T$408,'FCPIS F'!$B$281:$B$408,'PIS F AVG'!$A87,'FCPIS F'!$C$281:$C$408,'PIS F AVG'!$B87)*-1000</f>
        <v>-2932855.6033724188</v>
      </c>
      <c r="S87" s="2"/>
      <c r="T87" s="9">
        <f t="shared" si="38"/>
        <v>14796075.474319888</v>
      </c>
      <c r="V87" s="9">
        <f t="shared" si="41"/>
        <v>2380.0404149142196</v>
      </c>
      <c r="W87" s="13"/>
      <c r="X87" s="9">
        <f t="shared" si="39"/>
        <v>-2930475.5629575048</v>
      </c>
      <c r="Y87" s="4">
        <f>SUMIFS('FCPIS F'!$R$6:$R$135,'FCPIS F'!$B$6:$B$135,'PIS F AVG'!$A87,'FCPIS F'!$C$6:$C$135,'PIS F AVG'!$B87)*1000</f>
        <v>17751467.960000001</v>
      </c>
      <c r="Z87" s="4">
        <f t="shared" si="40"/>
        <v>0</v>
      </c>
    </row>
    <row r="88" spans="1:26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 AVG'!$A88,'FCPIS F'!$C$6:$C$135,'PIS F AVG'!$B88)*1000</f>
        <v>237589447.03999999</v>
      </c>
      <c r="E88" s="13"/>
      <c r="F88" s="4">
        <f>SUMIFS('FCPIS F'!$S$138:$S$225,'FCPIS F'!$B$138:$B$225,'PIS F AVG'!$A88,'FCPIS F'!$C$138:$C$225,'PIS F AVG'!$B88)*1000</f>
        <v>19547454.91</v>
      </c>
      <c r="G88" s="13"/>
      <c r="H88" s="4">
        <f>SUMIFS('FCPIS F'!$S$228:$S$278,'FCPIS F'!$B$228:$B$278,'PIS F AVG'!$A88,'FCPIS F'!$C$228:$C$278,'PIS F AVG'!$B88)*-1000</f>
        <v>-1960915.1199999992</v>
      </c>
      <c r="I88" s="13"/>
      <c r="J88" s="4">
        <f>SUMIFS('FCPIS F'!$S$395:$S$416,'FCPIS F'!$B$395:$B$416,'PIS F AVG'!$A88,'FCPIS F'!$C$395:$C$416,'PIS F AVG'!$B88)*1000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4">
        <f>SUMIFS('FCPIS F'!$T$6:$T$135,'FCPIS F'!$B$6:$B$135,'PIS F AVG'!$A88,'FCPIS F'!$C$6:$C$135,'PIS F AVG'!$B88)*1000</f>
        <v>247685387.55461532</v>
      </c>
      <c r="Q88" s="2"/>
      <c r="R88" s="9">
        <f>SUMIFS('FCPIS F'!$T$281:$T$408,'FCPIS F'!$B$281:$B$408,'PIS F AVG'!$A88,'FCPIS F'!$C$281:$C$408,'PIS F AVG'!$B88)*-1000</f>
        <v>-70824982.022919253</v>
      </c>
      <c r="S88" s="2"/>
      <c r="T88" s="9">
        <f t="shared" si="38"/>
        <v>176860405.53169608</v>
      </c>
      <c r="V88" s="9">
        <f t="shared" si="41"/>
        <v>989917.83393297752</v>
      </c>
      <c r="W88" s="13"/>
      <c r="X88" s="9">
        <f t="shared" si="39"/>
        <v>-69835064.188986272</v>
      </c>
      <c r="Y88" s="4">
        <f>SUMIFS('FCPIS F'!$R$6:$R$135,'FCPIS F'!$B$6:$B$135,'PIS F AVG'!$A88,'FCPIS F'!$C$6:$C$135,'PIS F AVG'!$B88)*1000</f>
        <v>255175986.82999989</v>
      </c>
      <c r="Z88" s="4">
        <f t="shared" si="40"/>
        <v>0</v>
      </c>
    </row>
    <row r="89" spans="1:26">
      <c r="A89" s="6" t="s">
        <v>923</v>
      </c>
      <c r="C89" s="129" t="s">
        <v>69</v>
      </c>
      <c r="D89" s="4">
        <f>SUMIFS('FCPIS F'!$F$6:$F$135,'FCPIS F'!$B$6:$B$135,'PIS F AVG'!$A89,'FCPIS F'!$C$6:$C$135,'PIS F AVG'!$B89)*1000</f>
        <v>0</v>
      </c>
      <c r="E89" s="13"/>
      <c r="F89" s="4">
        <f>SUMIFS('FCPIS F'!$S$138:$S$225,'FCPIS F'!$B$138:$B$225,'PIS F AVG'!$A89,'FCPIS F'!$C$138:$C$225,'PIS F AVG'!$B89)*1000</f>
        <v>0</v>
      </c>
      <c r="G89" s="13"/>
      <c r="H89" s="4">
        <f>SUMIFS('FCPIS F'!$S$228:$S$278,'FCPIS F'!$B$228:$B$278,'PIS F AVG'!$A89,'FCPIS F'!$C$228:$C$278,'PIS F AVG'!$B89)*-1000</f>
        <v>0</v>
      </c>
      <c r="I89" s="13"/>
      <c r="J89" s="4">
        <f>SUMIFS('FCPIS F'!$S$395:$S$416,'FCPIS F'!$B$395:$B$416,'PIS F AVG'!$A89,'FCPIS F'!$C$395:$C$416,'PIS F AVG'!$B89)*1000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4">
        <f>SUMIFS('FCPIS F'!$T$6:$T$135,'FCPIS F'!$B$6:$B$135,'PIS F AVG'!$A89,'FCPIS F'!$C$6:$C$135,'PIS F AVG'!$B89)*1000</f>
        <v>0</v>
      </c>
      <c r="Q89" s="2"/>
      <c r="R89" s="9">
        <f>SUMIFS('FCPIS F'!$T$281:$T$408,'FCPIS F'!$B$281:$B$408,'PIS F AVG'!$A89,'FCPIS F'!$C$281:$C$408,'PIS F AVG'!$B89)*-1000</f>
        <v>0</v>
      </c>
      <c r="S89" s="2"/>
      <c r="T89" s="9">
        <f t="shared" si="38"/>
        <v>0</v>
      </c>
      <c r="V89" s="9">
        <f t="shared" si="41"/>
        <v>0</v>
      </c>
      <c r="W89" s="13"/>
      <c r="X89" s="9">
        <f t="shared" si="39"/>
        <v>0</v>
      </c>
      <c r="Y89" s="4">
        <f>SUMIFS('FCPIS F'!$R$6:$R$135,'FCPIS F'!$B$6:$B$135,'PIS F AVG'!$A89,'FCPIS F'!$C$6:$C$135,'PIS F AVG'!$B89)*1000</f>
        <v>0</v>
      </c>
      <c r="Z89" s="4">
        <f t="shared" si="40"/>
        <v>0</v>
      </c>
    </row>
    <row r="90" spans="1:26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 AVG'!$A90,'FCPIS F'!$C$6:$C$135,'PIS F AVG'!$B90)*1000</f>
        <v>43849203.200000003</v>
      </c>
      <c r="E90" s="13"/>
      <c r="F90" s="4">
        <f>SUMIFS('FCPIS F'!$S$138:$S$225,'FCPIS F'!$B$138:$B$225,'PIS F AVG'!$A90,'FCPIS F'!$C$138:$C$225,'PIS F AVG'!$B90)*1000</f>
        <v>0</v>
      </c>
      <c r="G90" s="13"/>
      <c r="H90" s="4">
        <f>SUMIFS('FCPIS F'!$S$228:$S$278,'FCPIS F'!$B$228:$B$278,'PIS F AVG'!$A90,'FCPIS F'!$C$228:$C$278,'PIS F AVG'!$B90)*-1000</f>
        <v>0</v>
      </c>
      <c r="I90" s="13"/>
      <c r="J90" s="4">
        <f>SUMIFS('FCPIS F'!$S$395:$S$416,'FCPIS F'!$B$395:$B$416,'PIS F AVG'!$A90,'FCPIS F'!$C$395:$C$416,'PIS F AVG'!$B90)*1000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4">
        <f>SUMIFS('FCPIS F'!$T$6:$T$135,'FCPIS F'!$B$6:$B$135,'PIS F AVG'!$A90,'FCPIS F'!$C$6:$C$135,'PIS F AVG'!$B90)*1000</f>
        <v>43849203.199999996</v>
      </c>
      <c r="Q90" s="2"/>
      <c r="R90" s="9">
        <f>SUMIFS('FCPIS F'!$T$281:$T$408,'FCPIS F'!$B$281:$B$408,'PIS F AVG'!$A90,'FCPIS F'!$C$281:$C$408,'PIS F AVG'!$B90)*-1000</f>
        <v>-27367472.998558301</v>
      </c>
      <c r="S90" s="2"/>
      <c r="T90" s="9">
        <f t="shared" si="38"/>
        <v>16481730.201441694</v>
      </c>
      <c r="V90" s="9">
        <f t="shared" si="41"/>
        <v>0</v>
      </c>
      <c r="W90" s="13"/>
      <c r="X90" s="9">
        <f t="shared" si="39"/>
        <v>-27367472.998558301</v>
      </c>
      <c r="Y90" s="4">
        <f>SUMIFS('FCPIS F'!$R$6:$R$135,'FCPIS F'!$B$6:$B$135,'PIS F AVG'!$A90,'FCPIS F'!$C$6:$C$135,'PIS F AVG'!$B90)*1000</f>
        <v>43849203.200000003</v>
      </c>
      <c r="Z90" s="4">
        <f t="shared" si="40"/>
        <v>0</v>
      </c>
    </row>
    <row r="91" spans="1:26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 AVG'!$A91,'FCPIS F'!$C$6:$C$135,'PIS F AVG'!$B91)*1000</f>
        <v>102772233.67</v>
      </c>
      <c r="E91" s="13"/>
      <c r="F91" s="4">
        <f>SUMIFS('FCPIS F'!$S$138:$S$225,'FCPIS F'!$B$138:$B$225,'PIS F AVG'!$A91,'FCPIS F'!$C$138:$C$225,'PIS F AVG'!$B91)*1000</f>
        <v>7638083.3700000001</v>
      </c>
      <c r="G91" s="13"/>
      <c r="H91" s="4">
        <f>SUMIFS('FCPIS F'!$S$228:$S$278,'FCPIS F'!$B$228:$B$278,'PIS F AVG'!$A91,'FCPIS F'!$C$228:$C$278,'PIS F AVG'!$B91)*-1000</f>
        <v>0</v>
      </c>
      <c r="I91" s="13"/>
      <c r="J91" s="4">
        <f>SUMIFS('FCPIS F'!$S$395:$S$416,'FCPIS F'!$B$395:$B$416,'PIS F AVG'!$A91,'FCPIS F'!$C$395:$C$416,'PIS F AVG'!$B91)*1000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4">
        <f>SUMIFS('FCPIS F'!$T$6:$T$135,'FCPIS F'!$B$6:$B$135,'PIS F AVG'!$A91,'FCPIS F'!$C$6:$C$135,'PIS F AVG'!$B91)*1000</f>
        <v>108569894.11769226</v>
      </c>
      <c r="Q91" s="2"/>
      <c r="R91" s="9">
        <f>SUMIFS('FCPIS F'!$T$281:$T$408,'FCPIS F'!$B$281:$B$408,'PIS F AVG'!$A91,'FCPIS F'!$C$281:$C$408,'PIS F AVG'!$B91)*-1000</f>
        <v>-30453799.299511008</v>
      </c>
      <c r="S91" s="2"/>
      <c r="T91" s="9">
        <f t="shared" si="38"/>
        <v>78116094.818181247</v>
      </c>
      <c r="V91" s="9">
        <f t="shared" si="41"/>
        <v>386806.10748777515</v>
      </c>
      <c r="W91" s="13"/>
      <c r="X91" s="9">
        <f t="shared" si="39"/>
        <v>-30066993.192023233</v>
      </c>
      <c r="Y91" s="4">
        <f>SUMIFS('FCPIS F'!$R$6:$R$135,'FCPIS F'!$B$6:$B$135,'PIS F AVG'!$A91,'FCPIS F'!$C$6:$C$135,'PIS F AVG'!$B91)*1000</f>
        <v>110410317.03999999</v>
      </c>
      <c r="Z91" s="4">
        <f t="shared" si="40"/>
        <v>0</v>
      </c>
    </row>
    <row r="92" spans="1:26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 AVG'!$A92,'FCPIS F'!$C$6:$C$135,'PIS F AVG'!$B92)*1000</f>
        <v>61404207.490000002</v>
      </c>
      <c r="E92" s="13"/>
      <c r="F92" s="4">
        <f>SUMIFS('FCPIS F'!$S$138:$S$225,'FCPIS F'!$B$138:$B$225,'PIS F AVG'!$A92,'FCPIS F'!$C$138:$C$225,'PIS F AVG'!$B92)*1000</f>
        <v>1217202.1699999897</v>
      </c>
      <c r="G92" s="13"/>
      <c r="H92" s="4">
        <f>SUMIFS('FCPIS F'!$S$228:$S$278,'FCPIS F'!$B$228:$B$278,'PIS F AVG'!$A92,'FCPIS F'!$C$228:$C$278,'PIS F AVG'!$B92)*-1000</f>
        <v>0</v>
      </c>
      <c r="I92" s="13"/>
      <c r="J92" s="4">
        <f>SUMIFS('FCPIS F'!$S$395:$S$416,'FCPIS F'!$B$395:$B$416,'PIS F AVG'!$A92,'FCPIS F'!$C$395:$C$416,'PIS F AVG'!$B92)*1000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4">
        <f>SUMIFS('FCPIS F'!$T$6:$T$135,'FCPIS F'!$B$6:$B$135,'PIS F AVG'!$A92,'FCPIS F'!$C$6:$C$135,'PIS F AVG'!$B92)*1000</f>
        <v>62314300.349999994</v>
      </c>
      <c r="Q92" s="2"/>
      <c r="R92" s="9">
        <f>SUMIFS('FCPIS F'!$T$281:$T$408,'FCPIS F'!$B$281:$B$408,'PIS F AVG'!$A92,'FCPIS F'!$C$281:$C$408,'PIS F AVG'!$B92)*-1000</f>
        <v>-31872691.891230904</v>
      </c>
      <c r="S92" s="2"/>
      <c r="T92" s="9">
        <f t="shared" si="38"/>
        <v>30441608.45876909</v>
      </c>
      <c r="V92" s="9">
        <f t="shared" si="41"/>
        <v>61641.279702786109</v>
      </c>
      <c r="W92" s="13"/>
      <c r="X92" s="9">
        <f t="shared" si="39"/>
        <v>-31811050.611528117</v>
      </c>
      <c r="Y92" s="4">
        <f>SUMIFS('FCPIS F'!$R$6:$R$135,'FCPIS F'!$B$6:$B$135,'PIS F AVG'!$A92,'FCPIS F'!$C$6:$C$135,'PIS F AVG'!$B92)*1000</f>
        <v>62621409.659999996</v>
      </c>
      <c r="Z92" s="4">
        <f t="shared" si="40"/>
        <v>0</v>
      </c>
    </row>
    <row r="93" spans="1:26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 AVG'!$A93,'FCPIS F'!$C$6:$C$135,'PIS F AVG'!$B93)*1000</f>
        <v>1804058.6900000002</v>
      </c>
      <c r="E93" s="13"/>
      <c r="F93" s="4">
        <f>SUMIFS('FCPIS F'!$S$138:$S$225,'FCPIS F'!$B$138:$B$225,'PIS F AVG'!$A93,'FCPIS F'!$C$138:$C$225,'PIS F AVG'!$B93)*1000</f>
        <v>0</v>
      </c>
      <c r="G93" s="13"/>
      <c r="H93" s="4">
        <f>SUMIFS('FCPIS F'!$S$228:$S$278,'FCPIS F'!$B$228:$B$278,'PIS F AVG'!$A93,'FCPIS F'!$C$228:$C$278,'PIS F AVG'!$B93)*-1000</f>
        <v>0</v>
      </c>
      <c r="I93" s="13"/>
      <c r="J93" s="4">
        <f>SUMIFS('FCPIS F'!$S$395:$S$416,'FCPIS F'!$B$395:$B$416,'PIS F AVG'!$A93,'FCPIS F'!$C$395:$C$416,'PIS F AVG'!$B93)*1000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4">
        <f>SUMIFS('FCPIS F'!$T$6:$T$135,'FCPIS F'!$B$6:$B$135,'PIS F AVG'!$A93,'FCPIS F'!$C$6:$C$135,'PIS F AVG'!$B93)*1000</f>
        <v>1804058.6900000004</v>
      </c>
      <c r="Q93" s="2"/>
      <c r="R93" s="9">
        <f>SUMIFS('FCPIS F'!$T$281:$T$408,'FCPIS F'!$B$281:$B$408,'PIS F AVG'!$A93,'FCPIS F'!$C$281:$C$408,'PIS F AVG'!$B93)*-1000</f>
        <v>-793676.15204479999</v>
      </c>
      <c r="S93" s="2"/>
      <c r="T93" s="9">
        <f t="shared" si="38"/>
        <v>1010382.5379552004</v>
      </c>
      <c r="V93" s="9">
        <f t="shared" si="41"/>
        <v>0</v>
      </c>
      <c r="W93" s="13"/>
      <c r="X93" s="9">
        <f t="shared" si="39"/>
        <v>-793676.15204479999</v>
      </c>
      <c r="Y93" s="4">
        <f>SUMIFS('FCPIS F'!$R$6:$R$135,'FCPIS F'!$B$6:$B$135,'PIS F AVG'!$A93,'FCPIS F'!$C$6:$C$135,'PIS F AVG'!$B93)*1000</f>
        <v>1804058.6900000002</v>
      </c>
      <c r="Z93" s="4">
        <f t="shared" si="40"/>
        <v>0</v>
      </c>
    </row>
    <row r="94" spans="1:26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 AVG'!$A94,'FCPIS F'!$C$6:$C$135,'PIS F AVG'!$B94)*1000</f>
        <v>7529169.8200000003</v>
      </c>
      <c r="E94" s="13"/>
      <c r="F94" s="4">
        <f>SUMIFS('FCPIS F'!$S$138:$S$225,'FCPIS F'!$B$138:$B$225,'PIS F AVG'!$A94,'FCPIS F'!$C$138:$C$225,'PIS F AVG'!$B94)*1000</f>
        <v>0</v>
      </c>
      <c r="G94" s="13"/>
      <c r="H94" s="4">
        <f>SUMIFS('FCPIS F'!$S$228:$S$278,'FCPIS F'!$B$228:$B$278,'PIS F AVG'!$A94,'FCPIS F'!$C$228:$C$278,'PIS F AVG'!$B94)*-1000</f>
        <v>0</v>
      </c>
      <c r="I94" s="13"/>
      <c r="J94" s="4">
        <f>SUMIFS('FCPIS F'!$S$395:$S$416,'FCPIS F'!$B$395:$B$416,'PIS F AVG'!$A94,'FCPIS F'!$C$395:$C$416,'PIS F AVG'!$B94)*1000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4">
        <f>SUMIFS('FCPIS F'!$T$6:$T$135,'FCPIS F'!$B$6:$B$135,'PIS F AVG'!$A94,'FCPIS F'!$C$6:$C$135,'PIS F AVG'!$B94)*1000</f>
        <v>7529169.8199999994</v>
      </c>
      <c r="Q94" s="2"/>
      <c r="R94" s="9">
        <f>SUMIFS('FCPIS F'!$T$281:$T$408,'FCPIS F'!$B$281:$B$408,'PIS F AVG'!$A94,'FCPIS F'!$C$281:$C$408,'PIS F AVG'!$B94)*-1000</f>
        <v>-3769453.3438790003</v>
      </c>
      <c r="S94" s="2"/>
      <c r="T94" s="9">
        <f t="shared" si="38"/>
        <v>3759716.4761209991</v>
      </c>
      <c r="V94" s="9">
        <f t="shared" si="41"/>
        <v>0</v>
      </c>
      <c r="W94" s="13"/>
      <c r="X94" s="9">
        <f t="shared" si="39"/>
        <v>-3769453.3438790003</v>
      </c>
      <c r="Y94" s="4">
        <f>SUMIFS('FCPIS F'!$R$6:$R$135,'FCPIS F'!$B$6:$B$135,'PIS F AVG'!$A94,'FCPIS F'!$C$6:$C$135,'PIS F AVG'!$B94)*1000</f>
        <v>7529169.8200000003</v>
      </c>
      <c r="Z94" s="4">
        <f t="shared" si="40"/>
        <v>0</v>
      </c>
    </row>
    <row r="95" spans="1:26">
      <c r="A95" s="6" t="s">
        <v>923</v>
      </c>
      <c r="C95" s="129" t="s">
        <v>75</v>
      </c>
      <c r="D95" s="4">
        <f>SUMIFS('FCPIS F'!$F$6:$F$135,'FCPIS F'!$B$6:$B$135,'PIS F AVG'!$A95,'FCPIS F'!$C$6:$C$135,'PIS F AVG'!$B95)*1000</f>
        <v>0</v>
      </c>
      <c r="E95" s="13"/>
      <c r="F95" s="4">
        <f>SUMIFS('FCPIS F'!$S$138:$S$225,'FCPIS F'!$B$138:$B$225,'PIS F AVG'!$A95,'FCPIS F'!$C$138:$C$225,'PIS F AVG'!$B95)*1000</f>
        <v>0</v>
      </c>
      <c r="G95" s="13"/>
      <c r="H95" s="4">
        <f>SUMIFS('FCPIS F'!$S$228:$S$278,'FCPIS F'!$B$228:$B$278,'PIS F AVG'!$A95,'FCPIS F'!$C$228:$C$278,'PIS F AVG'!$B95)*-1000</f>
        <v>0</v>
      </c>
      <c r="I95" s="13"/>
      <c r="J95" s="4">
        <f>SUMIFS('FCPIS F'!$S$395:$S$416,'FCPIS F'!$B$395:$B$416,'PIS F AVG'!$A95,'FCPIS F'!$C$395:$C$416,'PIS F AVG'!$B95)*1000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4">
        <f>SUMIFS('FCPIS F'!$T$6:$T$135,'FCPIS F'!$B$6:$B$135,'PIS F AVG'!$A95,'FCPIS F'!$C$6:$C$135,'PIS F AVG'!$B95)*1000</f>
        <v>0</v>
      </c>
      <c r="Q95" s="2"/>
      <c r="R95" s="9">
        <f>SUMIFS('FCPIS F'!$T$281:$T$408,'FCPIS F'!$B$281:$B$408,'PIS F AVG'!$A95,'FCPIS F'!$C$281:$C$408,'PIS F AVG'!$B95)*-1000</f>
        <v>0</v>
      </c>
      <c r="S95" s="2"/>
      <c r="T95" s="9">
        <f t="shared" si="38"/>
        <v>0</v>
      </c>
      <c r="V95" s="9">
        <f t="shared" si="41"/>
        <v>0</v>
      </c>
      <c r="W95" s="13"/>
      <c r="X95" s="9">
        <f t="shared" si="39"/>
        <v>0</v>
      </c>
      <c r="Y95" s="4">
        <f>SUMIFS('FCPIS F'!$R$6:$R$135,'FCPIS F'!$B$6:$B$135,'PIS F AVG'!$A95,'FCPIS F'!$C$6:$C$135,'PIS F AVG'!$B95)*1000</f>
        <v>0</v>
      </c>
      <c r="Z95" s="4">
        <f t="shared" si="40"/>
        <v>0</v>
      </c>
    </row>
    <row r="96" spans="1:26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 AVG'!$A96,'FCPIS F'!$C$6:$C$135,'PIS F AVG'!$B96)*1000</f>
        <v>195962.44999999998</v>
      </c>
      <c r="E96" s="13"/>
      <c r="F96" s="4">
        <f>SUMIFS('FCPIS F'!$S$138:$S$225,'FCPIS F'!$B$138:$B$225,'PIS F AVG'!$A96,'FCPIS F'!$C$138:$C$225,'PIS F AVG'!$B96)*1000</f>
        <v>0</v>
      </c>
      <c r="G96" s="13"/>
      <c r="H96" s="4">
        <f>SUMIFS('FCPIS F'!$S$228:$S$278,'FCPIS F'!$B$228:$B$278,'PIS F AVG'!$A96,'FCPIS F'!$C$228:$C$278,'PIS F AVG'!$B96)*-1000</f>
        <v>0</v>
      </c>
      <c r="I96" s="13"/>
      <c r="J96" s="4">
        <f>SUMIFS('FCPIS F'!$S$395:$S$416,'FCPIS F'!$B$395:$B$416,'PIS F AVG'!$A96,'FCPIS F'!$C$395:$C$416,'PIS F AVG'!$B96)*1000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4">
        <f>SUMIFS('FCPIS F'!$T$6:$T$135,'FCPIS F'!$B$6:$B$135,'PIS F AVG'!$A96,'FCPIS F'!$C$6:$C$135,'PIS F AVG'!$B96)*1000</f>
        <v>195962.44999999998</v>
      </c>
      <c r="Q96" s="2"/>
      <c r="R96" s="9">
        <f>SUMIFS('FCPIS F'!$T$281:$T$408,'FCPIS F'!$B$281:$B$408,'PIS F AVG'!$A96,'FCPIS F'!$C$281:$C$408,'PIS F AVG'!$B96)*-1000</f>
        <v>-49301.666239777558</v>
      </c>
      <c r="S96" s="2"/>
      <c r="T96" s="9">
        <f t="shared" si="38"/>
        <v>146660.78376022243</v>
      </c>
      <c r="V96" s="9">
        <f t="shared" si="41"/>
        <v>0</v>
      </c>
      <c r="W96" s="13"/>
      <c r="X96" s="9">
        <f t="shared" si="39"/>
        <v>-49301.666239777558</v>
      </c>
      <c r="Y96" s="4">
        <f>SUMIFS('FCPIS F'!$R$6:$R$135,'FCPIS F'!$B$6:$B$135,'PIS F AVG'!$A96,'FCPIS F'!$C$6:$C$135,'PIS F AVG'!$B96)*1000</f>
        <v>195962.44999999998</v>
      </c>
      <c r="Z96" s="4">
        <f t="shared" si="40"/>
        <v>0</v>
      </c>
    </row>
    <row r="97" spans="1:26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500821069.27999991</v>
      </c>
      <c r="Q97" s="129"/>
      <c r="R97" s="784">
        <f>SUM(R85:R96)</f>
        <v>-171448131.38713145</v>
      </c>
      <c r="S97" s="129"/>
      <c r="T97" s="784">
        <f>SUM(T85:T96)</f>
        <v>329372937.89286846</v>
      </c>
      <c r="U97" s="129"/>
      <c r="V97" s="784">
        <f>'FC CWIP &amp; RWIP F'!Q31*1000</f>
        <v>1440745.2615384532</v>
      </c>
      <c r="W97" s="2"/>
      <c r="X97" s="784">
        <f t="shared" si="39"/>
        <v>-170007386.12559301</v>
      </c>
      <c r="Y97" s="4"/>
      <c r="Z97" s="4"/>
    </row>
    <row r="98" spans="1:26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30"/>
      <c r="Q98" s="129"/>
      <c r="R98" s="129"/>
      <c r="S98" s="129"/>
      <c r="T98" s="129"/>
      <c r="U98" s="129"/>
      <c r="V98" s="9"/>
      <c r="W98" s="2"/>
      <c r="X98" s="9"/>
      <c r="Y98" s="12"/>
      <c r="Z98" s="12"/>
    </row>
    <row r="99" spans="1:26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785"/>
      <c r="Q99" s="129"/>
      <c r="R99" s="129"/>
      <c r="S99" s="129"/>
      <c r="T99" s="129"/>
      <c r="U99" s="129"/>
      <c r="V99" s="9"/>
      <c r="W99" s="2"/>
      <c r="X99" s="9"/>
      <c r="Y99" s="12"/>
      <c r="Z99" s="12"/>
    </row>
    <row r="100" spans="1:26" s="174" customFormat="1" ht="15.7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6126856862.0892181</v>
      </c>
      <c r="Q100" s="132"/>
      <c r="R100" s="788">
        <f>R97+R82+R67+R55+R50+R39+R29</f>
        <v>-1889056073.146548</v>
      </c>
      <c r="S100" s="132"/>
      <c r="T100" s="788">
        <f>T97+T82+T67+T55+T50+T39+T29</f>
        <v>4237800788.9426708</v>
      </c>
      <c r="V100" s="788">
        <f>V97+V82+V67+V55+V50+V39+V29</f>
        <v>16739356.073846148</v>
      </c>
      <c r="X100" s="788">
        <f>X97+X82+X67+X55+X50+X39+X29</f>
        <v>-1872316717.0727019</v>
      </c>
      <c r="Y100" s="176"/>
      <c r="Z100" s="176"/>
    </row>
    <row r="101" spans="1:26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P101" s="176"/>
      <c r="V101" s="802">
        <f>'FC CWIP &amp; RWIP F'!Q32*1000</f>
        <v>16739356.073846148</v>
      </c>
      <c r="Y101" s="176"/>
      <c r="Z101" s="176"/>
    </row>
    <row r="102" spans="1:26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P102" s="176"/>
      <c r="V102" s="802">
        <f>V100-V101</f>
        <v>0</v>
      </c>
      <c r="Y102" s="176"/>
      <c r="Z102" s="176"/>
    </row>
    <row r="103" spans="1:26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P103" s="176"/>
      <c r="Y103" s="176"/>
      <c r="Z103" s="176"/>
    </row>
    <row r="104" spans="1:26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P104" s="176"/>
      <c r="Y104" s="176"/>
      <c r="Z104" s="176"/>
    </row>
    <row r="105" spans="1:26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176"/>
      <c r="Q105" s="382"/>
      <c r="R105" s="382"/>
      <c r="S105" s="382"/>
      <c r="T105" s="793"/>
      <c r="Y105" s="176"/>
      <c r="Z105" s="176"/>
    </row>
    <row r="106" spans="1:26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176"/>
      <c r="Q106" s="382"/>
      <c r="R106" s="792"/>
      <c r="S106" s="382"/>
      <c r="T106" s="792"/>
      <c r="Y106" s="176"/>
      <c r="Z106" s="176"/>
    </row>
    <row r="107" spans="1:26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76"/>
      <c r="Q107" s="132"/>
      <c r="R107" s="132"/>
      <c r="S107" s="132"/>
      <c r="T107" s="132"/>
      <c r="Y107" s="176"/>
      <c r="Z107" s="176"/>
    </row>
    <row r="108" spans="1:26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76"/>
      <c r="Q108" s="132"/>
      <c r="R108" s="132"/>
      <c r="S108" s="132"/>
      <c r="T108" s="132"/>
      <c r="Y108" s="176"/>
      <c r="Z108" s="176"/>
    </row>
    <row r="109" spans="1:26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76"/>
      <c r="Q109" s="132"/>
      <c r="R109" s="132"/>
      <c r="S109" s="132"/>
      <c r="T109" s="132"/>
      <c r="Y109" s="176"/>
      <c r="Z109" s="176"/>
    </row>
    <row r="110" spans="1:26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 AVG'!$A110,'FCPIS F'!$C$6:$C$135,'PIS F AVG'!$B110)*1000*$A$4</f>
        <v>1079432.1152999999</v>
      </c>
      <c r="E110" s="13"/>
      <c r="F110" s="4">
        <f>SUMIFS('FCPIS F'!$S$138:$S$225,'FCPIS F'!$B$138:$B$225,'PIS F AVG'!$A110,'FCPIS F'!$C$138:$C$225,'PIS F AVG'!$B110)*1000*$A$4</f>
        <v>0</v>
      </c>
      <c r="G110" s="13"/>
      <c r="H110" s="4">
        <f>SUMIFS('FCPIS F'!$S$228:$S$278,'FCPIS F'!$B$228:$B$278,'PIS F AVG'!$A110,'FCPIS F'!$C$228:$C$278,'PIS F AVG'!$B110)*-1000*$A$4</f>
        <v>0</v>
      </c>
      <c r="I110" s="13"/>
      <c r="J110" s="4">
        <f>SUMIFS('FCPIS F'!$S$395:$S$416,'FCPIS F'!$B$395:$B$416,'PIS F AVG'!$A110,'FCPIS F'!$C$395:$C$416,'PIS F AVG'!$B110)*1000*$A$4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4">
        <f>SUMIFS('FCPIS F'!$T$6:$T$135,'FCPIS F'!$B$6:$B$135,'PIS F AVG'!$A110,'FCPIS F'!$C$6:$C$135,'PIS F AVG'!$B110)*1000*$A$4</f>
        <v>1079432.1152999999</v>
      </c>
      <c r="Q110" s="2"/>
      <c r="R110" s="9">
        <f>SUMIFS('FCPIS F'!$T$281:$T$408,'FCPIS F'!$B$281:$B$408,'PIS F AVG'!$A110,'FCPIS F'!$C$281:$C$408,'PIS F AVG'!$B110)*-1000*$A$4</f>
        <v>0</v>
      </c>
      <c r="S110" s="2"/>
      <c r="T110" s="9">
        <f t="shared" ref="T110:T139" si="44">SUM(P110:R110)</f>
        <v>1079432.1152999999</v>
      </c>
      <c r="U110" s="6"/>
      <c r="V110" s="9">
        <f>F110/F$140*V$140</f>
        <v>0</v>
      </c>
      <c r="W110" s="13"/>
      <c r="X110" s="9">
        <f t="shared" ref="X110:X140" si="45">R110+V110</f>
        <v>0</v>
      </c>
      <c r="Y110" s="4">
        <f>SUMIFS('FCPIS F'!$R$6:$R$135,'FCPIS F'!$B$6:$B$135,'PIS F AVG'!$A110,'FCPIS F'!$C$6:$C$135,'PIS F AVG'!$B110)*1000*$A$4</f>
        <v>1079432.1152999999</v>
      </c>
      <c r="Z110" s="4">
        <f t="shared" ref="Z110:Z139" si="46">Y110-N110</f>
        <v>0</v>
      </c>
    </row>
    <row r="111" spans="1:26" s="174" customFormat="1">
      <c r="A111" s="174" t="s">
        <v>867</v>
      </c>
      <c r="B111" s="6"/>
      <c r="C111" s="129" t="s">
        <v>893</v>
      </c>
      <c r="D111" s="785">
        <f>SUMIFS('FCPIS F'!$F$6:$F$135,'FCPIS F'!$B$6:$B$135,'PIS F AVG'!$A111,'FCPIS F'!$C$6:$C$135,'PIS F AVG'!$B111)*1000*$A$4</f>
        <v>0</v>
      </c>
      <c r="E111" s="130"/>
      <c r="F111" s="130">
        <f>SUMIFS('FCPIS F'!$S$138:$S$225,'FCPIS F'!$B$138:$B$225,'PIS F AVG'!$A111,'FCPIS F'!$C$138:$C$225,'PIS F AVG'!$B111)*1000*$A$4</f>
        <v>0</v>
      </c>
      <c r="G111" s="130"/>
      <c r="H111" s="130">
        <f>SUMIFS('FCPIS F'!$S$228:$S$278,'FCPIS F'!$B$228:$B$278,'PIS F AVG'!$A111,'FCPIS F'!$C$228:$C$278,'PIS F AVG'!$B111)*-1000*$A$4</f>
        <v>0</v>
      </c>
      <c r="I111" s="130"/>
      <c r="J111" s="130">
        <f>SUMIFS('FCPIS F'!$S$395:$S$416,'FCPIS F'!$B$395:$B$416,'PIS F AVG'!$A111,'FCPIS F'!$C$395:$C$416,'PIS F AVG'!$B111)*1000*$A$4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176">
        <f>SUMIFS('FCPIS F'!$T$6:$T$135,'FCPIS F'!$B$6:$B$135,'PIS F AVG'!$A111,'FCPIS F'!$C$6:$C$135,'PIS F AVG'!$B111)*1000*$A$4</f>
        <v>0</v>
      </c>
      <c r="Q111" s="129"/>
      <c r="R111" s="786">
        <f>SUMIFS('FCPIS F'!$T$281:$T$408,'FCPIS F'!$B$281:$B$408,'PIS F AVG'!$A111,'FCPIS F'!$C$281:$C$408,'PIS F AVG'!$B111)*-1000*$A$4</f>
        <v>0</v>
      </c>
      <c r="S111" s="129"/>
      <c r="T111" s="786">
        <f t="shared" si="44"/>
        <v>0</v>
      </c>
      <c r="V111" s="9">
        <f t="shared" ref="V111:V139" si="48">F111/F$140*V$140</f>
        <v>0</v>
      </c>
      <c r="X111" s="9">
        <f t="shared" si="45"/>
        <v>0</v>
      </c>
      <c r="Y111" s="176">
        <f>SUMIFS('FCPIS F'!$R$6:$R$135,'FCPIS F'!$B$6:$B$135,'PIS F AVG'!$A111,'FCPIS F'!$C$6:$C$135,'PIS F AVG'!$B111)*1000*$A$4</f>
        <v>0</v>
      </c>
      <c r="Z111" s="176">
        <f t="shared" si="46"/>
        <v>0</v>
      </c>
    </row>
    <row r="112" spans="1:26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 AVG'!$A112,'FCPIS F'!$C$6:$C$135,'PIS F AVG'!$B112)*1000*$A$4</f>
        <v>59185822.660199925</v>
      </c>
      <c r="E112" s="130"/>
      <c r="F112" s="130">
        <f>SUMIFS('FCPIS F'!$S$138:$S$225,'FCPIS F'!$B$138:$B$225,'PIS F AVG'!$A112,'FCPIS F'!$C$138:$C$225,'PIS F AVG'!$B112)*1000*$A$4</f>
        <v>4268621.692499998</v>
      </c>
      <c r="G112" s="130"/>
      <c r="H112" s="130">
        <f>SUMIFS('FCPIS F'!$S$228:$S$278,'FCPIS F'!$B$228:$B$278,'PIS F AVG'!$A112,'FCPIS F'!$C$228:$C$278,'PIS F AVG'!$B112)*-1000*$A$4</f>
        <v>0</v>
      </c>
      <c r="I112" s="130"/>
      <c r="J112" s="130">
        <f>SUMIFS('FCPIS F'!$S$395:$S$416,'FCPIS F'!$B$395:$B$416,'PIS F AVG'!$A112,'FCPIS F'!$C$395:$C$416,'PIS F AVG'!$B112)*1000*$A$4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176">
        <f>SUMIFS('FCPIS F'!$T$6:$T$135,'FCPIS F'!$B$6:$B$135,'PIS F AVG'!$A112,'FCPIS F'!$C$6:$C$135,'PIS F AVG'!$B112)*1000*$A$4</f>
        <v>62105491.306084521</v>
      </c>
      <c r="Q112" s="129"/>
      <c r="R112" s="786">
        <f>SUMIFS('FCPIS F'!$T$281:$T$408,'FCPIS F'!$B$281:$B$408,'PIS F AVG'!$A112,'FCPIS F'!$C$281:$C$408,'PIS F AVG'!$B112)*-1000*$A$4</f>
        <v>-27165062.378519215</v>
      </c>
      <c r="S112" s="129"/>
      <c r="T112" s="786">
        <f t="shared" si="44"/>
        <v>34940428.927565306</v>
      </c>
      <c r="V112" s="9">
        <f t="shared" si="48"/>
        <v>2.4439983982295451E-12</v>
      </c>
      <c r="X112" s="9">
        <f t="shared" si="45"/>
        <v>-27165062.378519215</v>
      </c>
      <c r="Y112" s="176">
        <f>SUMIFS('FCPIS F'!$R$6:$R$135,'FCPIS F'!$B$6:$B$135,'PIS F AVG'!$A112,'FCPIS F'!$C$6:$C$135,'PIS F AVG'!$B112)*1000*$A$4</f>
        <v>63454444.352699935</v>
      </c>
      <c r="Z112" s="176">
        <f t="shared" si="46"/>
        <v>0</v>
      </c>
    </row>
    <row r="113" spans="1:26" s="174" customFormat="1">
      <c r="A113" s="174" t="s">
        <v>867</v>
      </c>
      <c r="B113" s="6"/>
      <c r="C113" s="129" t="s">
        <v>895</v>
      </c>
      <c r="D113" s="785">
        <f>SUMIFS('FCPIS F'!$F$6:$F$135,'FCPIS F'!$B$6:$B$135,'PIS F AVG'!$A113,'FCPIS F'!$C$6:$C$135,'PIS F AVG'!$B113)*1000*$A$4</f>
        <v>0</v>
      </c>
      <c r="E113" s="130"/>
      <c r="F113" s="130">
        <f>SUMIFS('FCPIS F'!$S$138:$S$225,'FCPIS F'!$B$138:$B$225,'PIS F AVG'!$A113,'FCPIS F'!$C$138:$C$225,'PIS F AVG'!$B113)*1000*$A$4</f>
        <v>0</v>
      </c>
      <c r="G113" s="130"/>
      <c r="H113" s="130">
        <f>SUMIFS('FCPIS F'!$S$228:$S$278,'FCPIS F'!$B$228:$B$278,'PIS F AVG'!$A113,'FCPIS F'!$C$228:$C$278,'PIS F AVG'!$B113)*-1000*$A$4</f>
        <v>0</v>
      </c>
      <c r="I113" s="130"/>
      <c r="J113" s="130">
        <f>SUMIFS('FCPIS F'!$S$395:$S$416,'FCPIS F'!$B$395:$B$416,'PIS F AVG'!$A113,'FCPIS F'!$C$395:$C$416,'PIS F AVG'!$B113)*1000*$A$4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176">
        <f>SUMIFS('FCPIS F'!$T$6:$T$135,'FCPIS F'!$B$6:$B$135,'PIS F AVG'!$A113,'FCPIS F'!$C$6:$C$135,'PIS F AVG'!$B113)*1000*$A$4</f>
        <v>0</v>
      </c>
      <c r="Q113" s="129"/>
      <c r="R113" s="786">
        <f>SUMIFS('FCPIS F'!$T$281:$T$408,'FCPIS F'!$B$281:$B$408,'PIS F AVG'!$A113,'FCPIS F'!$C$281:$C$408,'PIS F AVG'!$B113)*-1000*$A$4</f>
        <v>0</v>
      </c>
      <c r="S113" s="129"/>
      <c r="T113" s="786">
        <f t="shared" si="44"/>
        <v>0</v>
      </c>
      <c r="V113" s="9">
        <f t="shared" si="48"/>
        <v>0</v>
      </c>
      <c r="X113" s="9">
        <f t="shared" si="45"/>
        <v>0</v>
      </c>
      <c r="Y113" s="176">
        <f>SUMIFS('FCPIS F'!$R$6:$R$135,'FCPIS F'!$B$6:$B$135,'PIS F AVG'!$A113,'FCPIS F'!$C$6:$C$135,'PIS F AVG'!$B113)*1000*$A$4</f>
        <v>0</v>
      </c>
      <c r="Z113" s="176">
        <f t="shared" si="46"/>
        <v>0</v>
      </c>
    </row>
    <row r="114" spans="1:26" s="174" customFormat="1">
      <c r="A114" s="174" t="s">
        <v>867</v>
      </c>
      <c r="B114" s="6"/>
      <c r="C114" s="129" t="s">
        <v>896</v>
      </c>
      <c r="D114" s="785">
        <f>SUMIFS('FCPIS F'!$F$6:$F$135,'FCPIS F'!$B$6:$B$135,'PIS F AVG'!$A114,'FCPIS F'!$C$6:$C$135,'PIS F AVG'!$B114)*1000*$A$4</f>
        <v>0</v>
      </c>
      <c r="E114" s="130"/>
      <c r="F114" s="130">
        <f>SUMIFS('FCPIS F'!$S$138:$S$225,'FCPIS F'!$B$138:$B$225,'PIS F AVG'!$A114,'FCPIS F'!$C$138:$C$225,'PIS F AVG'!$B114)*1000*$A$4</f>
        <v>0</v>
      </c>
      <c r="G114" s="130"/>
      <c r="H114" s="130">
        <f>SUMIFS('FCPIS F'!$S$228:$S$278,'FCPIS F'!$B$228:$B$278,'PIS F AVG'!$A114,'FCPIS F'!$C$228:$C$278,'PIS F AVG'!$B114)*-1000*$A$4</f>
        <v>0</v>
      </c>
      <c r="I114" s="130"/>
      <c r="J114" s="130">
        <f>SUMIFS('FCPIS F'!$S$395:$S$416,'FCPIS F'!$B$395:$B$416,'PIS F AVG'!$A114,'FCPIS F'!$C$395:$C$416,'PIS F AVG'!$B114)*1000*$A$4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176">
        <f>SUMIFS('FCPIS F'!$T$6:$T$135,'FCPIS F'!$B$6:$B$135,'PIS F AVG'!$A114,'FCPIS F'!$C$6:$C$135,'PIS F AVG'!$B114)*1000*$A$4</f>
        <v>0</v>
      </c>
      <c r="Q114" s="129"/>
      <c r="R114" s="786">
        <f>SUMIFS('FCPIS F'!$T$281:$T$408,'FCPIS F'!$B$281:$B$408,'PIS F AVG'!$A114,'FCPIS F'!$C$281:$C$408,'PIS F AVG'!$B114)*-1000*$A$4</f>
        <v>0</v>
      </c>
      <c r="S114" s="129"/>
      <c r="T114" s="786">
        <f t="shared" si="44"/>
        <v>0</v>
      </c>
      <c r="V114" s="9">
        <f t="shared" si="48"/>
        <v>0</v>
      </c>
      <c r="X114" s="9">
        <f t="shared" si="45"/>
        <v>0</v>
      </c>
      <c r="Y114" s="176">
        <f>SUMIFS('FCPIS F'!$R$6:$R$135,'FCPIS F'!$B$6:$B$135,'PIS F AVG'!$A114,'FCPIS F'!$C$6:$C$135,'PIS F AVG'!$B114)*1000*$A$4</f>
        <v>0</v>
      </c>
      <c r="Z114" s="176">
        <f t="shared" si="46"/>
        <v>0</v>
      </c>
    </row>
    <row r="115" spans="1:26" s="174" customFormat="1">
      <c r="A115" s="174" t="s">
        <v>867</v>
      </c>
      <c r="B115" s="6"/>
      <c r="C115" s="129" t="s">
        <v>897</v>
      </c>
      <c r="D115" s="785">
        <f>SUMIFS('FCPIS F'!$F$6:$F$135,'FCPIS F'!$B$6:$B$135,'PIS F AVG'!$A115,'FCPIS F'!$C$6:$C$135,'PIS F AVG'!$B115)*1000*$A$4</f>
        <v>0</v>
      </c>
      <c r="E115" s="130"/>
      <c r="F115" s="130">
        <f>SUMIFS('FCPIS F'!$S$138:$S$225,'FCPIS F'!$B$138:$B$225,'PIS F AVG'!$A115,'FCPIS F'!$C$138:$C$225,'PIS F AVG'!$B115)*1000*$A$4</f>
        <v>0</v>
      </c>
      <c r="G115" s="130"/>
      <c r="H115" s="130">
        <f>SUMIFS('FCPIS F'!$S$228:$S$278,'FCPIS F'!$B$228:$B$278,'PIS F AVG'!$A115,'FCPIS F'!$C$228:$C$278,'PIS F AVG'!$B115)*-1000*$A$4</f>
        <v>0</v>
      </c>
      <c r="I115" s="130"/>
      <c r="J115" s="130">
        <f>SUMIFS('FCPIS F'!$S$395:$S$416,'FCPIS F'!$B$395:$B$416,'PIS F AVG'!$A115,'FCPIS F'!$C$395:$C$416,'PIS F AVG'!$B115)*1000*$A$4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176">
        <f>SUMIFS('FCPIS F'!$T$6:$T$135,'FCPIS F'!$B$6:$B$135,'PIS F AVG'!$A115,'FCPIS F'!$C$6:$C$135,'PIS F AVG'!$B115)*1000*$A$4</f>
        <v>0</v>
      </c>
      <c r="Q115" s="129"/>
      <c r="R115" s="786">
        <f>SUMIFS('FCPIS F'!$T$281:$T$408,'FCPIS F'!$B$281:$B$408,'PIS F AVG'!$A115,'FCPIS F'!$C$281:$C$408,'PIS F AVG'!$B115)*-1000*$A$4</f>
        <v>0</v>
      </c>
      <c r="S115" s="129"/>
      <c r="T115" s="786">
        <f t="shared" si="44"/>
        <v>0</v>
      </c>
      <c r="V115" s="9">
        <f t="shared" si="48"/>
        <v>0</v>
      </c>
      <c r="X115" s="9">
        <f t="shared" si="45"/>
        <v>0</v>
      </c>
      <c r="Y115" s="176">
        <f>SUMIFS('FCPIS F'!$R$6:$R$135,'FCPIS F'!$B$6:$B$135,'PIS F AVG'!$A115,'FCPIS F'!$C$6:$C$135,'PIS F AVG'!$B115)*1000*$A$4</f>
        <v>0</v>
      </c>
      <c r="Z115" s="176">
        <f t="shared" si="46"/>
        <v>0</v>
      </c>
    </row>
    <row r="116" spans="1:26" s="174" customFormat="1">
      <c r="A116" s="174" t="s">
        <v>867</v>
      </c>
      <c r="B116" s="6"/>
      <c r="C116" s="129" t="s">
        <v>898</v>
      </c>
      <c r="D116" s="785">
        <f>SUMIFS('FCPIS F'!$F$6:$F$135,'FCPIS F'!$B$6:$B$135,'PIS F AVG'!$A116,'FCPIS F'!$C$6:$C$135,'PIS F AVG'!$B116)*1000*$A$4</f>
        <v>0</v>
      </c>
      <c r="E116" s="130"/>
      <c r="F116" s="130">
        <f>SUMIFS('FCPIS F'!$S$138:$S$225,'FCPIS F'!$B$138:$B$225,'PIS F AVG'!$A116,'FCPIS F'!$C$138:$C$225,'PIS F AVG'!$B116)*1000*$A$4</f>
        <v>0</v>
      </c>
      <c r="G116" s="130"/>
      <c r="H116" s="130">
        <f>SUMIFS('FCPIS F'!$S$228:$S$278,'FCPIS F'!$B$228:$B$278,'PIS F AVG'!$A116,'FCPIS F'!$C$228:$C$278,'PIS F AVG'!$B116)*-1000*$A$4</f>
        <v>0</v>
      </c>
      <c r="I116" s="130"/>
      <c r="J116" s="130">
        <f>SUMIFS('FCPIS F'!$S$395:$S$416,'FCPIS F'!$B$395:$B$416,'PIS F AVG'!$A116,'FCPIS F'!$C$395:$C$416,'PIS F AVG'!$B116)*1000*$A$4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176">
        <f>SUMIFS('FCPIS F'!$T$6:$T$135,'FCPIS F'!$B$6:$B$135,'PIS F AVG'!$A116,'FCPIS F'!$C$6:$C$135,'PIS F AVG'!$B116)*1000*$A$4</f>
        <v>0</v>
      </c>
      <c r="Q116" s="129"/>
      <c r="R116" s="786">
        <f>SUMIFS('FCPIS F'!$T$281:$T$408,'FCPIS F'!$B$281:$B$408,'PIS F AVG'!$A116,'FCPIS F'!$C$281:$C$408,'PIS F AVG'!$B116)*-1000*$A$4</f>
        <v>0</v>
      </c>
      <c r="S116" s="129"/>
      <c r="T116" s="786">
        <f t="shared" si="44"/>
        <v>0</v>
      </c>
      <c r="V116" s="9">
        <f t="shared" si="48"/>
        <v>0</v>
      </c>
      <c r="X116" s="9">
        <f t="shared" si="45"/>
        <v>0</v>
      </c>
      <c r="Y116" s="176">
        <f>SUMIFS('FCPIS F'!$R$6:$R$135,'FCPIS F'!$B$6:$B$135,'PIS F AVG'!$A116,'FCPIS F'!$C$6:$C$135,'PIS F AVG'!$B116)*1000*$A$4</f>
        <v>0</v>
      </c>
      <c r="Z116" s="176">
        <f t="shared" si="46"/>
        <v>0</v>
      </c>
    </row>
    <row r="117" spans="1:26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 AVG'!$A117,'FCPIS F'!$C$6:$C$135,'PIS F AVG'!$B117)*1000*$A$4</f>
        <v>29951905.068299998</v>
      </c>
      <c r="E117" s="130"/>
      <c r="F117" s="130">
        <f>SUMIFS('FCPIS F'!$S$138:$S$225,'FCPIS F'!$B$138:$B$225,'PIS F AVG'!$A117,'FCPIS F'!$C$138:$C$225,'PIS F AVG'!$B117)*1000*$A$4</f>
        <v>4484194.7561999997</v>
      </c>
      <c r="G117" s="130"/>
      <c r="H117" s="130">
        <f>SUMIFS('FCPIS F'!$S$228:$S$278,'FCPIS F'!$B$228:$B$278,'PIS F AVG'!$A117,'FCPIS F'!$C$228:$C$278,'PIS F AVG'!$B117)*-1000*$A$4</f>
        <v>-5823174.6356999995</v>
      </c>
      <c r="I117" s="130"/>
      <c r="J117" s="130">
        <f>SUMIFS('FCPIS F'!$S$395:$S$416,'FCPIS F'!$B$395:$B$416,'PIS F AVG'!$A117,'FCPIS F'!$C$395:$C$416,'PIS F AVG'!$B117)*1000*$A$4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176">
        <f>SUMIFS('FCPIS F'!$T$6:$T$135,'FCPIS F'!$B$6:$B$135,'PIS F AVG'!$A117,'FCPIS F'!$C$6:$C$135,'PIS F AVG'!$B117)*1000*$A$4</f>
        <v>28747766.036538459</v>
      </c>
      <c r="Q117" s="129"/>
      <c r="R117" s="786">
        <f>SUMIFS('FCPIS F'!$T$281:$T$408,'FCPIS F'!$B$281:$B$408,'PIS F AVG'!$A117,'FCPIS F'!$C$281:$C$408,'PIS F AVG'!$B117)*-1000*$A$4</f>
        <v>-11650104.174065223</v>
      </c>
      <c r="S117" s="129"/>
      <c r="T117" s="786">
        <f t="shared" si="44"/>
        <v>17097661.862473235</v>
      </c>
      <c r="V117" s="9">
        <f t="shared" si="48"/>
        <v>2.5674247077827989E-12</v>
      </c>
      <c r="X117" s="9">
        <f t="shared" si="45"/>
        <v>-11650104.174065223</v>
      </c>
      <c r="Y117" s="176">
        <f>SUMIFS('FCPIS F'!$R$6:$R$135,'FCPIS F'!$B$6:$B$135,'PIS F AVG'!$A117,'FCPIS F'!$C$6:$C$135,'PIS F AVG'!$B117)*1000*$A$4</f>
        <v>28612925.188799996</v>
      </c>
      <c r="Z117" s="176">
        <f t="shared" si="46"/>
        <v>0</v>
      </c>
    </row>
    <row r="118" spans="1:26" s="174" customFormat="1">
      <c r="A118" s="174" t="s">
        <v>867</v>
      </c>
      <c r="B118" s="6"/>
      <c r="C118" s="129" t="s">
        <v>900</v>
      </c>
      <c r="D118" s="785">
        <f>SUMIFS('FCPIS F'!$F$6:$F$135,'FCPIS F'!$B$6:$B$135,'PIS F AVG'!$A118,'FCPIS F'!$C$6:$C$135,'PIS F AVG'!$B118)*1000*$A$4</f>
        <v>0</v>
      </c>
      <c r="E118" s="130"/>
      <c r="F118" s="130">
        <f>SUMIFS('FCPIS F'!$S$138:$S$225,'FCPIS F'!$B$138:$B$225,'PIS F AVG'!$A118,'FCPIS F'!$C$138:$C$225,'PIS F AVG'!$B118)*1000*$A$4</f>
        <v>0</v>
      </c>
      <c r="G118" s="130"/>
      <c r="H118" s="130">
        <f>SUMIFS('FCPIS F'!$S$228:$S$278,'FCPIS F'!$B$228:$B$278,'PIS F AVG'!$A118,'FCPIS F'!$C$228:$C$278,'PIS F AVG'!$B118)*-1000*$A$4</f>
        <v>0</v>
      </c>
      <c r="I118" s="130"/>
      <c r="J118" s="130">
        <f>SUMIFS('FCPIS F'!$S$395:$S$416,'FCPIS F'!$B$395:$B$416,'PIS F AVG'!$A118,'FCPIS F'!$C$395:$C$416,'PIS F AVG'!$B118)*1000*$A$4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176">
        <f>SUMIFS('FCPIS F'!$T$6:$T$135,'FCPIS F'!$B$6:$B$135,'PIS F AVG'!$A118,'FCPIS F'!$C$6:$C$135,'PIS F AVG'!$B118)*1000*$A$4</f>
        <v>0</v>
      </c>
      <c r="Q118" s="129"/>
      <c r="R118" s="786">
        <f>SUMIFS('FCPIS F'!$T$281:$T$408,'FCPIS F'!$B$281:$B$408,'PIS F AVG'!$A118,'FCPIS F'!$C$281:$C$408,'PIS F AVG'!$B118)*-1000*$A$4</f>
        <v>0</v>
      </c>
      <c r="S118" s="129"/>
      <c r="T118" s="786">
        <f t="shared" si="44"/>
        <v>0</v>
      </c>
      <c r="V118" s="9">
        <f t="shared" si="48"/>
        <v>0</v>
      </c>
      <c r="X118" s="9">
        <f t="shared" si="45"/>
        <v>0</v>
      </c>
      <c r="Y118" s="176">
        <f>SUMIFS('FCPIS F'!$R$6:$R$135,'FCPIS F'!$B$6:$B$135,'PIS F AVG'!$A118,'FCPIS F'!$C$6:$C$135,'PIS F AVG'!$B118)*1000*$A$4</f>
        <v>0</v>
      </c>
      <c r="Z118" s="176">
        <f t="shared" si="46"/>
        <v>0</v>
      </c>
    </row>
    <row r="119" spans="1:26" s="174" customFormat="1">
      <c r="A119" s="174" t="s">
        <v>867</v>
      </c>
      <c r="B119" s="6"/>
      <c r="C119" s="129" t="s">
        <v>901</v>
      </c>
      <c r="D119" s="785">
        <f>SUMIFS('FCPIS F'!$F$6:$F$135,'FCPIS F'!$B$6:$B$135,'PIS F AVG'!$A119,'FCPIS F'!$C$6:$C$135,'PIS F AVG'!$B119)*1000*$A$4</f>
        <v>0</v>
      </c>
      <c r="E119" s="130"/>
      <c r="F119" s="130">
        <f>SUMIFS('FCPIS F'!$S$138:$S$225,'FCPIS F'!$B$138:$B$225,'PIS F AVG'!$A119,'FCPIS F'!$C$138:$C$225,'PIS F AVG'!$B119)*1000*$A$4</f>
        <v>0</v>
      </c>
      <c r="G119" s="130"/>
      <c r="H119" s="130">
        <f>SUMIFS('FCPIS F'!$S$228:$S$278,'FCPIS F'!$B$228:$B$278,'PIS F AVG'!$A119,'FCPIS F'!$C$228:$C$278,'PIS F AVG'!$B119)*-1000*$A$4</f>
        <v>0</v>
      </c>
      <c r="I119" s="130"/>
      <c r="J119" s="130">
        <f>SUMIFS('FCPIS F'!$S$395:$S$416,'FCPIS F'!$B$395:$B$416,'PIS F AVG'!$A119,'FCPIS F'!$C$395:$C$416,'PIS F AVG'!$B119)*1000*$A$4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176">
        <f>SUMIFS('FCPIS F'!$T$6:$T$135,'FCPIS F'!$B$6:$B$135,'PIS F AVG'!$A119,'FCPIS F'!$C$6:$C$135,'PIS F AVG'!$B119)*1000*$A$4</f>
        <v>0</v>
      </c>
      <c r="Q119" s="129"/>
      <c r="R119" s="786">
        <f>SUMIFS('FCPIS F'!$T$281:$T$408,'FCPIS F'!$B$281:$B$408,'PIS F AVG'!$A119,'FCPIS F'!$C$281:$C$408,'PIS F AVG'!$B119)*-1000*$A$4</f>
        <v>0</v>
      </c>
      <c r="S119" s="129"/>
      <c r="T119" s="786">
        <f t="shared" si="44"/>
        <v>0</v>
      </c>
      <c r="V119" s="9">
        <f t="shared" si="48"/>
        <v>0</v>
      </c>
      <c r="X119" s="9">
        <f t="shared" si="45"/>
        <v>0</v>
      </c>
      <c r="Y119" s="176">
        <f>SUMIFS('FCPIS F'!$R$6:$R$135,'FCPIS F'!$B$6:$B$135,'PIS F AVG'!$A119,'FCPIS F'!$C$6:$C$135,'PIS F AVG'!$B119)*1000*$A$4</f>
        <v>0</v>
      </c>
      <c r="Z119" s="176">
        <f t="shared" si="46"/>
        <v>0</v>
      </c>
    </row>
    <row r="120" spans="1:26" s="174" customFormat="1">
      <c r="A120" s="174" t="s">
        <v>867</v>
      </c>
      <c r="B120" s="6"/>
      <c r="C120" s="129" t="s">
        <v>902</v>
      </c>
      <c r="D120" s="785">
        <f>SUMIFS('FCPIS F'!$F$6:$F$135,'FCPIS F'!$B$6:$B$135,'PIS F AVG'!$A120,'FCPIS F'!$C$6:$C$135,'PIS F AVG'!$B120)*1000*$A$4</f>
        <v>0</v>
      </c>
      <c r="E120" s="130"/>
      <c r="F120" s="130">
        <f>SUMIFS('FCPIS F'!$S$138:$S$225,'FCPIS F'!$B$138:$B$225,'PIS F AVG'!$A120,'FCPIS F'!$C$138:$C$225,'PIS F AVG'!$B120)*1000*$A$4</f>
        <v>0</v>
      </c>
      <c r="G120" s="130"/>
      <c r="H120" s="130">
        <f>SUMIFS('FCPIS F'!$S$228:$S$278,'FCPIS F'!$B$228:$B$278,'PIS F AVG'!$A120,'FCPIS F'!$C$228:$C$278,'PIS F AVG'!$B120)*-1000*$A$4</f>
        <v>0</v>
      </c>
      <c r="I120" s="130"/>
      <c r="J120" s="130">
        <f>SUMIFS('FCPIS F'!$S$395:$S$416,'FCPIS F'!$B$395:$B$416,'PIS F AVG'!$A120,'FCPIS F'!$C$395:$C$416,'PIS F AVG'!$B120)*1000*$A$4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176">
        <f>SUMIFS('FCPIS F'!$T$6:$T$135,'FCPIS F'!$B$6:$B$135,'PIS F AVG'!$A120,'FCPIS F'!$C$6:$C$135,'PIS F AVG'!$B120)*1000*$A$4</f>
        <v>0</v>
      </c>
      <c r="Q120" s="129"/>
      <c r="R120" s="786">
        <f>SUMIFS('FCPIS F'!$T$281:$T$408,'FCPIS F'!$B$281:$B$408,'PIS F AVG'!$A120,'FCPIS F'!$C$281:$C$408,'PIS F AVG'!$B120)*-1000*$A$4</f>
        <v>0</v>
      </c>
      <c r="S120" s="129"/>
      <c r="T120" s="786">
        <f t="shared" si="44"/>
        <v>0</v>
      </c>
      <c r="V120" s="9">
        <f t="shared" si="48"/>
        <v>0</v>
      </c>
      <c r="X120" s="9">
        <f t="shared" si="45"/>
        <v>0</v>
      </c>
      <c r="Y120" s="176">
        <f>SUMIFS('FCPIS F'!$R$6:$R$135,'FCPIS F'!$B$6:$B$135,'PIS F AVG'!$A120,'FCPIS F'!$C$6:$C$135,'PIS F AVG'!$B120)*1000*$A$4</f>
        <v>0</v>
      </c>
      <c r="Z120" s="176">
        <f t="shared" si="46"/>
        <v>0</v>
      </c>
    </row>
    <row r="121" spans="1:26" s="174" customFormat="1">
      <c r="A121" s="174" t="s">
        <v>867</v>
      </c>
      <c r="B121" s="6"/>
      <c r="C121" s="129" t="s">
        <v>903</v>
      </c>
      <c r="D121" s="785">
        <f>SUMIFS('FCPIS F'!$F$6:$F$135,'FCPIS F'!$B$6:$B$135,'PIS F AVG'!$A121,'FCPIS F'!$C$6:$C$135,'PIS F AVG'!$B121)*1000*$A$4</f>
        <v>0</v>
      </c>
      <c r="E121" s="130"/>
      <c r="F121" s="130">
        <f>SUMIFS('FCPIS F'!$S$138:$S$225,'FCPIS F'!$B$138:$B$225,'PIS F AVG'!$A121,'FCPIS F'!$C$138:$C$225,'PIS F AVG'!$B121)*1000*$A$4</f>
        <v>0</v>
      </c>
      <c r="G121" s="130"/>
      <c r="H121" s="130">
        <f>SUMIFS('FCPIS F'!$S$228:$S$278,'FCPIS F'!$B$228:$B$278,'PIS F AVG'!$A121,'FCPIS F'!$C$228:$C$278,'PIS F AVG'!$B121)*-1000*$A$4</f>
        <v>0</v>
      </c>
      <c r="I121" s="130"/>
      <c r="J121" s="130">
        <f>SUMIFS('FCPIS F'!$S$395:$S$416,'FCPIS F'!$B$395:$B$416,'PIS F AVG'!$A121,'FCPIS F'!$C$395:$C$416,'PIS F AVG'!$B121)*1000*$A$4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176">
        <f>SUMIFS('FCPIS F'!$T$6:$T$135,'FCPIS F'!$B$6:$B$135,'PIS F AVG'!$A121,'FCPIS F'!$C$6:$C$135,'PIS F AVG'!$B121)*1000*$A$4</f>
        <v>0</v>
      </c>
      <c r="Q121" s="129"/>
      <c r="R121" s="786">
        <f>SUMIFS('FCPIS F'!$T$281:$T$408,'FCPIS F'!$B$281:$B$408,'PIS F AVG'!$A121,'FCPIS F'!$C$281:$C$408,'PIS F AVG'!$B121)*-1000*$A$4</f>
        <v>0</v>
      </c>
      <c r="S121" s="129"/>
      <c r="T121" s="786">
        <f t="shared" si="44"/>
        <v>0</v>
      </c>
      <c r="V121" s="9">
        <f t="shared" si="48"/>
        <v>0</v>
      </c>
      <c r="X121" s="9">
        <f t="shared" si="45"/>
        <v>0</v>
      </c>
      <c r="Y121" s="176">
        <f>SUMIFS('FCPIS F'!$R$6:$R$135,'FCPIS F'!$B$6:$B$135,'PIS F AVG'!$A121,'FCPIS F'!$C$6:$C$135,'PIS F AVG'!$B121)*1000*$A$4</f>
        <v>0</v>
      </c>
      <c r="Z121" s="176">
        <f t="shared" si="46"/>
        <v>0</v>
      </c>
    </row>
    <row r="122" spans="1:26" s="174" customFormat="1">
      <c r="A122" s="174" t="s">
        <v>867</v>
      </c>
      <c r="B122" s="6"/>
      <c r="C122" s="129" t="s">
        <v>904</v>
      </c>
      <c r="D122" s="785">
        <f>SUMIFS('FCPIS F'!$F$6:$F$135,'FCPIS F'!$B$6:$B$135,'PIS F AVG'!$A122,'FCPIS F'!$C$6:$C$135,'PIS F AVG'!$B122)*1000*$A$4</f>
        <v>0</v>
      </c>
      <c r="E122" s="130"/>
      <c r="F122" s="130">
        <f>SUMIFS('FCPIS F'!$S$138:$S$225,'FCPIS F'!$B$138:$B$225,'PIS F AVG'!$A122,'FCPIS F'!$C$138:$C$225,'PIS F AVG'!$B122)*1000*$A$4</f>
        <v>0</v>
      </c>
      <c r="G122" s="130"/>
      <c r="H122" s="130">
        <f>SUMIFS('FCPIS F'!$S$228:$S$278,'FCPIS F'!$B$228:$B$278,'PIS F AVG'!$A122,'FCPIS F'!$C$228:$C$278,'PIS F AVG'!$B122)*-1000*$A$4</f>
        <v>0</v>
      </c>
      <c r="I122" s="130"/>
      <c r="J122" s="130">
        <f>SUMIFS('FCPIS F'!$S$395:$S$416,'FCPIS F'!$B$395:$B$416,'PIS F AVG'!$A122,'FCPIS F'!$C$395:$C$416,'PIS F AVG'!$B122)*1000*$A$4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176">
        <f>SUMIFS('FCPIS F'!$T$6:$T$135,'FCPIS F'!$B$6:$B$135,'PIS F AVG'!$A122,'FCPIS F'!$C$6:$C$135,'PIS F AVG'!$B122)*1000*$A$4</f>
        <v>0</v>
      </c>
      <c r="Q122" s="129"/>
      <c r="R122" s="786">
        <f>SUMIFS('FCPIS F'!$T$281:$T$408,'FCPIS F'!$B$281:$B$408,'PIS F AVG'!$A122,'FCPIS F'!$C$281:$C$408,'PIS F AVG'!$B122)*-1000*$A$4</f>
        <v>0</v>
      </c>
      <c r="S122" s="129"/>
      <c r="T122" s="786">
        <f t="shared" si="44"/>
        <v>0</v>
      </c>
      <c r="V122" s="9">
        <f t="shared" si="48"/>
        <v>0</v>
      </c>
      <c r="X122" s="9">
        <f t="shared" si="45"/>
        <v>0</v>
      </c>
      <c r="Y122" s="176">
        <f>SUMIFS('FCPIS F'!$R$6:$R$135,'FCPIS F'!$B$6:$B$135,'PIS F AVG'!$A122,'FCPIS F'!$C$6:$C$135,'PIS F AVG'!$B122)*1000*$A$4</f>
        <v>0</v>
      </c>
      <c r="Z122" s="176">
        <f t="shared" si="46"/>
        <v>0</v>
      </c>
    </row>
    <row r="123" spans="1:26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 AVG'!$A123,'FCPIS F'!$C$6:$C$135,'PIS F AVG'!$B123)*1000*$A$4</f>
        <v>224487.9327</v>
      </c>
      <c r="E123" s="130"/>
      <c r="F123" s="130">
        <f>SUMIFS('FCPIS F'!$S$138:$S$225,'FCPIS F'!$B$138:$B$225,'PIS F AVG'!$A123,'FCPIS F'!$C$138:$C$225,'PIS F AVG'!$B123)*1000*$A$4</f>
        <v>0</v>
      </c>
      <c r="G123" s="130"/>
      <c r="H123" s="130">
        <f>SUMIFS('FCPIS F'!$S$228:$S$278,'FCPIS F'!$B$228:$B$278,'PIS F AVG'!$A123,'FCPIS F'!$C$228:$C$278,'PIS F AVG'!$B123)*-1000*$A$4</f>
        <v>0</v>
      </c>
      <c r="I123" s="130"/>
      <c r="J123" s="130">
        <f>SUMIFS('FCPIS F'!$S$395:$S$416,'FCPIS F'!$B$395:$B$416,'PIS F AVG'!$A123,'FCPIS F'!$C$395:$C$416,'PIS F AVG'!$B123)*1000*$A$4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176">
        <f>SUMIFS('FCPIS F'!$T$6:$T$135,'FCPIS F'!$B$6:$B$135,'PIS F AVG'!$A123,'FCPIS F'!$C$6:$C$135,'PIS F AVG'!$B123)*1000*$A$4</f>
        <v>224487.9327</v>
      </c>
      <c r="Q123" s="129"/>
      <c r="R123" s="786">
        <f>SUMIFS('FCPIS F'!$T$281:$T$408,'FCPIS F'!$B$281:$B$408,'PIS F AVG'!$A123,'FCPIS F'!$C$281:$C$408,'PIS F AVG'!$B123)*-1000*$A$4</f>
        <v>-116561.7335960303</v>
      </c>
      <c r="S123" s="129"/>
      <c r="T123" s="786">
        <f t="shared" si="44"/>
        <v>107926.1991039697</v>
      </c>
      <c r="V123" s="9">
        <f t="shared" si="48"/>
        <v>0</v>
      </c>
      <c r="X123" s="9">
        <f t="shared" si="45"/>
        <v>-116561.7335960303</v>
      </c>
      <c r="Y123" s="176">
        <f>SUMIFS('FCPIS F'!$R$6:$R$135,'FCPIS F'!$B$6:$B$135,'PIS F AVG'!$A123,'FCPIS F'!$C$6:$C$135,'PIS F AVG'!$B123)*1000*$A$4</f>
        <v>224487.9327</v>
      </c>
      <c r="Z123" s="176">
        <f t="shared" si="46"/>
        <v>0</v>
      </c>
    </row>
    <row r="124" spans="1:26" s="174" customFormat="1">
      <c r="A124" s="174" t="s">
        <v>867</v>
      </c>
      <c r="B124" s="6"/>
      <c r="C124" s="129" t="s">
        <v>906</v>
      </c>
      <c r="D124" s="785">
        <f>SUMIFS('FCPIS F'!$F$6:$F$135,'FCPIS F'!$B$6:$B$135,'PIS F AVG'!$A124,'FCPIS F'!$C$6:$C$135,'PIS F AVG'!$B124)*1000*$A$4</f>
        <v>0</v>
      </c>
      <c r="E124" s="130"/>
      <c r="F124" s="130">
        <f>SUMIFS('FCPIS F'!$S$138:$S$225,'FCPIS F'!$B$138:$B$225,'PIS F AVG'!$A124,'FCPIS F'!$C$138:$C$225,'PIS F AVG'!$B124)*1000*$A$4</f>
        <v>0</v>
      </c>
      <c r="G124" s="130"/>
      <c r="H124" s="130">
        <f>SUMIFS('FCPIS F'!$S$228:$S$278,'FCPIS F'!$B$228:$B$278,'PIS F AVG'!$A124,'FCPIS F'!$C$228:$C$278,'PIS F AVG'!$B124)*-1000*$A$4</f>
        <v>0</v>
      </c>
      <c r="I124" s="130"/>
      <c r="J124" s="130">
        <f>SUMIFS('FCPIS F'!$S$395:$S$416,'FCPIS F'!$B$395:$B$416,'PIS F AVG'!$A124,'FCPIS F'!$C$395:$C$416,'PIS F AVG'!$B124)*1000*$A$4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176">
        <f>SUMIFS('FCPIS F'!$T$6:$T$135,'FCPIS F'!$B$6:$B$135,'PIS F AVG'!$A124,'FCPIS F'!$C$6:$C$135,'PIS F AVG'!$B124)*1000*$A$4</f>
        <v>0</v>
      </c>
      <c r="Q124" s="129"/>
      <c r="R124" s="786">
        <f>SUMIFS('FCPIS F'!$T$281:$T$408,'FCPIS F'!$B$281:$B$408,'PIS F AVG'!$A124,'FCPIS F'!$C$281:$C$408,'PIS F AVG'!$B124)*-1000*$A$4</f>
        <v>0</v>
      </c>
      <c r="S124" s="129"/>
      <c r="T124" s="786">
        <f t="shared" si="44"/>
        <v>0</v>
      </c>
      <c r="V124" s="9">
        <f t="shared" si="48"/>
        <v>0</v>
      </c>
      <c r="X124" s="9">
        <f t="shared" si="45"/>
        <v>0</v>
      </c>
      <c r="Y124" s="176">
        <f>SUMIFS('FCPIS F'!$R$6:$R$135,'FCPIS F'!$B$6:$B$135,'PIS F AVG'!$A124,'FCPIS F'!$C$6:$C$135,'PIS F AVG'!$B124)*1000*$A$4</f>
        <v>0</v>
      </c>
      <c r="Z124" s="176">
        <f t="shared" si="46"/>
        <v>0</v>
      </c>
    </row>
    <row r="125" spans="1:26" s="174" customFormat="1">
      <c r="A125" s="174" t="s">
        <v>867</v>
      </c>
      <c r="B125" s="6"/>
      <c r="C125" s="129" t="s">
        <v>907</v>
      </c>
      <c r="D125" s="785">
        <f>SUMIFS('FCPIS F'!$F$6:$F$135,'FCPIS F'!$B$6:$B$135,'PIS F AVG'!$A125,'FCPIS F'!$C$6:$C$135,'PIS F AVG'!$B125)*1000*$A$4</f>
        <v>0</v>
      </c>
      <c r="E125" s="130"/>
      <c r="F125" s="130">
        <f>SUMIFS('FCPIS F'!$S$138:$S$225,'FCPIS F'!$B$138:$B$225,'PIS F AVG'!$A125,'FCPIS F'!$C$138:$C$225,'PIS F AVG'!$B125)*1000*$A$4</f>
        <v>0</v>
      </c>
      <c r="G125" s="130"/>
      <c r="H125" s="130">
        <f>SUMIFS('FCPIS F'!$S$228:$S$278,'FCPIS F'!$B$228:$B$278,'PIS F AVG'!$A125,'FCPIS F'!$C$228:$C$278,'PIS F AVG'!$B125)*-1000*$A$4</f>
        <v>0</v>
      </c>
      <c r="I125" s="130"/>
      <c r="J125" s="130">
        <f>SUMIFS('FCPIS F'!$S$395:$S$416,'FCPIS F'!$B$395:$B$416,'PIS F AVG'!$A125,'FCPIS F'!$C$395:$C$416,'PIS F AVG'!$B125)*1000*$A$4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176">
        <f>SUMIFS('FCPIS F'!$T$6:$T$135,'FCPIS F'!$B$6:$B$135,'PIS F AVG'!$A125,'FCPIS F'!$C$6:$C$135,'PIS F AVG'!$B125)*1000*$A$4</f>
        <v>0</v>
      </c>
      <c r="Q125" s="129"/>
      <c r="R125" s="786">
        <f>SUMIFS('FCPIS F'!$T$281:$T$408,'FCPIS F'!$B$281:$B$408,'PIS F AVG'!$A125,'FCPIS F'!$C$281:$C$408,'PIS F AVG'!$B125)*-1000*$A$4</f>
        <v>0</v>
      </c>
      <c r="S125" s="129"/>
      <c r="T125" s="786">
        <f t="shared" si="44"/>
        <v>0</v>
      </c>
      <c r="V125" s="9">
        <f t="shared" si="48"/>
        <v>0</v>
      </c>
      <c r="X125" s="9">
        <f t="shared" si="45"/>
        <v>0</v>
      </c>
      <c r="Y125" s="176">
        <f>SUMIFS('FCPIS F'!$R$6:$R$135,'FCPIS F'!$B$6:$B$135,'PIS F AVG'!$A125,'FCPIS F'!$C$6:$C$135,'PIS F AVG'!$B125)*1000*$A$4</f>
        <v>0</v>
      </c>
      <c r="Z125" s="176">
        <f t="shared" si="46"/>
        <v>0</v>
      </c>
    </row>
    <row r="126" spans="1:26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 AVG'!$A126,'FCPIS F'!$C$6:$C$135,'PIS F AVG'!$B126)*1000*$A$4</f>
        <v>1181432.6831999999</v>
      </c>
      <c r="E126" s="130"/>
      <c r="F126" s="130">
        <f>SUMIFS('FCPIS F'!$S$138:$S$225,'FCPIS F'!$B$138:$B$225,'PIS F AVG'!$A126,'FCPIS F'!$C$138:$C$225,'PIS F AVG'!$B126)*1000*$A$4</f>
        <v>0</v>
      </c>
      <c r="G126" s="130"/>
      <c r="H126" s="130">
        <f>SUMIFS('FCPIS F'!$S$228:$S$278,'FCPIS F'!$B$228:$B$278,'PIS F AVG'!$A126,'FCPIS F'!$C$228:$C$278,'PIS F AVG'!$B126)*-1000*$A$4</f>
        <v>0</v>
      </c>
      <c r="I126" s="130"/>
      <c r="J126" s="130">
        <f>SUMIFS('FCPIS F'!$S$395:$S$416,'FCPIS F'!$B$395:$B$416,'PIS F AVG'!$A126,'FCPIS F'!$C$395:$C$416,'PIS F AVG'!$B126)*1000*$A$4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176">
        <f>SUMIFS('FCPIS F'!$T$6:$T$135,'FCPIS F'!$B$6:$B$135,'PIS F AVG'!$A126,'FCPIS F'!$C$6:$C$135,'PIS F AVG'!$B126)*1000*$A$4</f>
        <v>1181432.6832000003</v>
      </c>
      <c r="Q126" s="129"/>
      <c r="R126" s="786">
        <f>SUMIFS('FCPIS F'!$T$281:$T$408,'FCPIS F'!$B$281:$B$408,'PIS F AVG'!$A126,'FCPIS F'!$C$281:$C$408,'PIS F AVG'!$B126)*-1000*$A$4</f>
        <v>-796186.55348612985</v>
      </c>
      <c r="S126" s="129"/>
      <c r="T126" s="786">
        <f t="shared" si="44"/>
        <v>385246.12971387047</v>
      </c>
      <c r="V126" s="9">
        <f t="shared" si="48"/>
        <v>0</v>
      </c>
      <c r="X126" s="9">
        <f t="shared" si="45"/>
        <v>-796186.55348612985</v>
      </c>
      <c r="Y126" s="176">
        <f>SUMIFS('FCPIS F'!$R$6:$R$135,'FCPIS F'!$B$6:$B$135,'PIS F AVG'!$A126,'FCPIS F'!$C$6:$C$135,'PIS F AVG'!$B126)*1000*$A$4</f>
        <v>1181432.6831999999</v>
      </c>
      <c r="Z126" s="176">
        <f t="shared" si="46"/>
        <v>0</v>
      </c>
    </row>
    <row r="127" spans="1:26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 AVG'!$A127,'FCPIS F'!$C$6:$C$135,'PIS F AVG'!$B127)*1000*$A$4</f>
        <v>2904111.4334999993</v>
      </c>
      <c r="E127" s="130"/>
      <c r="F127" s="130">
        <f>SUMIFS('FCPIS F'!$S$138:$S$225,'FCPIS F'!$B$138:$B$225,'PIS F AVG'!$A127,'FCPIS F'!$C$138:$C$225,'PIS F AVG'!$B127)*1000*$A$4</f>
        <v>27599.999999999996</v>
      </c>
      <c r="G127" s="130"/>
      <c r="H127" s="130">
        <f>SUMIFS('FCPIS F'!$S$228:$S$278,'FCPIS F'!$B$228:$B$278,'PIS F AVG'!$A127,'FCPIS F'!$C$228:$C$278,'PIS F AVG'!$B127)*-1000*$A$4</f>
        <v>-30473.498099999997</v>
      </c>
      <c r="I127" s="130"/>
      <c r="J127" s="130">
        <f>SUMIFS('FCPIS F'!$S$395:$S$416,'FCPIS F'!$B$395:$B$416,'PIS F AVG'!$A127,'FCPIS F'!$C$395:$C$416,'PIS F AVG'!$B127)*1000*$A$4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176">
        <f>SUMIFS('FCPIS F'!$T$6:$T$135,'FCPIS F'!$B$6:$B$135,'PIS F AVG'!$A127,'FCPIS F'!$C$6:$C$135,'PIS F AVG'!$B127)*1000*$A$4</f>
        <v>2893187.7043384616</v>
      </c>
      <c r="Q127" s="129"/>
      <c r="R127" s="786">
        <f>SUMIFS('FCPIS F'!$T$281:$T$408,'FCPIS F'!$B$281:$B$408,'PIS F AVG'!$A127,'FCPIS F'!$C$281:$C$408,'PIS F AVG'!$B127)*-1000*$A$4</f>
        <v>-1764903.2255947613</v>
      </c>
      <c r="S127" s="129"/>
      <c r="T127" s="786">
        <f t="shared" si="44"/>
        <v>1128284.4787437003</v>
      </c>
      <c r="V127" s="9">
        <f t="shared" si="48"/>
        <v>1.5802373845790376E-14</v>
      </c>
      <c r="X127" s="9">
        <f t="shared" si="45"/>
        <v>-1764903.2255947613</v>
      </c>
      <c r="Y127" s="176">
        <f>SUMIFS('FCPIS F'!$R$6:$R$135,'FCPIS F'!$B$6:$B$135,'PIS F AVG'!$A127,'FCPIS F'!$C$6:$C$135,'PIS F AVG'!$B127)*1000*$A$4</f>
        <v>2901237.9353999998</v>
      </c>
      <c r="Z127" s="176">
        <f t="shared" si="46"/>
        <v>0</v>
      </c>
    </row>
    <row r="128" spans="1:26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 AVG'!$A128,'FCPIS F'!$C$6:$C$135,'PIS F AVG'!$B128)*1000*$A$4</f>
        <v>0</v>
      </c>
      <c r="E128" s="130"/>
      <c r="F128" s="130">
        <f>SUMIFS('FCPIS F'!$S$138:$S$225,'FCPIS F'!$B$138:$B$225,'PIS F AVG'!$A128,'FCPIS F'!$C$138:$C$225,'PIS F AVG'!$B128)*1000*$A$4</f>
        <v>0</v>
      </c>
      <c r="G128" s="130"/>
      <c r="H128" s="130">
        <f>SUMIFS('FCPIS F'!$S$228:$S$278,'FCPIS F'!$B$228:$B$278,'PIS F AVG'!$A128,'FCPIS F'!$C$228:$C$278,'PIS F AVG'!$B128)*-1000*$A$4</f>
        <v>0</v>
      </c>
      <c r="I128" s="130"/>
      <c r="J128" s="130">
        <f>SUMIFS('FCPIS F'!$S$395:$S$416,'FCPIS F'!$B$395:$B$416,'PIS F AVG'!$A128,'FCPIS F'!$C$395:$C$416,'PIS F AVG'!$B128)*1000*$A$4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176">
        <f>SUMIFS('FCPIS F'!$T$6:$T$135,'FCPIS F'!$B$6:$B$135,'PIS F AVG'!$A128,'FCPIS F'!$C$6:$C$135,'PIS F AVG'!$B128)*1000*$A$4</f>
        <v>0</v>
      </c>
      <c r="Q128" s="129"/>
      <c r="R128" s="786">
        <f>SUMIFS('FCPIS F'!$T$281:$T$408,'FCPIS F'!$B$281:$B$408,'PIS F AVG'!$A128,'FCPIS F'!$C$281:$C$408,'PIS F AVG'!$B128)*-1000*$A$4</f>
        <v>0</v>
      </c>
      <c r="S128" s="129"/>
      <c r="T128" s="786">
        <f t="shared" si="44"/>
        <v>0</v>
      </c>
      <c r="V128" s="9">
        <f t="shared" si="48"/>
        <v>0</v>
      </c>
      <c r="X128" s="9">
        <f t="shared" si="45"/>
        <v>0</v>
      </c>
      <c r="Y128" s="176">
        <f>SUMIFS('FCPIS F'!$R$6:$R$135,'FCPIS F'!$B$6:$B$135,'PIS F AVG'!$A128,'FCPIS F'!$C$6:$C$135,'PIS F AVG'!$B128)*1000*$A$4</f>
        <v>0</v>
      </c>
      <c r="Z128" s="176">
        <f t="shared" si="46"/>
        <v>0</v>
      </c>
    </row>
    <row r="129" spans="1:26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 AVG'!$A129,'FCPIS F'!$C$6:$C$135,'PIS F AVG'!$B129)*1000*$A$4</f>
        <v>365595.60299999994</v>
      </c>
      <c r="E129" s="130"/>
      <c r="F129" s="130">
        <f>SUMIFS('FCPIS F'!$S$138:$S$225,'FCPIS F'!$B$138:$B$225,'PIS F AVG'!$A129,'FCPIS F'!$C$138:$C$225,'PIS F AVG'!$B129)*1000*$A$4</f>
        <v>0</v>
      </c>
      <c r="G129" s="130"/>
      <c r="H129" s="130">
        <f>SUMIFS('FCPIS F'!$S$228:$S$278,'FCPIS F'!$B$228:$B$278,'PIS F AVG'!$A129,'FCPIS F'!$C$228:$C$278,'PIS F AVG'!$B129)*-1000*$A$4</f>
        <v>0</v>
      </c>
      <c r="I129" s="130"/>
      <c r="J129" s="130">
        <f>SUMIFS('FCPIS F'!$S$395:$S$416,'FCPIS F'!$B$395:$B$416,'PIS F AVG'!$A129,'FCPIS F'!$C$395:$C$416,'PIS F AVG'!$B129)*1000*$A$4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176">
        <f>SUMIFS('FCPIS F'!$T$6:$T$135,'FCPIS F'!$B$6:$B$135,'PIS F AVG'!$A129,'FCPIS F'!$C$6:$C$135,'PIS F AVG'!$B129)*1000*$A$4</f>
        <v>365595.60299999994</v>
      </c>
      <c r="Q129" s="129"/>
      <c r="R129" s="786">
        <f>SUMIFS('FCPIS F'!$T$281:$T$408,'FCPIS F'!$B$281:$B$408,'PIS F AVG'!$A129,'FCPIS F'!$C$281:$C$408,'PIS F AVG'!$B129)*-1000*$A$4</f>
        <v>-174554.82833352944</v>
      </c>
      <c r="S129" s="129"/>
      <c r="T129" s="786">
        <f t="shared" si="44"/>
        <v>191040.7746664705</v>
      </c>
      <c r="V129" s="9">
        <f t="shared" si="48"/>
        <v>0</v>
      </c>
      <c r="X129" s="9">
        <f t="shared" si="45"/>
        <v>-174554.82833352944</v>
      </c>
      <c r="Y129" s="176">
        <f>SUMIFS('FCPIS F'!$R$6:$R$135,'FCPIS F'!$B$6:$B$135,'PIS F AVG'!$A129,'FCPIS F'!$C$6:$C$135,'PIS F AVG'!$B129)*1000*$A$4</f>
        <v>365595.60299999994</v>
      </c>
      <c r="Z129" s="176">
        <f t="shared" si="46"/>
        <v>0</v>
      </c>
    </row>
    <row r="130" spans="1:26" s="174" customFormat="1">
      <c r="A130" s="174" t="s">
        <v>867</v>
      </c>
      <c r="B130" s="6"/>
      <c r="C130" s="129" t="s">
        <v>912</v>
      </c>
      <c r="D130" s="785">
        <f>SUMIFS('FCPIS F'!$F$6:$F$135,'FCPIS F'!$B$6:$B$135,'PIS F AVG'!$A130,'FCPIS F'!$C$6:$C$135,'PIS F AVG'!$B130)*1000*$A$4</f>
        <v>0</v>
      </c>
      <c r="E130" s="130"/>
      <c r="F130" s="130">
        <f>SUMIFS('FCPIS F'!$S$138:$S$225,'FCPIS F'!$B$138:$B$225,'PIS F AVG'!$A130,'FCPIS F'!$C$138:$C$225,'PIS F AVG'!$B130)*1000*$A$4</f>
        <v>0</v>
      </c>
      <c r="G130" s="130"/>
      <c r="H130" s="130">
        <f>SUMIFS('FCPIS F'!$S$228:$S$278,'FCPIS F'!$B$228:$B$278,'PIS F AVG'!$A130,'FCPIS F'!$C$228:$C$278,'PIS F AVG'!$B130)*-1000*$A$4</f>
        <v>0</v>
      </c>
      <c r="I130" s="130"/>
      <c r="J130" s="130">
        <f>SUMIFS('FCPIS F'!$S$395:$S$416,'FCPIS F'!$B$395:$B$416,'PIS F AVG'!$A130,'FCPIS F'!$C$395:$C$416,'PIS F AVG'!$B130)*1000*$A$4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176">
        <f>SUMIFS('FCPIS F'!$T$6:$T$135,'FCPIS F'!$B$6:$B$135,'PIS F AVG'!$A130,'FCPIS F'!$C$6:$C$135,'PIS F AVG'!$B130)*1000*$A$4</f>
        <v>0</v>
      </c>
      <c r="Q130" s="129"/>
      <c r="R130" s="786">
        <f>SUMIFS('FCPIS F'!$T$281:$T$408,'FCPIS F'!$B$281:$B$408,'PIS F AVG'!$A130,'FCPIS F'!$C$281:$C$408,'PIS F AVG'!$B130)*-1000*$A$4</f>
        <v>0</v>
      </c>
      <c r="S130" s="129"/>
      <c r="T130" s="786">
        <f t="shared" si="44"/>
        <v>0</v>
      </c>
      <c r="V130" s="9">
        <f t="shared" si="48"/>
        <v>0</v>
      </c>
      <c r="X130" s="9">
        <f t="shared" si="45"/>
        <v>0</v>
      </c>
      <c r="Y130" s="176">
        <f>SUMIFS('FCPIS F'!$R$6:$R$135,'FCPIS F'!$B$6:$B$135,'PIS F AVG'!$A130,'FCPIS F'!$C$6:$C$135,'PIS F AVG'!$B130)*1000*$A$4</f>
        <v>0</v>
      </c>
      <c r="Z130" s="176">
        <f t="shared" si="46"/>
        <v>0</v>
      </c>
    </row>
    <row r="131" spans="1:26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 AVG'!$A131,'FCPIS F'!$C$6:$C$135,'PIS F AVG'!$B131)*1000*$A$4</f>
        <v>25535566.367999934</v>
      </c>
      <c r="E131" s="130"/>
      <c r="F131" s="130">
        <f>SUMIFS('FCPIS F'!$S$138:$S$225,'FCPIS F'!$B$138:$B$225,'PIS F AVG'!$A131,'FCPIS F'!$C$138:$C$225,'PIS F AVG'!$B131)*1000*$A$4</f>
        <v>2470076.0621999996</v>
      </c>
      <c r="G131" s="130"/>
      <c r="H131" s="130">
        <f>SUMIFS('FCPIS F'!$S$228:$S$278,'FCPIS F'!$B$228:$B$278,'PIS F AVG'!$A131,'FCPIS F'!$C$228:$C$278,'PIS F AVG'!$B131)*-1000*$A$4</f>
        <v>0</v>
      </c>
      <c r="I131" s="130"/>
      <c r="J131" s="130">
        <f>SUMIFS('FCPIS F'!$S$395:$S$416,'FCPIS F'!$B$395:$B$416,'PIS F AVG'!$A131,'FCPIS F'!$C$395:$C$416,'PIS F AVG'!$B131)*1000*$A$4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176">
        <f>SUMIFS('FCPIS F'!$T$6:$T$135,'FCPIS F'!$B$6:$B$135,'PIS F AVG'!$A131,'FCPIS F'!$C$6:$C$135,'PIS F AVG'!$B131)*1000*$A$4</f>
        <v>26575797.529753774</v>
      </c>
      <c r="Q131" s="129"/>
      <c r="R131" s="786">
        <f>SUMIFS('FCPIS F'!$T$281:$T$408,'FCPIS F'!$B$281:$B$408,'PIS F AVG'!$A131,'FCPIS F'!$C$281:$C$408,'PIS F AVG'!$B131)*-1000*$A$4</f>
        <v>-19028999.733658597</v>
      </c>
      <c r="S131" s="129"/>
      <c r="T131" s="786">
        <f t="shared" si="44"/>
        <v>7546797.7960951775</v>
      </c>
      <c r="V131" s="9">
        <f t="shared" si="48"/>
        <v>1.4142414986384842E-12</v>
      </c>
      <c r="X131" s="9">
        <f t="shared" si="45"/>
        <v>-19028999.733658597</v>
      </c>
      <c r="Y131" s="176">
        <f>SUMIFS('FCPIS F'!$R$6:$R$135,'FCPIS F'!$B$6:$B$135,'PIS F AVG'!$A131,'FCPIS F'!$C$6:$C$135,'PIS F AVG'!$B131)*1000*$A$4</f>
        <v>28005642.430199929</v>
      </c>
      <c r="Z131" s="176">
        <f t="shared" si="46"/>
        <v>0</v>
      </c>
    </row>
    <row r="132" spans="1:26" s="174" customFormat="1">
      <c r="A132" s="174" t="s">
        <v>867</v>
      </c>
      <c r="B132" s="6"/>
      <c r="C132" s="129" t="s">
        <v>914</v>
      </c>
      <c r="D132" s="785">
        <f>SUMIFS('FCPIS F'!$F$6:$F$135,'FCPIS F'!$B$6:$B$135,'PIS F AVG'!$A132,'FCPIS F'!$C$6:$C$135,'PIS F AVG'!$B132)*1000*$A$4</f>
        <v>0</v>
      </c>
      <c r="E132" s="130"/>
      <c r="F132" s="130">
        <f>SUMIFS('FCPIS F'!$S$138:$S$225,'FCPIS F'!$B$138:$B$225,'PIS F AVG'!$A132,'FCPIS F'!$C$138:$C$225,'PIS F AVG'!$B132)*1000*$A$4</f>
        <v>0</v>
      </c>
      <c r="G132" s="130"/>
      <c r="H132" s="130">
        <f>SUMIFS('FCPIS F'!$S$228:$S$278,'FCPIS F'!$B$228:$B$278,'PIS F AVG'!$A132,'FCPIS F'!$C$228:$C$278,'PIS F AVG'!$B132)*-1000*$A$4</f>
        <v>0</v>
      </c>
      <c r="I132" s="130"/>
      <c r="J132" s="130">
        <f>SUMIFS('FCPIS F'!$S$395:$S$416,'FCPIS F'!$B$395:$B$416,'PIS F AVG'!$A132,'FCPIS F'!$C$395:$C$416,'PIS F AVG'!$B132)*1000*$A$4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176">
        <f>SUMIFS('FCPIS F'!$T$6:$T$135,'FCPIS F'!$B$6:$B$135,'PIS F AVG'!$A132,'FCPIS F'!$C$6:$C$135,'PIS F AVG'!$B132)*1000*$A$4</f>
        <v>0</v>
      </c>
      <c r="Q132" s="129"/>
      <c r="R132" s="786">
        <f>SUMIFS('FCPIS F'!$T$281:$T$408,'FCPIS F'!$B$281:$B$408,'PIS F AVG'!$A132,'FCPIS F'!$C$281:$C$408,'PIS F AVG'!$B132)*-1000*$A$4</f>
        <v>0</v>
      </c>
      <c r="S132" s="129"/>
      <c r="T132" s="786">
        <f t="shared" si="44"/>
        <v>0</v>
      </c>
      <c r="V132" s="9">
        <f t="shared" si="48"/>
        <v>0</v>
      </c>
      <c r="X132" s="9">
        <f t="shared" si="45"/>
        <v>0</v>
      </c>
      <c r="Y132" s="176">
        <f>SUMIFS('FCPIS F'!$R$6:$R$135,'FCPIS F'!$B$6:$B$135,'PIS F AVG'!$A132,'FCPIS F'!$C$6:$C$135,'PIS F AVG'!$B132)*1000*$A$4</f>
        <v>0</v>
      </c>
      <c r="Z132" s="176">
        <f t="shared" si="46"/>
        <v>0</v>
      </c>
    </row>
    <row r="133" spans="1:26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 AVG'!$A133,'FCPIS F'!$C$6:$C$135,'PIS F AVG'!$B133)*1000*$A$4</f>
        <v>0</v>
      </c>
      <c r="E133" s="130"/>
      <c r="F133" s="130">
        <f>SUMIFS('FCPIS F'!$S$138:$S$225,'FCPIS F'!$B$138:$B$225,'PIS F AVG'!$A133,'FCPIS F'!$C$138:$C$225,'PIS F AVG'!$B133)*1000*$A$4</f>
        <v>0</v>
      </c>
      <c r="G133" s="130"/>
      <c r="H133" s="130">
        <f>SUMIFS('FCPIS F'!$S$228:$S$278,'FCPIS F'!$B$228:$B$278,'PIS F AVG'!$A133,'FCPIS F'!$C$228:$C$278,'PIS F AVG'!$B133)*-1000*$A$4</f>
        <v>0</v>
      </c>
      <c r="I133" s="130"/>
      <c r="J133" s="130">
        <f>SUMIFS('FCPIS F'!$S$395:$S$416,'FCPIS F'!$B$395:$B$416,'PIS F AVG'!$A133,'FCPIS F'!$C$395:$C$416,'PIS F AVG'!$B133)*1000*$A$4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176">
        <f>SUMIFS('FCPIS F'!$T$6:$T$135,'FCPIS F'!$B$6:$B$135,'PIS F AVG'!$A133,'FCPIS F'!$C$6:$C$135,'PIS F AVG'!$B133)*1000*$A$4</f>
        <v>0</v>
      </c>
      <c r="Q133" s="129"/>
      <c r="R133" s="786">
        <f>SUMIFS('FCPIS F'!$T$281:$T$408,'FCPIS F'!$B$281:$B$408,'PIS F AVG'!$A133,'FCPIS F'!$C$281:$C$408,'PIS F AVG'!$B133)*-1000*$A$4</f>
        <v>0</v>
      </c>
      <c r="S133" s="129"/>
      <c r="T133" s="786">
        <f t="shared" si="44"/>
        <v>0</v>
      </c>
      <c r="V133" s="9">
        <f t="shared" si="48"/>
        <v>0</v>
      </c>
      <c r="X133" s="9">
        <f t="shared" si="45"/>
        <v>0</v>
      </c>
      <c r="Y133" s="176">
        <f>SUMIFS('FCPIS F'!$R$6:$R$135,'FCPIS F'!$B$6:$B$135,'PIS F AVG'!$A133,'FCPIS F'!$C$6:$C$135,'PIS F AVG'!$B133)*1000*$A$4</f>
        <v>0</v>
      </c>
      <c r="Z133" s="176">
        <f t="shared" si="46"/>
        <v>0</v>
      </c>
    </row>
    <row r="134" spans="1:26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 AVG'!$A134,'FCPIS F'!$C$6:$C$135,'PIS F AVG'!$B134)*1000*$A$4</f>
        <v>0</v>
      </c>
      <c r="E134" s="130"/>
      <c r="F134" s="130">
        <f>SUMIFS('FCPIS F'!$S$138:$S$225,'FCPIS F'!$B$138:$B$225,'PIS F AVG'!$A134,'FCPIS F'!$C$138:$C$225,'PIS F AVG'!$B134)*1000*$A$4</f>
        <v>0</v>
      </c>
      <c r="G134" s="130"/>
      <c r="H134" s="130">
        <f>SUMIFS('FCPIS F'!$S$228:$S$278,'FCPIS F'!$B$228:$B$278,'PIS F AVG'!$A134,'FCPIS F'!$C$228:$C$278,'PIS F AVG'!$B134)*-1000*$A$4</f>
        <v>0</v>
      </c>
      <c r="I134" s="130"/>
      <c r="J134" s="130">
        <f>SUMIFS('FCPIS F'!$S$395:$S$416,'FCPIS F'!$B$395:$B$416,'PIS F AVG'!$A134,'FCPIS F'!$C$395:$C$416,'PIS F AVG'!$B134)*1000*$A$4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176">
        <f>SUMIFS('FCPIS F'!$T$6:$T$135,'FCPIS F'!$B$6:$B$135,'PIS F AVG'!$A134,'FCPIS F'!$C$6:$C$135,'PIS F AVG'!$B134)*1000*$A$4</f>
        <v>0</v>
      </c>
      <c r="Q134" s="129"/>
      <c r="R134" s="786">
        <f>SUMIFS('FCPIS F'!$T$281:$T$408,'FCPIS F'!$B$281:$B$408,'PIS F AVG'!$A134,'FCPIS F'!$C$281:$C$408,'PIS F AVG'!$B134)*-1000*$A$4</f>
        <v>0</v>
      </c>
      <c r="S134" s="129"/>
      <c r="T134" s="786">
        <f t="shared" si="44"/>
        <v>0</v>
      </c>
      <c r="V134" s="9">
        <f t="shared" si="48"/>
        <v>0</v>
      </c>
      <c r="X134" s="9">
        <f t="shared" si="45"/>
        <v>0</v>
      </c>
      <c r="Y134" s="176">
        <f>SUMIFS('FCPIS F'!$R$6:$R$135,'FCPIS F'!$B$6:$B$135,'PIS F AVG'!$A134,'FCPIS F'!$C$6:$C$135,'PIS F AVG'!$B134)*1000*$A$4</f>
        <v>0</v>
      </c>
      <c r="Z134" s="176">
        <f t="shared" si="46"/>
        <v>0</v>
      </c>
    </row>
    <row r="135" spans="1:26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 AVG'!$A135,'FCPIS F'!$C$6:$C$135,'PIS F AVG'!$B135)*1000*$A$4</f>
        <v>57809.780099999931</v>
      </c>
      <c r="E135" s="130"/>
      <c r="F135" s="130">
        <f>SUMIFS('FCPIS F'!$S$138:$S$225,'FCPIS F'!$B$138:$B$225,'PIS F AVG'!$A135,'FCPIS F'!$C$138:$C$225,'PIS F AVG'!$B135)*1000*$A$4</f>
        <v>0</v>
      </c>
      <c r="G135" s="130"/>
      <c r="H135" s="130">
        <f>SUMIFS('FCPIS F'!$S$228:$S$278,'FCPIS F'!$B$228:$B$278,'PIS F AVG'!$A135,'FCPIS F'!$C$228:$C$278,'PIS F AVG'!$B135)*-1000*$A$4</f>
        <v>0</v>
      </c>
      <c r="I135" s="130"/>
      <c r="J135" s="130">
        <f>SUMIFS('FCPIS F'!$S$395:$S$416,'FCPIS F'!$B$395:$B$416,'PIS F AVG'!$A135,'FCPIS F'!$C$395:$C$416,'PIS F AVG'!$B135)*1000*$A$4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176">
        <f>SUMIFS('FCPIS F'!$T$6:$T$135,'FCPIS F'!$B$6:$B$135,'PIS F AVG'!$A135,'FCPIS F'!$C$6:$C$135,'PIS F AVG'!$B135)*1000*$A$4</f>
        <v>57809.780099999924</v>
      </c>
      <c r="Q135" s="129"/>
      <c r="R135" s="786">
        <f>SUMIFS('FCPIS F'!$T$281:$T$408,'FCPIS F'!$B$281:$B$408,'PIS F AVG'!$A135,'FCPIS F'!$C$281:$C$408,'PIS F AVG'!$B135)*-1000*$A$4</f>
        <v>0</v>
      </c>
      <c r="S135" s="129"/>
      <c r="T135" s="786">
        <f t="shared" si="44"/>
        <v>57809.780099999924</v>
      </c>
      <c r="V135" s="9">
        <f t="shared" si="48"/>
        <v>0</v>
      </c>
      <c r="X135" s="9">
        <f t="shared" si="45"/>
        <v>0</v>
      </c>
      <c r="Y135" s="176">
        <f>SUMIFS('FCPIS F'!$R$6:$R$135,'FCPIS F'!$B$6:$B$135,'PIS F AVG'!$A135,'FCPIS F'!$C$6:$C$135,'PIS F AVG'!$B135)*1000*$A$4</f>
        <v>57809.780099999931</v>
      </c>
      <c r="Z135" s="176">
        <f t="shared" si="46"/>
        <v>0</v>
      </c>
    </row>
    <row r="136" spans="1:26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 AVG'!$A136,'FCPIS F'!$C$6:$C$135,'PIS F AVG'!$B136)*1000*$A$4</f>
        <v>0</v>
      </c>
      <c r="E136" s="130"/>
      <c r="F136" s="130">
        <f>SUMIFS('FCPIS F'!$S$138:$S$225,'FCPIS F'!$B$138:$B$225,'PIS F AVG'!$A136,'FCPIS F'!$C$138:$C$225,'PIS F AVG'!$B136)*1000*$A$4</f>
        <v>0</v>
      </c>
      <c r="G136" s="130"/>
      <c r="H136" s="130">
        <f>SUMIFS('FCPIS F'!$S$228:$S$278,'FCPIS F'!$B$228:$B$278,'PIS F AVG'!$A136,'FCPIS F'!$C$228:$C$278,'PIS F AVG'!$B136)*-1000*$A$4</f>
        <v>0</v>
      </c>
      <c r="I136" s="130"/>
      <c r="J136" s="130">
        <f>SUMIFS('FCPIS F'!$S$395:$S$416,'FCPIS F'!$B$395:$B$416,'PIS F AVG'!$A136,'FCPIS F'!$C$395:$C$416,'PIS F AVG'!$B136)*1000*$A$4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176">
        <f>SUMIFS('FCPIS F'!$T$6:$T$135,'FCPIS F'!$B$6:$B$135,'PIS F AVG'!$A136,'FCPIS F'!$C$6:$C$135,'PIS F AVG'!$B136)*1000*$A$4</f>
        <v>0</v>
      </c>
      <c r="Q136" s="129"/>
      <c r="R136" s="786">
        <f>SUMIFS('FCPIS F'!$T$281:$T$408,'FCPIS F'!$B$281:$B$408,'PIS F AVG'!$A136,'FCPIS F'!$C$281:$C$408,'PIS F AVG'!$B136)*-1000*$A$4</f>
        <v>0</v>
      </c>
      <c r="S136" s="129"/>
      <c r="T136" s="786">
        <f t="shared" si="44"/>
        <v>0</v>
      </c>
      <c r="V136" s="9">
        <f t="shared" si="48"/>
        <v>0</v>
      </c>
      <c r="X136" s="9">
        <f t="shared" si="45"/>
        <v>0</v>
      </c>
      <c r="Y136" s="176">
        <f>SUMIFS('FCPIS F'!$R$6:$R$135,'FCPIS F'!$B$6:$B$135,'PIS F AVG'!$A136,'FCPIS F'!$C$6:$C$135,'PIS F AVG'!$B136)*1000*$A$4</f>
        <v>0</v>
      </c>
      <c r="Z136" s="176">
        <f t="shared" si="46"/>
        <v>0</v>
      </c>
    </row>
    <row r="137" spans="1:26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 AVG'!$A137,'FCPIS F'!$C$6:$C$135,'PIS F AVG'!$B137)*1000*$A$4</f>
        <v>57199629.825599857</v>
      </c>
      <c r="E137" s="130"/>
      <c r="F137" s="130">
        <f>SUMIFS('FCPIS F'!$S$138:$S$225,'FCPIS F'!$B$138:$B$225,'PIS F AVG'!$A137,'FCPIS F'!$C$138:$C$225,'PIS F AVG'!$B137)*1000*$A$4</f>
        <v>14438513.442</v>
      </c>
      <c r="G137" s="130"/>
      <c r="H137" s="130">
        <f>SUMIFS('FCPIS F'!$S$228:$S$278,'FCPIS F'!$B$228:$B$278,'PIS F AVG'!$A137,'FCPIS F'!$C$228:$C$278,'PIS F AVG'!$B137)*-1000*$A$4</f>
        <v>-7456030.4969999995</v>
      </c>
      <c r="I137" s="130"/>
      <c r="J137" s="130">
        <f>SUMIFS('FCPIS F'!$S$395:$S$416,'FCPIS F'!$B$395:$B$416,'PIS F AVG'!$A137,'FCPIS F'!$C$395:$C$416,'PIS F AVG'!$B137)*1000*$A$4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176">
        <f>SUMIFS('FCPIS F'!$T$6:$T$135,'FCPIS F'!$B$6:$B$135,'PIS F AVG'!$A137,'FCPIS F'!$C$6:$C$135,'PIS F AVG'!$B137)*1000*$A$4</f>
        <v>59950103.073092207</v>
      </c>
      <c r="Q137" s="129"/>
      <c r="R137" s="786">
        <f>SUMIFS('FCPIS F'!$T$281:$T$408,'FCPIS F'!$B$281:$B$408,'PIS F AVG'!$A137,'FCPIS F'!$C$281:$C$408,'PIS F AVG'!$B137)*-1000*$A$4</f>
        <v>-24516340.600240812</v>
      </c>
      <c r="S137" s="129"/>
      <c r="T137" s="786">
        <f t="shared" si="44"/>
        <v>35433762.472851396</v>
      </c>
      <c r="V137" s="9">
        <f t="shared" si="48"/>
        <v>8.2667676517374502E-12</v>
      </c>
      <c r="X137" s="9">
        <f t="shared" si="45"/>
        <v>-24516340.600240812</v>
      </c>
      <c r="Y137" s="176">
        <f>SUMIFS('FCPIS F'!$R$6:$R$135,'FCPIS F'!$B$6:$B$135,'PIS F AVG'!$A137,'FCPIS F'!$C$6:$C$135,'PIS F AVG'!$B137)*1000*$A$4</f>
        <v>64182112.770599857</v>
      </c>
      <c r="Z137" s="176">
        <f t="shared" si="46"/>
        <v>0</v>
      </c>
    </row>
    <row r="138" spans="1:26" s="174" customFormat="1">
      <c r="A138" s="174" t="s">
        <v>867</v>
      </c>
      <c r="B138" s="6"/>
      <c r="C138" s="129" t="s">
        <v>920</v>
      </c>
      <c r="D138" s="785">
        <f>SUMIFS('FCPIS F'!$F$6:$F$135,'FCPIS F'!$B$6:$B$135,'PIS F AVG'!$A138,'FCPIS F'!$C$6:$C$135,'PIS F AVG'!$B138)*1000*$A$4</f>
        <v>0</v>
      </c>
      <c r="E138" s="130"/>
      <c r="F138" s="130">
        <f>SUMIFS('FCPIS F'!$S$138:$S$225,'FCPIS F'!$B$138:$B$225,'PIS F AVG'!$A138,'FCPIS F'!$C$138:$C$225,'PIS F AVG'!$B138)*1000*$A$4</f>
        <v>0</v>
      </c>
      <c r="G138" s="130"/>
      <c r="H138" s="130">
        <f>SUMIFS('FCPIS F'!$S$228:$S$278,'FCPIS F'!$B$228:$B$278,'PIS F AVG'!$A138,'FCPIS F'!$C$228:$C$278,'PIS F AVG'!$B138)*-1000*$A$4</f>
        <v>0</v>
      </c>
      <c r="I138" s="130"/>
      <c r="J138" s="130">
        <f>SUMIFS('FCPIS F'!$S$395:$S$416,'FCPIS F'!$B$395:$B$416,'PIS F AVG'!$A138,'FCPIS F'!$C$395:$C$416,'PIS F AVG'!$B138)*1000*$A$4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176">
        <f>SUMIFS('FCPIS F'!$T$6:$T$135,'FCPIS F'!$B$6:$B$135,'PIS F AVG'!$A138,'FCPIS F'!$C$6:$C$135,'PIS F AVG'!$B138)*1000*$A$4</f>
        <v>0</v>
      </c>
      <c r="Q138" s="129"/>
      <c r="R138" s="786">
        <f>SUMIFS('FCPIS F'!$T$281:$T$408,'FCPIS F'!$B$281:$B$408,'PIS F AVG'!$A138,'FCPIS F'!$C$281:$C$408,'PIS F AVG'!$B138)*-1000*$A$4</f>
        <v>0</v>
      </c>
      <c r="S138" s="129"/>
      <c r="T138" s="786">
        <f t="shared" si="44"/>
        <v>0</v>
      </c>
      <c r="V138" s="9">
        <f t="shared" si="48"/>
        <v>0</v>
      </c>
      <c r="X138" s="9">
        <f t="shared" si="45"/>
        <v>0</v>
      </c>
      <c r="Y138" s="176">
        <f>SUMIFS('FCPIS F'!$R$6:$R$135,'FCPIS F'!$B$6:$B$135,'PIS F AVG'!$A138,'FCPIS F'!$C$6:$C$135,'PIS F AVG'!$B138)*1000*$A$4</f>
        <v>0</v>
      </c>
      <c r="Z138" s="176">
        <f t="shared" si="46"/>
        <v>0</v>
      </c>
    </row>
    <row r="139" spans="1:26" s="174" customFormat="1">
      <c r="A139" s="174" t="s">
        <v>867</v>
      </c>
      <c r="B139" s="6"/>
      <c r="C139" s="129" t="s">
        <v>921</v>
      </c>
      <c r="D139" s="794">
        <f>SUMIFS('FCPIS F'!$F$6:$F$135,'FCPIS F'!$B$6:$B$135,'PIS F AVG'!$A139,'FCPIS F'!$C$6:$C$135,'PIS F AVG'!$B139)*1000*$A$4</f>
        <v>0</v>
      </c>
      <c r="E139" s="130"/>
      <c r="F139" s="794">
        <f>SUMIFS('FCPIS F'!$S$138:$S$225,'FCPIS F'!$B$138:$B$225,'PIS F AVG'!$A139,'FCPIS F'!$C$138:$C$225,'PIS F AVG'!$B139)*1000*$A$4</f>
        <v>0</v>
      </c>
      <c r="G139" s="130"/>
      <c r="H139" s="794">
        <f>SUMIFS('FCPIS F'!$S$228:$S$278,'FCPIS F'!$B$228:$B$278,'PIS F AVG'!$A139,'FCPIS F'!$C$228:$C$278,'PIS F AVG'!$B139)*-1000*$A$4</f>
        <v>0</v>
      </c>
      <c r="I139" s="130"/>
      <c r="J139" s="794">
        <f>SUMIFS('FCPIS F'!$S$395:$S$416,'FCPIS F'!$B$395:$B$416,'PIS F AVG'!$A139,'FCPIS F'!$C$395:$C$416,'PIS F AVG'!$B139)*1000*$A$4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175">
        <f>SUMIFS('FCPIS F'!$T$6:$T$135,'FCPIS F'!$B$6:$B$135,'PIS F AVG'!$A139,'FCPIS F'!$C$6:$C$135,'PIS F AVG'!$B139)*1000*$A$4</f>
        <v>0</v>
      </c>
      <c r="Q139" s="129"/>
      <c r="R139" s="795">
        <f>SUMIFS('FCPIS F'!$T$281:$T$408,'FCPIS F'!$B$281:$B$408,'PIS F AVG'!$A139,'FCPIS F'!$C$281:$C$408,'PIS F AVG'!$B139)*-1000*$A$4</f>
        <v>0</v>
      </c>
      <c r="S139" s="129"/>
      <c r="T139" s="795">
        <f t="shared" si="44"/>
        <v>0</v>
      </c>
      <c r="V139" s="9">
        <f t="shared" si="48"/>
        <v>0</v>
      </c>
      <c r="X139" s="9">
        <f t="shared" si="45"/>
        <v>0</v>
      </c>
      <c r="Y139" s="176">
        <f>SUMIFS('FCPIS F'!$R$6:$R$135,'FCPIS F'!$B$6:$B$135,'PIS F AVG'!$A139,'FCPIS F'!$C$6:$C$135,'PIS F AVG'!$B139)*1000*$A$4</f>
        <v>0</v>
      </c>
      <c r="Z139" s="176">
        <f t="shared" si="46"/>
        <v>0</v>
      </c>
    </row>
    <row r="140" spans="1:26" s="174" customFormat="1" ht="15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183181103.76410741</v>
      </c>
      <c r="Q140" s="132"/>
      <c r="R140" s="130">
        <f>SUM(R110:R139)</f>
        <v>-85212713.227494299</v>
      </c>
      <c r="S140" s="132"/>
      <c r="T140" s="130">
        <f>SUM(T110:T139)</f>
        <v>97968390.536613137</v>
      </c>
      <c r="V140" s="784">
        <f>'FC CWIP &amp; RWIP F'!Q21*1000*A4</f>
        <v>1.4708234630234071E-11</v>
      </c>
      <c r="W140" s="2"/>
      <c r="X140" s="784">
        <f t="shared" si="45"/>
        <v>-85212713.227494299</v>
      </c>
      <c r="Y140" s="176"/>
      <c r="Z140" s="176"/>
    </row>
    <row r="141" spans="1:26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S141" s="132"/>
      <c r="T141" s="130"/>
      <c r="Y141" s="176"/>
      <c r="Z141" s="176"/>
    </row>
    <row r="142" spans="1:26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S142" s="132"/>
      <c r="T142" s="130"/>
      <c r="Y142" s="176"/>
      <c r="Z142" s="176"/>
    </row>
    <row r="143" spans="1:26" s="174" customFormat="1" ht="15.7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183181103.76410741</v>
      </c>
      <c r="Q143" s="132"/>
      <c r="R143" s="788">
        <f>R140</f>
        <v>-85212713.227494299</v>
      </c>
      <c r="S143" s="132"/>
      <c r="T143" s="788">
        <f>T140</f>
        <v>97968390.536613137</v>
      </c>
      <c r="V143" s="788">
        <f>V140</f>
        <v>1.4708234630234071E-11</v>
      </c>
      <c r="X143" s="788">
        <f>X140</f>
        <v>-85212713.227494299</v>
      </c>
      <c r="Y143" s="176"/>
      <c r="Z143" s="176"/>
    </row>
    <row r="144" spans="1:26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P144" s="176"/>
      <c r="Y144" s="176"/>
      <c r="Z144" s="176"/>
    </row>
    <row r="145" spans="1:26" s="174" customFormat="1" ht="15.7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6310037965.8533258</v>
      </c>
      <c r="Q145" s="132"/>
      <c r="R145" s="788">
        <f>R100+R143</f>
        <v>-1974268786.3740423</v>
      </c>
      <c r="S145" s="132"/>
      <c r="T145" s="788">
        <f>T100+T143</f>
        <v>4335769179.4792843</v>
      </c>
      <c r="V145" s="788">
        <f>V100+V143</f>
        <v>16739356.073846148</v>
      </c>
      <c r="X145" s="788">
        <f>X100+X143</f>
        <v>-1957529430.3001962</v>
      </c>
      <c r="Y145" s="176"/>
      <c r="Z145" s="176"/>
    </row>
    <row r="146" spans="1:26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P146" s="176"/>
      <c r="Y146" s="176"/>
      <c r="Z146" s="176"/>
    </row>
    <row r="147" spans="1:26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P147" s="176"/>
      <c r="Y147" s="176"/>
      <c r="Z147" s="176"/>
    </row>
    <row r="148" spans="1:26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P148" s="176"/>
      <c r="Y148" s="176"/>
      <c r="Z148" s="176"/>
    </row>
    <row r="149" spans="1:26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P149" s="176"/>
      <c r="Y149" s="176"/>
      <c r="Z149" s="176"/>
    </row>
    <row r="150" spans="1:26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P150" s="176"/>
      <c r="Y150" s="176"/>
      <c r="Z150" s="176"/>
    </row>
    <row r="151" spans="1:26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P151" s="176"/>
      <c r="Y151" s="176"/>
      <c r="Z151" s="176"/>
    </row>
    <row r="152" spans="1:26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P152" s="176"/>
      <c r="Y152" s="176"/>
      <c r="Z152" s="176"/>
    </row>
    <row r="153" spans="1:26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P153" s="176"/>
      <c r="Y153" s="176"/>
      <c r="Z153" s="176"/>
    </row>
    <row r="154" spans="1:26" s="174" customFormat="1" ht="15">
      <c r="C154" s="132"/>
      <c r="D154" s="792"/>
      <c r="E154" s="382"/>
      <c r="F154" s="792"/>
      <c r="G154" s="382"/>
      <c r="H154" s="792"/>
      <c r="I154" s="382"/>
      <c r="J154" s="792"/>
      <c r="K154" s="382"/>
      <c r="L154" s="792"/>
      <c r="M154" s="382"/>
      <c r="N154" s="792"/>
      <c r="P154" s="176"/>
      <c r="Y154" s="176"/>
      <c r="Z154" s="176"/>
    </row>
    <row r="155" spans="1:26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P155" s="176"/>
      <c r="Y155" s="176"/>
      <c r="Z155" s="176"/>
    </row>
    <row r="156" spans="1:26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P156" s="176"/>
      <c r="Y156" s="176"/>
      <c r="Z156" s="176"/>
    </row>
    <row r="157" spans="1:26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 AVG'!$A157,'FCPIS F'!$C$6:$C$135,'PIS F AVG'!$B157)*1000</f>
        <v>2896992.1</v>
      </c>
      <c r="E157" s="799"/>
      <c r="F157" s="799">
        <f>SUMIFS('FCPIS F'!$S$138:$S$225,'FCPIS F'!$B$138:$B$225,'PIS F AVG'!$A157,'FCPIS F'!$C$138:$C$225,'PIS F AVG'!$B157)*1000</f>
        <v>0</v>
      </c>
      <c r="G157" s="799"/>
      <c r="H157" s="799">
        <f>SUMIFS('FCPIS F'!$S$228:$S$278,'FCPIS F'!$B$228:$B$278,'PIS F AVG'!$A157,'FCPIS F'!$C$228:$C$278,'PIS F AVG'!$B157)*-1000</f>
        <v>0</v>
      </c>
      <c r="I157" s="799"/>
      <c r="J157" s="799">
        <f>SUMIFS('FCPIS F'!$S$395:$S$416,'FCPIS F'!$B$395:$B$416,'PIS F AVG'!$A157,'FCPIS F'!$C$395:$C$416,'PIS F AVG'!$B157)*1000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176">
        <f>SUMIFS('FCPIS F'!$T$6:$T$135,'FCPIS F'!$B$6:$B$135,'PIS F AVG'!$A157,'FCPIS F'!$C$6:$C$135,'PIS F AVG'!$B157)*1000</f>
        <v>2896992.1000000006</v>
      </c>
      <c r="Q157" s="799"/>
      <c r="R157" s="799">
        <f>SUMIFS('FCPIS F'!$T$281:$T$408,'FCPIS F'!$B$281:$B$408,'PIS F AVG'!$A157,'FCPIS F'!$C$281:$C$408,'PIS F AVG'!$B157)*-1000</f>
        <v>0</v>
      </c>
      <c r="S157" s="799"/>
      <c r="T157" s="799">
        <f>SUM(P157:R157)</f>
        <v>2896992.1000000006</v>
      </c>
      <c r="U157" s="799"/>
      <c r="V157" s="799">
        <v>0</v>
      </c>
      <c r="W157" s="799"/>
      <c r="X157" s="799">
        <f>R157+V157</f>
        <v>0</v>
      </c>
      <c r="Y157" s="176">
        <f>SUMIFS('FCPIS F'!$R$6:$R$135,'FCPIS F'!$B$6:$B$135,'PIS F AVG'!$A157,'FCPIS F'!$C$6:$C$135,'PIS F AVG'!$B157)*1000</f>
        <v>2896992.1</v>
      </c>
      <c r="Z157" s="176">
        <f>Y157-N157</f>
        <v>0</v>
      </c>
    </row>
    <row r="158" spans="1:26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 AVG'!$A158,'FCPIS F'!$C$6:$C$135,'PIS F AVG'!$B158)*1000</f>
        <v>11748.709999999899</v>
      </c>
      <c r="E158" s="176"/>
      <c r="F158" s="175">
        <f>SUMIFS('FCPIS F'!$S$138:$S$225,'FCPIS F'!$B$138:$B$225,'PIS F AVG'!$A158,'FCPIS F'!$C$138:$C$225,'PIS F AVG'!$B158)*1000</f>
        <v>0</v>
      </c>
      <c r="G158" s="176"/>
      <c r="H158" s="175">
        <f>SUMIFS('FCPIS F'!$S$228:$S$278,'FCPIS F'!$B$228:$B$278,'PIS F AVG'!$A158,'FCPIS F'!$C$228:$C$278,'PIS F AVG'!$B158)*-1000</f>
        <v>0</v>
      </c>
      <c r="I158" s="176"/>
      <c r="J158" s="175">
        <f>SUMIFS('FCPIS F'!$S$395:$S$416,'FCPIS F'!$B$395:$B$416,'PIS F AVG'!$A158,'FCPIS F'!$C$395:$C$416,'PIS F AVG'!$B158)*1000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F'!$T$6:$T$135,'FCPIS F'!$B$6:$B$135,'PIS F AVG'!$A158,'FCPIS F'!$C$6:$C$135,'PIS F AVG'!$B158)*1000</f>
        <v>11748.709999999901</v>
      </c>
      <c r="Q158" s="176"/>
      <c r="R158" s="175">
        <f>SUMIFS('FCPIS F'!$T$281:$T$408,'FCPIS F'!$B$281:$B$408,'PIS F AVG'!$A158,'FCPIS F'!$C$281:$C$408,'PIS F AVG'!$B158)*-1000</f>
        <v>-9.889999999999997</v>
      </c>
      <c r="S158" s="176"/>
      <c r="T158" s="175">
        <f>SUM(P158:R158)</f>
        <v>11738.819999999901</v>
      </c>
      <c r="U158" s="176"/>
      <c r="V158" s="175">
        <v>0</v>
      </c>
      <c r="W158" s="176"/>
      <c r="X158" s="175">
        <f>R158+V158</f>
        <v>-9.889999999999997</v>
      </c>
      <c r="Y158" s="176">
        <f>SUMIFS('FCPIS F'!$R$6:$R$135,'FCPIS F'!$B$6:$B$135,'PIS F AVG'!$A158,'FCPIS F'!$C$6:$C$135,'PIS F AVG'!$B158)*1000</f>
        <v>11748.709999999899</v>
      </c>
      <c r="Z158" s="176">
        <f>Y158-N158</f>
        <v>0</v>
      </c>
    </row>
    <row r="159" spans="1:26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2908740.8100000005</v>
      </c>
      <c r="Q159" s="176"/>
      <c r="R159" s="176">
        <f>SUM(R157:R158)</f>
        <v>-9.889999999999997</v>
      </c>
      <c r="S159" s="176"/>
      <c r="T159" s="176">
        <f>SUM(T157:T158)</f>
        <v>2908730.9200000004</v>
      </c>
      <c r="U159" s="176"/>
      <c r="V159" s="176">
        <v>0</v>
      </c>
      <c r="W159" s="176"/>
      <c r="X159" s="176">
        <f>SUM(X157:X158)</f>
        <v>-9.889999999999997</v>
      </c>
      <c r="Y159" s="176"/>
      <c r="Z159" s="176"/>
    </row>
    <row r="160" spans="1:26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P160" s="176"/>
      <c r="W160" s="11"/>
      <c r="Y160" s="176"/>
      <c r="Z160" s="176"/>
    </row>
    <row r="161" spans="1:26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P161" s="176"/>
      <c r="W161" s="11"/>
      <c r="Y161" s="176"/>
      <c r="Z161" s="176"/>
    </row>
    <row r="162" spans="1:26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 AVG'!$A162,'FCPIS F'!$C$6:$C$135,'PIS F AVG'!$B162)*1000</f>
        <v>0</v>
      </c>
      <c r="E162" s="176"/>
      <c r="F162" s="176">
        <f>SUMIFS('FCPIS F'!$S$138:$S$225,'FCPIS F'!$B$138:$B$225,'PIS F AVG'!$A162,'FCPIS F'!$C$138:$C$225,'PIS F AVG'!$B162)*1000</f>
        <v>0</v>
      </c>
      <c r="G162" s="176"/>
      <c r="H162" s="176">
        <f>SUMIFS('FCPIS F'!$S$228:$S$278,'FCPIS F'!$B$228:$B$278,'PIS F AVG'!$A162,'FCPIS F'!$C$228:$C$278,'PIS F AVG'!$B162)*-1000</f>
        <v>0</v>
      </c>
      <c r="I162" s="176"/>
      <c r="J162" s="176">
        <f>SUMIFS('FCPIS F'!$S$395:$S$416,'FCPIS F'!$B$395:$B$416,'PIS F AVG'!$A162,'FCPIS F'!$C$395:$C$416,'PIS F AVG'!$B162)*1000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176">
        <f>SUMIFS('FCPIS F'!$T$6:$T$135,'FCPIS F'!$B$6:$B$135,'PIS F AVG'!$A162,'FCPIS F'!$C$6:$C$135,'PIS F AVG'!$B162)*1000</f>
        <v>0</v>
      </c>
      <c r="Q162" s="799"/>
      <c r="R162" s="799">
        <f>SUMIFS('FCPIS F'!$T$281:$T$408,'FCPIS F'!$B$281:$B$408,'PIS F AVG'!$A162,'FCPIS F'!$C$281:$C$408,'PIS F AVG'!$B162)*-1000</f>
        <v>0</v>
      </c>
      <c r="S162" s="799"/>
      <c r="T162" s="799">
        <f t="shared" ref="T162:T167" si="52">SUM(P162:R162)</f>
        <v>0</v>
      </c>
      <c r="U162" s="799"/>
      <c r="V162" s="799">
        <v>0</v>
      </c>
      <c r="W162" s="799"/>
      <c r="X162" s="799">
        <f t="shared" ref="X162:X167" si="53">R162+V162</f>
        <v>0</v>
      </c>
      <c r="Y162" s="176">
        <f>SUMIFS('FCPIS F'!$R$6:$R$135,'FCPIS F'!$B$6:$B$135,'PIS F AVG'!$A162,'FCPIS F'!$C$6:$C$135,'PIS F AVG'!$B162)*1000</f>
        <v>0</v>
      </c>
      <c r="Z162" s="176">
        <f t="shared" ref="Z162:Z167" si="54">Y162-N162</f>
        <v>0</v>
      </c>
    </row>
    <row r="163" spans="1:26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 AVG'!$A163,'FCPIS F'!$C$6:$C$135,'PIS F AVG'!$B163)*1000</f>
        <v>0</v>
      </c>
      <c r="E163" s="176"/>
      <c r="F163" s="176">
        <f>SUMIFS('FCPIS F'!$S$138:$S$225,'FCPIS F'!$B$138:$B$225,'PIS F AVG'!$A163,'FCPIS F'!$C$138:$C$225,'PIS F AVG'!$B163)*1000</f>
        <v>0</v>
      </c>
      <c r="G163" s="176"/>
      <c r="H163" s="176">
        <f>SUMIFS('FCPIS F'!$S$228:$S$278,'FCPIS F'!$B$228:$B$278,'PIS F AVG'!$A163,'FCPIS F'!$C$228:$C$278,'PIS F AVG'!$B163)*-1000</f>
        <v>0</v>
      </c>
      <c r="I163" s="176"/>
      <c r="J163" s="176">
        <f>SUMIFS('FCPIS F'!$S$395:$S$416,'FCPIS F'!$B$395:$B$416,'PIS F AVG'!$A163,'FCPIS F'!$C$395:$C$416,'PIS F AVG'!$B163)*1000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176">
        <f>SUMIFS('FCPIS F'!$T$6:$T$135,'FCPIS F'!$B$6:$B$135,'PIS F AVG'!$A163,'FCPIS F'!$C$6:$C$135,'PIS F AVG'!$B163)*1000</f>
        <v>0</v>
      </c>
      <c r="Q163" s="799"/>
      <c r="R163" s="799">
        <f>SUMIFS('FCPIS F'!$T$281:$T$408,'FCPIS F'!$B$281:$B$408,'PIS F AVG'!$A163,'FCPIS F'!$C$281:$C$408,'PIS F AVG'!$B163)*-1000</f>
        <v>0</v>
      </c>
      <c r="S163" s="799"/>
      <c r="T163" s="799">
        <f t="shared" si="52"/>
        <v>0</v>
      </c>
      <c r="U163" s="799"/>
      <c r="V163" s="799">
        <v>0</v>
      </c>
      <c r="W163" s="799"/>
      <c r="X163" s="799">
        <f t="shared" si="53"/>
        <v>0</v>
      </c>
      <c r="Y163" s="176">
        <f>SUMIFS('FCPIS F'!$R$6:$R$135,'FCPIS F'!$B$6:$B$135,'PIS F AVG'!$A163,'FCPIS F'!$C$6:$C$135,'PIS F AVG'!$B163)*1000</f>
        <v>0</v>
      </c>
      <c r="Z163" s="176">
        <f t="shared" si="54"/>
        <v>0</v>
      </c>
    </row>
    <row r="164" spans="1:26" s="174" customFormat="1">
      <c r="A164" s="174" t="s">
        <v>924</v>
      </c>
      <c r="B164" s="6"/>
      <c r="C164" s="129" t="s">
        <v>932</v>
      </c>
      <c r="D164" s="176">
        <f>SUMIFS('FCPIS F'!$F$6:$F$135,'FCPIS F'!$B$6:$B$135,'PIS F AVG'!$A164,'FCPIS F'!$C$6:$C$135,'PIS F AVG'!$B164)*1000</f>
        <v>0</v>
      </c>
      <c r="E164" s="176"/>
      <c r="F164" s="176">
        <f>SUMIFS('FCPIS F'!$S$138:$S$225,'FCPIS F'!$B$138:$B$225,'PIS F AVG'!$A164,'FCPIS F'!$C$138:$C$225,'PIS F AVG'!$B164)*1000</f>
        <v>0</v>
      </c>
      <c r="G164" s="176"/>
      <c r="H164" s="176">
        <f>SUMIFS('FCPIS F'!$S$228:$S$278,'FCPIS F'!$B$228:$B$278,'PIS F AVG'!$A164,'FCPIS F'!$C$228:$C$278,'PIS F AVG'!$B164)*-1000</f>
        <v>0</v>
      </c>
      <c r="I164" s="176"/>
      <c r="J164" s="176">
        <f>SUMIFS('FCPIS F'!$S$395:$S$416,'FCPIS F'!$B$395:$B$416,'PIS F AVG'!$A164,'FCPIS F'!$C$395:$C$416,'PIS F AVG'!$B164)*1000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176">
        <f>SUMIFS('FCPIS F'!$T$6:$T$135,'FCPIS F'!$B$6:$B$135,'PIS F AVG'!$A164,'FCPIS F'!$C$6:$C$135,'PIS F AVG'!$B164)*1000</f>
        <v>0</v>
      </c>
      <c r="Q164" s="799"/>
      <c r="R164" s="799">
        <f>SUMIFS('FCPIS F'!$T$281:$T$408,'FCPIS F'!$B$281:$B$408,'PIS F AVG'!$A164,'FCPIS F'!$C$281:$C$408,'PIS F AVG'!$B164)*-1000</f>
        <v>0</v>
      </c>
      <c r="S164" s="799"/>
      <c r="T164" s="799">
        <f t="shared" si="52"/>
        <v>0</v>
      </c>
      <c r="U164" s="799"/>
      <c r="V164" s="799">
        <v>0</v>
      </c>
      <c r="W164" s="799"/>
      <c r="X164" s="799">
        <f t="shared" si="53"/>
        <v>0</v>
      </c>
      <c r="Y164" s="176">
        <f>SUMIFS('FCPIS F'!$R$6:$R$135,'FCPIS F'!$B$6:$B$135,'PIS F AVG'!$A164,'FCPIS F'!$C$6:$C$135,'PIS F AVG'!$B164)*1000</f>
        <v>0</v>
      </c>
      <c r="Z164" s="176">
        <f t="shared" si="54"/>
        <v>0</v>
      </c>
    </row>
    <row r="165" spans="1:26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 AVG'!$A165,'FCPIS F'!$C$6:$C$135,'PIS F AVG'!$B165)*1000</f>
        <v>0</v>
      </c>
      <c r="E165" s="176"/>
      <c r="F165" s="176">
        <f>SUMIFS('FCPIS F'!$S$138:$S$225,'FCPIS F'!$B$138:$B$225,'PIS F AVG'!$A165,'FCPIS F'!$C$138:$C$225,'PIS F AVG'!$B165)*1000</f>
        <v>0</v>
      </c>
      <c r="G165" s="176"/>
      <c r="H165" s="176">
        <f>SUMIFS('FCPIS F'!$S$228:$S$278,'FCPIS F'!$B$228:$B$278,'PIS F AVG'!$A165,'FCPIS F'!$C$228:$C$278,'PIS F AVG'!$B165)*-1000</f>
        <v>0</v>
      </c>
      <c r="I165" s="176"/>
      <c r="J165" s="176">
        <f>SUMIFS('FCPIS F'!$S$395:$S$416,'FCPIS F'!$B$395:$B$416,'PIS F AVG'!$A165,'FCPIS F'!$C$395:$C$416,'PIS F AVG'!$B165)*1000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176">
        <f>SUMIFS('FCPIS F'!$T$6:$T$135,'FCPIS F'!$B$6:$B$135,'PIS F AVG'!$A165,'FCPIS F'!$C$6:$C$135,'PIS F AVG'!$B165)*1000</f>
        <v>0</v>
      </c>
      <c r="Q165" s="799"/>
      <c r="R165" s="799">
        <f>SUMIFS('FCPIS F'!$T$281:$T$408,'FCPIS F'!$B$281:$B$408,'PIS F AVG'!$A165,'FCPIS F'!$C$281:$C$408,'PIS F AVG'!$B165)*-1000</f>
        <v>0</v>
      </c>
      <c r="S165" s="799"/>
      <c r="T165" s="799">
        <f t="shared" si="52"/>
        <v>0</v>
      </c>
      <c r="U165" s="799"/>
      <c r="V165" s="799">
        <v>0</v>
      </c>
      <c r="W165" s="799"/>
      <c r="X165" s="799">
        <f t="shared" si="53"/>
        <v>0</v>
      </c>
      <c r="Y165" s="176">
        <f>SUMIFS('FCPIS F'!$R$6:$R$135,'FCPIS F'!$B$6:$B$135,'PIS F AVG'!$A165,'FCPIS F'!$C$6:$C$135,'PIS F AVG'!$B165)*1000</f>
        <v>0</v>
      </c>
      <c r="Z165" s="176">
        <f t="shared" si="54"/>
        <v>0</v>
      </c>
    </row>
    <row r="166" spans="1:26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 AVG'!$A166,'FCPIS F'!$C$6:$C$135,'PIS F AVG'!$B166)*1000</f>
        <v>0</v>
      </c>
      <c r="E166" s="176"/>
      <c r="F166" s="176">
        <f>SUMIFS('FCPIS F'!$S$138:$S$225,'FCPIS F'!$B$138:$B$225,'PIS F AVG'!$A166,'FCPIS F'!$C$138:$C$225,'PIS F AVG'!$B166)*1000</f>
        <v>0</v>
      </c>
      <c r="G166" s="176"/>
      <c r="H166" s="176">
        <f>SUMIFS('FCPIS F'!$S$228:$S$278,'FCPIS F'!$B$228:$B$278,'PIS F AVG'!$A166,'FCPIS F'!$C$228:$C$278,'PIS F AVG'!$B166)*-1000</f>
        <v>0</v>
      </c>
      <c r="I166" s="176"/>
      <c r="J166" s="176">
        <f>SUMIFS('FCPIS F'!$S$395:$S$416,'FCPIS F'!$B$395:$B$416,'PIS F AVG'!$A166,'FCPIS F'!$C$395:$C$416,'PIS F AVG'!$B166)*1000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176">
        <f>SUMIFS('FCPIS F'!$T$6:$T$135,'FCPIS F'!$B$6:$B$135,'PIS F AVG'!$A166,'FCPIS F'!$C$6:$C$135,'PIS F AVG'!$B166)*1000</f>
        <v>0</v>
      </c>
      <c r="Q166" s="799"/>
      <c r="R166" s="799">
        <f>SUMIFS('FCPIS F'!$T$281:$T$408,'FCPIS F'!$B$281:$B$408,'PIS F AVG'!$A166,'FCPIS F'!$C$281:$C$408,'PIS F AVG'!$B166)*-1000</f>
        <v>0</v>
      </c>
      <c r="S166" s="799"/>
      <c r="T166" s="799">
        <f t="shared" si="52"/>
        <v>0</v>
      </c>
      <c r="U166" s="799"/>
      <c r="V166" s="799">
        <v>0</v>
      </c>
      <c r="W166" s="799"/>
      <c r="X166" s="799">
        <f t="shared" si="53"/>
        <v>0</v>
      </c>
      <c r="Y166" s="176">
        <f>SUMIFS('FCPIS F'!$R$6:$R$135,'FCPIS F'!$B$6:$B$135,'PIS F AVG'!$A166,'FCPIS F'!$C$6:$C$135,'PIS F AVG'!$B166)*1000</f>
        <v>0</v>
      </c>
      <c r="Z166" s="176">
        <f t="shared" si="54"/>
        <v>0</v>
      </c>
    </row>
    <row r="167" spans="1:26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 AVG'!$A167,'FCPIS F'!$C$6:$C$135,'PIS F AVG'!$B167)*1000</f>
        <v>0</v>
      </c>
      <c r="E167" s="176"/>
      <c r="F167" s="175">
        <f>SUMIFS('FCPIS F'!$S$138:$S$225,'FCPIS F'!$B$138:$B$225,'PIS F AVG'!$A167,'FCPIS F'!$C$138:$C$225,'PIS F AVG'!$B167)*1000</f>
        <v>0</v>
      </c>
      <c r="G167" s="176"/>
      <c r="H167" s="175">
        <f>SUMIFS('FCPIS F'!$S$228:$S$278,'FCPIS F'!$B$228:$B$278,'PIS F AVG'!$A167,'FCPIS F'!$C$228:$C$278,'PIS F AVG'!$B167)*-1000</f>
        <v>0</v>
      </c>
      <c r="I167" s="176"/>
      <c r="J167" s="175">
        <f>SUMIFS('FCPIS F'!$S$395:$S$416,'FCPIS F'!$B$395:$B$416,'PIS F AVG'!$A167,'FCPIS F'!$C$395:$C$416,'PIS F AVG'!$B167)*1000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F'!$T$6:$T$135,'FCPIS F'!$B$6:$B$135,'PIS F AVG'!$A167,'FCPIS F'!$C$6:$C$135,'PIS F AVG'!$B167)*1000</f>
        <v>0</v>
      </c>
      <c r="Q167" s="176"/>
      <c r="R167" s="175">
        <f>SUMIFS('FCPIS F'!$T$281:$T$408,'FCPIS F'!$B$281:$B$408,'PIS F AVG'!$A167,'FCPIS F'!$C$281:$C$408,'PIS F AVG'!$B167)*-1000</f>
        <v>0</v>
      </c>
      <c r="S167" s="176"/>
      <c r="T167" s="175">
        <f t="shared" si="52"/>
        <v>0</v>
      </c>
      <c r="U167" s="176"/>
      <c r="V167" s="175">
        <v>0</v>
      </c>
      <c r="W167" s="176"/>
      <c r="X167" s="175">
        <f t="shared" si="53"/>
        <v>0</v>
      </c>
      <c r="Y167" s="176">
        <f>SUMIFS('FCPIS F'!$R$6:$R$135,'FCPIS F'!$B$6:$B$135,'PIS F AVG'!$A167,'FCPIS F'!$C$6:$C$135,'PIS F AVG'!$B167)*1000</f>
        <v>0</v>
      </c>
      <c r="Z167" s="176">
        <f t="shared" si="54"/>
        <v>0</v>
      </c>
    </row>
    <row r="168" spans="1:26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f>SUM(T162:T167)</f>
        <v>0</v>
      </c>
      <c r="U168" s="176"/>
      <c r="V168" s="176">
        <v>0</v>
      </c>
      <c r="W168" s="176"/>
      <c r="X168" s="176">
        <f>SUM(X162:X167)</f>
        <v>0</v>
      </c>
      <c r="Y168" s="176"/>
      <c r="Z168" s="176"/>
    </row>
    <row r="169" spans="1:26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6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6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6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 AVG'!$A172,'FCPIS F'!$C$6:$C$135,'PIS F AVG'!$B172)*1000</f>
        <v>211410</v>
      </c>
      <c r="E172" s="799"/>
      <c r="F172" s="799">
        <f>SUMIFS('FCPIS F'!$S$138:$S$225,'FCPIS F'!$B$138:$B$225,'PIS F AVG'!$A172,'FCPIS F'!$C$138:$C$225,'PIS F AVG'!$B172)*1000</f>
        <v>0</v>
      </c>
      <c r="G172" s="799"/>
      <c r="H172" s="799">
        <f>SUMIFS('FCPIS F'!$S$228:$S$278,'FCPIS F'!$B$228:$B$278,'PIS F AVG'!$A172,'FCPIS F'!$C$228:$C$278,'PIS F AVG'!$B172)*-1000</f>
        <v>0</v>
      </c>
      <c r="I172" s="799"/>
      <c r="J172" s="799">
        <f>SUMIFS('FCPIS F'!$S$395:$S$416,'FCPIS F'!$B$395:$B$416,'PIS F AVG'!$A172,'FCPIS F'!$C$395:$C$416,'PIS F AVG'!$B172)*1000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799">
        <f>SUMIFS('FCPIS F'!$T$6:$T$135,'FCPIS F'!$B$6:$B$135,'PIS F AVG'!$A172,'FCPIS F'!$C$6:$C$135,'PIS F AVG'!$B172)*1000</f>
        <v>211410</v>
      </c>
      <c r="Q172" s="176"/>
      <c r="R172" s="175">
        <f>SUMIFS('FCPIS F'!$T$281:$T$408,'FCPIS F'!$B$281:$B$408,'PIS F AVG'!$A172,'FCPIS F'!$C$281:$C$408,'PIS F AVG'!$B172)*-1000</f>
        <v>0</v>
      </c>
      <c r="S172" s="176"/>
      <c r="T172" s="175">
        <f>SUM(P172:R172)</f>
        <v>211410</v>
      </c>
      <c r="U172" s="176"/>
      <c r="V172" s="175">
        <v>0</v>
      </c>
      <c r="W172" s="176"/>
      <c r="X172" s="175">
        <f>R172+V172</f>
        <v>0</v>
      </c>
      <c r="Y172" s="799">
        <f>SUMIFS('FCPIS F'!$R$6:$R$135,'FCPIS F'!$B$6:$B$135,'PIS F AVG'!$A172,'FCPIS F'!$C$6:$C$135,'PIS F AVG'!$B172)*1000</f>
        <v>211410</v>
      </c>
      <c r="Z172" s="799">
        <f>Y172-N172</f>
        <v>0</v>
      </c>
    </row>
    <row r="173" spans="1:26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211410</v>
      </c>
      <c r="R173" s="800">
        <f>SUM(R172:R172)</f>
        <v>0</v>
      </c>
      <c r="T173" s="800">
        <f>SUM(T172:T172)</f>
        <v>211410</v>
      </c>
      <c r="V173" s="800">
        <f>SUM(V172:V172)</f>
        <v>0</v>
      </c>
      <c r="X173" s="800">
        <f>SUM(X172:X172)</f>
        <v>0</v>
      </c>
    </row>
    <row r="174" spans="1:26">
      <c r="C174" s="129"/>
      <c r="E174" s="799"/>
      <c r="G174" s="799"/>
      <c r="I174" s="799"/>
      <c r="K174" s="799"/>
      <c r="M174" s="799"/>
    </row>
    <row r="175" spans="1:26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3120150.8100000005</v>
      </c>
      <c r="R175" s="801">
        <f>R168+R159+R173</f>
        <v>-9.889999999999997</v>
      </c>
      <c r="T175" s="801">
        <f>T168+T159+T173</f>
        <v>3120140.9200000004</v>
      </c>
      <c r="V175" s="801">
        <f>V168+V159+V173</f>
        <v>0</v>
      </c>
      <c r="X175" s="801">
        <f>X168+X159+X173</f>
        <v>-9.889999999999997</v>
      </c>
    </row>
    <row r="176" spans="1:26" ht="13.5" thickTop="1"/>
    <row r="177" spans="3:26" s="174" customFormat="1" ht="15.7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6313158116.6633263</v>
      </c>
      <c r="Q177" s="132"/>
      <c r="R177" s="788">
        <f>R145+R175</f>
        <v>-1974268796.2640424</v>
      </c>
      <c r="S177" s="132"/>
      <c r="T177" s="788">
        <f>T145+T175</f>
        <v>4338889320.3992844</v>
      </c>
      <c r="V177" s="788">
        <f>V145+V175</f>
        <v>16739356.073846148</v>
      </c>
      <c r="X177" s="788">
        <f>X145+X175</f>
        <v>-1957529440.1901963</v>
      </c>
      <c r="Y177" s="176"/>
      <c r="Z177" s="176"/>
    </row>
    <row r="178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23" sqref="I23"/>
    </sheetView>
  </sheetViews>
  <sheetFormatPr defaultColWidth="7.77734375" defaultRowHeight="15"/>
  <cols>
    <col min="1" max="1" width="5.21875" style="137" customWidth="1"/>
    <col min="2" max="2" width="5.6640625" style="137" customWidth="1"/>
    <col min="3" max="3" width="4.21875" style="137" customWidth="1"/>
    <col min="4" max="4" width="58.33203125" style="134" bestFit="1" customWidth="1"/>
    <col min="5" max="5" width="12.109375" style="137" customWidth="1"/>
    <col min="6" max="19" width="9.33203125" style="137" customWidth="1"/>
    <col min="20" max="20" width="11.44140625" style="137" customWidth="1"/>
    <col min="21" max="16384" width="7.77734375" style="137"/>
  </cols>
  <sheetData>
    <row r="1" spans="1:20" s="136" customFormat="1">
      <c r="D1" s="180"/>
    </row>
    <row r="2" spans="1:20" s="136" customFormat="1" ht="6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1831</v>
      </c>
      <c r="G2" s="136" t="s">
        <v>1832</v>
      </c>
      <c r="H2" s="136" t="s">
        <v>1833</v>
      </c>
      <c r="I2" s="136" t="s">
        <v>1834</v>
      </c>
      <c r="J2" s="136" t="s">
        <v>1835</v>
      </c>
      <c r="K2" s="136" t="s">
        <v>1836</v>
      </c>
      <c r="L2" s="136" t="s">
        <v>1837</v>
      </c>
      <c r="M2" s="136" t="s">
        <v>1838</v>
      </c>
      <c r="N2" s="136" t="s">
        <v>1839</v>
      </c>
      <c r="O2" s="136" t="s">
        <v>1840</v>
      </c>
      <c r="P2" s="136" t="s">
        <v>1841</v>
      </c>
      <c r="Q2" s="136" t="s">
        <v>1842</v>
      </c>
      <c r="R2" s="136" t="s">
        <v>1843</v>
      </c>
      <c r="S2" s="136" t="s">
        <v>1829</v>
      </c>
      <c r="T2" s="136" t="s">
        <v>1830</v>
      </c>
    </row>
    <row r="3" spans="1:20" s="136" customFormat="1">
      <c r="D3" s="180"/>
    </row>
    <row r="5" spans="1:20">
      <c r="D5" s="134" t="s">
        <v>689</v>
      </c>
    </row>
    <row r="6" spans="1:20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  <c r="T6" s="137">
        <f>SUM(F6:R6)/13</f>
        <v>2.2402900000000008</v>
      </c>
    </row>
    <row r="7" spans="1:20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1339.0380399999999</v>
      </c>
      <c r="G7" s="137">
        <v>1339.0380399999999</v>
      </c>
      <c r="H7" s="137">
        <v>1339.0380399999999</v>
      </c>
      <c r="I7" s="137">
        <v>1339.0380399999999</v>
      </c>
      <c r="J7" s="137">
        <v>1339.0380399999999</v>
      </c>
      <c r="K7" s="137">
        <v>1339.0380399999999</v>
      </c>
      <c r="L7" s="137">
        <v>1339.0380399999999</v>
      </c>
      <c r="M7" s="137">
        <v>1339.0380399999999</v>
      </c>
      <c r="N7" s="137">
        <v>1339.0380399999999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  <c r="T7" s="137">
        <f t="shared" ref="T7:T70" si="3">SUM(F7:R7)/13</f>
        <v>1339.0380399999997</v>
      </c>
    </row>
    <row r="8" spans="1:20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  <c r="T8" s="137">
        <f t="shared" si="3"/>
        <v>360.85126000000002</v>
      </c>
    </row>
    <row r="9" spans="1:20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2267.6315099999902</v>
      </c>
      <c r="G9" s="137">
        <v>2267.6315099999902</v>
      </c>
      <c r="H9" s="137">
        <v>2267.6315099999902</v>
      </c>
      <c r="I9" s="137">
        <v>2267.6315099999902</v>
      </c>
      <c r="J9" s="137">
        <v>2267.6315099999902</v>
      </c>
      <c r="K9" s="137">
        <v>2267.6315099999902</v>
      </c>
      <c r="L9" s="137">
        <v>2267.6315099999902</v>
      </c>
      <c r="M9" s="137">
        <v>2267.6315099999902</v>
      </c>
      <c r="N9" s="137">
        <v>2267.6315099999902</v>
      </c>
      <c r="O9" s="137">
        <v>2267.6315099999902</v>
      </c>
      <c r="P9" s="137">
        <v>2267.6315099999902</v>
      </c>
      <c r="Q9" s="137">
        <v>2267.6315099999902</v>
      </c>
      <c r="R9" s="137">
        <v>2267.6315099999902</v>
      </c>
      <c r="T9" s="137">
        <f t="shared" si="3"/>
        <v>2267.6315099999911</v>
      </c>
    </row>
    <row r="10" spans="1:20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  <c r="T10" s="137">
        <f t="shared" si="3"/>
        <v>7266.610450000001</v>
      </c>
    </row>
    <row r="11" spans="1:20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  <c r="T11" s="137">
        <f t="shared" si="3"/>
        <v>510.82002999999992</v>
      </c>
    </row>
    <row r="12" spans="1:20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31153.47092</v>
      </c>
      <c r="G12" s="137">
        <v>31153.47092</v>
      </c>
      <c r="H12" s="137">
        <v>31153.47092</v>
      </c>
      <c r="I12" s="137">
        <v>31153.47092</v>
      </c>
      <c r="J12" s="137">
        <v>31153.47092</v>
      </c>
      <c r="K12" s="137">
        <v>31153.47092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  <c r="T12" s="137">
        <f t="shared" si="3"/>
        <v>31153.470919999996</v>
      </c>
    </row>
    <row r="13" spans="1:20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279790.19478000002</v>
      </c>
      <c r="G13" s="137">
        <v>279790.19478000002</v>
      </c>
      <c r="H13" s="137">
        <v>279790.19478000002</v>
      </c>
      <c r="I13" s="137">
        <v>280112.29761000001</v>
      </c>
      <c r="J13" s="137">
        <v>280137.07475999999</v>
      </c>
      <c r="K13" s="137">
        <v>280459.17758999998</v>
      </c>
      <c r="L13" s="137">
        <v>281239.27512000001</v>
      </c>
      <c r="M13" s="137">
        <v>281239.27512000001</v>
      </c>
      <c r="N13" s="137">
        <v>264486.06867000001</v>
      </c>
      <c r="O13" s="137">
        <v>264486.06867000001</v>
      </c>
      <c r="P13" s="137">
        <v>264486.06867000001</v>
      </c>
      <c r="Q13" s="137">
        <v>264486.06867000001</v>
      </c>
      <c r="R13" s="137">
        <v>264544.19824</v>
      </c>
      <c r="T13" s="137">
        <f t="shared" si="3"/>
        <v>274234.31980461534</v>
      </c>
    </row>
    <row r="14" spans="1:20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1179531.2278499999</v>
      </c>
      <c r="G14" s="137">
        <v>1187321.9299699999</v>
      </c>
      <c r="H14" s="137">
        <v>1189514.9820399999</v>
      </c>
      <c r="I14" s="137">
        <v>1192375.63612999</v>
      </c>
      <c r="J14" s="137">
        <v>1191716.3424899899</v>
      </c>
      <c r="K14" s="137">
        <v>1190700.7221299901</v>
      </c>
      <c r="L14" s="137">
        <v>1191122.6479499899</v>
      </c>
      <c r="M14" s="137">
        <v>1199147.76883999</v>
      </c>
      <c r="N14" s="137">
        <v>1196323.91703999</v>
      </c>
      <c r="O14" s="137">
        <v>1196235.7556099901</v>
      </c>
      <c r="P14" s="137">
        <v>1190835.5337099901</v>
      </c>
      <c r="Q14" s="137">
        <v>1190439.6138599899</v>
      </c>
      <c r="R14" s="137">
        <v>1190889.5564699899</v>
      </c>
      <c r="T14" s="137">
        <f t="shared" si="3"/>
        <v>1191242.7410838385</v>
      </c>
    </row>
    <row r="15" spans="1:20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100325.49039000001</v>
      </c>
      <c r="G15" s="137">
        <v>100362.49039000001</v>
      </c>
      <c r="H15" s="137">
        <v>100399.49039000001</v>
      </c>
      <c r="I15" s="137">
        <v>100436.49039000001</v>
      </c>
      <c r="J15" s="137">
        <v>100473.49039000001</v>
      </c>
      <c r="K15" s="137">
        <v>100510.49039000001</v>
      </c>
      <c r="L15" s="137">
        <v>100547.49039000001</v>
      </c>
      <c r="M15" s="137">
        <v>126008.52795</v>
      </c>
      <c r="N15" s="137">
        <v>167248.96758</v>
      </c>
      <c r="O15" s="137">
        <v>167788.89757</v>
      </c>
      <c r="P15" s="137">
        <v>169382.04757</v>
      </c>
      <c r="Q15" s="137">
        <v>169451.59756999899</v>
      </c>
      <c r="R15" s="137">
        <v>169635.94756999999</v>
      </c>
      <c r="T15" s="137">
        <f t="shared" si="3"/>
        <v>128659.33988769226</v>
      </c>
    </row>
    <row r="16" spans="1:20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1058666.59696</v>
      </c>
      <c r="G16" s="137">
        <v>1058666.59696</v>
      </c>
      <c r="H16" s="137">
        <v>1058666.59696</v>
      </c>
      <c r="I16" s="137">
        <v>1058666.59696</v>
      </c>
      <c r="J16" s="137">
        <v>1058666.59696</v>
      </c>
      <c r="K16" s="137">
        <v>1058666.59696</v>
      </c>
      <c r="L16" s="137">
        <v>1058666.59696</v>
      </c>
      <c r="M16" s="137">
        <v>1058666.59696</v>
      </c>
      <c r="N16" s="137">
        <v>1058666.59696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  <c r="T16" s="137">
        <f t="shared" si="3"/>
        <v>1058666.5969600002</v>
      </c>
    </row>
    <row r="17" spans="1:20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228647.63510000001</v>
      </c>
      <c r="G17" s="137">
        <v>230313.11562</v>
      </c>
      <c r="H17" s="137">
        <v>231503.11621000001</v>
      </c>
      <c r="I17" s="137">
        <v>232856.11692999999</v>
      </c>
      <c r="J17" s="137">
        <v>236279.11767000001</v>
      </c>
      <c r="K17" s="137">
        <v>237913.21061000001</v>
      </c>
      <c r="L17" s="137">
        <v>239547.30363000001</v>
      </c>
      <c r="M17" s="137">
        <v>240832.39653999999</v>
      </c>
      <c r="N17" s="137">
        <v>245623.88226000001</v>
      </c>
      <c r="O17" s="137">
        <v>246054.75953000001</v>
      </c>
      <c r="P17" s="137">
        <v>246198.8518</v>
      </c>
      <c r="Q17" s="137">
        <v>246404.94407</v>
      </c>
      <c r="R17" s="137">
        <v>246611.03633999999</v>
      </c>
      <c r="T17" s="137">
        <f t="shared" si="3"/>
        <v>239137.34510076925</v>
      </c>
    </row>
    <row r="18" spans="1:20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234071.399299999</v>
      </c>
      <c r="G18" s="137">
        <v>237819.03162999899</v>
      </c>
      <c r="H18" s="137">
        <v>237803.32940999899</v>
      </c>
      <c r="I18" s="137">
        <v>237788.372009999</v>
      </c>
      <c r="J18" s="137">
        <v>237627.389499999</v>
      </c>
      <c r="K18" s="137">
        <v>237564.01823999899</v>
      </c>
      <c r="L18" s="137">
        <v>237552.214149999</v>
      </c>
      <c r="M18" s="137">
        <v>237460.65183999899</v>
      </c>
      <c r="N18" s="137">
        <v>244824.73940999899</v>
      </c>
      <c r="O18" s="137">
        <v>244810.84033999901</v>
      </c>
      <c r="P18" s="137">
        <v>244031.79435999901</v>
      </c>
      <c r="Q18" s="137">
        <v>243959.71102999899</v>
      </c>
      <c r="R18" s="137">
        <v>243942.658079999</v>
      </c>
      <c r="T18" s="137">
        <f t="shared" si="3"/>
        <v>239942.78071538362</v>
      </c>
    </row>
    <row r="19" spans="1:20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136178.0882</v>
      </c>
      <c r="G19" s="137">
        <v>136284.52145</v>
      </c>
      <c r="H19" s="137">
        <v>136305.52428000001</v>
      </c>
      <c r="I19" s="137">
        <v>136305.52428000001</v>
      </c>
      <c r="J19" s="137">
        <v>136499.24783000001</v>
      </c>
      <c r="K19" s="137">
        <v>136737.29389</v>
      </c>
      <c r="L19" s="137">
        <v>136737.29389</v>
      </c>
      <c r="M19" s="137">
        <v>137061.13620000001</v>
      </c>
      <c r="N19" s="137">
        <v>139328.48576000001</v>
      </c>
      <c r="O19" s="137">
        <v>139328.48576000001</v>
      </c>
      <c r="P19" s="137">
        <v>139328.48576000001</v>
      </c>
      <c r="Q19" s="137">
        <v>139328.48576000001</v>
      </c>
      <c r="R19" s="137">
        <v>139328.48576000001</v>
      </c>
      <c r="T19" s="137">
        <f t="shared" si="3"/>
        <v>137596.23529384617</v>
      </c>
    </row>
    <row r="20" spans="1:20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  <c r="T20" s="137">
        <f t="shared" si="3"/>
        <v>1372.7689800000005</v>
      </c>
    </row>
    <row r="21" spans="1:20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46006.683689999998</v>
      </c>
      <c r="G21" s="137">
        <v>46006.683689999998</v>
      </c>
      <c r="H21" s="137">
        <v>46006.683689999998</v>
      </c>
      <c r="I21" s="137">
        <v>46006.683689999998</v>
      </c>
      <c r="J21" s="137">
        <v>46006.683689999998</v>
      </c>
      <c r="K21" s="137">
        <v>46006.683689999998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  <c r="T21" s="137">
        <f t="shared" si="3"/>
        <v>46006.683689999983</v>
      </c>
    </row>
    <row r="22" spans="1:20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910.26452999999901</v>
      </c>
      <c r="G22" s="137">
        <v>910.26452999999901</v>
      </c>
      <c r="H22" s="137">
        <v>910.26452999999901</v>
      </c>
      <c r="I22" s="137">
        <v>910.26452999999901</v>
      </c>
      <c r="J22" s="137">
        <v>910.26452999999901</v>
      </c>
      <c r="K22" s="137">
        <v>910.26452999999901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  <c r="T22" s="137">
        <f t="shared" si="3"/>
        <v>910.26452999999867</v>
      </c>
    </row>
    <row r="23" spans="1:20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19821.450649999999</v>
      </c>
      <c r="G23" s="137">
        <v>22641.0856299999</v>
      </c>
      <c r="H23" s="137">
        <v>22641.0856299999</v>
      </c>
      <c r="I23" s="137">
        <v>22761.062639999898</v>
      </c>
      <c r="J23" s="137">
        <v>22962.6753099999</v>
      </c>
      <c r="K23" s="137">
        <v>25851.752879999902</v>
      </c>
      <c r="L23" s="137">
        <v>27180.288449999902</v>
      </c>
      <c r="M23" s="137">
        <v>36571.075839999998</v>
      </c>
      <c r="N23" s="137">
        <v>41431.314359999997</v>
      </c>
      <c r="O23" s="137">
        <v>41431.314359999997</v>
      </c>
      <c r="P23" s="137">
        <v>41431.314359999997</v>
      </c>
      <c r="Q23" s="137">
        <v>41478.345699999998</v>
      </c>
      <c r="R23" s="137">
        <v>43014.308420000001</v>
      </c>
      <c r="T23" s="137">
        <f t="shared" si="3"/>
        <v>31478.236479230727</v>
      </c>
    </row>
    <row r="24" spans="1:20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20543.864460000001</v>
      </c>
      <c r="G24" s="137">
        <v>20494.970570000001</v>
      </c>
      <c r="H24" s="137">
        <v>20494.970570000001</v>
      </c>
      <c r="I24" s="137">
        <v>20494.970570000001</v>
      </c>
      <c r="J24" s="137">
        <v>20494.970570000001</v>
      </c>
      <c r="K24" s="137">
        <v>20494.970570000001</v>
      </c>
      <c r="L24" s="137">
        <v>20494.970570000001</v>
      </c>
      <c r="M24" s="137">
        <v>20494.970570000001</v>
      </c>
      <c r="N24" s="137">
        <v>20494.970570000001</v>
      </c>
      <c r="O24" s="137">
        <v>7465.2259999999997</v>
      </c>
      <c r="P24" s="137">
        <v>7465.2259999999997</v>
      </c>
      <c r="Q24" s="137">
        <v>7465.2259999999997</v>
      </c>
      <c r="R24" s="137">
        <v>7465.2259999999997</v>
      </c>
      <c r="T24" s="137">
        <f t="shared" si="3"/>
        <v>16489.579463076923</v>
      </c>
    </row>
    <row r="25" spans="1:20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68643.035640000002</v>
      </c>
      <c r="G25" s="137">
        <v>68643.035640000002</v>
      </c>
      <c r="H25" s="137">
        <v>68643.035640000002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  <c r="T25" s="137">
        <f t="shared" si="3"/>
        <v>68643.035640000002</v>
      </c>
    </row>
    <row r="26" spans="1:20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  <c r="T26" s="137">
        <f t="shared" si="3"/>
        <v>6.5000000000000014E-3</v>
      </c>
    </row>
    <row r="27" spans="1:20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12870.68462</v>
      </c>
      <c r="G27" s="137">
        <v>12870.68462</v>
      </c>
      <c r="H27" s="137">
        <v>12870.68462</v>
      </c>
      <c r="I27" s="137">
        <v>12870.68462</v>
      </c>
      <c r="J27" s="137">
        <v>12870.68462</v>
      </c>
      <c r="K27" s="137">
        <v>12870.68462</v>
      </c>
      <c r="L27" s="137">
        <v>12870.68462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  <c r="T27" s="137">
        <f t="shared" si="3"/>
        <v>12870.684620000002</v>
      </c>
    </row>
    <row r="28" spans="1:20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26209.847310000001</v>
      </c>
      <c r="G28" s="137">
        <v>26209.847310000001</v>
      </c>
      <c r="H28" s="137">
        <v>26209.847310000001</v>
      </c>
      <c r="I28" s="137">
        <v>26209.847310000001</v>
      </c>
      <c r="J28" s="137">
        <v>26209.847310000001</v>
      </c>
      <c r="K28" s="137">
        <v>26209.847310000001</v>
      </c>
      <c r="L28" s="137">
        <v>26209.847310000001</v>
      </c>
      <c r="M28" s="137">
        <v>26209.847310000001</v>
      </c>
      <c r="N28" s="137">
        <v>26209.847310000001</v>
      </c>
      <c r="O28" s="137">
        <v>26209.847310000001</v>
      </c>
      <c r="P28" s="137">
        <v>26209.847310000001</v>
      </c>
      <c r="Q28" s="137">
        <v>26209.847310000001</v>
      </c>
      <c r="R28" s="137">
        <v>26209.847310000001</v>
      </c>
      <c r="T28" s="137">
        <f t="shared" si="3"/>
        <v>26209.847310000001</v>
      </c>
    </row>
    <row r="29" spans="1:20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101920.4482</v>
      </c>
      <c r="G29" s="137">
        <v>101920.4482</v>
      </c>
      <c r="H29" s="137">
        <v>101920.4482</v>
      </c>
      <c r="I29" s="137">
        <v>101920.4482</v>
      </c>
      <c r="J29" s="137">
        <v>101920.4482</v>
      </c>
      <c r="K29" s="137">
        <v>101920.4482</v>
      </c>
      <c r="L29" s="137">
        <v>101920.4482</v>
      </c>
      <c r="M29" s="137">
        <v>101920.4482</v>
      </c>
      <c r="N29" s="137">
        <v>101920.4482</v>
      </c>
      <c r="O29" s="137">
        <v>101920.4482</v>
      </c>
      <c r="P29" s="137">
        <v>101920.4482</v>
      </c>
      <c r="Q29" s="137">
        <v>101920.4482</v>
      </c>
      <c r="R29" s="137">
        <v>101920.4482</v>
      </c>
      <c r="T29" s="137">
        <f t="shared" si="3"/>
        <v>101920.4482</v>
      </c>
    </row>
    <row r="30" spans="1:20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13160.32368</v>
      </c>
      <c r="G30" s="137">
        <v>13160.32368</v>
      </c>
      <c r="H30" s="137">
        <v>13160.32368</v>
      </c>
      <c r="I30" s="137">
        <v>13160.32368</v>
      </c>
      <c r="J30" s="137">
        <v>13160.32368</v>
      </c>
      <c r="K30" s="137">
        <v>13160.32368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  <c r="T30" s="137">
        <f t="shared" si="3"/>
        <v>13160.32368</v>
      </c>
    </row>
    <row r="31" spans="1:20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3563.1257700000001</v>
      </c>
      <c r="G31" s="137">
        <v>3563.1257700000001</v>
      </c>
      <c r="H31" s="137">
        <v>3563.1257700000001</v>
      </c>
      <c r="I31" s="137">
        <v>3563.1257700000001</v>
      </c>
      <c r="J31" s="137">
        <v>3563.1257700000001</v>
      </c>
      <c r="K31" s="137">
        <v>3563.1257700000001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  <c r="T31" s="137">
        <f t="shared" si="3"/>
        <v>3563.1257699999992</v>
      </c>
    </row>
    <row r="32" spans="1:20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132.74336</v>
      </c>
      <c r="M32" s="137">
        <v>132.74336</v>
      </c>
      <c r="N32" s="137">
        <v>132.74336</v>
      </c>
      <c r="O32" s="137">
        <v>132.74336</v>
      </c>
      <c r="P32" s="137">
        <v>132.74336</v>
      </c>
      <c r="Q32" s="137">
        <v>132.74336</v>
      </c>
      <c r="R32" s="137">
        <v>132.74336</v>
      </c>
      <c r="T32" s="137">
        <f t="shared" si="3"/>
        <v>85.291321538461517</v>
      </c>
    </row>
    <row r="33" spans="1:20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463.56914999999998</v>
      </c>
      <c r="G33" s="137">
        <v>463.56914999999998</v>
      </c>
      <c r="H33" s="137">
        <v>463.56914999999998</v>
      </c>
      <c r="I33" s="137">
        <v>463.56914999999998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  <c r="T33" s="137">
        <f t="shared" si="3"/>
        <v>463.56915000000004</v>
      </c>
    </row>
    <row r="34" spans="1:20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  <c r="T34" s="137">
        <f t="shared" si="3"/>
        <v>211.41</v>
      </c>
    </row>
    <row r="35" spans="1:20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414.27816000000001</v>
      </c>
      <c r="G35" s="137">
        <v>414.27816000000001</v>
      </c>
      <c r="H35" s="137">
        <v>414.27816000000001</v>
      </c>
      <c r="I35" s="137">
        <v>414.27816000000001</v>
      </c>
      <c r="J35" s="137">
        <v>414.27816000000001</v>
      </c>
      <c r="K35" s="137">
        <v>414.27816000000001</v>
      </c>
      <c r="L35" s="137">
        <v>414.27816000000001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  <c r="T35" s="137">
        <f t="shared" si="3"/>
        <v>414.2781599999999</v>
      </c>
    </row>
    <row r="36" spans="1:20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15778.08143</v>
      </c>
      <c r="G36" s="137">
        <v>15778.08143</v>
      </c>
      <c r="H36" s="137">
        <v>15778.08143</v>
      </c>
      <c r="I36" s="137">
        <v>15778.08143</v>
      </c>
      <c r="J36" s="137">
        <v>15778.08143</v>
      </c>
      <c r="K36" s="137">
        <v>15778.08143</v>
      </c>
      <c r="L36" s="137">
        <v>15778.08143</v>
      </c>
      <c r="M36" s="137">
        <v>15778.08143</v>
      </c>
      <c r="N36" s="137">
        <v>15778.08143</v>
      </c>
      <c r="O36" s="137">
        <v>15778.08143</v>
      </c>
      <c r="P36" s="137">
        <v>15778.08143</v>
      </c>
      <c r="Q36" s="137">
        <v>15778.08143</v>
      </c>
      <c r="R36" s="137">
        <v>15778.08143</v>
      </c>
      <c r="T36" s="137">
        <f t="shared" si="3"/>
        <v>15778.081429999998</v>
      </c>
    </row>
    <row r="37" spans="1:20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17240.155170000002</v>
      </c>
      <c r="G37" s="137">
        <v>17240.155170000002</v>
      </c>
      <c r="H37" s="137">
        <v>17240.155170000002</v>
      </c>
      <c r="I37" s="137">
        <v>17240.155170000002</v>
      </c>
      <c r="J37" s="137">
        <v>17240.155170000002</v>
      </c>
      <c r="K37" s="137">
        <v>17240.155170000002</v>
      </c>
      <c r="L37" s="137">
        <v>17240.155170000002</v>
      </c>
      <c r="M37" s="137">
        <v>17240.155170000002</v>
      </c>
      <c r="N37" s="137">
        <v>17240.155170000002</v>
      </c>
      <c r="O37" s="137">
        <v>17240.155170000002</v>
      </c>
      <c r="P37" s="137">
        <v>17240.155170000002</v>
      </c>
      <c r="Q37" s="137">
        <v>17240.155170000002</v>
      </c>
      <c r="R37" s="137">
        <v>17240.155170000002</v>
      </c>
      <c r="T37" s="137">
        <f t="shared" si="3"/>
        <v>17240.155170000005</v>
      </c>
    </row>
    <row r="38" spans="1:20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  <c r="T38" s="137">
        <f t="shared" si="3"/>
        <v>923.94584999999995</v>
      </c>
    </row>
    <row r="39" spans="1:20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6389.7257399999999</v>
      </c>
      <c r="G39" s="137">
        <v>6389.7257399999999</v>
      </c>
      <c r="H39" s="137">
        <v>6389.7257399999999</v>
      </c>
      <c r="I39" s="137">
        <v>6389.7257399999999</v>
      </c>
      <c r="J39" s="137">
        <v>6389.7257399999999</v>
      </c>
      <c r="K39" s="137">
        <v>6389.7257399999999</v>
      </c>
      <c r="L39" s="137">
        <v>6389.7257399999999</v>
      </c>
      <c r="M39" s="137">
        <v>6389.7257399999999</v>
      </c>
      <c r="N39" s="137">
        <v>6389.7257399999999</v>
      </c>
      <c r="O39" s="137">
        <v>6389.7257399999999</v>
      </c>
      <c r="P39" s="137">
        <v>6389.7257399999999</v>
      </c>
      <c r="Q39" s="137">
        <v>6389.7257399999999</v>
      </c>
      <c r="R39" s="137">
        <v>6389.7257399999999</v>
      </c>
      <c r="T39" s="137">
        <f t="shared" si="3"/>
        <v>6389.7257399999999</v>
      </c>
    </row>
    <row r="40" spans="1:20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  <c r="T40" s="137">
        <f t="shared" si="3"/>
        <v>1761.4692900000007</v>
      </c>
    </row>
    <row r="41" spans="1:20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  <c r="T41" s="137">
        <f t="shared" si="3"/>
        <v>16615.997559999996</v>
      </c>
    </row>
    <row r="42" spans="1:20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170725.61673999901</v>
      </c>
      <c r="G42" s="137">
        <v>178552.75322999901</v>
      </c>
      <c r="H42" s="137">
        <v>178552.75322999901</v>
      </c>
      <c r="I42" s="137">
        <v>178552.75322999901</v>
      </c>
      <c r="J42" s="137">
        <v>178552.75322999901</v>
      </c>
      <c r="K42" s="137">
        <v>178870.19935999901</v>
      </c>
      <c r="L42" s="137">
        <v>179088.71391999899</v>
      </c>
      <c r="M42" s="137">
        <v>179088.71391999899</v>
      </c>
      <c r="N42" s="137">
        <v>179658.32681999999</v>
      </c>
      <c r="O42" s="137">
        <v>179658.32681999999</v>
      </c>
      <c r="P42" s="137">
        <v>179658.32681999999</v>
      </c>
      <c r="Q42" s="137">
        <v>179658.32681999999</v>
      </c>
      <c r="R42" s="137">
        <v>179658.32681999999</v>
      </c>
      <c r="T42" s="137">
        <f t="shared" si="3"/>
        <v>178482.76084307634</v>
      </c>
    </row>
    <row r="43" spans="1:20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73608.565170000002</v>
      </c>
      <c r="G43" s="137">
        <v>73608.565170000002</v>
      </c>
      <c r="H43" s="137">
        <v>73637.577680000002</v>
      </c>
      <c r="I43" s="137">
        <v>73637.577680000002</v>
      </c>
      <c r="J43" s="137">
        <v>73637.577680000002</v>
      </c>
      <c r="K43" s="137">
        <v>73666.590190000003</v>
      </c>
      <c r="L43" s="137">
        <v>73686.703959999999</v>
      </c>
      <c r="M43" s="137">
        <v>73686.703959999999</v>
      </c>
      <c r="N43" s="137">
        <v>73715.716469999999</v>
      </c>
      <c r="O43" s="137">
        <v>73715.716469999999</v>
      </c>
      <c r="P43" s="137">
        <v>73715.716469999999</v>
      </c>
      <c r="Q43" s="137">
        <v>73744.796239999996</v>
      </c>
      <c r="R43" s="137">
        <v>77604.868539999996</v>
      </c>
      <c r="T43" s="137">
        <f t="shared" si="3"/>
        <v>73974.359667692304</v>
      </c>
    </row>
    <row r="44" spans="1:20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34931.443019999999</v>
      </c>
      <c r="G44" s="137">
        <v>35121.9107</v>
      </c>
      <c r="H44" s="137">
        <v>35121.9107</v>
      </c>
      <c r="I44" s="137">
        <v>35121.9107</v>
      </c>
      <c r="J44" s="137">
        <v>35121.9107</v>
      </c>
      <c r="K44" s="137">
        <v>35121.9107</v>
      </c>
      <c r="L44" s="137">
        <v>35121.9107</v>
      </c>
      <c r="M44" s="137">
        <v>35411.183729999997</v>
      </c>
      <c r="N44" s="137">
        <v>35411.183729999997</v>
      </c>
      <c r="O44" s="137">
        <v>35411.183729999997</v>
      </c>
      <c r="P44" s="137">
        <v>35411.183729999997</v>
      </c>
      <c r="Q44" s="137">
        <v>35411.183729999997</v>
      </c>
      <c r="R44" s="137">
        <v>35411.183729999997</v>
      </c>
      <c r="T44" s="137">
        <f t="shared" si="3"/>
        <v>35240.769969230765</v>
      </c>
    </row>
    <row r="45" spans="1:20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16282.376130000001</v>
      </c>
      <c r="G45" s="137">
        <v>16282.376130000001</v>
      </c>
      <c r="H45" s="137">
        <v>16282.376130000001</v>
      </c>
      <c r="I45" s="137">
        <v>16282.376130000001</v>
      </c>
      <c r="J45" s="137">
        <v>16282.376130000001</v>
      </c>
      <c r="K45" s="137">
        <v>16282.376130000001</v>
      </c>
      <c r="L45" s="137">
        <v>16282.376130000001</v>
      </c>
      <c r="M45" s="137">
        <v>16282.376130000001</v>
      </c>
      <c r="N45" s="137">
        <v>16282.376130000001</v>
      </c>
      <c r="O45" s="137">
        <v>16282.376130000001</v>
      </c>
      <c r="P45" s="137">
        <v>16282.376130000001</v>
      </c>
      <c r="Q45" s="137">
        <v>16282.376130000001</v>
      </c>
      <c r="R45" s="137">
        <v>16515.993620000001</v>
      </c>
      <c r="T45" s="137">
        <f t="shared" si="3"/>
        <v>16300.346706153845</v>
      </c>
    </row>
    <row r="46" spans="1:20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8452.6219700000001</v>
      </c>
      <c r="G46" s="137">
        <v>8452.6219700000001</v>
      </c>
      <c r="H46" s="137">
        <v>8452.6219700000001</v>
      </c>
      <c r="I46" s="137">
        <v>8452.6219700000001</v>
      </c>
      <c r="J46" s="137">
        <v>8452.6219700000001</v>
      </c>
      <c r="K46" s="137">
        <v>8452.6219700000001</v>
      </c>
      <c r="L46" s="137">
        <v>8452.6219700000001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  <c r="T46" s="137">
        <f t="shared" si="3"/>
        <v>8452.6219700000038</v>
      </c>
    </row>
    <row r="47" spans="1:20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24475.09245</v>
      </c>
      <c r="G47" s="137">
        <v>24475.09245</v>
      </c>
      <c r="H47" s="137">
        <v>24475.09245</v>
      </c>
      <c r="I47" s="137">
        <v>24475.09245</v>
      </c>
      <c r="J47" s="137">
        <v>24475.09245</v>
      </c>
      <c r="K47" s="137">
        <v>24475.09245</v>
      </c>
      <c r="L47" s="137">
        <v>24475.09245</v>
      </c>
      <c r="M47" s="137">
        <v>24475.09245</v>
      </c>
      <c r="N47" s="137">
        <v>24475.09245</v>
      </c>
      <c r="O47" s="137">
        <v>24475.09245</v>
      </c>
      <c r="P47" s="137">
        <v>24475.09245</v>
      </c>
      <c r="Q47" s="137">
        <v>24475.09245</v>
      </c>
      <c r="R47" s="137">
        <v>24655.478869999999</v>
      </c>
      <c r="T47" s="137">
        <f t="shared" si="3"/>
        <v>24488.968328461538</v>
      </c>
    </row>
    <row r="48" spans="1:20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7369.8190000000004</v>
      </c>
      <c r="G48" s="137">
        <v>7369.8190000000004</v>
      </c>
      <c r="H48" s="137">
        <v>7369.8190000000004</v>
      </c>
      <c r="I48" s="137">
        <v>7369.8190000000004</v>
      </c>
      <c r="J48" s="137">
        <v>7369.8190000000004</v>
      </c>
      <c r="K48" s="137">
        <v>7369.8190000000004</v>
      </c>
      <c r="L48" s="137">
        <v>7369.8190000000004</v>
      </c>
      <c r="M48" s="137">
        <v>7369.8190000000004</v>
      </c>
      <c r="N48" s="137">
        <v>7369.8190000000004</v>
      </c>
      <c r="O48" s="137">
        <v>7369.8190000000004</v>
      </c>
      <c r="P48" s="137">
        <v>7369.8190000000004</v>
      </c>
      <c r="Q48" s="137">
        <v>7369.8190000000004</v>
      </c>
      <c r="R48" s="137">
        <v>7369.8190000000004</v>
      </c>
      <c r="T48" s="137">
        <f t="shared" si="3"/>
        <v>7369.8190000000022</v>
      </c>
    </row>
    <row r="49" spans="1:20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1303.9450200000001</v>
      </c>
      <c r="O49" s="137">
        <v>1337.4450200000001</v>
      </c>
      <c r="P49" s="137">
        <v>1370.9450200000001</v>
      </c>
      <c r="Q49" s="137">
        <v>1404.4450200000001</v>
      </c>
      <c r="R49" s="137">
        <v>1437.9450200000001</v>
      </c>
      <c r="T49" s="137">
        <f t="shared" si="3"/>
        <v>702.71548153846152</v>
      </c>
    </row>
    <row r="50" spans="1:20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4136.1152000000002</v>
      </c>
      <c r="G50" s="137">
        <v>4136.1152000000002</v>
      </c>
      <c r="H50" s="137">
        <v>4149.2470800000001</v>
      </c>
      <c r="I50" s="137">
        <v>4149.2470800000001</v>
      </c>
      <c r="J50" s="137">
        <v>4149.2470800000001</v>
      </c>
      <c r="K50" s="137">
        <v>4149.2470800000001</v>
      </c>
      <c r="L50" s="137">
        <v>4218.6230699999996</v>
      </c>
      <c r="M50" s="137">
        <v>4218.6230699999996</v>
      </c>
      <c r="N50" s="137">
        <v>4218.6230699999996</v>
      </c>
      <c r="O50" s="137">
        <v>4218.6230699999996</v>
      </c>
      <c r="P50" s="137">
        <v>4556.1755299999904</v>
      </c>
      <c r="Q50" s="137">
        <v>4556.1755299999904</v>
      </c>
      <c r="R50" s="137">
        <v>4850.5311499999998</v>
      </c>
      <c r="T50" s="137">
        <f t="shared" si="3"/>
        <v>4285.1225546153846</v>
      </c>
    </row>
    <row r="51" spans="1:20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1129.56394</v>
      </c>
      <c r="G51" s="137">
        <v>1129.56394</v>
      </c>
      <c r="H51" s="137">
        <v>1208.1057000000001</v>
      </c>
      <c r="I51" s="137">
        <v>1208.1057000000001</v>
      </c>
      <c r="J51" s="137">
        <v>1208.1057000000001</v>
      </c>
      <c r="K51" s="137">
        <v>1258.2546299999999</v>
      </c>
      <c r="L51" s="137">
        <v>1258.2546299999999</v>
      </c>
      <c r="M51" s="137">
        <v>1258.2546299999999</v>
      </c>
      <c r="N51" s="137">
        <v>1258.2546299999999</v>
      </c>
      <c r="O51" s="137">
        <v>1258.2546299999999</v>
      </c>
      <c r="P51" s="137">
        <v>1258.2546299999999</v>
      </c>
      <c r="Q51" s="137">
        <v>1337.8388</v>
      </c>
      <c r="R51" s="137">
        <v>1337.8388</v>
      </c>
      <c r="T51" s="137">
        <f t="shared" si="3"/>
        <v>1239.1269507692305</v>
      </c>
    </row>
    <row r="52" spans="1:20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  <c r="T52" s="137">
        <f t="shared" si="3"/>
        <v>271.84913</v>
      </c>
    </row>
    <row r="53" spans="1:20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  <c r="T53" s="137">
        <f t="shared" si="3"/>
        <v>111.98404000000004</v>
      </c>
    </row>
    <row r="54" spans="1:20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  <c r="T54" s="137">
        <f t="shared" si="3"/>
        <v>1062.5253599999999</v>
      </c>
    </row>
    <row r="55" spans="1:20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  <c r="T55" s="137">
        <f t="shared" si="3"/>
        <v>10081.636660000002</v>
      </c>
    </row>
    <row r="56" spans="1:20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226.07875000000001</v>
      </c>
      <c r="G56" s="137">
        <v>226.07875000000001</v>
      </c>
      <c r="H56" s="137">
        <v>226.07875000000001</v>
      </c>
      <c r="I56" s="137">
        <v>226.07875000000001</v>
      </c>
      <c r="J56" s="137">
        <v>226.07875000000001</v>
      </c>
      <c r="K56" s="137">
        <v>226.07875000000001</v>
      </c>
      <c r="L56" s="137">
        <v>262.08226999999999</v>
      </c>
      <c r="M56" s="137">
        <v>262.08226999999999</v>
      </c>
      <c r="N56" s="137">
        <v>262.08226999999999</v>
      </c>
      <c r="O56" s="137">
        <v>262.08226999999999</v>
      </c>
      <c r="P56" s="137">
        <v>262.08226999999999</v>
      </c>
      <c r="Q56" s="137">
        <v>262.08226999999999</v>
      </c>
      <c r="R56" s="137">
        <v>262.08226999999999</v>
      </c>
      <c r="T56" s="137">
        <f t="shared" si="3"/>
        <v>245.46526076923072</v>
      </c>
    </row>
    <row r="57" spans="1:20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  <c r="T57" s="137">
        <f t="shared" si="3"/>
        <v>8907.3129700000009</v>
      </c>
    </row>
    <row r="58" spans="1:20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8571.0786700000008</v>
      </c>
      <c r="G58" s="137">
        <v>8571.0786700000008</v>
      </c>
      <c r="H58" s="137">
        <v>8571.0786700000008</v>
      </c>
      <c r="I58" s="137">
        <v>8571.0786700000008</v>
      </c>
      <c r="J58" s="137">
        <v>8571.0786700000008</v>
      </c>
      <c r="K58" s="137">
        <v>8571.0786700000008</v>
      </c>
      <c r="L58" s="137">
        <v>8571.0786700000008</v>
      </c>
      <c r="M58" s="137">
        <v>8582.0727200000001</v>
      </c>
      <c r="N58" s="137">
        <v>8582.0727200000001</v>
      </c>
      <c r="O58" s="137">
        <v>8582.0727200000001</v>
      </c>
      <c r="P58" s="137">
        <v>8582.0727200000001</v>
      </c>
      <c r="Q58" s="137">
        <v>8582.0727200000001</v>
      </c>
      <c r="R58" s="137">
        <v>8582.0727200000001</v>
      </c>
      <c r="T58" s="137">
        <f t="shared" si="3"/>
        <v>8576.1528469230761</v>
      </c>
    </row>
    <row r="59" spans="1:20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616.18900999999903</v>
      </c>
      <c r="G59" s="137">
        <v>616.18900999999903</v>
      </c>
      <c r="H59" s="137">
        <v>616.18900999999903</v>
      </c>
      <c r="I59" s="137">
        <v>616.18900999999903</v>
      </c>
      <c r="J59" s="137">
        <v>616.18900999999903</v>
      </c>
      <c r="K59" s="137">
        <v>616.18900999999903</v>
      </c>
      <c r="L59" s="137">
        <v>616.18900999999903</v>
      </c>
      <c r="M59" s="137">
        <v>616.18900999999903</v>
      </c>
      <c r="N59" s="137">
        <v>3517.4380999999998</v>
      </c>
      <c r="O59" s="137">
        <v>3517.4380999999998</v>
      </c>
      <c r="P59" s="137">
        <v>3517.4380999999998</v>
      </c>
      <c r="Q59" s="137">
        <v>3517.4380999999998</v>
      </c>
      <c r="R59" s="137">
        <v>3517.4380999999998</v>
      </c>
      <c r="T59" s="137">
        <f t="shared" si="3"/>
        <v>1732.0540446153839</v>
      </c>
    </row>
    <row r="60" spans="1:20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18663.639579999999</v>
      </c>
      <c r="G60" s="137">
        <v>18663.639579999999</v>
      </c>
      <c r="H60" s="137">
        <v>18663.639579999999</v>
      </c>
      <c r="I60" s="137">
        <v>19913.6779399999</v>
      </c>
      <c r="J60" s="137">
        <v>19913.6779399999</v>
      </c>
      <c r="K60" s="137">
        <v>19913.6779399999</v>
      </c>
      <c r="L60" s="137">
        <v>19913.6779399999</v>
      </c>
      <c r="M60" s="137">
        <v>19913.6779399999</v>
      </c>
      <c r="N60" s="137">
        <v>19913.6779399999</v>
      </c>
      <c r="O60" s="137">
        <v>19913.6779399999</v>
      </c>
      <c r="P60" s="137">
        <v>19913.6779399999</v>
      </c>
      <c r="Q60" s="137">
        <v>19913.6779399999</v>
      </c>
      <c r="R60" s="137">
        <v>19913.6779399999</v>
      </c>
      <c r="T60" s="137">
        <f t="shared" si="3"/>
        <v>19625.207549230698</v>
      </c>
    </row>
    <row r="61" spans="1:20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218309.61845000001</v>
      </c>
      <c r="G61" s="137">
        <v>219204.66615</v>
      </c>
      <c r="H61" s="137">
        <v>223215.04975999999</v>
      </c>
      <c r="I61" s="137">
        <v>224082.62343000001</v>
      </c>
      <c r="J61" s="137">
        <v>224211.01099000001</v>
      </c>
      <c r="K61" s="137">
        <v>225590.55085</v>
      </c>
      <c r="L61" s="137">
        <v>225426.4431</v>
      </c>
      <c r="M61" s="137">
        <v>225348.9528</v>
      </c>
      <c r="N61" s="137">
        <v>231021.61434999999</v>
      </c>
      <c r="O61" s="137">
        <v>231126.47635000001</v>
      </c>
      <c r="P61" s="137">
        <v>231127.0932</v>
      </c>
      <c r="Q61" s="137">
        <v>231856.66727000001</v>
      </c>
      <c r="R61" s="137">
        <v>231744.87078999999</v>
      </c>
      <c r="T61" s="137">
        <f t="shared" si="3"/>
        <v>226328.12596076925</v>
      </c>
    </row>
    <row r="62" spans="1:20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  <c r="T62" s="137">
        <f t="shared" si="3"/>
        <v>13805.502429999995</v>
      </c>
    </row>
    <row r="63" spans="1:20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30043.700769999999</v>
      </c>
      <c r="G63" s="137">
        <v>30043.700769999999</v>
      </c>
      <c r="H63" s="137">
        <v>30043.700769999999</v>
      </c>
      <c r="I63" s="137">
        <v>30043.700769999999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  <c r="T63" s="137">
        <f t="shared" si="3"/>
        <v>30043.700769999999</v>
      </c>
    </row>
    <row r="64" spans="1:20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15913.7477</v>
      </c>
      <c r="H64" s="137">
        <v>15913.7477</v>
      </c>
      <c r="I64" s="137">
        <v>15913.7477</v>
      </c>
      <c r="J64" s="137">
        <v>15913.7477</v>
      </c>
      <c r="K64" s="137">
        <v>15913.7477</v>
      </c>
      <c r="L64" s="137">
        <v>15913.7477</v>
      </c>
      <c r="M64" s="137">
        <v>15913.7477</v>
      </c>
      <c r="N64" s="137">
        <v>15913.7477</v>
      </c>
      <c r="O64" s="137">
        <v>15913.7477</v>
      </c>
      <c r="P64" s="137">
        <v>15913.7477</v>
      </c>
      <c r="Q64" s="137">
        <v>15913.7477</v>
      </c>
      <c r="R64" s="137">
        <v>15913.7477</v>
      </c>
      <c r="T64" s="137">
        <f t="shared" si="3"/>
        <v>15757.126419230774</v>
      </c>
    </row>
    <row r="65" spans="1:20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88894.562619999997</v>
      </c>
      <c r="G65" s="137">
        <v>92237.422559999904</v>
      </c>
      <c r="H65" s="137">
        <v>92450.340199999904</v>
      </c>
      <c r="I65" s="137">
        <v>92653.256589999903</v>
      </c>
      <c r="J65" s="137">
        <v>92856.172939999902</v>
      </c>
      <c r="K65" s="137">
        <v>92976.016189999995</v>
      </c>
      <c r="L65" s="137">
        <v>93093.281099999993</v>
      </c>
      <c r="M65" s="137">
        <v>93193.744009999995</v>
      </c>
      <c r="N65" s="137">
        <v>93382.52519</v>
      </c>
      <c r="O65" s="137">
        <v>93413.277489999993</v>
      </c>
      <c r="P65" s="137">
        <v>93444.029779999997</v>
      </c>
      <c r="Q65" s="137">
        <v>93474.782070000001</v>
      </c>
      <c r="R65" s="137">
        <v>94496.569340000002</v>
      </c>
      <c r="T65" s="137">
        <f t="shared" si="3"/>
        <v>92812.767698461495</v>
      </c>
    </row>
    <row r="66" spans="1:20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  <c r="T66" s="137">
        <f t="shared" si="3"/>
        <v>6322.6742399999994</v>
      </c>
    </row>
    <row r="67" spans="1:20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55081.53325</v>
      </c>
      <c r="G67" s="137">
        <v>55089.492209999997</v>
      </c>
      <c r="H67" s="137">
        <v>55097.45117</v>
      </c>
      <c r="I67" s="137">
        <v>56226.233030000003</v>
      </c>
      <c r="J67" s="137">
        <v>56234.191989999999</v>
      </c>
      <c r="K67" s="137">
        <v>56242.150950000003</v>
      </c>
      <c r="L67" s="137">
        <v>56250.109909999999</v>
      </c>
      <c r="M67" s="137">
        <v>56258.068870000003</v>
      </c>
      <c r="N67" s="137">
        <v>56266.027829999999</v>
      </c>
      <c r="O67" s="137">
        <v>56274.204689999999</v>
      </c>
      <c r="P67" s="137">
        <v>56282.381600000001</v>
      </c>
      <c r="Q67" s="137">
        <v>56290.558510000003</v>
      </c>
      <c r="R67" s="137">
        <v>56298.735419999997</v>
      </c>
      <c r="T67" s="137">
        <f t="shared" si="3"/>
        <v>55991.626109999997</v>
      </c>
    </row>
    <row r="68" spans="1:20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1804.0586900000001</v>
      </c>
      <c r="G68" s="137">
        <v>1804.0586900000001</v>
      </c>
      <c r="H68" s="137">
        <v>1804.0586900000001</v>
      </c>
      <c r="I68" s="137">
        <v>1804.0586900000001</v>
      </c>
      <c r="J68" s="137">
        <v>1804.0586900000001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  <c r="T68" s="137">
        <f t="shared" si="3"/>
        <v>1804.0586900000005</v>
      </c>
    </row>
    <row r="69" spans="1:20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7529.1698200000001</v>
      </c>
      <c r="G69" s="137">
        <v>7529.1698200000001</v>
      </c>
      <c r="H69" s="137">
        <v>7529.1698200000001</v>
      </c>
      <c r="I69" s="137">
        <v>7529.1698200000001</v>
      </c>
      <c r="J69" s="137">
        <v>7529.1698200000001</v>
      </c>
      <c r="K69" s="137">
        <v>7529.1698200000001</v>
      </c>
      <c r="L69" s="137">
        <v>7529.1698200000001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  <c r="T69" s="137">
        <f t="shared" si="3"/>
        <v>7529.1698199999992</v>
      </c>
    </row>
    <row r="70" spans="1:20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34" si="4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195.96244999999999</v>
      </c>
      <c r="G70" s="137">
        <v>195.96244999999999</v>
      </c>
      <c r="H70" s="137">
        <v>195.96244999999999</v>
      </c>
      <c r="I70" s="137">
        <v>195.96244999999999</v>
      </c>
      <c r="J70" s="137">
        <v>195.96244999999999</v>
      </c>
      <c r="K70" s="137">
        <v>195.96244999999999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  <c r="T70" s="137">
        <f t="shared" si="3"/>
        <v>195.96244999999999</v>
      </c>
    </row>
    <row r="71" spans="1:20">
      <c r="A71" s="137" t="str">
        <f t="shared" ref="A71:A92" si="5">MID($D71,4,3)</f>
        <v>LGE</v>
      </c>
      <c r="B71" s="137" t="s">
        <v>924</v>
      </c>
      <c r="C71" s="137" t="str">
        <f t="shared" ref="C71:C92" si="6">MID($D71,9,3)</f>
        <v>360</v>
      </c>
      <c r="D71" s="134" t="s">
        <v>833</v>
      </c>
      <c r="E71" s="134" t="str">
        <f t="shared" si="4"/>
        <v>FUTURE USE</v>
      </c>
      <c r="F71" s="137">
        <v>2896.9920999999999</v>
      </c>
      <c r="G71" s="137">
        <v>2896.9920999999999</v>
      </c>
      <c r="H71" s="137">
        <v>2896.9920999999999</v>
      </c>
      <c r="I71" s="137">
        <v>2896.9920999999999</v>
      </c>
      <c r="J71" s="137">
        <v>2896.9920999999999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  <c r="T71" s="137">
        <f t="shared" ref="T71:T153" si="7">SUM(F71:R71)/13</f>
        <v>2896.9921000000004</v>
      </c>
    </row>
    <row r="72" spans="1:20">
      <c r="A72" s="137" t="str">
        <f t="shared" si="5"/>
        <v>LGE</v>
      </c>
      <c r="B72" s="137" t="s">
        <v>923</v>
      </c>
      <c r="C72" s="137" t="str">
        <f t="shared" si="6"/>
        <v>360</v>
      </c>
      <c r="D72" s="134" t="s">
        <v>834</v>
      </c>
      <c r="E72" s="134" t="str">
        <f t="shared" si="4"/>
        <v/>
      </c>
      <c r="F72" s="137">
        <v>4103.2527200000004</v>
      </c>
      <c r="G72" s="137">
        <v>4103.2527200000004</v>
      </c>
      <c r="H72" s="137">
        <v>4103.2527200000004</v>
      </c>
      <c r="I72" s="137">
        <v>4103.2527200000004</v>
      </c>
      <c r="J72" s="137">
        <v>4103.2527200000004</v>
      </c>
      <c r="K72" s="137">
        <v>4103.2527200000004</v>
      </c>
      <c r="L72" s="137">
        <v>4103.2527200000004</v>
      </c>
      <c r="M72" s="137">
        <v>4103.2527200000004</v>
      </c>
      <c r="N72" s="137">
        <v>4103.2527200000004</v>
      </c>
      <c r="O72" s="137">
        <v>4103.2527200000004</v>
      </c>
      <c r="P72" s="137">
        <v>4103.2527200000004</v>
      </c>
      <c r="Q72" s="137">
        <v>4103.2527200000004</v>
      </c>
      <c r="R72" s="137">
        <v>4103.2527200000004</v>
      </c>
      <c r="T72" s="137">
        <f t="shared" si="7"/>
        <v>4103.2527200000022</v>
      </c>
    </row>
    <row r="73" spans="1:20">
      <c r="A73" s="137" t="str">
        <f t="shared" si="5"/>
        <v>LGE</v>
      </c>
      <c r="B73" s="137" t="s">
        <v>923</v>
      </c>
      <c r="C73" s="137" t="str">
        <f t="shared" si="6"/>
        <v>361</v>
      </c>
      <c r="D73" s="134" t="s">
        <v>835</v>
      </c>
      <c r="E73" s="134" t="str">
        <f t="shared" si="4"/>
        <v/>
      </c>
      <c r="F73" s="137">
        <v>19719.161619999999</v>
      </c>
      <c r="G73" s="137">
        <v>20904.430560000001</v>
      </c>
      <c r="H73" s="137">
        <v>27553.805059999999</v>
      </c>
      <c r="I73" s="137">
        <v>28739.068939999899</v>
      </c>
      <c r="J73" s="137">
        <v>29924.334789999899</v>
      </c>
      <c r="K73" s="137">
        <v>31109.618959999902</v>
      </c>
      <c r="L73" s="137">
        <v>32294.894849999899</v>
      </c>
      <c r="M73" s="137">
        <v>33480.173409999901</v>
      </c>
      <c r="N73" s="137">
        <v>35088.399279999998</v>
      </c>
      <c r="O73" s="137">
        <v>36142.1</v>
      </c>
      <c r="P73" s="137">
        <v>37195.869059999997</v>
      </c>
      <c r="Q73" s="137">
        <v>38249.631369999901</v>
      </c>
      <c r="R73" s="137">
        <v>39386.2101599999</v>
      </c>
      <c r="T73" s="137">
        <f t="shared" si="7"/>
        <v>31522.130619999945</v>
      </c>
    </row>
    <row r="74" spans="1:20">
      <c r="A74" s="137" t="str">
        <f t="shared" si="5"/>
        <v>LGE</v>
      </c>
      <c r="B74" s="137" t="s">
        <v>924</v>
      </c>
      <c r="C74" s="137" t="str">
        <f t="shared" si="6"/>
        <v>362</v>
      </c>
      <c r="D74" s="134" t="s">
        <v>836</v>
      </c>
      <c r="E74" s="134" t="str">
        <f t="shared" si="4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  <c r="T74" s="137">
        <f t="shared" si="7"/>
        <v>11.748709999999901</v>
      </c>
    </row>
    <row r="75" spans="1:20">
      <c r="A75" s="137" t="str">
        <f t="shared" si="5"/>
        <v>LGE</v>
      </c>
      <c r="B75" s="137" t="s">
        <v>923</v>
      </c>
      <c r="C75" s="137" t="str">
        <f t="shared" si="6"/>
        <v>362</v>
      </c>
      <c r="D75" s="134" t="s">
        <v>837</v>
      </c>
      <c r="E75" s="134" t="str">
        <f t="shared" si="4"/>
        <v/>
      </c>
      <c r="F75" s="137">
        <v>145671.78794000001</v>
      </c>
      <c r="G75" s="137">
        <v>146068.24088999999</v>
      </c>
      <c r="H75" s="137">
        <v>146793.08644000001</v>
      </c>
      <c r="I75" s="137">
        <v>153913.07616999999</v>
      </c>
      <c r="J75" s="137">
        <v>155199.22054000001</v>
      </c>
      <c r="K75" s="137">
        <v>156318.79850999999</v>
      </c>
      <c r="L75" s="137">
        <v>156822.50633</v>
      </c>
      <c r="M75" s="137">
        <v>157115.21014000001</v>
      </c>
      <c r="N75" s="137">
        <v>160280.59904999999</v>
      </c>
      <c r="O75" s="137">
        <v>160430.73512999999</v>
      </c>
      <c r="P75" s="137">
        <v>160624.59602999999</v>
      </c>
      <c r="Q75" s="137">
        <v>160905.07430000001</v>
      </c>
      <c r="R75" s="137">
        <v>161107.91373</v>
      </c>
      <c r="T75" s="137">
        <f t="shared" si="7"/>
        <v>155480.83424615383</v>
      </c>
    </row>
    <row r="76" spans="1:20">
      <c r="A76" s="137" t="str">
        <f t="shared" si="5"/>
        <v>LGE</v>
      </c>
      <c r="B76" s="137" t="s">
        <v>923</v>
      </c>
      <c r="C76" s="137" t="str">
        <f t="shared" si="6"/>
        <v>364</v>
      </c>
      <c r="D76" s="134" t="s">
        <v>838</v>
      </c>
      <c r="E76" s="134" t="str">
        <f t="shared" si="4"/>
        <v/>
      </c>
      <c r="F76" s="137">
        <v>211648.10128</v>
      </c>
      <c r="G76" s="137">
        <v>212286.23785</v>
      </c>
      <c r="H76" s="137">
        <v>213020.59796000001</v>
      </c>
      <c r="I76" s="137">
        <v>213378.82517</v>
      </c>
      <c r="J76" s="137">
        <v>213759.26921</v>
      </c>
      <c r="K76" s="137">
        <v>214562.27480000001</v>
      </c>
      <c r="L76" s="137">
        <v>215148.96140999999</v>
      </c>
      <c r="M76" s="137">
        <v>215598.21863999899</v>
      </c>
      <c r="N76" s="137">
        <v>216125.60301999899</v>
      </c>
      <c r="O76" s="137">
        <v>216759.64518999899</v>
      </c>
      <c r="P76" s="137">
        <v>217321.45919999899</v>
      </c>
      <c r="Q76" s="137">
        <v>218113.69945999901</v>
      </c>
      <c r="R76" s="137">
        <v>218846.45175999901</v>
      </c>
      <c r="T76" s="137">
        <f t="shared" si="7"/>
        <v>215120.71884230725</v>
      </c>
    </row>
    <row r="77" spans="1:20">
      <c r="A77" s="137" t="str">
        <f t="shared" si="5"/>
        <v>LGE</v>
      </c>
      <c r="B77" s="137" t="s">
        <v>923</v>
      </c>
      <c r="C77" s="137" t="str">
        <f t="shared" si="6"/>
        <v>365</v>
      </c>
      <c r="D77" s="134" t="s">
        <v>839</v>
      </c>
      <c r="E77" s="134" t="str">
        <f t="shared" si="4"/>
        <v/>
      </c>
      <c r="F77" s="137">
        <v>362102.21435999899</v>
      </c>
      <c r="G77" s="137">
        <v>363870.32211999898</v>
      </c>
      <c r="H77" s="137">
        <v>365785.40162999899</v>
      </c>
      <c r="I77" s="137">
        <v>367614.64584999997</v>
      </c>
      <c r="J77" s="137">
        <v>369335.45986999897</v>
      </c>
      <c r="K77" s="137">
        <v>371370.86467999901</v>
      </c>
      <c r="L77" s="137">
        <v>373348.38801999902</v>
      </c>
      <c r="M77" s="137">
        <v>375210.244509999</v>
      </c>
      <c r="N77" s="137">
        <v>387553.91651999898</v>
      </c>
      <c r="O77" s="137">
        <v>389542.80110999901</v>
      </c>
      <c r="P77" s="137">
        <v>391252.05338999903</v>
      </c>
      <c r="Q77" s="137">
        <v>392920.286499999</v>
      </c>
      <c r="R77" s="137">
        <v>394851.75789999898</v>
      </c>
      <c r="T77" s="137">
        <f t="shared" si="7"/>
        <v>377289.10434307595</v>
      </c>
    </row>
    <row r="78" spans="1:20">
      <c r="A78" s="137" t="str">
        <f t="shared" si="5"/>
        <v>LGE</v>
      </c>
      <c r="B78" s="137" t="s">
        <v>923</v>
      </c>
      <c r="C78" s="137" t="str">
        <f t="shared" si="6"/>
        <v>366</v>
      </c>
      <c r="D78" s="134" t="s">
        <v>840</v>
      </c>
      <c r="E78" s="134" t="str">
        <f t="shared" si="4"/>
        <v/>
      </c>
      <c r="F78" s="137">
        <v>96674.999529999899</v>
      </c>
      <c r="G78" s="137">
        <v>96674.999529999899</v>
      </c>
      <c r="H78" s="137">
        <v>96674.999529999899</v>
      </c>
      <c r="I78" s="137">
        <v>96674.999529999899</v>
      </c>
      <c r="J78" s="137">
        <v>96674.999529999899</v>
      </c>
      <c r="K78" s="137">
        <v>96674.999529999899</v>
      </c>
      <c r="L78" s="137">
        <v>96674.999529999899</v>
      </c>
      <c r="M78" s="137">
        <v>96674.999529999899</v>
      </c>
      <c r="N78" s="137">
        <v>107920.19091999999</v>
      </c>
      <c r="O78" s="137">
        <v>107920.19091999999</v>
      </c>
      <c r="P78" s="137">
        <v>107920.19091999999</v>
      </c>
      <c r="Q78" s="137">
        <v>107920.19091999999</v>
      </c>
      <c r="R78" s="137">
        <v>107920.19091999999</v>
      </c>
      <c r="T78" s="137">
        <f t="shared" si="7"/>
        <v>101000.07314153839</v>
      </c>
    </row>
    <row r="79" spans="1:20">
      <c r="A79" s="137" t="str">
        <f t="shared" si="5"/>
        <v>LGE</v>
      </c>
      <c r="B79" s="137" t="s">
        <v>923</v>
      </c>
      <c r="C79" s="137" t="str">
        <f t="shared" si="6"/>
        <v>367</v>
      </c>
      <c r="D79" s="134" t="s">
        <v>841</v>
      </c>
      <c r="E79" s="134" t="str">
        <f t="shared" si="4"/>
        <v/>
      </c>
      <c r="F79" s="137">
        <v>282784.49656</v>
      </c>
      <c r="G79" s="137">
        <v>284409.43388999999</v>
      </c>
      <c r="H79" s="137">
        <v>286195.48151000001</v>
      </c>
      <c r="I79" s="137">
        <v>287478.78107999999</v>
      </c>
      <c r="J79" s="137">
        <v>289278.27373000002</v>
      </c>
      <c r="K79" s="137">
        <v>290747.83517999999</v>
      </c>
      <c r="L79" s="137">
        <v>292529.47759999998</v>
      </c>
      <c r="M79" s="137">
        <v>294645.16419999901</v>
      </c>
      <c r="N79" s="137">
        <v>300055.43911999901</v>
      </c>
      <c r="O79" s="137">
        <v>301854.80039999902</v>
      </c>
      <c r="P79" s="137">
        <v>303368.85662999901</v>
      </c>
      <c r="Q79" s="137">
        <v>304816.22195999901</v>
      </c>
      <c r="R79" s="137">
        <v>306140.73095999903</v>
      </c>
      <c r="T79" s="137">
        <f t="shared" si="7"/>
        <v>294177.30713999947</v>
      </c>
    </row>
    <row r="80" spans="1:20">
      <c r="A80" s="137" t="str">
        <f t="shared" si="5"/>
        <v>LGE</v>
      </c>
      <c r="B80" s="137" t="s">
        <v>923</v>
      </c>
      <c r="C80" s="137" t="str">
        <f t="shared" si="6"/>
        <v>368</v>
      </c>
      <c r="D80" s="134" t="s">
        <v>842</v>
      </c>
      <c r="E80" s="134" t="str">
        <f t="shared" si="4"/>
        <v/>
      </c>
      <c r="F80" s="137">
        <v>173525.38542999999</v>
      </c>
      <c r="G80" s="137">
        <v>173741.60277999999</v>
      </c>
      <c r="H80" s="137">
        <v>174357.82300999999</v>
      </c>
      <c r="I80" s="137">
        <v>174591.54827999999</v>
      </c>
      <c r="J80" s="137">
        <v>174998.44198999999</v>
      </c>
      <c r="K80" s="137">
        <v>175768.93103000001</v>
      </c>
      <c r="L80" s="137">
        <v>176482.10690000001</v>
      </c>
      <c r="M80" s="137">
        <v>177066.42887</v>
      </c>
      <c r="N80" s="137">
        <v>177817.95722000001</v>
      </c>
      <c r="O80" s="137">
        <v>178179.04073000001</v>
      </c>
      <c r="P80" s="137">
        <v>178551.58431999999</v>
      </c>
      <c r="Q80" s="137">
        <v>179012.81756</v>
      </c>
      <c r="R80" s="137">
        <v>179347.12049999999</v>
      </c>
      <c r="T80" s="137">
        <f t="shared" si="7"/>
        <v>176418.52220153849</v>
      </c>
    </row>
    <row r="81" spans="1:20">
      <c r="A81" s="137" t="str">
        <f t="shared" si="5"/>
        <v>LGE</v>
      </c>
      <c r="B81" s="137" t="s">
        <v>923</v>
      </c>
      <c r="C81" s="137" t="str">
        <f t="shared" si="6"/>
        <v>369</v>
      </c>
      <c r="D81" s="134" t="s">
        <v>843</v>
      </c>
      <c r="E81" s="134" t="str">
        <f t="shared" si="4"/>
        <v/>
      </c>
      <c r="F81" s="137">
        <v>37462.116849999999</v>
      </c>
      <c r="G81" s="137">
        <v>37462.116849999999</v>
      </c>
      <c r="H81" s="137">
        <v>37462.116849999999</v>
      </c>
      <c r="I81" s="137">
        <v>37462.116849999999</v>
      </c>
      <c r="J81" s="137">
        <v>37462.116849999999</v>
      </c>
      <c r="K81" s="137">
        <v>37462.116849999999</v>
      </c>
      <c r="L81" s="137">
        <v>37462.116849999999</v>
      </c>
      <c r="M81" s="137">
        <v>37462.116849999999</v>
      </c>
      <c r="N81" s="137">
        <v>38179.563450000001</v>
      </c>
      <c r="O81" s="137">
        <v>38183.230300000003</v>
      </c>
      <c r="P81" s="137">
        <v>38186.896950000002</v>
      </c>
      <c r="Q81" s="137">
        <v>38190.563600000001</v>
      </c>
      <c r="R81" s="137">
        <v>38194.230250000001</v>
      </c>
      <c r="T81" s="137">
        <f t="shared" si="7"/>
        <v>37740.878411538462</v>
      </c>
    </row>
    <row r="82" spans="1:20">
      <c r="A82" s="137" t="str">
        <f t="shared" si="5"/>
        <v>LGE</v>
      </c>
      <c r="B82" s="137" t="s">
        <v>923</v>
      </c>
      <c r="C82" s="137" t="str">
        <f t="shared" si="6"/>
        <v>370</v>
      </c>
      <c r="D82" s="134" t="s">
        <v>844</v>
      </c>
      <c r="E82" s="134" t="str">
        <f t="shared" si="4"/>
        <v/>
      </c>
      <c r="F82" s="137">
        <v>41430.269609999901</v>
      </c>
      <c r="G82" s="137">
        <v>41576.748229999997</v>
      </c>
      <c r="H82" s="137">
        <v>41631.653780000001</v>
      </c>
      <c r="I82" s="137">
        <v>41675.911990000001</v>
      </c>
      <c r="J82" s="137">
        <v>41743.246339999998</v>
      </c>
      <c r="K82" s="137">
        <v>41765.714609999901</v>
      </c>
      <c r="L82" s="137">
        <v>41775.568869999901</v>
      </c>
      <c r="M82" s="137">
        <v>41775.564819999898</v>
      </c>
      <c r="N82" s="137">
        <v>42418.393969999903</v>
      </c>
      <c r="O82" s="137">
        <v>42512.1488199999</v>
      </c>
      <c r="P82" s="137">
        <v>42642.882369999897</v>
      </c>
      <c r="Q82" s="137">
        <v>42744.372699999898</v>
      </c>
      <c r="R82" s="137">
        <v>42815.809459999902</v>
      </c>
      <c r="T82" s="137">
        <f t="shared" si="7"/>
        <v>42039.098889999936</v>
      </c>
    </row>
    <row r="83" spans="1:20">
      <c r="A83" s="137" t="str">
        <f t="shared" si="5"/>
        <v>LGE</v>
      </c>
      <c r="B83" s="137" t="s">
        <v>923</v>
      </c>
      <c r="C83" s="137" t="str">
        <f t="shared" si="6"/>
        <v>370</v>
      </c>
      <c r="D83" s="134" t="s">
        <v>1818</v>
      </c>
      <c r="E83" s="134" t="str">
        <f t="shared" si="4"/>
        <v>DSM</v>
      </c>
      <c r="F83" s="137">
        <v>1652.7647899999999</v>
      </c>
      <c r="G83" s="137">
        <v>1652.7647899999999</v>
      </c>
      <c r="H83" s="137">
        <v>1652.7647899999999</v>
      </c>
      <c r="I83" s="137">
        <v>1652.7647899999999</v>
      </c>
      <c r="J83" s="137">
        <v>1652.7647899999999</v>
      </c>
      <c r="K83" s="137">
        <v>1652.7647899999999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  <c r="T83" s="137">
        <f t="shared" si="7"/>
        <v>1652.7647899999999</v>
      </c>
    </row>
    <row r="84" spans="1:20">
      <c r="A84" s="137" t="str">
        <f t="shared" si="5"/>
        <v>LGE</v>
      </c>
      <c r="B84" s="137" t="s">
        <v>923</v>
      </c>
      <c r="C84" s="137" t="str">
        <f t="shared" si="6"/>
        <v>371</v>
      </c>
      <c r="D84" s="134" t="s">
        <v>2572</v>
      </c>
      <c r="E84" s="134"/>
      <c r="F84" s="137">
        <v>156.53614999999999</v>
      </c>
      <c r="G84" s="137">
        <v>156.53614999999999</v>
      </c>
      <c r="H84" s="137">
        <v>156.53614999999999</v>
      </c>
      <c r="I84" s="137">
        <v>156.53614999999999</v>
      </c>
      <c r="J84" s="137">
        <v>156.53614999999999</v>
      </c>
      <c r="K84" s="137">
        <v>156.53614999999999</v>
      </c>
      <c r="L84" s="137">
        <v>156.53614999999999</v>
      </c>
      <c r="M84" s="137">
        <v>156.53614999999999</v>
      </c>
      <c r="N84" s="137">
        <v>156.53614999999999</v>
      </c>
      <c r="O84" s="137">
        <v>156.53614999999999</v>
      </c>
      <c r="P84" s="137">
        <v>156.53614999999999</v>
      </c>
      <c r="Q84" s="137">
        <v>156.53614999999999</v>
      </c>
      <c r="R84" s="137">
        <v>156.53614999999999</v>
      </c>
      <c r="T84" s="137">
        <f t="shared" ref="T84" si="8">SUM(F84:R84)/13</f>
        <v>156.53614999999996</v>
      </c>
    </row>
    <row r="85" spans="1:20">
      <c r="A85" s="137" t="str">
        <f t="shared" si="5"/>
        <v>LGE</v>
      </c>
      <c r="B85" s="137" t="s">
        <v>923</v>
      </c>
      <c r="C85" s="137" t="str">
        <f t="shared" si="6"/>
        <v>373</v>
      </c>
      <c r="D85" s="134" t="s">
        <v>845</v>
      </c>
      <c r="E85" s="134" t="str">
        <f t="shared" si="4"/>
        <v/>
      </c>
      <c r="F85" s="137">
        <v>117557.14085</v>
      </c>
      <c r="G85" s="137">
        <v>118019.533419999</v>
      </c>
      <c r="H85" s="137">
        <v>118416.101709999</v>
      </c>
      <c r="I85" s="137">
        <v>118773.612579999</v>
      </c>
      <c r="J85" s="137">
        <v>119193.475089999</v>
      </c>
      <c r="K85" s="137">
        <v>119613.49060999999</v>
      </c>
      <c r="L85" s="137">
        <v>120092.699979999</v>
      </c>
      <c r="M85" s="137">
        <v>120503.08478999999</v>
      </c>
      <c r="N85" s="137">
        <v>120899.581259999</v>
      </c>
      <c r="O85" s="137">
        <v>121294.7588</v>
      </c>
      <c r="P85" s="137">
        <v>121681.63544</v>
      </c>
      <c r="Q85" s="137">
        <v>122082.253799999</v>
      </c>
      <c r="R85" s="137">
        <v>122484.275209999</v>
      </c>
      <c r="T85" s="137">
        <f t="shared" si="7"/>
        <v>120047.0495030763</v>
      </c>
    </row>
    <row r="86" spans="1:20">
      <c r="A86" s="137" t="str">
        <f t="shared" si="5"/>
        <v>LGE</v>
      </c>
      <c r="B86" s="137" t="s">
        <v>923</v>
      </c>
      <c r="C86" s="137" t="str">
        <f t="shared" si="6"/>
        <v>374</v>
      </c>
      <c r="D86" s="134" t="s">
        <v>846</v>
      </c>
      <c r="E86" s="134" t="str">
        <f t="shared" si="4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  <c r="T86" s="137">
        <f t="shared" si="7"/>
        <v>367.96386999999993</v>
      </c>
    </row>
    <row r="87" spans="1:20">
      <c r="A87" s="137" t="str">
        <f t="shared" si="5"/>
        <v>LGE</v>
      </c>
      <c r="B87" s="137" t="s">
        <v>923</v>
      </c>
      <c r="C87" s="137" t="str">
        <f t="shared" si="6"/>
        <v>392</v>
      </c>
      <c r="D87" s="134" t="s">
        <v>1527</v>
      </c>
      <c r="E87" s="134" t="str">
        <f t="shared" si="4"/>
        <v/>
      </c>
      <c r="F87" s="137">
        <v>628.88322000000005</v>
      </c>
      <c r="G87" s="137">
        <v>628.88322000000005</v>
      </c>
      <c r="H87" s="137">
        <v>628.88322000000005</v>
      </c>
      <c r="I87" s="137">
        <v>628.88322000000005</v>
      </c>
      <c r="J87" s="137">
        <v>628.88322000000005</v>
      </c>
      <c r="K87" s="137">
        <v>628.88322000000005</v>
      </c>
      <c r="L87" s="137">
        <v>628.88322000000005</v>
      </c>
      <c r="M87" s="137">
        <v>628.88322000000005</v>
      </c>
      <c r="N87" s="137">
        <v>628.88322000000005</v>
      </c>
      <c r="O87" s="137">
        <v>541.11613999999997</v>
      </c>
      <c r="P87" s="137">
        <v>541.11613999999997</v>
      </c>
      <c r="Q87" s="137">
        <v>541.11613999999997</v>
      </c>
      <c r="R87" s="137">
        <v>541.11613999999997</v>
      </c>
      <c r="T87" s="137">
        <f t="shared" si="7"/>
        <v>601.8779646153846</v>
      </c>
    </row>
    <row r="88" spans="1:20">
      <c r="A88" s="137" t="str">
        <f t="shared" si="5"/>
        <v>LGE</v>
      </c>
      <c r="B88" s="137" t="s">
        <v>923</v>
      </c>
      <c r="C88" s="137" t="str">
        <f t="shared" si="6"/>
        <v>392</v>
      </c>
      <c r="D88" s="134" t="s">
        <v>847</v>
      </c>
      <c r="E88" s="134" t="str">
        <f t="shared" si="4"/>
        <v/>
      </c>
      <c r="F88" s="137">
        <v>6505.6492200000002</v>
      </c>
      <c r="G88" s="137">
        <v>6505.6492200000002</v>
      </c>
      <c r="H88" s="137">
        <v>6505.6492200000002</v>
      </c>
      <c r="I88" s="137">
        <v>6505.6492200000002</v>
      </c>
      <c r="J88" s="137">
        <v>6505.6492200000002</v>
      </c>
      <c r="K88" s="137">
        <v>6505.6492200000002</v>
      </c>
      <c r="L88" s="137">
        <v>6505.6492200000002</v>
      </c>
      <c r="M88" s="137">
        <v>6505.6492200000002</v>
      </c>
      <c r="N88" s="137">
        <v>6505.6492200000002</v>
      </c>
      <c r="O88" s="137">
        <v>6505.6492200000002</v>
      </c>
      <c r="P88" s="137">
        <v>6505.6492200000002</v>
      </c>
      <c r="Q88" s="137">
        <v>6505.6492200000002</v>
      </c>
      <c r="R88" s="137">
        <v>6505.6492200000002</v>
      </c>
      <c r="T88" s="137">
        <f t="shared" si="7"/>
        <v>6505.6492200000012</v>
      </c>
    </row>
    <row r="89" spans="1:20">
      <c r="A89" s="137" t="str">
        <f t="shared" si="5"/>
        <v>LGE</v>
      </c>
      <c r="B89" s="137" t="s">
        <v>923</v>
      </c>
      <c r="C89" s="137" t="str">
        <f t="shared" si="6"/>
        <v>394</v>
      </c>
      <c r="D89" s="134" t="s">
        <v>848</v>
      </c>
      <c r="E89" s="134" t="str">
        <f t="shared" si="4"/>
        <v/>
      </c>
      <c r="F89" s="137">
        <v>6786.0231999999996</v>
      </c>
      <c r="G89" s="137">
        <v>6786.0231999999996</v>
      </c>
      <c r="H89" s="137">
        <v>6718.7117899999903</v>
      </c>
      <c r="I89" s="137">
        <v>6718.7117899999903</v>
      </c>
      <c r="J89" s="137">
        <v>6718.7117899999903</v>
      </c>
      <c r="K89" s="137">
        <v>6718.7117899999903</v>
      </c>
      <c r="L89" s="137">
        <v>6718.7117899999903</v>
      </c>
      <c r="M89" s="137">
        <v>6718.7117899999903</v>
      </c>
      <c r="N89" s="137">
        <v>7312.67346</v>
      </c>
      <c r="O89" s="137">
        <v>7312.67346</v>
      </c>
      <c r="P89" s="137">
        <v>7312.67346</v>
      </c>
      <c r="Q89" s="137">
        <v>7312.67346</v>
      </c>
      <c r="R89" s="137">
        <v>7312.67346</v>
      </c>
      <c r="T89" s="137">
        <f t="shared" si="7"/>
        <v>6957.5141876923026</v>
      </c>
    </row>
    <row r="90" spans="1:20">
      <c r="A90" s="137" t="str">
        <f t="shared" si="5"/>
        <v>LGE</v>
      </c>
      <c r="B90" s="137" t="s">
        <v>923</v>
      </c>
      <c r="C90" s="137" t="str">
        <f t="shared" si="6"/>
        <v>396</v>
      </c>
      <c r="D90" s="134" t="s">
        <v>849</v>
      </c>
      <c r="E90" s="134" t="str">
        <f t="shared" si="4"/>
        <v/>
      </c>
      <c r="F90" s="137">
        <v>281.35563999999999</v>
      </c>
      <c r="G90" s="137">
        <v>281.35563999999999</v>
      </c>
      <c r="H90" s="137">
        <v>281.35563999999999</v>
      </c>
      <c r="I90" s="137">
        <v>281.35563999999999</v>
      </c>
      <c r="J90" s="137">
        <v>281.35563999999999</v>
      </c>
      <c r="K90" s="137">
        <v>281.35563999999999</v>
      </c>
      <c r="L90" s="137">
        <v>281.35563999999999</v>
      </c>
      <c r="M90" s="137">
        <v>281.35563999999999</v>
      </c>
      <c r="N90" s="137">
        <v>281.35563999999999</v>
      </c>
      <c r="O90" s="137">
        <v>281.35563999999999</v>
      </c>
      <c r="P90" s="137">
        <v>281.35563999999999</v>
      </c>
      <c r="Q90" s="137">
        <v>281.35563999999999</v>
      </c>
      <c r="R90" s="137">
        <v>281.35563999999999</v>
      </c>
      <c r="T90" s="137">
        <f t="shared" si="7"/>
        <v>281.35563999999988</v>
      </c>
    </row>
    <row r="91" spans="1:20">
      <c r="A91" s="137" t="str">
        <f t="shared" si="5"/>
        <v>LGE</v>
      </c>
      <c r="B91" s="137" t="s">
        <v>923</v>
      </c>
      <c r="C91" s="137" t="str">
        <f t="shared" si="6"/>
        <v>396</v>
      </c>
      <c r="D91" s="134" t="s">
        <v>1528</v>
      </c>
      <c r="E91" s="134" t="str">
        <f t="shared" si="4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  <c r="T91" s="137">
        <f t="shared" si="7"/>
        <v>1802.82671</v>
      </c>
    </row>
    <row r="92" spans="1:20">
      <c r="A92" s="137" t="str">
        <f t="shared" si="5"/>
        <v>LGE</v>
      </c>
      <c r="B92" s="137" t="s">
        <v>923</v>
      </c>
      <c r="C92" s="137" t="str">
        <f t="shared" si="6"/>
        <v>397</v>
      </c>
      <c r="D92" s="134" t="s">
        <v>850</v>
      </c>
      <c r="E92" s="134" t="str">
        <f t="shared" si="4"/>
        <v>DSM</v>
      </c>
      <c r="F92" s="137">
        <v>7061.4201899999998</v>
      </c>
      <c r="G92" s="137">
        <v>7082.25353</v>
      </c>
      <c r="H92" s="137">
        <v>7103.0868700000001</v>
      </c>
      <c r="I92" s="137">
        <v>7123.9202100000002</v>
      </c>
      <c r="J92" s="137">
        <v>7144.7535500000004</v>
      </c>
      <c r="K92" s="137">
        <v>7165.5868899999996</v>
      </c>
      <c r="L92" s="137">
        <v>7186.4202299999997</v>
      </c>
      <c r="M92" s="137">
        <v>7207.2535699999999</v>
      </c>
      <c r="N92" s="137">
        <v>7228.08691</v>
      </c>
      <c r="O92" s="137">
        <v>7230.6285200000002</v>
      </c>
      <c r="P92" s="137">
        <v>7233.1701899999998</v>
      </c>
      <c r="Q92" s="137">
        <v>7235.7118600000003</v>
      </c>
      <c r="R92" s="137">
        <v>7238.25353</v>
      </c>
      <c r="T92" s="137">
        <f t="shared" si="7"/>
        <v>7172.3496961538458</v>
      </c>
    </row>
    <row r="93" spans="1:20">
      <c r="E93" s="134"/>
    </row>
    <row r="94" spans="1:20">
      <c r="E94" s="134" t="str">
        <f t="shared" si="4"/>
        <v/>
      </c>
    </row>
    <row r="95" spans="1:20">
      <c r="E95" s="134" t="str">
        <f t="shared" si="4"/>
        <v/>
      </c>
      <c r="T95" s="137">
        <f t="shared" si="7"/>
        <v>0</v>
      </c>
    </row>
    <row r="96" spans="1:20">
      <c r="E96" s="134" t="str">
        <f t="shared" si="4"/>
        <v/>
      </c>
      <c r="T96" s="137">
        <f t="shared" si="7"/>
        <v>0</v>
      </c>
    </row>
    <row r="97" spans="1:20">
      <c r="E97" s="134" t="str">
        <f t="shared" si="4"/>
        <v/>
      </c>
      <c r="T97" s="137">
        <f t="shared" si="7"/>
        <v>0</v>
      </c>
    </row>
    <row r="98" spans="1:20">
      <c r="E98" s="134" t="str">
        <f t="shared" si="4"/>
        <v/>
      </c>
      <c r="T98" s="137">
        <f t="shared" si="7"/>
        <v>0</v>
      </c>
    </row>
    <row r="99" spans="1:20">
      <c r="D99" s="134" t="s">
        <v>865</v>
      </c>
      <c r="E99" s="134" t="str">
        <f t="shared" si="4"/>
        <v/>
      </c>
      <c r="T99" s="137">
        <f t="shared" si="7"/>
        <v>0</v>
      </c>
    </row>
    <row r="100" spans="1:20">
      <c r="A100" s="137" t="str">
        <f t="shared" ref="A100:A115" si="9">MID($D100,4,3)</f>
        <v>LGE</v>
      </c>
      <c r="B100" s="137" t="s">
        <v>867</v>
      </c>
      <c r="C100" s="137" t="str">
        <f t="shared" ref="C100:C115" si="10">MID($D100,9,3)</f>
        <v>121</v>
      </c>
      <c r="D100" s="134" t="s">
        <v>851</v>
      </c>
      <c r="E100" s="134" t="str">
        <f t="shared" si="4"/>
        <v/>
      </c>
      <c r="F100" s="137">
        <v>630.89697999999999</v>
      </c>
      <c r="G100" s="137">
        <v>630.89697999999999</v>
      </c>
      <c r="H100" s="137">
        <v>630.89697999999999</v>
      </c>
      <c r="I100" s="137">
        <v>630.89697999999999</v>
      </c>
      <c r="J100" s="137">
        <v>630.89697999999999</v>
      </c>
      <c r="K100" s="137">
        <v>630.89697999999999</v>
      </c>
      <c r="L100" s="137">
        <v>630.89697999999999</v>
      </c>
      <c r="M100" s="137">
        <v>630.89697999999999</v>
      </c>
      <c r="N100" s="137">
        <v>630.89697999999999</v>
      </c>
      <c r="O100" s="137">
        <v>630.89697999999999</v>
      </c>
      <c r="P100" s="137">
        <v>630.89697999999999</v>
      </c>
      <c r="Q100" s="137">
        <v>630.89697999999999</v>
      </c>
      <c r="R100" s="137">
        <v>630.89697999999999</v>
      </c>
      <c r="T100" s="137">
        <f t="shared" si="7"/>
        <v>630.89697999999976</v>
      </c>
    </row>
    <row r="101" spans="1:20">
      <c r="A101" s="137" t="str">
        <f t="shared" si="9"/>
        <v>LGE</v>
      </c>
      <c r="B101" s="137" t="s">
        <v>867</v>
      </c>
      <c r="C101" s="137" t="str">
        <f t="shared" si="10"/>
        <v>301</v>
      </c>
      <c r="D101" s="134" t="s">
        <v>852</v>
      </c>
      <c r="E101" s="134" t="str">
        <f t="shared" si="4"/>
        <v/>
      </c>
      <c r="F101" s="137">
        <v>83.782289999999904</v>
      </c>
      <c r="G101" s="137">
        <v>83.782289999999904</v>
      </c>
      <c r="H101" s="137">
        <v>83.782289999999904</v>
      </c>
      <c r="I101" s="137">
        <v>83.782289999999904</v>
      </c>
      <c r="J101" s="137">
        <v>83.782289999999904</v>
      </c>
      <c r="K101" s="137">
        <v>83.782289999999904</v>
      </c>
      <c r="L101" s="137">
        <v>83.782289999999904</v>
      </c>
      <c r="M101" s="137">
        <v>83.782289999999904</v>
      </c>
      <c r="N101" s="137">
        <v>83.782289999999904</v>
      </c>
      <c r="O101" s="137">
        <v>83.782289999999904</v>
      </c>
      <c r="P101" s="137">
        <v>83.782289999999904</v>
      </c>
      <c r="Q101" s="137">
        <v>83.782289999999904</v>
      </c>
      <c r="R101" s="137">
        <v>83.782289999999904</v>
      </c>
      <c r="T101" s="137">
        <f t="shared" si="7"/>
        <v>83.78228999999989</v>
      </c>
    </row>
    <row r="102" spans="1:20">
      <c r="A102" s="137" t="str">
        <f t="shared" si="9"/>
        <v>LGE</v>
      </c>
      <c r="B102" s="137" t="s">
        <v>867</v>
      </c>
      <c r="C102" s="137" t="str">
        <f t="shared" si="10"/>
        <v>303</v>
      </c>
      <c r="D102" s="134" t="s">
        <v>853</v>
      </c>
      <c r="E102" s="134" t="str">
        <f t="shared" si="4"/>
        <v/>
      </c>
      <c r="F102" s="137">
        <v>66725.820889999901</v>
      </c>
      <c r="G102" s="137">
        <v>67275.641139999905</v>
      </c>
      <c r="H102" s="137">
        <v>69018.096739999994</v>
      </c>
      <c r="I102" s="137">
        <v>70142.474479999903</v>
      </c>
      <c r="J102" s="137">
        <v>69532.815229999993</v>
      </c>
      <c r="K102" s="137">
        <v>69534.155029999994</v>
      </c>
      <c r="L102" s="137">
        <v>72208.60815</v>
      </c>
      <c r="M102" s="137">
        <v>69782.686610000004</v>
      </c>
      <c r="N102" s="137">
        <v>71845.703859999994</v>
      </c>
      <c r="O102" s="137">
        <v>71156.732089999903</v>
      </c>
      <c r="P102" s="137">
        <v>68647.446009999898</v>
      </c>
      <c r="Q102" s="137">
        <v>75708.451609999902</v>
      </c>
      <c r="R102" s="137">
        <v>76582.314189999903</v>
      </c>
      <c r="T102" s="137">
        <f t="shared" si="7"/>
        <v>70627.765079230725</v>
      </c>
    </row>
    <row r="103" spans="1:20">
      <c r="A103" s="137" t="str">
        <f t="shared" si="9"/>
        <v>LGE</v>
      </c>
      <c r="B103" s="137" t="s">
        <v>867</v>
      </c>
      <c r="C103" s="137" t="str">
        <f t="shared" si="10"/>
        <v>303</v>
      </c>
      <c r="D103" s="134" t="s">
        <v>854</v>
      </c>
      <c r="E103" s="134" t="str">
        <f t="shared" si="4"/>
        <v/>
      </c>
      <c r="F103" s="137">
        <v>16172.1933499999</v>
      </c>
      <c r="G103" s="137">
        <v>16216.1933499999</v>
      </c>
      <c r="H103" s="137">
        <v>16216.1933499999</v>
      </c>
      <c r="I103" s="137">
        <v>16216.1933499999</v>
      </c>
      <c r="J103" s="137">
        <v>16216.1933499999</v>
      </c>
      <c r="K103" s="137">
        <v>16216.1933499999</v>
      </c>
      <c r="L103" s="137">
        <v>16216.1933499999</v>
      </c>
      <c r="M103" s="137">
        <v>16216.1933499999</v>
      </c>
      <c r="N103" s="137">
        <v>16303.2405499999</v>
      </c>
      <c r="O103" s="137">
        <v>16303.2405499999</v>
      </c>
      <c r="P103" s="137">
        <v>16303.2405499999</v>
      </c>
      <c r="Q103" s="137">
        <v>16303.2405499999</v>
      </c>
      <c r="R103" s="137">
        <v>16435.2405499999</v>
      </c>
      <c r="T103" s="137">
        <f t="shared" si="7"/>
        <v>16256.442273076824</v>
      </c>
    </row>
    <row r="104" spans="1:20">
      <c r="A104" s="137" t="str">
        <f t="shared" si="9"/>
        <v>LGE</v>
      </c>
      <c r="B104" s="137" t="s">
        <v>867</v>
      </c>
      <c r="C104" s="137" t="str">
        <f t="shared" si="10"/>
        <v>389</v>
      </c>
      <c r="D104" s="134" t="s">
        <v>855</v>
      </c>
      <c r="E104" s="134" t="str">
        <f t="shared" si="4"/>
        <v/>
      </c>
      <c r="F104" s="137">
        <v>1564.39437</v>
      </c>
      <c r="G104" s="137">
        <v>1564.39437</v>
      </c>
      <c r="H104" s="137">
        <v>1564.39437</v>
      </c>
      <c r="I104" s="137">
        <v>1564.39437</v>
      </c>
      <c r="J104" s="137">
        <v>1564.39437</v>
      </c>
      <c r="K104" s="137">
        <v>1564.39437</v>
      </c>
      <c r="L104" s="137">
        <v>1564.39437</v>
      </c>
      <c r="M104" s="137">
        <v>1564.39437</v>
      </c>
      <c r="N104" s="137">
        <v>1564.39437</v>
      </c>
      <c r="O104" s="137">
        <v>1564.39437</v>
      </c>
      <c r="P104" s="137">
        <v>1564.39437</v>
      </c>
      <c r="Q104" s="137">
        <v>1564.39437</v>
      </c>
      <c r="R104" s="137">
        <v>1564.39437</v>
      </c>
      <c r="T104" s="137">
        <f t="shared" si="7"/>
        <v>1564.3943700000002</v>
      </c>
    </row>
    <row r="105" spans="1:20">
      <c r="A105" s="137" t="str">
        <f t="shared" si="9"/>
        <v>LGE</v>
      </c>
      <c r="B105" s="137" t="s">
        <v>867</v>
      </c>
      <c r="C105" s="137" t="str">
        <f t="shared" si="10"/>
        <v>390</v>
      </c>
      <c r="D105" s="134" t="s">
        <v>856</v>
      </c>
      <c r="E105" s="134" t="str">
        <f t="shared" si="4"/>
        <v/>
      </c>
      <c r="F105" s="137">
        <v>85776.554579999894</v>
      </c>
      <c r="G105" s="137">
        <v>88436.834639999899</v>
      </c>
      <c r="H105" s="137">
        <v>88487.532139999894</v>
      </c>
      <c r="I105" s="137">
        <v>89087.612949999893</v>
      </c>
      <c r="J105" s="137">
        <v>89368.017809999903</v>
      </c>
      <c r="K105" s="137">
        <v>89383.019829999903</v>
      </c>
      <c r="L105" s="137">
        <v>89661.974239999894</v>
      </c>
      <c r="M105" s="137">
        <v>90087.099049999902</v>
      </c>
      <c r="N105" s="137">
        <v>91962.962829999902</v>
      </c>
      <c r="O105" s="137">
        <v>91962.962829999902</v>
      </c>
      <c r="P105" s="137">
        <v>91962.962829999902</v>
      </c>
      <c r="Q105" s="137">
        <v>91962.962829999902</v>
      </c>
      <c r="R105" s="137">
        <v>91962.962829999902</v>
      </c>
      <c r="T105" s="137">
        <f t="shared" si="7"/>
        <v>90007.958414615263</v>
      </c>
    </row>
    <row r="106" spans="1:20">
      <c r="A106" s="137" t="str">
        <f t="shared" si="9"/>
        <v>LGE</v>
      </c>
      <c r="B106" s="137" t="s">
        <v>867</v>
      </c>
      <c r="C106" s="137" t="str">
        <f t="shared" si="10"/>
        <v>391</v>
      </c>
      <c r="D106" s="134" t="s">
        <v>857</v>
      </c>
      <c r="E106" s="134" t="str">
        <f t="shared" si="4"/>
        <v/>
      </c>
      <c r="F106" s="137">
        <v>43408.558069999999</v>
      </c>
      <c r="G106" s="137">
        <v>42064.016600000003</v>
      </c>
      <c r="H106" s="137">
        <v>41354.311930000003</v>
      </c>
      <c r="I106" s="137">
        <v>41372.956619999997</v>
      </c>
      <c r="J106" s="137">
        <v>41132.000229999998</v>
      </c>
      <c r="K106" s="137">
        <v>40133.659670000001</v>
      </c>
      <c r="L106" s="137">
        <v>39686.085249999996</v>
      </c>
      <c r="M106" s="137">
        <v>41909.050609999998</v>
      </c>
      <c r="N106" s="137">
        <v>43150.961689999996</v>
      </c>
      <c r="O106" s="137">
        <v>43138.409919999998</v>
      </c>
      <c r="P106" s="137">
        <v>41442.696230000001</v>
      </c>
      <c r="Q106" s="137">
        <v>41363.863160000001</v>
      </c>
      <c r="R106" s="137">
        <v>41468.007519999999</v>
      </c>
      <c r="T106" s="137">
        <f t="shared" si="7"/>
        <v>41663.429038461538</v>
      </c>
    </row>
    <row r="107" spans="1:20">
      <c r="A107" s="137" t="str">
        <f t="shared" si="9"/>
        <v>LGE</v>
      </c>
      <c r="B107" s="137" t="s">
        <v>867</v>
      </c>
      <c r="C107" s="137" t="str">
        <f t="shared" si="10"/>
        <v>392</v>
      </c>
      <c r="D107" s="134" t="s">
        <v>1529</v>
      </c>
      <c r="E107" s="134" t="str">
        <f t="shared" si="4"/>
        <v/>
      </c>
      <c r="F107" s="137">
        <v>66.623670000000004</v>
      </c>
      <c r="G107" s="137">
        <v>66.623670000000004</v>
      </c>
      <c r="H107" s="137">
        <v>66.623670000000004</v>
      </c>
      <c r="I107" s="137">
        <v>66.623670000000004</v>
      </c>
      <c r="J107" s="137">
        <v>66.623670000000004</v>
      </c>
      <c r="K107" s="137">
        <v>66.623670000000004</v>
      </c>
      <c r="L107" s="137">
        <v>66.623670000000004</v>
      </c>
      <c r="M107" s="137">
        <v>66.623670000000004</v>
      </c>
      <c r="N107" s="137">
        <v>66.623670000000004</v>
      </c>
      <c r="O107" s="137">
        <v>66.623670000000004</v>
      </c>
      <c r="P107" s="137">
        <v>66.623670000000004</v>
      </c>
      <c r="Q107" s="137">
        <v>66.623670000000004</v>
      </c>
      <c r="R107" s="137">
        <v>66.623670000000004</v>
      </c>
      <c r="T107" s="137">
        <f t="shared" si="7"/>
        <v>66.623669999999976</v>
      </c>
    </row>
    <row r="108" spans="1:20">
      <c r="A108" s="137" t="str">
        <f t="shared" si="9"/>
        <v>LGE</v>
      </c>
      <c r="B108" s="137" t="s">
        <v>867</v>
      </c>
      <c r="C108" s="137" t="str">
        <f t="shared" si="10"/>
        <v>392</v>
      </c>
      <c r="D108" s="134" t="s">
        <v>858</v>
      </c>
      <c r="E108" s="134" t="str">
        <f t="shared" si="4"/>
        <v/>
      </c>
      <c r="F108" s="137">
        <v>258.72116</v>
      </c>
      <c r="G108" s="137">
        <v>258.72116</v>
      </c>
      <c r="H108" s="137">
        <v>258.72116</v>
      </c>
      <c r="I108" s="137">
        <v>258.72116</v>
      </c>
      <c r="J108" s="137">
        <v>258.72116</v>
      </c>
      <c r="K108" s="137">
        <v>258.72116</v>
      </c>
      <c r="L108" s="137">
        <v>258.72116</v>
      </c>
      <c r="M108" s="137">
        <v>258.72116</v>
      </c>
      <c r="N108" s="137">
        <v>258.72116</v>
      </c>
      <c r="O108" s="137">
        <v>258.72116</v>
      </c>
      <c r="P108" s="137">
        <v>258.72116</v>
      </c>
      <c r="Q108" s="137">
        <v>258.72116</v>
      </c>
      <c r="R108" s="137">
        <v>258.72116</v>
      </c>
      <c r="T108" s="137">
        <f t="shared" si="7"/>
        <v>258.72116</v>
      </c>
    </row>
    <row r="109" spans="1:20">
      <c r="A109" s="137" t="str">
        <f t="shared" si="9"/>
        <v>LGE</v>
      </c>
      <c r="B109" s="137" t="s">
        <v>867</v>
      </c>
      <c r="C109" s="137" t="str">
        <f t="shared" si="10"/>
        <v>393</v>
      </c>
      <c r="D109" s="134" t="s">
        <v>859</v>
      </c>
      <c r="E109" s="134" t="str">
        <f t="shared" si="4"/>
        <v/>
      </c>
      <c r="F109" s="137">
        <v>1712.22128</v>
      </c>
      <c r="G109" s="137">
        <v>1712.22128</v>
      </c>
      <c r="H109" s="137">
        <v>1712.22128</v>
      </c>
      <c r="I109" s="137">
        <v>1712.22128</v>
      </c>
      <c r="J109" s="137">
        <v>1712.22128</v>
      </c>
      <c r="K109" s="137">
        <v>1712.22128</v>
      </c>
      <c r="L109" s="137">
        <v>1712.22128</v>
      </c>
      <c r="M109" s="137">
        <v>1712.22128</v>
      </c>
      <c r="N109" s="137">
        <v>1712.22128</v>
      </c>
      <c r="O109" s="137">
        <v>1712.22128</v>
      </c>
      <c r="P109" s="137">
        <v>1712.22128</v>
      </c>
      <c r="Q109" s="137">
        <v>1712.22128</v>
      </c>
      <c r="R109" s="137">
        <v>1712.22128</v>
      </c>
      <c r="T109" s="137">
        <f t="shared" si="7"/>
        <v>1712.2212800000004</v>
      </c>
    </row>
    <row r="110" spans="1:20">
      <c r="A110" s="137" t="str">
        <f t="shared" si="9"/>
        <v>LGE</v>
      </c>
      <c r="B110" s="137" t="s">
        <v>867</v>
      </c>
      <c r="C110" s="137" t="str">
        <f t="shared" si="10"/>
        <v>394</v>
      </c>
      <c r="D110" s="134" t="s">
        <v>860</v>
      </c>
      <c r="E110" s="134" t="str">
        <f t="shared" si="4"/>
        <v/>
      </c>
      <c r="F110" s="137">
        <v>4208.8571499999998</v>
      </c>
      <c r="G110" s="137">
        <v>4208.8571499999998</v>
      </c>
      <c r="H110" s="137">
        <v>4164.6926599999997</v>
      </c>
      <c r="I110" s="137">
        <v>4164.6926599999997</v>
      </c>
      <c r="J110" s="137">
        <v>4164.6926599999997</v>
      </c>
      <c r="K110" s="137">
        <v>4164.6926599999997</v>
      </c>
      <c r="L110" s="137">
        <v>4204.6926599999997</v>
      </c>
      <c r="M110" s="137">
        <v>4204.6926599999997</v>
      </c>
      <c r="N110" s="137">
        <v>4204.6926599999997</v>
      </c>
      <c r="O110" s="137">
        <v>4204.6926599999997</v>
      </c>
      <c r="P110" s="137">
        <v>4204.6926599999997</v>
      </c>
      <c r="Q110" s="137">
        <v>4204.6926599999997</v>
      </c>
      <c r="R110" s="137">
        <v>4204.6926599999997</v>
      </c>
      <c r="T110" s="137">
        <f t="shared" si="7"/>
        <v>4193.025658461539</v>
      </c>
    </row>
    <row r="111" spans="1:20">
      <c r="A111" s="137" t="str">
        <f t="shared" si="9"/>
        <v>LGE</v>
      </c>
      <c r="B111" s="137" t="s">
        <v>867</v>
      </c>
      <c r="C111" s="137" t="str">
        <f t="shared" si="10"/>
        <v>396</v>
      </c>
      <c r="D111" s="134" t="s">
        <v>861</v>
      </c>
      <c r="E111" s="134" t="str">
        <f t="shared" si="4"/>
        <v/>
      </c>
      <c r="F111" s="137">
        <v>74.726510000000005</v>
      </c>
      <c r="G111" s="137">
        <v>74.726510000000005</v>
      </c>
      <c r="H111" s="137">
        <v>74.726510000000005</v>
      </c>
      <c r="I111" s="137">
        <v>74.726510000000005</v>
      </c>
      <c r="J111" s="137">
        <v>74.726510000000005</v>
      </c>
      <c r="K111" s="137">
        <v>74.726510000000005</v>
      </c>
      <c r="L111" s="137">
        <v>74.726510000000005</v>
      </c>
      <c r="M111" s="137">
        <v>74.726510000000005</v>
      </c>
      <c r="N111" s="137">
        <v>74.726510000000005</v>
      </c>
      <c r="O111" s="137">
        <v>74.726510000000005</v>
      </c>
      <c r="P111" s="137">
        <v>74.726510000000005</v>
      </c>
      <c r="Q111" s="137">
        <v>74.726510000000005</v>
      </c>
      <c r="R111" s="137">
        <v>74.726510000000005</v>
      </c>
      <c r="T111" s="137">
        <f t="shared" si="7"/>
        <v>74.72650999999999</v>
      </c>
    </row>
    <row r="112" spans="1:20">
      <c r="A112" s="137" t="str">
        <f t="shared" si="9"/>
        <v>LGE</v>
      </c>
      <c r="B112" s="137" t="s">
        <v>867</v>
      </c>
      <c r="C112" s="137" t="str">
        <f t="shared" si="10"/>
        <v>396</v>
      </c>
      <c r="D112" s="134" t="s">
        <v>1530</v>
      </c>
      <c r="E112" s="134" t="str">
        <f t="shared" si="4"/>
        <v/>
      </c>
      <c r="F112" s="137">
        <v>455.12218999999999</v>
      </c>
      <c r="G112" s="137">
        <v>455.12218999999999</v>
      </c>
      <c r="H112" s="137">
        <v>455.12218999999999</v>
      </c>
      <c r="I112" s="137">
        <v>455.12218999999999</v>
      </c>
      <c r="J112" s="137">
        <v>455.12218999999999</v>
      </c>
      <c r="K112" s="137">
        <v>455.12218999999999</v>
      </c>
      <c r="L112" s="137">
        <v>455.12218999999999</v>
      </c>
      <c r="M112" s="137">
        <v>455.12218999999999</v>
      </c>
      <c r="N112" s="137">
        <v>455.12218999999999</v>
      </c>
      <c r="O112" s="137">
        <v>455.12218999999999</v>
      </c>
      <c r="P112" s="137">
        <v>455.12218999999999</v>
      </c>
      <c r="Q112" s="137">
        <v>455.12218999999999</v>
      </c>
      <c r="R112" s="137">
        <v>455.12218999999999</v>
      </c>
      <c r="T112" s="137">
        <f t="shared" si="7"/>
        <v>455.12218999999999</v>
      </c>
    </row>
    <row r="113" spans="1:20">
      <c r="A113" s="137" t="str">
        <f t="shared" si="9"/>
        <v>LGE</v>
      </c>
      <c r="B113" s="137" t="s">
        <v>867</v>
      </c>
      <c r="C113" s="137" t="str">
        <f t="shared" si="10"/>
        <v>397</v>
      </c>
      <c r="D113" s="134" t="s">
        <v>862</v>
      </c>
      <c r="E113" s="134" t="str">
        <f t="shared" si="4"/>
        <v/>
      </c>
      <c r="F113" s="137">
        <v>16656.964550000001</v>
      </c>
      <c r="G113" s="137">
        <v>16656.964550000001</v>
      </c>
      <c r="H113" s="137">
        <v>16656.964550000001</v>
      </c>
      <c r="I113" s="137">
        <v>16656.964550000001</v>
      </c>
      <c r="J113" s="137">
        <v>16656.964550000001</v>
      </c>
      <c r="K113" s="137">
        <v>16656.964550000001</v>
      </c>
      <c r="L113" s="137">
        <v>16682.964550000001</v>
      </c>
      <c r="M113" s="137">
        <v>17766.462329999998</v>
      </c>
      <c r="N113" s="137">
        <v>19335.787339999999</v>
      </c>
      <c r="O113" s="137">
        <v>19335.787339999999</v>
      </c>
      <c r="P113" s="137">
        <v>19335.787339999999</v>
      </c>
      <c r="Q113" s="137">
        <v>19335.787339999999</v>
      </c>
      <c r="R113" s="137">
        <v>19335.787339999999</v>
      </c>
      <c r="T113" s="137">
        <f t="shared" si="7"/>
        <v>17774.626990769237</v>
      </c>
    </row>
    <row r="114" spans="1:20">
      <c r="A114" s="137" t="str">
        <f t="shared" si="9"/>
        <v>LGE</v>
      </c>
      <c r="B114" s="137" t="s">
        <v>867</v>
      </c>
      <c r="C114" s="137" t="str">
        <f t="shared" si="10"/>
        <v>397</v>
      </c>
      <c r="D114" s="134" t="s">
        <v>863</v>
      </c>
      <c r="E114" s="134" t="str">
        <f t="shared" si="4"/>
        <v/>
      </c>
      <c r="F114" s="137">
        <v>74.394850000000005</v>
      </c>
      <c r="G114" s="137">
        <v>74.394850000000005</v>
      </c>
      <c r="H114" s="137">
        <v>74.394850000000005</v>
      </c>
      <c r="I114" s="137">
        <v>74.394850000000005</v>
      </c>
      <c r="J114" s="137">
        <v>74.394850000000005</v>
      </c>
      <c r="K114" s="137">
        <v>74.394850000000005</v>
      </c>
      <c r="L114" s="137">
        <v>74.394850000000005</v>
      </c>
      <c r="M114" s="137">
        <v>74.394850000000005</v>
      </c>
      <c r="N114" s="137">
        <v>74.394850000000005</v>
      </c>
      <c r="O114" s="137">
        <v>74.394850000000005</v>
      </c>
      <c r="P114" s="137">
        <v>74.394850000000005</v>
      </c>
      <c r="Q114" s="137">
        <v>74.394850000000005</v>
      </c>
      <c r="R114" s="137">
        <v>74.394850000000005</v>
      </c>
      <c r="T114" s="137">
        <f t="shared" si="7"/>
        <v>74.394850000000005</v>
      </c>
    </row>
    <row r="115" spans="1:20">
      <c r="A115" s="137" t="str">
        <f t="shared" si="9"/>
        <v>LGE</v>
      </c>
      <c r="B115" s="137" t="s">
        <v>867</v>
      </c>
      <c r="C115" s="137" t="str">
        <f t="shared" si="10"/>
        <v>397</v>
      </c>
      <c r="D115" s="134" t="s">
        <v>864</v>
      </c>
      <c r="E115" s="134" t="str">
        <f t="shared" si="4"/>
        <v/>
      </c>
      <c r="F115" s="137">
        <v>20276.707799999898</v>
      </c>
      <c r="G115" s="137">
        <v>20276.707799999898</v>
      </c>
      <c r="H115" s="137">
        <v>20276.707799999898</v>
      </c>
      <c r="I115" s="137">
        <v>20276.707799999898</v>
      </c>
      <c r="J115" s="137">
        <v>20336.447409999899</v>
      </c>
      <c r="K115" s="137">
        <v>20401.447409999899</v>
      </c>
      <c r="L115" s="137">
        <v>20401.447409999899</v>
      </c>
      <c r="M115" s="137">
        <v>20531.447409999899</v>
      </c>
      <c r="N115" s="137">
        <v>21177.705389999901</v>
      </c>
      <c r="O115" s="137">
        <v>21177.705389999901</v>
      </c>
      <c r="P115" s="137">
        <v>21177.705389999901</v>
      </c>
      <c r="Q115" s="137">
        <v>21177.705389999901</v>
      </c>
      <c r="R115" s="137">
        <v>21177.705389999901</v>
      </c>
      <c r="T115" s="137">
        <f t="shared" si="7"/>
        <v>20666.62675307682</v>
      </c>
    </row>
    <row r="116" spans="1:20">
      <c r="E116" s="134"/>
      <c r="F116" s="336"/>
      <c r="G116" s="336"/>
      <c r="H116" s="336"/>
    </row>
    <row r="117" spans="1:20">
      <c r="E117" s="134"/>
    </row>
    <row r="118" spans="1:20">
      <c r="E118" s="134" t="str">
        <f t="shared" si="4"/>
        <v/>
      </c>
      <c r="T118" s="137">
        <f t="shared" si="7"/>
        <v>0</v>
      </c>
    </row>
    <row r="119" spans="1:20">
      <c r="E119" s="134" t="str">
        <f t="shared" si="4"/>
        <v/>
      </c>
      <c r="T119" s="137">
        <f t="shared" si="7"/>
        <v>0</v>
      </c>
    </row>
    <row r="120" spans="1:20">
      <c r="E120" s="134" t="str">
        <f t="shared" si="4"/>
        <v/>
      </c>
      <c r="T120" s="137">
        <f t="shared" si="7"/>
        <v>0</v>
      </c>
    </row>
    <row r="121" spans="1:20">
      <c r="E121" s="134" t="str">
        <f t="shared" si="4"/>
        <v/>
      </c>
      <c r="T121" s="137">
        <f t="shared" si="7"/>
        <v>0</v>
      </c>
    </row>
    <row r="122" spans="1:20">
      <c r="E122" s="134" t="str">
        <f t="shared" si="4"/>
        <v/>
      </c>
      <c r="T122" s="137">
        <f t="shared" si="7"/>
        <v>0</v>
      </c>
    </row>
    <row r="123" spans="1:20">
      <c r="E123" s="134" t="str">
        <f t="shared" si="4"/>
        <v/>
      </c>
      <c r="T123" s="137">
        <f t="shared" si="7"/>
        <v>0</v>
      </c>
    </row>
    <row r="124" spans="1:20">
      <c r="E124" s="134" t="str">
        <f t="shared" si="4"/>
        <v/>
      </c>
      <c r="T124" s="137">
        <f t="shared" si="7"/>
        <v>0</v>
      </c>
    </row>
    <row r="125" spans="1:20">
      <c r="E125" s="134" t="str">
        <f t="shared" si="4"/>
        <v/>
      </c>
      <c r="T125" s="137">
        <f t="shared" si="7"/>
        <v>0</v>
      </c>
    </row>
    <row r="126" spans="1:20">
      <c r="E126" s="134" t="str">
        <f t="shared" si="4"/>
        <v/>
      </c>
      <c r="T126" s="137">
        <f t="shared" si="7"/>
        <v>0</v>
      </c>
    </row>
    <row r="127" spans="1:20">
      <c r="E127" s="134" t="str">
        <f t="shared" si="4"/>
        <v/>
      </c>
      <c r="T127" s="137">
        <f t="shared" si="7"/>
        <v>0</v>
      </c>
    </row>
    <row r="128" spans="1:20">
      <c r="E128" s="134" t="str">
        <f t="shared" si="4"/>
        <v/>
      </c>
      <c r="T128" s="137">
        <f t="shared" si="7"/>
        <v>0</v>
      </c>
    </row>
    <row r="129" spans="1:20">
      <c r="E129" s="134" t="str">
        <f t="shared" si="4"/>
        <v/>
      </c>
      <c r="T129" s="137">
        <f t="shared" si="7"/>
        <v>0</v>
      </c>
    </row>
    <row r="130" spans="1:20">
      <c r="E130" s="134" t="str">
        <f t="shared" si="4"/>
        <v/>
      </c>
      <c r="T130" s="137">
        <f t="shared" si="7"/>
        <v>0</v>
      </c>
    </row>
    <row r="131" spans="1:20">
      <c r="E131" s="134" t="str">
        <f t="shared" si="4"/>
        <v/>
      </c>
      <c r="T131" s="137">
        <f t="shared" si="7"/>
        <v>0</v>
      </c>
    </row>
    <row r="132" spans="1:20">
      <c r="E132" s="134" t="str">
        <f t="shared" si="4"/>
        <v/>
      </c>
      <c r="T132" s="137">
        <f t="shared" si="7"/>
        <v>0</v>
      </c>
    </row>
    <row r="133" spans="1:20">
      <c r="E133" s="134" t="str">
        <f t="shared" si="4"/>
        <v/>
      </c>
      <c r="T133" s="137">
        <f t="shared" si="7"/>
        <v>0</v>
      </c>
    </row>
    <row r="134" spans="1:20">
      <c r="E134" s="134" t="str">
        <f t="shared" si="4"/>
        <v/>
      </c>
      <c r="T134" s="137">
        <f t="shared" si="7"/>
        <v>0</v>
      </c>
    </row>
    <row r="135" spans="1:20">
      <c r="E135" s="134" t="str">
        <f t="shared" ref="E135:E213" si="11">IF(ISTEXT(MID($D135,SEARCH("FUTURE USE",$D135),3)),"FUTURE USE",IF(ISTEXT(MID($D135,SEARCH("ECR",$D135),3)),"ECR",IF(ISTEXT(MID($D135,SEARCH("ARO",$D135),3)),"ARO",IF(ISTEXT(MID($D135,SEARCH("DSM",$D135),3)),"DSM",""))))</f>
        <v/>
      </c>
      <c r="T135" s="137">
        <f t="shared" si="7"/>
        <v>0</v>
      </c>
    </row>
    <row r="136" spans="1:20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11"/>
        <v/>
      </c>
      <c r="T136" s="137">
        <f t="shared" si="7"/>
        <v>0</v>
      </c>
    </row>
    <row r="137" spans="1:20">
      <c r="D137" s="134" t="s">
        <v>8</v>
      </c>
      <c r="E137" s="134" t="str">
        <f t="shared" si="11"/>
        <v/>
      </c>
      <c r="T137" s="137">
        <f t="shared" si="7"/>
        <v>0</v>
      </c>
    </row>
    <row r="138" spans="1:20">
      <c r="A138" s="137" t="str">
        <f t="shared" ref="A138:A203" si="12">MID($D138,4,3)</f>
        <v>LGE</v>
      </c>
      <c r="B138" s="137" t="s">
        <v>923</v>
      </c>
      <c r="C138" s="137" t="str">
        <f t="shared" ref="C138:C203" si="13">MID($D138,9,3)</f>
        <v>310</v>
      </c>
      <c r="D138" s="134" t="s">
        <v>1511</v>
      </c>
      <c r="E138" s="134" t="str">
        <f t="shared" si="11"/>
        <v>ECR</v>
      </c>
      <c r="F138" s="137">
        <v>0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0</v>
      </c>
      <c r="N138" s="137">
        <v>0</v>
      </c>
      <c r="O138" s="137">
        <v>0</v>
      </c>
      <c r="P138" s="137">
        <v>0</v>
      </c>
      <c r="Q138" s="137">
        <v>0</v>
      </c>
      <c r="R138" s="137">
        <v>0</v>
      </c>
      <c r="S138" s="137">
        <f>SUM(G138:R138)</f>
        <v>0</v>
      </c>
      <c r="T138" s="137">
        <f t="shared" si="7"/>
        <v>0</v>
      </c>
    </row>
    <row r="139" spans="1:20">
      <c r="A139" s="137" t="str">
        <f t="shared" si="12"/>
        <v>LGE</v>
      </c>
      <c r="B139" s="137" t="s">
        <v>923</v>
      </c>
      <c r="C139" s="137" t="str">
        <f t="shared" si="13"/>
        <v>310</v>
      </c>
      <c r="D139" s="134" t="s">
        <v>1816</v>
      </c>
      <c r="E139" s="134" t="str">
        <f t="shared" si="11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0</v>
      </c>
      <c r="S139" s="137">
        <f t="shared" ref="S139:S218" si="14">SUM(G139:R139)</f>
        <v>0</v>
      </c>
      <c r="T139" s="137">
        <f t="shared" si="7"/>
        <v>0</v>
      </c>
    </row>
    <row r="140" spans="1:20">
      <c r="A140" s="137" t="str">
        <f t="shared" si="12"/>
        <v>LGE</v>
      </c>
      <c r="B140" s="137" t="s">
        <v>923</v>
      </c>
      <c r="C140" s="137" t="str">
        <f t="shared" si="13"/>
        <v>311</v>
      </c>
      <c r="D140" s="134" t="s">
        <v>789</v>
      </c>
      <c r="E140" s="134" t="str">
        <f t="shared" si="11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0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4"/>
        <v>0</v>
      </c>
      <c r="T140" s="137">
        <f t="shared" si="7"/>
        <v>0</v>
      </c>
    </row>
    <row r="141" spans="1:20">
      <c r="A141" s="137" t="str">
        <f t="shared" si="12"/>
        <v>LGE</v>
      </c>
      <c r="B141" s="137" t="s">
        <v>923</v>
      </c>
      <c r="C141" s="137" t="str">
        <f t="shared" si="13"/>
        <v>311</v>
      </c>
      <c r="D141" s="134" t="s">
        <v>790</v>
      </c>
      <c r="E141" s="134" t="str">
        <f t="shared" si="11"/>
        <v/>
      </c>
      <c r="F141" s="137">
        <v>0</v>
      </c>
      <c r="G141" s="137">
        <v>0</v>
      </c>
      <c r="H141" s="137">
        <v>0</v>
      </c>
      <c r="I141" s="137">
        <v>322.10282999999998</v>
      </c>
      <c r="J141" s="137">
        <v>24.777149999999999</v>
      </c>
      <c r="K141" s="137">
        <v>322.10282999999998</v>
      </c>
      <c r="L141" s="137">
        <v>780.09753000000001</v>
      </c>
      <c r="M141" s="137">
        <v>0</v>
      </c>
      <c r="N141" s="137">
        <v>57.441160000000004</v>
      </c>
      <c r="O141" s="137">
        <v>0</v>
      </c>
      <c r="P141" s="137">
        <v>0</v>
      </c>
      <c r="Q141" s="137">
        <v>0</v>
      </c>
      <c r="R141" s="137">
        <v>58.129570000000001</v>
      </c>
      <c r="S141" s="137">
        <f t="shared" si="14"/>
        <v>1564.6510700000001</v>
      </c>
      <c r="T141" s="137">
        <f t="shared" si="7"/>
        <v>120.35777461538463</v>
      </c>
    </row>
    <row r="142" spans="1:20">
      <c r="A142" s="137" t="str">
        <f t="shared" si="12"/>
        <v>LGE</v>
      </c>
      <c r="B142" s="137" t="s">
        <v>923</v>
      </c>
      <c r="C142" s="137" t="str">
        <f t="shared" si="13"/>
        <v>312</v>
      </c>
      <c r="D142" s="134" t="s">
        <v>791</v>
      </c>
      <c r="E142" s="134" t="str">
        <f t="shared" si="11"/>
        <v/>
      </c>
      <c r="F142" s="137">
        <v>961.92073000000005</v>
      </c>
      <c r="G142" s="137">
        <v>8668.1999400000004</v>
      </c>
      <c r="H142" s="137">
        <v>2302.0652999999902</v>
      </c>
      <c r="I142" s="137">
        <v>2964.49638</v>
      </c>
      <c r="J142" s="137">
        <v>458.33332999999999</v>
      </c>
      <c r="K142" s="137">
        <v>-575.66306999999995</v>
      </c>
      <c r="L142" s="137">
        <v>503.87612999999999</v>
      </c>
      <c r="M142" s="137">
        <v>8660.7955899999997</v>
      </c>
      <c r="N142" s="137">
        <v>7808.9036999999998</v>
      </c>
      <c r="O142" s="137">
        <v>8.3333700000000004</v>
      </c>
      <c r="P142" s="137">
        <v>8.3333300000000001</v>
      </c>
      <c r="Q142" s="137">
        <v>104.52135</v>
      </c>
      <c r="R142" s="137">
        <v>568.33333000000005</v>
      </c>
      <c r="S142" s="137">
        <f t="shared" si="14"/>
        <v>31480.528679999989</v>
      </c>
      <c r="T142" s="137">
        <f t="shared" si="7"/>
        <v>2495.5730315384612</v>
      </c>
    </row>
    <row r="143" spans="1:20">
      <c r="A143" s="137" t="str">
        <f t="shared" si="12"/>
        <v>LGE</v>
      </c>
      <c r="B143" s="137" t="s">
        <v>923</v>
      </c>
      <c r="C143" s="137" t="str">
        <f t="shared" si="13"/>
        <v>312</v>
      </c>
      <c r="D143" s="134" t="s">
        <v>792</v>
      </c>
      <c r="E143" s="134" t="str">
        <f t="shared" si="11"/>
        <v>ECR</v>
      </c>
      <c r="F143" s="137">
        <v>244.85</v>
      </c>
      <c r="G143" s="137">
        <v>37</v>
      </c>
      <c r="H143" s="137">
        <v>37</v>
      </c>
      <c r="I143" s="137">
        <v>37</v>
      </c>
      <c r="J143" s="137">
        <v>37</v>
      </c>
      <c r="K143" s="137">
        <v>37</v>
      </c>
      <c r="L143" s="137">
        <v>37</v>
      </c>
      <c r="M143" s="137">
        <v>25461.037559999899</v>
      </c>
      <c r="N143" s="137">
        <v>41240.439629999899</v>
      </c>
      <c r="O143" s="137">
        <v>539.92998999999998</v>
      </c>
      <c r="P143" s="137">
        <v>1593.15</v>
      </c>
      <c r="Q143" s="137">
        <v>69.55</v>
      </c>
      <c r="R143" s="137">
        <v>184.35</v>
      </c>
      <c r="S143" s="137">
        <f t="shared" si="14"/>
        <v>69310.457179999808</v>
      </c>
      <c r="T143" s="137">
        <f t="shared" si="7"/>
        <v>5350.4082446153689</v>
      </c>
    </row>
    <row r="144" spans="1:20">
      <c r="A144" s="137" t="str">
        <f t="shared" si="12"/>
        <v>LGE</v>
      </c>
      <c r="B144" s="137" t="s">
        <v>923</v>
      </c>
      <c r="C144" s="137" t="str">
        <f t="shared" si="13"/>
        <v>312</v>
      </c>
      <c r="D144" s="134" t="s">
        <v>793</v>
      </c>
      <c r="E144" s="134" t="str">
        <f t="shared" si="11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0</v>
      </c>
      <c r="M144" s="137">
        <v>0</v>
      </c>
      <c r="N144" s="137">
        <v>0</v>
      </c>
      <c r="O144" s="137">
        <v>0</v>
      </c>
      <c r="P144" s="137">
        <v>0</v>
      </c>
      <c r="Q144" s="137">
        <v>0</v>
      </c>
      <c r="R144" s="137">
        <v>0</v>
      </c>
      <c r="S144" s="137">
        <f t="shared" si="14"/>
        <v>0</v>
      </c>
      <c r="T144" s="137">
        <f t="shared" si="7"/>
        <v>0</v>
      </c>
    </row>
    <row r="145" spans="1:20">
      <c r="A145" s="137" t="str">
        <f t="shared" si="12"/>
        <v>LGE</v>
      </c>
      <c r="B145" s="137" t="s">
        <v>923</v>
      </c>
      <c r="C145" s="137" t="str">
        <f t="shared" si="13"/>
        <v>312</v>
      </c>
      <c r="D145" s="134" t="s">
        <v>1512</v>
      </c>
      <c r="E145" s="134" t="str">
        <f t="shared" si="11"/>
        <v>ECR</v>
      </c>
      <c r="F145" s="137">
        <v>44452.336259999996</v>
      </c>
      <c r="G145" s="137">
        <v>1665.4805200000001</v>
      </c>
      <c r="H145" s="137">
        <v>1190.0005900000001</v>
      </c>
      <c r="I145" s="137">
        <v>1353.00072</v>
      </c>
      <c r="J145" s="137">
        <v>3423.00074</v>
      </c>
      <c r="K145" s="137">
        <v>1634.09294</v>
      </c>
      <c r="L145" s="137">
        <v>1634.09302</v>
      </c>
      <c r="M145" s="137">
        <v>1285.0929100000001</v>
      </c>
      <c r="N145" s="137">
        <v>4791.4857199999997</v>
      </c>
      <c r="O145" s="137">
        <v>430.87727000000001</v>
      </c>
      <c r="P145" s="137">
        <v>144.09227000000001</v>
      </c>
      <c r="Q145" s="137">
        <v>206.09227000000001</v>
      </c>
      <c r="R145" s="137">
        <v>206.09227000000001</v>
      </c>
      <c r="S145" s="137">
        <f t="shared" si="14"/>
        <v>17963.401240000003</v>
      </c>
      <c r="T145" s="137">
        <f t="shared" si="7"/>
        <v>4801.2105769230775</v>
      </c>
    </row>
    <row r="146" spans="1:20">
      <c r="A146" s="137" t="str">
        <f t="shared" si="12"/>
        <v>LGE</v>
      </c>
      <c r="B146" s="137" t="s">
        <v>923</v>
      </c>
      <c r="C146" s="137" t="str">
        <f t="shared" si="13"/>
        <v>314</v>
      </c>
      <c r="D146" s="134" t="s">
        <v>795</v>
      </c>
      <c r="E146" s="134" t="str">
        <f t="shared" si="11"/>
        <v/>
      </c>
      <c r="F146" s="137">
        <v>174.30793999999901</v>
      </c>
      <c r="G146" s="137">
        <v>3874.0267399999998</v>
      </c>
      <c r="H146" s="137">
        <v>0</v>
      </c>
      <c r="I146" s="137">
        <v>0</v>
      </c>
      <c r="J146" s="137">
        <v>0</v>
      </c>
      <c r="K146" s="137">
        <v>0</v>
      </c>
      <c r="L146" s="137">
        <v>0</v>
      </c>
      <c r="M146" s="137">
        <v>0</v>
      </c>
      <c r="N146" s="137">
        <v>9091.1663100000005</v>
      </c>
      <c r="O146" s="137">
        <v>0</v>
      </c>
      <c r="P146" s="137">
        <v>0</v>
      </c>
      <c r="Q146" s="137">
        <v>0</v>
      </c>
      <c r="R146" s="137">
        <v>0</v>
      </c>
      <c r="S146" s="137">
        <f t="shared" si="14"/>
        <v>12965.19305</v>
      </c>
      <c r="T146" s="137">
        <f t="shared" si="7"/>
        <v>1010.7308453846155</v>
      </c>
    </row>
    <row r="147" spans="1:20">
      <c r="A147" s="137" t="str">
        <f t="shared" si="12"/>
        <v>LGE</v>
      </c>
      <c r="B147" s="137" t="s">
        <v>923</v>
      </c>
      <c r="C147" s="137" t="str">
        <f t="shared" si="13"/>
        <v>315</v>
      </c>
      <c r="D147" s="134" t="s">
        <v>796</v>
      </c>
      <c r="E147" s="134" t="str">
        <f t="shared" si="11"/>
        <v/>
      </c>
      <c r="F147" s="137">
        <v>257.86777999999998</v>
      </c>
      <c r="G147" s="137">
        <v>106.43325</v>
      </c>
      <c r="H147" s="137">
        <v>21.002829999999999</v>
      </c>
      <c r="I147" s="137">
        <v>0</v>
      </c>
      <c r="J147" s="137">
        <v>193.72354999999999</v>
      </c>
      <c r="K147" s="137">
        <v>238.04606000000001</v>
      </c>
      <c r="L147" s="137">
        <v>0</v>
      </c>
      <c r="M147" s="137">
        <v>323.84231</v>
      </c>
      <c r="N147" s="137">
        <v>2268.4704200000001</v>
      </c>
      <c r="O147" s="137">
        <v>0</v>
      </c>
      <c r="P147" s="137">
        <v>0</v>
      </c>
      <c r="Q147" s="137">
        <v>0</v>
      </c>
      <c r="R147" s="137">
        <v>0</v>
      </c>
      <c r="S147" s="137">
        <f t="shared" si="14"/>
        <v>3151.5184200000003</v>
      </c>
      <c r="T147" s="137">
        <f t="shared" si="7"/>
        <v>262.26047692307691</v>
      </c>
    </row>
    <row r="148" spans="1:20">
      <c r="A148" s="137" t="str">
        <f t="shared" si="12"/>
        <v>LGE</v>
      </c>
      <c r="B148" s="137" t="s">
        <v>923</v>
      </c>
      <c r="C148" s="137" t="str">
        <f t="shared" si="13"/>
        <v>315</v>
      </c>
      <c r="D148" s="134" t="s">
        <v>1514</v>
      </c>
      <c r="E148" s="134" t="str">
        <f t="shared" si="11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4"/>
        <v>0</v>
      </c>
      <c r="T148" s="137">
        <f t="shared" si="7"/>
        <v>0</v>
      </c>
    </row>
    <row r="149" spans="1:20">
      <c r="A149" s="137" t="str">
        <f t="shared" si="12"/>
        <v>LGE</v>
      </c>
      <c r="B149" s="137" t="s">
        <v>923</v>
      </c>
      <c r="C149" s="137" t="str">
        <f t="shared" si="13"/>
        <v>316</v>
      </c>
      <c r="D149" s="134" t="s">
        <v>797</v>
      </c>
      <c r="E149" s="134" t="str">
        <f t="shared" si="11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4"/>
        <v>0</v>
      </c>
      <c r="T149" s="137">
        <f t="shared" si="7"/>
        <v>0</v>
      </c>
    </row>
    <row r="150" spans="1:20">
      <c r="A150" s="137" t="str">
        <f t="shared" si="12"/>
        <v>LGE</v>
      </c>
      <c r="B150" s="137" t="s">
        <v>923</v>
      </c>
      <c r="C150" s="137" t="str">
        <f t="shared" si="13"/>
        <v>316</v>
      </c>
      <c r="D150" s="134" t="s">
        <v>798</v>
      </c>
      <c r="E150" s="134" t="str">
        <f t="shared" si="11"/>
        <v/>
      </c>
      <c r="F150" s="137">
        <v>303.63558999999998</v>
      </c>
      <c r="G150" s="137">
        <v>2819.6349799999998</v>
      </c>
      <c r="H150" s="137">
        <v>0</v>
      </c>
      <c r="I150" s="137">
        <v>119.977009999999</v>
      </c>
      <c r="J150" s="137">
        <v>201.61267000000001</v>
      </c>
      <c r="K150" s="137">
        <v>2889.0775699999999</v>
      </c>
      <c r="L150" s="137">
        <v>1328.53557</v>
      </c>
      <c r="M150" s="137">
        <v>9390.7873899999995</v>
      </c>
      <c r="N150" s="137">
        <v>5468.3607599999996</v>
      </c>
      <c r="O150" s="137">
        <v>0</v>
      </c>
      <c r="P150" s="137">
        <v>0</v>
      </c>
      <c r="Q150" s="137">
        <v>47.03134</v>
      </c>
      <c r="R150" s="137">
        <v>1535.96272</v>
      </c>
      <c r="S150" s="137">
        <f t="shared" si="14"/>
        <v>23800.980009999999</v>
      </c>
      <c r="T150" s="137">
        <f t="shared" si="7"/>
        <v>1854.2011999999997</v>
      </c>
    </row>
    <row r="151" spans="1:20">
      <c r="A151" s="137" t="str">
        <f t="shared" si="12"/>
        <v>LGE</v>
      </c>
      <c r="B151" s="137" t="s">
        <v>923</v>
      </c>
      <c r="C151" s="137" t="str">
        <f t="shared" si="13"/>
        <v>317</v>
      </c>
      <c r="D151" s="134" t="s">
        <v>799</v>
      </c>
      <c r="E151" s="134" t="str">
        <f t="shared" si="11"/>
        <v>ARO</v>
      </c>
      <c r="F151" s="137">
        <v>0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4"/>
        <v>0</v>
      </c>
      <c r="T151" s="137">
        <f t="shared" si="7"/>
        <v>0</v>
      </c>
    </row>
    <row r="152" spans="1:20">
      <c r="A152" s="137" t="str">
        <f t="shared" si="12"/>
        <v>LGE</v>
      </c>
      <c r="B152" s="137" t="s">
        <v>923</v>
      </c>
      <c r="C152" s="137" t="str">
        <f t="shared" si="13"/>
        <v>317</v>
      </c>
      <c r="D152" s="134" t="s">
        <v>1817</v>
      </c>
      <c r="E152" s="134" t="str">
        <f t="shared" si="11"/>
        <v>ARO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4"/>
        <v>0</v>
      </c>
      <c r="T152" s="137">
        <f t="shared" si="7"/>
        <v>0</v>
      </c>
    </row>
    <row r="153" spans="1:20">
      <c r="A153" s="137" t="str">
        <f t="shared" si="12"/>
        <v>LGE</v>
      </c>
      <c r="B153" s="137" t="s">
        <v>923</v>
      </c>
      <c r="C153" s="137" t="str">
        <f t="shared" si="13"/>
        <v>331</v>
      </c>
      <c r="D153" s="134" t="s">
        <v>801</v>
      </c>
      <c r="E153" s="134" t="str">
        <f t="shared" si="11"/>
        <v/>
      </c>
      <c r="F153" s="137">
        <v>0</v>
      </c>
      <c r="G153" s="137">
        <v>0</v>
      </c>
      <c r="H153" s="137">
        <v>0</v>
      </c>
      <c r="I153" s="137">
        <v>0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4"/>
        <v>0</v>
      </c>
      <c r="T153" s="137">
        <f t="shared" si="7"/>
        <v>0</v>
      </c>
    </row>
    <row r="154" spans="1:20">
      <c r="A154" s="137" t="str">
        <f t="shared" si="12"/>
        <v>LGE</v>
      </c>
      <c r="B154" s="137" t="s">
        <v>923</v>
      </c>
      <c r="C154" s="137" t="str">
        <f t="shared" si="13"/>
        <v>332</v>
      </c>
      <c r="D154" s="134" t="s">
        <v>802</v>
      </c>
      <c r="E154" s="134" t="str">
        <f t="shared" si="11"/>
        <v/>
      </c>
      <c r="F154" s="137">
        <v>0</v>
      </c>
      <c r="G154" s="137">
        <v>0</v>
      </c>
      <c r="H154" s="137">
        <v>0</v>
      </c>
      <c r="I154" s="137">
        <v>0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137">
        <v>0</v>
      </c>
      <c r="P154" s="137">
        <v>0</v>
      </c>
      <c r="Q154" s="137">
        <v>0</v>
      </c>
      <c r="R154" s="137">
        <v>0</v>
      </c>
      <c r="S154" s="137">
        <f t="shared" si="14"/>
        <v>0</v>
      </c>
      <c r="T154" s="137">
        <f t="shared" ref="T154:T232" si="15">SUM(F154:R154)/13</f>
        <v>0</v>
      </c>
    </row>
    <row r="155" spans="1:20">
      <c r="A155" s="137" t="str">
        <f t="shared" si="12"/>
        <v>LGE</v>
      </c>
      <c r="B155" s="137" t="s">
        <v>923</v>
      </c>
      <c r="C155" s="137" t="str">
        <f t="shared" si="13"/>
        <v>333</v>
      </c>
      <c r="D155" s="134" t="s">
        <v>803</v>
      </c>
      <c r="E155" s="134" t="str">
        <f t="shared" si="11"/>
        <v/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f t="shared" si="14"/>
        <v>0</v>
      </c>
      <c r="T155" s="137">
        <f t="shared" si="15"/>
        <v>0</v>
      </c>
    </row>
    <row r="156" spans="1:20">
      <c r="A156" s="137" t="str">
        <f t="shared" si="12"/>
        <v>LGE</v>
      </c>
      <c r="B156" s="137" t="s">
        <v>923</v>
      </c>
      <c r="C156" s="137" t="str">
        <f t="shared" si="13"/>
        <v>334</v>
      </c>
      <c r="D156" s="134" t="s">
        <v>804</v>
      </c>
      <c r="E156" s="134" t="str">
        <f t="shared" si="11"/>
        <v/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4"/>
        <v>0</v>
      </c>
      <c r="T156" s="137">
        <f t="shared" si="15"/>
        <v>0</v>
      </c>
    </row>
    <row r="157" spans="1:20">
      <c r="A157" s="137" t="str">
        <f t="shared" si="12"/>
        <v>LGE</v>
      </c>
      <c r="B157" s="137" t="s">
        <v>923</v>
      </c>
      <c r="C157" s="137" t="str">
        <f t="shared" si="13"/>
        <v>335</v>
      </c>
      <c r="D157" s="134" t="s">
        <v>805</v>
      </c>
      <c r="E157" s="134" t="str">
        <f t="shared" si="11"/>
        <v/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4"/>
        <v>0</v>
      </c>
      <c r="T157" s="137">
        <f t="shared" si="15"/>
        <v>0</v>
      </c>
    </row>
    <row r="158" spans="1:20">
      <c r="A158" s="137" t="str">
        <f t="shared" si="12"/>
        <v>LGE</v>
      </c>
      <c r="B158" s="137" t="s">
        <v>923</v>
      </c>
      <c r="C158" s="137" t="str">
        <f t="shared" si="13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102.81274999999999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4"/>
        <v>102.81274999999999</v>
      </c>
      <c r="T158" s="137">
        <f t="shared" si="15"/>
        <v>7.9086730769230762</v>
      </c>
    </row>
    <row r="159" spans="1:20">
      <c r="A159" s="137" t="str">
        <f t="shared" si="12"/>
        <v>LGE</v>
      </c>
      <c r="B159" s="137" t="s">
        <v>923</v>
      </c>
      <c r="C159" s="137" t="str">
        <f t="shared" si="13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4"/>
        <v>0</v>
      </c>
      <c r="T159" s="137">
        <f t="shared" si="15"/>
        <v>0</v>
      </c>
    </row>
    <row r="160" spans="1:20">
      <c r="A160" s="137" t="str">
        <f t="shared" si="12"/>
        <v>LGE</v>
      </c>
      <c r="B160" s="137" t="s">
        <v>923</v>
      </c>
      <c r="C160" s="137" t="str">
        <f t="shared" si="13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f t="shared" si="14"/>
        <v>0</v>
      </c>
      <c r="T160" s="137">
        <f t="shared" si="15"/>
        <v>0</v>
      </c>
    </row>
    <row r="161" spans="1:20">
      <c r="A161" s="137" t="str">
        <f t="shared" si="12"/>
        <v>LGE</v>
      </c>
      <c r="B161" s="137" t="s">
        <v>923</v>
      </c>
      <c r="C161" s="137" t="str">
        <f t="shared" si="13"/>
        <v>341</v>
      </c>
      <c r="D161" s="134" t="s">
        <v>1516</v>
      </c>
      <c r="E161" s="134" t="str">
        <f t="shared" si="11"/>
        <v/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f t="shared" si="14"/>
        <v>0</v>
      </c>
      <c r="T161" s="137">
        <f t="shared" si="15"/>
        <v>0</v>
      </c>
    </row>
    <row r="162" spans="1:20">
      <c r="A162" s="137" t="str">
        <f t="shared" si="12"/>
        <v>LGE</v>
      </c>
      <c r="B162" s="137" t="s">
        <v>923</v>
      </c>
      <c r="C162" s="137" t="str">
        <f t="shared" si="13"/>
        <v>341</v>
      </c>
      <c r="D162" s="134" t="s">
        <v>1517</v>
      </c>
      <c r="E162" s="134" t="str">
        <f t="shared" si="11"/>
        <v/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4"/>
        <v>0</v>
      </c>
      <c r="T162" s="137">
        <f t="shared" si="15"/>
        <v>0</v>
      </c>
    </row>
    <row r="163" spans="1:20">
      <c r="A163" s="137" t="str">
        <f t="shared" si="12"/>
        <v>LGE</v>
      </c>
      <c r="B163" s="137" t="s">
        <v>923</v>
      </c>
      <c r="C163" s="137" t="str">
        <f t="shared" si="13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f t="shared" si="14"/>
        <v>0</v>
      </c>
      <c r="T163" s="137">
        <f t="shared" si="15"/>
        <v>0</v>
      </c>
    </row>
    <row r="164" spans="1:20">
      <c r="A164" s="137" t="str">
        <f t="shared" si="12"/>
        <v>LGE</v>
      </c>
      <c r="B164" s="137" t="s">
        <v>923</v>
      </c>
      <c r="C164" s="137" t="str">
        <f t="shared" si="13"/>
        <v>343</v>
      </c>
      <c r="D164" s="134" t="s">
        <v>811</v>
      </c>
      <c r="E164" s="134" t="str">
        <f t="shared" si="11"/>
        <v/>
      </c>
      <c r="F164" s="137">
        <v>67.816209999999998</v>
      </c>
      <c r="G164" s="137">
        <v>7827.1364899999999</v>
      </c>
      <c r="H164" s="137">
        <v>0</v>
      </c>
      <c r="I164" s="137">
        <v>0</v>
      </c>
      <c r="J164" s="137">
        <v>0</v>
      </c>
      <c r="K164" s="137">
        <v>317.44612999999998</v>
      </c>
      <c r="L164" s="137">
        <v>218.51455999999999</v>
      </c>
      <c r="M164" s="137">
        <v>0</v>
      </c>
      <c r="N164" s="137">
        <v>569.61289999999997</v>
      </c>
      <c r="O164" s="137">
        <v>0</v>
      </c>
      <c r="P164" s="137">
        <v>0</v>
      </c>
      <c r="Q164" s="137">
        <v>0</v>
      </c>
      <c r="R164" s="137">
        <v>0</v>
      </c>
      <c r="S164" s="137">
        <f t="shared" si="14"/>
        <v>8932.7100800000007</v>
      </c>
      <c r="T164" s="137">
        <f t="shared" si="15"/>
        <v>692.34817615384611</v>
      </c>
    </row>
    <row r="165" spans="1:20">
      <c r="A165" s="137" t="str">
        <f t="shared" si="12"/>
        <v>LGE</v>
      </c>
      <c r="B165" s="137" t="s">
        <v>923</v>
      </c>
      <c r="C165" s="137" t="str">
        <f t="shared" si="13"/>
        <v>343</v>
      </c>
      <c r="D165" s="134" t="s">
        <v>1520</v>
      </c>
      <c r="E165" s="134" t="str">
        <f t="shared" si="11"/>
        <v/>
      </c>
      <c r="F165" s="137">
        <v>0</v>
      </c>
      <c r="G165" s="137">
        <v>0</v>
      </c>
      <c r="H165" s="137">
        <v>29.012509999999999</v>
      </c>
      <c r="I165" s="137">
        <v>0</v>
      </c>
      <c r="J165" s="137">
        <v>0</v>
      </c>
      <c r="K165" s="137">
        <v>29.012509999999999</v>
      </c>
      <c r="L165" s="137">
        <v>20.113769999999999</v>
      </c>
      <c r="M165" s="137">
        <v>0</v>
      </c>
      <c r="N165" s="137">
        <v>29.012509999999999</v>
      </c>
      <c r="O165" s="137">
        <v>0</v>
      </c>
      <c r="P165" s="137">
        <v>0</v>
      </c>
      <c r="Q165" s="137">
        <v>29.07977</v>
      </c>
      <c r="R165" s="137">
        <v>5001.0565299999998</v>
      </c>
      <c r="S165" s="137">
        <f t="shared" si="14"/>
        <v>5137.2875999999997</v>
      </c>
      <c r="T165" s="137">
        <f t="shared" si="15"/>
        <v>395.17596923076923</v>
      </c>
    </row>
    <row r="166" spans="1:20">
      <c r="A166" s="137" t="str">
        <f t="shared" si="12"/>
        <v>LGE</v>
      </c>
      <c r="B166" s="137" t="s">
        <v>923</v>
      </c>
      <c r="C166" s="137" t="str">
        <f t="shared" si="13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190.46768</v>
      </c>
      <c r="H166" s="137">
        <v>0</v>
      </c>
      <c r="I166" s="137">
        <v>0</v>
      </c>
      <c r="J166" s="137">
        <v>0</v>
      </c>
      <c r="K166" s="137">
        <v>0</v>
      </c>
      <c r="L166" s="137">
        <v>0</v>
      </c>
      <c r="M166" s="137">
        <v>289.27303000000001</v>
      </c>
      <c r="N166" s="137">
        <v>0</v>
      </c>
      <c r="O166" s="137">
        <v>0</v>
      </c>
      <c r="P166" s="137">
        <v>0</v>
      </c>
      <c r="Q166" s="137">
        <v>0</v>
      </c>
      <c r="R166" s="137">
        <v>0</v>
      </c>
      <c r="S166" s="137">
        <f t="shared" si="14"/>
        <v>479.74071000000004</v>
      </c>
      <c r="T166" s="137">
        <f t="shared" si="15"/>
        <v>36.903131538461544</v>
      </c>
    </row>
    <row r="167" spans="1:20">
      <c r="A167" s="137" t="str">
        <f t="shared" si="12"/>
        <v>LGE</v>
      </c>
      <c r="B167" s="137" t="s">
        <v>923</v>
      </c>
      <c r="C167" s="137" t="str">
        <f t="shared" si="13"/>
        <v>344</v>
      </c>
      <c r="D167" s="134" t="s">
        <v>1521</v>
      </c>
      <c r="E167" s="134" t="str">
        <f t="shared" si="11"/>
        <v/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0</v>
      </c>
      <c r="P167" s="137">
        <v>0</v>
      </c>
      <c r="Q167" s="137">
        <v>0</v>
      </c>
      <c r="R167" s="137">
        <v>233.61749</v>
      </c>
      <c r="S167" s="137">
        <f t="shared" si="14"/>
        <v>233.61749</v>
      </c>
      <c r="T167" s="137">
        <f t="shared" si="15"/>
        <v>17.970576153846153</v>
      </c>
    </row>
    <row r="168" spans="1:20">
      <c r="A168" s="137" t="str">
        <f t="shared" si="12"/>
        <v>LGE</v>
      </c>
      <c r="B168" s="137" t="s">
        <v>923</v>
      </c>
      <c r="C168" s="137" t="str">
        <f t="shared" si="13"/>
        <v>344</v>
      </c>
      <c r="D168" s="134" t="s">
        <v>1522</v>
      </c>
      <c r="E168" s="134" t="str">
        <f t="shared" si="11"/>
        <v/>
      </c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0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4"/>
        <v>0</v>
      </c>
      <c r="T168" s="137">
        <f t="shared" si="15"/>
        <v>0</v>
      </c>
    </row>
    <row r="169" spans="1:20">
      <c r="A169" s="137" t="str">
        <f t="shared" si="12"/>
        <v>LGE</v>
      </c>
      <c r="B169" s="137" t="s">
        <v>923</v>
      </c>
      <c r="C169" s="137" t="str">
        <f t="shared" si="13"/>
        <v>345</v>
      </c>
      <c r="D169" s="134" t="s">
        <v>813</v>
      </c>
      <c r="E169" s="134" t="str">
        <f t="shared" si="11"/>
        <v/>
      </c>
      <c r="F169" s="137">
        <v>30.147819999999999</v>
      </c>
      <c r="G169" s="137">
        <v>0</v>
      </c>
      <c r="H169" s="137">
        <v>0</v>
      </c>
      <c r="I169" s="137">
        <v>0</v>
      </c>
      <c r="J169" s="137">
        <v>0</v>
      </c>
      <c r="K169" s="137">
        <v>0</v>
      </c>
      <c r="L169" s="137">
        <v>0</v>
      </c>
      <c r="M169" s="137">
        <v>0</v>
      </c>
      <c r="N169" s="137">
        <v>0</v>
      </c>
      <c r="O169" s="137">
        <v>0</v>
      </c>
      <c r="P169" s="137">
        <v>0</v>
      </c>
      <c r="Q169" s="137">
        <v>0</v>
      </c>
      <c r="R169" s="137">
        <v>180.38641999999999</v>
      </c>
      <c r="S169" s="137">
        <f t="shared" si="14"/>
        <v>180.38641999999999</v>
      </c>
      <c r="T169" s="137">
        <f t="shared" si="15"/>
        <v>16.194941538461538</v>
      </c>
    </row>
    <row r="170" spans="1:20">
      <c r="A170" s="137" t="str">
        <f t="shared" si="12"/>
        <v>LGE</v>
      </c>
      <c r="B170" s="137" t="s">
        <v>923</v>
      </c>
      <c r="C170" s="137" t="str">
        <f t="shared" si="13"/>
        <v>345</v>
      </c>
      <c r="D170" s="134" t="s">
        <v>1523</v>
      </c>
      <c r="E170" s="134" t="str">
        <f t="shared" si="11"/>
        <v/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f t="shared" si="14"/>
        <v>0</v>
      </c>
      <c r="T170" s="137">
        <f t="shared" si="15"/>
        <v>0</v>
      </c>
    </row>
    <row r="171" spans="1:20">
      <c r="A171" s="137" t="str">
        <f t="shared" si="12"/>
        <v>LGE</v>
      </c>
      <c r="B171" s="137" t="s">
        <v>923</v>
      </c>
      <c r="C171" s="137" t="str">
        <f t="shared" si="13"/>
        <v>345</v>
      </c>
      <c r="D171" s="134" t="s">
        <v>1524</v>
      </c>
      <c r="E171" s="134" t="str">
        <f t="shared" si="11"/>
        <v/>
      </c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1018.873</v>
      </c>
      <c r="O171" s="137">
        <v>33.5</v>
      </c>
      <c r="P171" s="137">
        <v>33.5</v>
      </c>
      <c r="Q171" s="137">
        <v>33.5</v>
      </c>
      <c r="R171" s="137">
        <v>33.5</v>
      </c>
      <c r="S171" s="137">
        <f t="shared" si="14"/>
        <v>1152.873</v>
      </c>
      <c r="T171" s="137">
        <f t="shared" si="15"/>
        <v>88.682538461538471</v>
      </c>
    </row>
    <row r="172" spans="1:20">
      <c r="A172" s="137" t="str">
        <f t="shared" si="12"/>
        <v>LGE</v>
      </c>
      <c r="B172" s="137" t="s">
        <v>923</v>
      </c>
      <c r="C172" s="137" t="str">
        <f t="shared" si="13"/>
        <v>346</v>
      </c>
      <c r="D172" s="134" t="s">
        <v>814</v>
      </c>
      <c r="E172" s="134" t="str">
        <f t="shared" si="11"/>
        <v/>
      </c>
      <c r="F172" s="137">
        <v>271.01812000000001</v>
      </c>
      <c r="G172" s="137">
        <v>0</v>
      </c>
      <c r="H172" s="137">
        <v>13.131879999999899</v>
      </c>
      <c r="I172" s="137">
        <v>0</v>
      </c>
      <c r="J172" s="137">
        <v>0</v>
      </c>
      <c r="K172" s="137">
        <v>0</v>
      </c>
      <c r="L172" s="137">
        <v>69.375990000000002</v>
      </c>
      <c r="M172" s="137">
        <v>0</v>
      </c>
      <c r="N172" s="137">
        <v>0</v>
      </c>
      <c r="O172" s="137">
        <v>0</v>
      </c>
      <c r="P172" s="137">
        <v>337.55246</v>
      </c>
      <c r="Q172" s="137">
        <v>0</v>
      </c>
      <c r="R172" s="137">
        <v>294.35561999999999</v>
      </c>
      <c r="S172" s="137">
        <f t="shared" si="14"/>
        <v>714.41594999999984</v>
      </c>
      <c r="T172" s="137">
        <f t="shared" si="15"/>
        <v>75.802620769230771</v>
      </c>
    </row>
    <row r="173" spans="1:20">
      <c r="A173" s="137" t="str">
        <f t="shared" si="12"/>
        <v>LGE</v>
      </c>
      <c r="B173" s="137" t="s">
        <v>923</v>
      </c>
      <c r="C173" s="137" t="str">
        <f t="shared" si="13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78.541759999999996</v>
      </c>
      <c r="I173" s="137">
        <v>0</v>
      </c>
      <c r="J173" s="137">
        <v>0</v>
      </c>
      <c r="K173" s="137">
        <v>50.14893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79.58417</v>
      </c>
      <c r="R173" s="137">
        <v>0</v>
      </c>
      <c r="S173" s="137">
        <f t="shared" si="14"/>
        <v>208.27485999999999</v>
      </c>
      <c r="T173" s="137">
        <f t="shared" si="15"/>
        <v>16.021143076923074</v>
      </c>
    </row>
    <row r="174" spans="1:20">
      <c r="A174" s="137" t="str">
        <f t="shared" si="12"/>
        <v>LGE</v>
      </c>
      <c r="B174" s="137" t="s">
        <v>923</v>
      </c>
      <c r="C174" s="137" t="str">
        <f t="shared" si="13"/>
        <v>346</v>
      </c>
      <c r="D174" s="134" t="s">
        <v>1526</v>
      </c>
      <c r="E174" s="134" t="str">
        <f t="shared" si="11"/>
        <v/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4"/>
        <v>0</v>
      </c>
      <c r="T174" s="137">
        <f t="shared" si="15"/>
        <v>0</v>
      </c>
    </row>
    <row r="175" spans="1:20">
      <c r="A175" s="137" t="str">
        <f t="shared" si="12"/>
        <v>LGE</v>
      </c>
      <c r="B175" s="137" t="s">
        <v>923</v>
      </c>
      <c r="C175" s="137" t="str">
        <f t="shared" si="13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36.003519999999902</v>
      </c>
      <c r="M175" s="137">
        <v>0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4"/>
        <v>36.003519999999902</v>
      </c>
      <c r="T175" s="137">
        <f t="shared" si="15"/>
        <v>2.7695015384615309</v>
      </c>
    </row>
    <row r="176" spans="1:20">
      <c r="A176" s="137" t="str">
        <f t="shared" si="12"/>
        <v>LGE</v>
      </c>
      <c r="B176" s="137" t="s">
        <v>923</v>
      </c>
      <c r="C176" s="137" t="str">
        <f t="shared" si="13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7">
        <v>0</v>
      </c>
      <c r="M176" s="137">
        <v>10.99405</v>
      </c>
      <c r="N176" s="137">
        <v>0</v>
      </c>
      <c r="O176" s="137">
        <v>0</v>
      </c>
      <c r="P176" s="137">
        <v>0</v>
      </c>
      <c r="Q176" s="137">
        <v>0</v>
      </c>
      <c r="R176" s="137">
        <v>0</v>
      </c>
      <c r="S176" s="137">
        <f t="shared" si="14"/>
        <v>10.99405</v>
      </c>
      <c r="T176" s="137">
        <f t="shared" si="15"/>
        <v>0.84569615384615382</v>
      </c>
    </row>
    <row r="177" spans="1:20">
      <c r="A177" s="137" t="str">
        <f t="shared" si="12"/>
        <v>LGE</v>
      </c>
      <c r="B177" s="137" t="s">
        <v>923</v>
      </c>
      <c r="C177" s="137" t="str">
        <f t="shared" si="13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2901.2490899999998</v>
      </c>
      <c r="O177" s="137">
        <v>0</v>
      </c>
      <c r="P177" s="137">
        <v>0</v>
      </c>
      <c r="Q177" s="137">
        <v>0</v>
      </c>
      <c r="R177" s="137">
        <v>0</v>
      </c>
      <c r="S177" s="137">
        <f t="shared" si="14"/>
        <v>2901.2490899999998</v>
      </c>
      <c r="T177" s="137">
        <f t="shared" si="15"/>
        <v>223.17300692307691</v>
      </c>
    </row>
    <row r="178" spans="1:20">
      <c r="A178" s="137" t="str">
        <f t="shared" si="12"/>
        <v>LGE</v>
      </c>
      <c r="B178" s="137" t="s">
        <v>923</v>
      </c>
      <c r="C178" s="137" t="str">
        <f t="shared" si="13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0</v>
      </c>
      <c r="I178" s="137">
        <v>1250.03836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4"/>
        <v>1250.03836</v>
      </c>
      <c r="T178" s="137">
        <f t="shared" si="15"/>
        <v>96.156796923076925</v>
      </c>
    </row>
    <row r="179" spans="1:20">
      <c r="A179" s="137" t="str">
        <f t="shared" si="12"/>
        <v>LGE</v>
      </c>
      <c r="B179" s="137" t="s">
        <v>923</v>
      </c>
      <c r="C179" s="137" t="str">
        <f t="shared" si="13"/>
        <v>353</v>
      </c>
      <c r="D179" s="134" t="s">
        <v>823</v>
      </c>
      <c r="E179" s="134" t="str">
        <f t="shared" si="11"/>
        <v/>
      </c>
      <c r="F179" s="137">
        <v>2959.6863499999999</v>
      </c>
      <c r="G179" s="137">
        <v>1059.79333</v>
      </c>
      <c r="H179" s="137">
        <v>4327.7530699999998</v>
      </c>
      <c r="I179" s="137">
        <v>946.61120000000005</v>
      </c>
      <c r="J179" s="137">
        <v>373.43504000000001</v>
      </c>
      <c r="K179" s="137">
        <v>1426.4624799999999</v>
      </c>
      <c r="L179" s="137">
        <v>57.898139999999998</v>
      </c>
      <c r="M179" s="137">
        <v>56.456980000000001</v>
      </c>
      <c r="N179" s="137">
        <v>5944.3529600000002</v>
      </c>
      <c r="O179" s="137">
        <v>121.74831</v>
      </c>
      <c r="P179" s="137">
        <v>121.7483</v>
      </c>
      <c r="Q179" s="137">
        <v>811.63445000000002</v>
      </c>
      <c r="R179" s="137">
        <v>148.2732</v>
      </c>
      <c r="S179" s="137">
        <f t="shared" si="14"/>
        <v>15396.167460000001</v>
      </c>
      <c r="T179" s="137">
        <f t="shared" si="15"/>
        <v>1411.9887546153843</v>
      </c>
    </row>
    <row r="180" spans="1:20">
      <c r="A180" s="137" t="str">
        <f t="shared" si="12"/>
        <v>LGE</v>
      </c>
      <c r="B180" s="137" t="s">
        <v>923</v>
      </c>
      <c r="C180" s="137" t="str">
        <f t="shared" si="13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4"/>
        <v>0</v>
      </c>
      <c r="T180" s="137">
        <f t="shared" si="15"/>
        <v>0</v>
      </c>
    </row>
    <row r="181" spans="1:20">
      <c r="A181" s="137" t="str">
        <f t="shared" si="12"/>
        <v>LGE</v>
      </c>
      <c r="B181" s="137" t="s">
        <v>923</v>
      </c>
      <c r="C181" s="137" t="str">
        <f t="shared" si="13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2036.07665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4"/>
        <v>2036.07665</v>
      </c>
      <c r="T181" s="137">
        <f t="shared" si="15"/>
        <v>156.62128076923076</v>
      </c>
    </row>
    <row r="182" spans="1:20">
      <c r="A182" s="137" t="str">
        <f t="shared" si="12"/>
        <v>LGE</v>
      </c>
      <c r="B182" s="137" t="s">
        <v>923</v>
      </c>
      <c r="C182" s="137" t="str">
        <f t="shared" si="13"/>
        <v>355</v>
      </c>
      <c r="D182" s="134" t="s">
        <v>827</v>
      </c>
      <c r="E182" s="134" t="str">
        <f t="shared" si="11"/>
        <v/>
      </c>
      <c r="F182" s="137">
        <v>1261.9386400000001</v>
      </c>
      <c r="G182" s="137">
        <v>3342.8599399999998</v>
      </c>
      <c r="H182" s="137">
        <v>212.91764000000001</v>
      </c>
      <c r="I182" s="137">
        <v>202.91639000000001</v>
      </c>
      <c r="J182" s="137">
        <v>202.91634999999999</v>
      </c>
      <c r="K182" s="137">
        <v>119.84325</v>
      </c>
      <c r="L182" s="137">
        <v>117.26491</v>
      </c>
      <c r="M182" s="137">
        <v>100.46290999999999</v>
      </c>
      <c r="N182" s="137">
        <v>188.78118000000001</v>
      </c>
      <c r="O182" s="137">
        <v>30.752299999999899</v>
      </c>
      <c r="P182" s="137">
        <v>30.752289999999999</v>
      </c>
      <c r="Q182" s="137">
        <v>30.752289999999999</v>
      </c>
      <c r="R182" s="137">
        <v>1021.78727</v>
      </c>
      <c r="S182" s="137">
        <f t="shared" si="14"/>
        <v>5602.0067200000003</v>
      </c>
      <c r="T182" s="137">
        <f t="shared" si="15"/>
        <v>527.99579692307702</v>
      </c>
    </row>
    <row r="183" spans="1:20">
      <c r="A183" s="137" t="str">
        <f t="shared" si="12"/>
        <v>LGE</v>
      </c>
      <c r="B183" s="137" t="s">
        <v>923</v>
      </c>
      <c r="C183" s="137" t="str">
        <f t="shared" si="13"/>
        <v>356</v>
      </c>
      <c r="D183" s="134" t="s">
        <v>829</v>
      </c>
      <c r="E183" s="134" t="str">
        <f t="shared" si="11"/>
        <v/>
      </c>
      <c r="F183" s="137">
        <v>7.9589600000000003</v>
      </c>
      <c r="G183" s="137">
        <v>7.9589600000000003</v>
      </c>
      <c r="H183" s="137">
        <v>7.9589600000000003</v>
      </c>
      <c r="I183" s="137">
        <v>1128.78185999999</v>
      </c>
      <c r="J183" s="137">
        <v>7.9589600000000003</v>
      </c>
      <c r="K183" s="137">
        <v>7.9589600000000003</v>
      </c>
      <c r="L183" s="137">
        <v>7.9589600000000003</v>
      </c>
      <c r="M183" s="137">
        <v>7.9589600000000003</v>
      </c>
      <c r="N183" s="137">
        <v>7.9589600000000003</v>
      </c>
      <c r="O183" s="137">
        <v>8.1768599999999996</v>
      </c>
      <c r="P183" s="137">
        <v>8.1769099999999995</v>
      </c>
      <c r="Q183" s="137">
        <v>8.1769099999999995</v>
      </c>
      <c r="R183" s="137">
        <v>8.1769099999999995</v>
      </c>
      <c r="S183" s="137">
        <f t="shared" si="14"/>
        <v>1217.2021699999896</v>
      </c>
      <c r="T183" s="137">
        <f t="shared" si="15"/>
        <v>94.243163846153038</v>
      </c>
    </row>
    <row r="184" spans="1:20">
      <c r="A184" s="137" t="str">
        <f t="shared" si="12"/>
        <v>LGE</v>
      </c>
      <c r="B184" s="137" t="s">
        <v>923</v>
      </c>
      <c r="C184" s="137" t="str">
        <f t="shared" si="13"/>
        <v>357</v>
      </c>
      <c r="D184" s="134" t="s">
        <v>830</v>
      </c>
      <c r="E184" s="134" t="str">
        <f t="shared" si="11"/>
        <v/>
      </c>
      <c r="S184" s="137">
        <f t="shared" si="14"/>
        <v>0</v>
      </c>
      <c r="T184" s="137">
        <f t="shared" si="15"/>
        <v>0</v>
      </c>
    </row>
    <row r="185" spans="1:20">
      <c r="A185" s="137" t="str">
        <f t="shared" si="12"/>
        <v>LGE</v>
      </c>
      <c r="B185" s="137" t="s">
        <v>923</v>
      </c>
      <c r="C185" s="137" t="str">
        <f t="shared" si="13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4"/>
        <v>0</v>
      </c>
      <c r="T185" s="137">
        <f t="shared" si="15"/>
        <v>0</v>
      </c>
    </row>
    <row r="186" spans="1:20">
      <c r="A186" s="137" t="str">
        <f t="shared" si="12"/>
        <v>LGE</v>
      </c>
      <c r="B186" s="137" t="s">
        <v>923</v>
      </c>
      <c r="C186" s="137" t="str">
        <f t="shared" si="13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  <c r="O186" s="137">
        <v>0</v>
      </c>
      <c r="P186" s="137">
        <v>0</v>
      </c>
      <c r="Q186" s="137">
        <v>0</v>
      </c>
      <c r="R186" s="137">
        <v>0</v>
      </c>
      <c r="S186" s="137">
        <f t="shared" si="14"/>
        <v>0</v>
      </c>
      <c r="T186" s="137">
        <f t="shared" si="15"/>
        <v>0</v>
      </c>
    </row>
    <row r="187" spans="1:20">
      <c r="A187" s="137" t="str">
        <f t="shared" si="12"/>
        <v>LGE</v>
      </c>
      <c r="B187" s="137" t="s">
        <v>923</v>
      </c>
      <c r="C187" s="137" t="str">
        <f t="shared" si="13"/>
        <v>361</v>
      </c>
      <c r="D187" s="134" t="s">
        <v>835</v>
      </c>
      <c r="E187" s="134" t="str">
        <f t="shared" si="11"/>
        <v/>
      </c>
      <c r="F187" s="137">
        <v>1185.268</v>
      </c>
      <c r="G187" s="137">
        <v>1185.2689399999999</v>
      </c>
      <c r="H187" s="137">
        <v>6649.3744999999999</v>
      </c>
      <c r="I187" s="137">
        <v>1185.26388</v>
      </c>
      <c r="J187" s="137">
        <v>1185.26585</v>
      </c>
      <c r="K187" s="137">
        <v>1185.2841699999999</v>
      </c>
      <c r="L187" s="137">
        <v>1185.2758899999999</v>
      </c>
      <c r="M187" s="137">
        <v>1185.27856</v>
      </c>
      <c r="N187" s="137">
        <v>1608.22587</v>
      </c>
      <c r="O187" s="137">
        <v>1053.70072</v>
      </c>
      <c r="P187" s="137">
        <v>1053.7690600000001</v>
      </c>
      <c r="Q187" s="137">
        <v>1053.7623100000001</v>
      </c>
      <c r="R187" s="137">
        <v>1136.57879</v>
      </c>
      <c r="S187" s="137">
        <f t="shared" si="14"/>
        <v>19667.048540000003</v>
      </c>
      <c r="T187" s="137">
        <f t="shared" si="15"/>
        <v>1604.0243492307693</v>
      </c>
    </row>
    <row r="188" spans="1:20">
      <c r="A188" s="137" t="str">
        <f t="shared" si="12"/>
        <v>LGE</v>
      </c>
      <c r="B188" s="137" t="s">
        <v>923</v>
      </c>
      <c r="C188" s="137" t="str">
        <f t="shared" si="13"/>
        <v>362</v>
      </c>
      <c r="D188" s="134" t="s">
        <v>837</v>
      </c>
      <c r="E188" s="134" t="str">
        <f t="shared" si="11"/>
        <v/>
      </c>
      <c r="F188" s="137">
        <v>809.62689999999998</v>
      </c>
      <c r="G188" s="137">
        <v>396.45294999999999</v>
      </c>
      <c r="H188" s="137">
        <v>724.84555</v>
      </c>
      <c r="I188" s="137">
        <v>7119.9897300000002</v>
      </c>
      <c r="J188" s="137">
        <v>1286.14437</v>
      </c>
      <c r="K188" s="137">
        <v>1119.5779700000001</v>
      </c>
      <c r="L188" s="137">
        <v>503.707819999999</v>
      </c>
      <c r="M188" s="137">
        <v>292.70380999999998</v>
      </c>
      <c r="N188" s="137">
        <v>3165.3889100000001</v>
      </c>
      <c r="O188" s="137">
        <v>150.13607999999999</v>
      </c>
      <c r="P188" s="137">
        <v>193.86089999999999</v>
      </c>
      <c r="Q188" s="137">
        <v>280.47827000000001</v>
      </c>
      <c r="R188" s="137">
        <v>202.83942999999999</v>
      </c>
      <c r="S188" s="137">
        <f t="shared" si="14"/>
        <v>15436.12579</v>
      </c>
      <c r="T188" s="137">
        <f t="shared" si="15"/>
        <v>1249.6732838461537</v>
      </c>
    </row>
    <row r="189" spans="1:20">
      <c r="A189" s="137" t="str">
        <f t="shared" si="12"/>
        <v>LGE</v>
      </c>
      <c r="B189" s="137" t="s">
        <v>923</v>
      </c>
      <c r="C189" s="137" t="str">
        <f t="shared" si="13"/>
        <v>364</v>
      </c>
      <c r="D189" s="134" t="s">
        <v>838</v>
      </c>
      <c r="E189" s="134" t="str">
        <f t="shared" si="11"/>
        <v/>
      </c>
      <c r="F189" s="137">
        <v>847.53022999999996</v>
      </c>
      <c r="G189" s="137">
        <v>838.40012000000002</v>
      </c>
      <c r="H189" s="137">
        <v>814.20416999999998</v>
      </c>
      <c r="I189" s="137">
        <v>803.07957999999996</v>
      </c>
      <c r="J189" s="137">
        <v>739.28408000000002</v>
      </c>
      <c r="K189" s="137">
        <v>823.46366</v>
      </c>
      <c r="L189" s="137">
        <v>700.38793999999996</v>
      </c>
      <c r="M189" s="137">
        <v>489.19824</v>
      </c>
      <c r="N189" s="137">
        <v>745.62996999999996</v>
      </c>
      <c r="O189" s="137">
        <v>646.14382000000001</v>
      </c>
      <c r="P189" s="137">
        <v>712.79287999999997</v>
      </c>
      <c r="Q189" s="137">
        <v>906.67374999999902</v>
      </c>
      <c r="R189" s="137">
        <v>875.81426999999996</v>
      </c>
      <c r="S189" s="137">
        <f t="shared" si="14"/>
        <v>9095.0724799999989</v>
      </c>
      <c r="T189" s="137">
        <f t="shared" si="15"/>
        <v>764.81559307692305</v>
      </c>
    </row>
    <row r="190" spans="1:20">
      <c r="A190" s="137" t="str">
        <f t="shared" si="12"/>
        <v>LGE</v>
      </c>
      <c r="B190" s="137" t="s">
        <v>923</v>
      </c>
      <c r="C190" s="137" t="str">
        <f t="shared" si="13"/>
        <v>365</v>
      </c>
      <c r="D190" s="134" t="s">
        <v>839</v>
      </c>
      <c r="E190" s="134" t="str">
        <f t="shared" si="11"/>
        <v/>
      </c>
      <c r="F190" s="137">
        <v>2078.88553</v>
      </c>
      <c r="G190" s="137">
        <v>2023.22381</v>
      </c>
      <c r="H190" s="137">
        <v>2016.7929899999999</v>
      </c>
      <c r="I190" s="137">
        <v>2395.9423499999998</v>
      </c>
      <c r="J190" s="137">
        <v>2177.9409099999998</v>
      </c>
      <c r="K190" s="137">
        <v>2061.4663799999998</v>
      </c>
      <c r="L190" s="137">
        <v>2122.3676399999999</v>
      </c>
      <c r="M190" s="137">
        <v>1912.7374</v>
      </c>
      <c r="N190" s="137">
        <v>12621.69543</v>
      </c>
      <c r="O190" s="137">
        <v>2004.3009</v>
      </c>
      <c r="P190" s="137">
        <v>1901.5845099999999</v>
      </c>
      <c r="Q190" s="137">
        <v>1814.0101199999999</v>
      </c>
      <c r="R190" s="137">
        <v>2113.7182599999901</v>
      </c>
      <c r="S190" s="137">
        <f t="shared" si="14"/>
        <v>35165.780699999988</v>
      </c>
      <c r="T190" s="137">
        <f t="shared" si="15"/>
        <v>2864.9743253846141</v>
      </c>
    </row>
    <row r="191" spans="1:20">
      <c r="A191" s="137" t="str">
        <f t="shared" si="12"/>
        <v>LGE</v>
      </c>
      <c r="B191" s="137" t="s">
        <v>923</v>
      </c>
      <c r="C191" s="137" t="str">
        <f t="shared" si="13"/>
        <v>366</v>
      </c>
      <c r="D191" s="134" t="s">
        <v>840</v>
      </c>
      <c r="E191" s="134" t="str">
        <f t="shared" si="11"/>
        <v/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0</v>
      </c>
      <c r="M191" s="137">
        <v>0</v>
      </c>
      <c r="N191" s="137">
        <v>11245.19139</v>
      </c>
      <c r="O191" s="137">
        <v>0</v>
      </c>
      <c r="P191" s="137">
        <v>0</v>
      </c>
      <c r="Q191" s="137">
        <v>0</v>
      </c>
      <c r="R191" s="137">
        <v>0</v>
      </c>
      <c r="S191" s="137">
        <f t="shared" si="14"/>
        <v>11245.19139</v>
      </c>
      <c r="T191" s="137">
        <f t="shared" si="15"/>
        <v>865.0147223076923</v>
      </c>
    </row>
    <row r="192" spans="1:20">
      <c r="A192" s="137" t="str">
        <f t="shared" si="12"/>
        <v>LGE</v>
      </c>
      <c r="B192" s="137" t="s">
        <v>923</v>
      </c>
      <c r="C192" s="137" t="str">
        <f t="shared" si="13"/>
        <v>367</v>
      </c>
      <c r="D192" s="134" t="s">
        <v>841</v>
      </c>
      <c r="E192" s="134" t="str">
        <f t="shared" si="11"/>
        <v/>
      </c>
      <c r="F192" s="137">
        <v>1373.4934800000001</v>
      </c>
      <c r="G192" s="137">
        <v>1733.0796</v>
      </c>
      <c r="H192" s="137">
        <v>1829.1633999999999</v>
      </c>
      <c r="I192" s="137">
        <v>1523.5197499999999</v>
      </c>
      <c r="J192" s="137">
        <v>1993.2661900000001</v>
      </c>
      <c r="K192" s="137">
        <v>1480.6088</v>
      </c>
      <c r="L192" s="137">
        <v>1843.0411099999999</v>
      </c>
      <c r="M192" s="137">
        <v>2137.2547300000001</v>
      </c>
      <c r="N192" s="137">
        <v>5528.1274899999999</v>
      </c>
      <c r="O192" s="137">
        <v>1805.89616999999</v>
      </c>
      <c r="P192" s="137">
        <v>1595.5847900000001</v>
      </c>
      <c r="Q192" s="137">
        <v>1509.15938999999</v>
      </c>
      <c r="R192" s="137">
        <v>1401.76243</v>
      </c>
      <c r="S192" s="137">
        <f t="shared" ref="S192:S203" si="16">SUM(G192:R192)</f>
        <v>24380.463849999978</v>
      </c>
      <c r="T192" s="137">
        <f t="shared" ref="T192:T203" si="17">SUM(F192:R192)/13</f>
        <v>1981.0736407692291</v>
      </c>
    </row>
    <row r="193" spans="1:20">
      <c r="A193" s="137" t="str">
        <f t="shared" si="12"/>
        <v>LGE</v>
      </c>
      <c r="B193" s="137" t="s">
        <v>923</v>
      </c>
      <c r="C193" s="137" t="str">
        <f t="shared" si="13"/>
        <v>368</v>
      </c>
      <c r="D193" s="134" t="s">
        <v>842</v>
      </c>
      <c r="E193" s="134" t="str">
        <f t="shared" si="11"/>
        <v/>
      </c>
      <c r="F193" s="137">
        <v>352.384829999999</v>
      </c>
      <c r="G193" s="137">
        <v>340.68413999999899</v>
      </c>
      <c r="H193" s="137">
        <v>665.84451000000001</v>
      </c>
      <c r="I193" s="137">
        <v>510.20765999999998</v>
      </c>
      <c r="J193" s="137">
        <v>629.91814999999997</v>
      </c>
      <c r="K193" s="137">
        <v>783.20403999999996</v>
      </c>
      <c r="L193" s="137">
        <v>783.84294</v>
      </c>
      <c r="M193" s="137">
        <v>609.14589999999998</v>
      </c>
      <c r="N193" s="137">
        <v>887.17123999999899</v>
      </c>
      <c r="O193" s="137">
        <v>368.60487000000001</v>
      </c>
      <c r="P193" s="137">
        <v>466.37921</v>
      </c>
      <c r="Q193" s="137">
        <v>532.35536000000002</v>
      </c>
      <c r="R193" s="137">
        <v>423.21809000000002</v>
      </c>
      <c r="S193" s="137">
        <f t="shared" si="16"/>
        <v>7000.5761099999982</v>
      </c>
      <c r="T193" s="137">
        <f t="shared" si="17"/>
        <v>565.6123799999998</v>
      </c>
    </row>
    <row r="194" spans="1:20">
      <c r="A194" s="137" t="str">
        <f t="shared" si="12"/>
        <v>LGE</v>
      </c>
      <c r="B194" s="137" t="s">
        <v>923</v>
      </c>
      <c r="C194" s="137" t="str">
        <f t="shared" si="13"/>
        <v>369</v>
      </c>
      <c r="D194" s="134" t="s">
        <v>843</v>
      </c>
      <c r="E194" s="134" t="str">
        <f t="shared" si="11"/>
        <v/>
      </c>
      <c r="F194" s="137">
        <v>0</v>
      </c>
      <c r="G194" s="137">
        <v>0</v>
      </c>
      <c r="H194" s="137">
        <v>0</v>
      </c>
      <c r="I194" s="137">
        <v>0</v>
      </c>
      <c r="J194" s="137">
        <v>0</v>
      </c>
      <c r="K194" s="137">
        <v>0</v>
      </c>
      <c r="L194" s="137">
        <v>0</v>
      </c>
      <c r="M194" s="137">
        <v>0</v>
      </c>
      <c r="N194" s="137">
        <v>717.44659999999999</v>
      </c>
      <c r="O194" s="137">
        <v>3.6668500000000002</v>
      </c>
      <c r="P194" s="137">
        <v>3.6666500000000002</v>
      </c>
      <c r="Q194" s="137">
        <v>3.6666500000000002</v>
      </c>
      <c r="R194" s="137">
        <v>3.6666500000000002</v>
      </c>
      <c r="S194" s="137">
        <f t="shared" si="16"/>
        <v>732.11339999999996</v>
      </c>
      <c r="T194" s="137">
        <f t="shared" si="17"/>
        <v>56.316415384615382</v>
      </c>
    </row>
    <row r="195" spans="1:20">
      <c r="A195" s="137" t="str">
        <f t="shared" si="12"/>
        <v>LGE</v>
      </c>
      <c r="B195" s="137" t="s">
        <v>923</v>
      </c>
      <c r="C195" s="137" t="str">
        <f t="shared" si="13"/>
        <v>370</v>
      </c>
      <c r="D195" s="134" t="s">
        <v>844</v>
      </c>
      <c r="E195" s="134" t="str">
        <f t="shared" si="11"/>
        <v/>
      </c>
      <c r="F195" s="137">
        <v>70.495149999999995</v>
      </c>
      <c r="G195" s="137">
        <v>146.47862000000001</v>
      </c>
      <c r="H195" s="137">
        <v>54.905549999999998</v>
      </c>
      <c r="I195" s="137">
        <v>44.258209999999998</v>
      </c>
      <c r="J195" s="137">
        <v>67.334350000000001</v>
      </c>
      <c r="K195" s="137">
        <v>22.46827</v>
      </c>
      <c r="L195" s="137">
        <v>9.85426</v>
      </c>
      <c r="M195" s="137">
        <v>-4.0499999999999998E-3</v>
      </c>
      <c r="N195" s="137">
        <v>642.829149999999</v>
      </c>
      <c r="O195" s="137">
        <v>93.754850000000005</v>
      </c>
      <c r="P195" s="137">
        <v>130.73355000000001</v>
      </c>
      <c r="Q195" s="137">
        <v>101.49033</v>
      </c>
      <c r="R195" s="137">
        <v>71.436759999999893</v>
      </c>
      <c r="S195" s="137">
        <f t="shared" si="16"/>
        <v>1385.5398499999988</v>
      </c>
      <c r="T195" s="137">
        <f t="shared" si="17"/>
        <v>112.00269230769223</v>
      </c>
    </row>
    <row r="196" spans="1:20">
      <c r="A196" s="137" t="str">
        <f t="shared" si="12"/>
        <v>LGE</v>
      </c>
      <c r="B196" s="137" t="s">
        <v>923</v>
      </c>
      <c r="C196" s="137" t="str">
        <f t="shared" si="13"/>
        <v>370</v>
      </c>
      <c r="D196" s="134" t="s">
        <v>1818</v>
      </c>
      <c r="E196" s="134" t="str">
        <f t="shared" si="11"/>
        <v>DSM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6"/>
        <v>0</v>
      </c>
      <c r="T196" s="137">
        <f t="shared" si="17"/>
        <v>0</v>
      </c>
    </row>
    <row r="197" spans="1:20">
      <c r="A197" s="137" t="str">
        <f t="shared" si="12"/>
        <v>LGE</v>
      </c>
      <c r="B197" s="137" t="s">
        <v>923</v>
      </c>
      <c r="C197" s="137" t="str">
        <f t="shared" si="13"/>
        <v>371</v>
      </c>
      <c r="D197" s="134" t="s">
        <v>2572</v>
      </c>
      <c r="E197" s="134"/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  <c r="O197" s="137">
        <v>0</v>
      </c>
      <c r="P197" s="137">
        <v>0</v>
      </c>
      <c r="Q197" s="137">
        <v>0</v>
      </c>
      <c r="R197" s="137">
        <v>0</v>
      </c>
      <c r="S197" s="137">
        <f t="shared" ref="S197" si="18">SUM(G197:R197)</f>
        <v>0</v>
      </c>
      <c r="T197" s="137">
        <f t="shared" ref="T197" si="19">SUM(F197:R197)/13</f>
        <v>0</v>
      </c>
    </row>
    <row r="198" spans="1:20">
      <c r="A198" s="137" t="str">
        <f t="shared" si="12"/>
        <v>LGE</v>
      </c>
      <c r="B198" s="137" t="s">
        <v>923</v>
      </c>
      <c r="C198" s="137" t="str">
        <f t="shared" si="13"/>
        <v>373</v>
      </c>
      <c r="D198" s="134" t="s">
        <v>845</v>
      </c>
      <c r="E198" s="134" t="str">
        <f t="shared" si="11"/>
        <v/>
      </c>
      <c r="F198" s="137">
        <v>381.96068000000002</v>
      </c>
      <c r="G198" s="137">
        <v>462.39256999999998</v>
      </c>
      <c r="H198" s="137">
        <v>396.56828999999999</v>
      </c>
      <c r="I198" s="137">
        <v>357.51087000000001</v>
      </c>
      <c r="J198" s="137">
        <v>419.86250999999999</v>
      </c>
      <c r="K198" s="137">
        <v>420.01551999999998</v>
      </c>
      <c r="L198" s="137">
        <v>479.20936999999998</v>
      </c>
      <c r="M198" s="137">
        <v>410.38481000000002</v>
      </c>
      <c r="N198" s="137">
        <v>396.49646999999999</v>
      </c>
      <c r="O198" s="137">
        <v>395.17754000000002</v>
      </c>
      <c r="P198" s="137">
        <v>386.87664000000001</v>
      </c>
      <c r="Q198" s="137">
        <v>400.61836</v>
      </c>
      <c r="R198" s="137">
        <v>402.02141</v>
      </c>
      <c r="S198" s="137">
        <f t="shared" si="16"/>
        <v>4927.1343600000009</v>
      </c>
      <c r="T198" s="137">
        <f t="shared" si="17"/>
        <v>408.39192615384621</v>
      </c>
    </row>
    <row r="199" spans="1:20">
      <c r="A199" s="137" t="str">
        <f t="shared" si="12"/>
        <v>LGE</v>
      </c>
      <c r="B199" s="137" t="s">
        <v>923</v>
      </c>
      <c r="C199" s="137" t="str">
        <f t="shared" si="13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6"/>
        <v>0</v>
      </c>
      <c r="T199" s="137">
        <f t="shared" si="17"/>
        <v>0</v>
      </c>
    </row>
    <row r="200" spans="1:20">
      <c r="A200" s="137" t="str">
        <f t="shared" si="12"/>
        <v>LGE</v>
      </c>
      <c r="B200" s="137" t="s">
        <v>923</v>
      </c>
      <c r="C200" s="137" t="str">
        <f t="shared" si="13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0</v>
      </c>
      <c r="I200" s="137">
        <v>0</v>
      </c>
      <c r="J200" s="137">
        <v>0</v>
      </c>
      <c r="K200" s="137">
        <v>0</v>
      </c>
      <c r="L200" s="137">
        <v>0</v>
      </c>
      <c r="M200" s="137">
        <v>0</v>
      </c>
      <c r="N200" s="137">
        <v>0</v>
      </c>
      <c r="O200" s="137">
        <v>0</v>
      </c>
      <c r="P200" s="137">
        <v>0</v>
      </c>
      <c r="Q200" s="137">
        <v>0</v>
      </c>
      <c r="R200" s="137">
        <v>0</v>
      </c>
      <c r="S200" s="137">
        <f t="shared" si="16"/>
        <v>0</v>
      </c>
      <c r="T200" s="137">
        <f t="shared" si="17"/>
        <v>0</v>
      </c>
    </row>
    <row r="201" spans="1:20">
      <c r="A201" s="137" t="str">
        <f t="shared" si="12"/>
        <v>LGE</v>
      </c>
      <c r="B201" s="137" t="s">
        <v>923</v>
      </c>
      <c r="C201" s="137" t="str">
        <f t="shared" si="13"/>
        <v>394</v>
      </c>
      <c r="D201" s="134" t="s">
        <v>848</v>
      </c>
      <c r="E201" s="134" t="str">
        <f t="shared" si="11"/>
        <v/>
      </c>
      <c r="F201" s="137">
        <v>0</v>
      </c>
      <c r="G201" s="137">
        <v>0</v>
      </c>
      <c r="H201" s="137">
        <v>5.9197499999999996</v>
      </c>
      <c r="I201" s="137">
        <v>0</v>
      </c>
      <c r="J201" s="137">
        <v>0</v>
      </c>
      <c r="K201" s="137">
        <v>0</v>
      </c>
      <c r="L201" s="137">
        <v>0</v>
      </c>
      <c r="M201" s="137">
        <v>0</v>
      </c>
      <c r="N201" s="137">
        <v>593.96167000000003</v>
      </c>
      <c r="O201" s="137">
        <v>0</v>
      </c>
      <c r="P201" s="137">
        <v>0</v>
      </c>
      <c r="Q201" s="137">
        <v>0</v>
      </c>
      <c r="R201" s="137">
        <v>0</v>
      </c>
      <c r="S201" s="137">
        <f t="shared" si="16"/>
        <v>599.88142000000005</v>
      </c>
      <c r="T201" s="137">
        <f t="shared" si="17"/>
        <v>46.144724615384618</v>
      </c>
    </row>
    <row r="202" spans="1:20">
      <c r="A202" s="137" t="str">
        <f t="shared" si="12"/>
        <v>LGE</v>
      </c>
      <c r="B202" s="137" t="s">
        <v>923</v>
      </c>
      <c r="C202" s="137" t="str">
        <f t="shared" si="13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f t="shared" si="16"/>
        <v>0</v>
      </c>
      <c r="T202" s="137">
        <f t="shared" si="17"/>
        <v>0</v>
      </c>
    </row>
    <row r="203" spans="1:20">
      <c r="A203" s="137" t="str">
        <f t="shared" si="12"/>
        <v>LGE</v>
      </c>
      <c r="B203" s="137" t="s">
        <v>923</v>
      </c>
      <c r="C203" s="137" t="str">
        <f t="shared" si="13"/>
        <v>397</v>
      </c>
      <c r="D203" s="134" t="s">
        <v>850</v>
      </c>
      <c r="E203" s="134" t="str">
        <f t="shared" si="11"/>
        <v>DSM</v>
      </c>
      <c r="F203" s="137">
        <v>20.83334</v>
      </c>
      <c r="G203" s="137">
        <v>20.83334</v>
      </c>
      <c r="H203" s="137">
        <v>20.83334</v>
      </c>
      <c r="I203" s="137">
        <v>20.83334</v>
      </c>
      <c r="J203" s="137">
        <v>20.83334</v>
      </c>
      <c r="K203" s="137">
        <v>20.83334</v>
      </c>
      <c r="L203" s="137">
        <v>20.83334</v>
      </c>
      <c r="M203" s="137">
        <v>20.83334</v>
      </c>
      <c r="N203" s="137">
        <v>20.83334</v>
      </c>
      <c r="O203" s="137">
        <v>2.5416099999999999</v>
      </c>
      <c r="P203" s="137">
        <v>2.5416699999999999</v>
      </c>
      <c r="Q203" s="137">
        <v>2.5416699999999999</v>
      </c>
      <c r="R203" s="137">
        <v>2.5416699999999999</v>
      </c>
      <c r="S203" s="137">
        <f t="shared" si="16"/>
        <v>176.83333999999999</v>
      </c>
      <c r="T203" s="137">
        <f t="shared" si="17"/>
        <v>15.205129230769229</v>
      </c>
    </row>
    <row r="204" spans="1:20">
      <c r="E204" s="134"/>
    </row>
    <row r="205" spans="1:20">
      <c r="E205" s="134"/>
    </row>
    <row r="206" spans="1:20">
      <c r="E206" s="134"/>
    </row>
    <row r="207" spans="1:20">
      <c r="E207" s="134"/>
    </row>
    <row r="208" spans="1:20">
      <c r="E208" s="134" t="str">
        <f t="shared" si="11"/>
        <v/>
      </c>
      <c r="T208" s="137">
        <f t="shared" si="15"/>
        <v>0</v>
      </c>
    </row>
    <row r="209" spans="1:20">
      <c r="D209" s="134" t="s">
        <v>866</v>
      </c>
      <c r="E209" s="134" t="str">
        <f t="shared" si="11"/>
        <v/>
      </c>
      <c r="S209" s="137">
        <f t="shared" si="14"/>
        <v>0</v>
      </c>
      <c r="T209" s="137">
        <f t="shared" si="15"/>
        <v>0</v>
      </c>
    </row>
    <row r="210" spans="1:20">
      <c r="A210" s="137" t="str">
        <f t="shared" ref="A210:A219" si="20">MID($D210,4,3)</f>
        <v>LGE</v>
      </c>
      <c r="B210" s="137" t="s">
        <v>867</v>
      </c>
      <c r="C210" s="137" t="str">
        <f t="shared" ref="C210:C219" si="21">MID($D210,9,3)</f>
        <v>303</v>
      </c>
      <c r="D210" s="134" t="s">
        <v>853</v>
      </c>
      <c r="E210" s="134" t="str">
        <f t="shared" si="11"/>
        <v/>
      </c>
      <c r="F210" s="137">
        <v>767.27888999999902</v>
      </c>
      <c r="G210" s="137">
        <v>780.70384000000001</v>
      </c>
      <c r="H210" s="137">
        <v>1935.25811</v>
      </c>
      <c r="I210" s="137">
        <v>1357.2211400000001</v>
      </c>
      <c r="J210" s="137">
        <v>552.89562999999998</v>
      </c>
      <c r="K210" s="137">
        <v>383.26715000000002</v>
      </c>
      <c r="L210" s="137">
        <v>4046.52808</v>
      </c>
      <c r="M210" s="137">
        <v>1230.2</v>
      </c>
      <c r="N210" s="137">
        <v>2148.19733</v>
      </c>
      <c r="O210" s="137">
        <v>0</v>
      </c>
      <c r="P210" s="137">
        <v>0</v>
      </c>
      <c r="Q210" s="137">
        <v>7329.3924399999996</v>
      </c>
      <c r="R210" s="137">
        <v>898.67087999999899</v>
      </c>
      <c r="S210" s="137">
        <f t="shared" si="14"/>
        <v>20662.334599999998</v>
      </c>
      <c r="T210" s="137">
        <f t="shared" si="15"/>
        <v>1648.4318069230767</v>
      </c>
    </row>
    <row r="211" spans="1:20">
      <c r="A211" s="137" t="str">
        <f t="shared" si="20"/>
        <v>LGE</v>
      </c>
      <c r="B211" s="137" t="s">
        <v>867</v>
      </c>
      <c r="C211" s="137" t="str">
        <f t="shared" si="21"/>
        <v>303</v>
      </c>
      <c r="D211" s="134" t="s">
        <v>854</v>
      </c>
      <c r="E211" s="134" t="str">
        <f t="shared" si="11"/>
        <v/>
      </c>
      <c r="F211" s="137">
        <v>209.67760999999999</v>
      </c>
      <c r="G211" s="137">
        <v>44</v>
      </c>
      <c r="H211" s="137">
        <v>0</v>
      </c>
      <c r="I211" s="137">
        <v>0</v>
      </c>
      <c r="J211" s="137">
        <v>0</v>
      </c>
      <c r="K211" s="137">
        <v>0</v>
      </c>
      <c r="L211" s="137">
        <v>0</v>
      </c>
      <c r="M211" s="137">
        <v>0</v>
      </c>
      <c r="N211" s="137">
        <v>87.047200000000004</v>
      </c>
      <c r="O211" s="137">
        <v>0</v>
      </c>
      <c r="P211" s="137">
        <v>0</v>
      </c>
      <c r="Q211" s="137">
        <v>0</v>
      </c>
      <c r="R211" s="137">
        <v>132</v>
      </c>
      <c r="S211" s="137">
        <f t="shared" si="14"/>
        <v>263.04719999999998</v>
      </c>
      <c r="T211" s="137">
        <f t="shared" si="15"/>
        <v>36.363446923076921</v>
      </c>
    </row>
    <row r="212" spans="1:20">
      <c r="A212" s="137" t="str">
        <f t="shared" si="20"/>
        <v>LGE</v>
      </c>
      <c r="B212" s="137" t="s">
        <v>867</v>
      </c>
      <c r="C212" s="137" t="str">
        <f t="shared" si="21"/>
        <v>390</v>
      </c>
      <c r="D212" s="134" t="s">
        <v>856</v>
      </c>
      <c r="E212" s="134" t="str">
        <f t="shared" si="11"/>
        <v/>
      </c>
      <c r="F212" s="137">
        <v>0</v>
      </c>
      <c r="G212" s="137">
        <v>2660.28006</v>
      </c>
      <c r="H212" s="137">
        <v>50.697499999999998</v>
      </c>
      <c r="I212" s="137">
        <v>600.08080999999902</v>
      </c>
      <c r="J212" s="137">
        <v>280.40485999999999</v>
      </c>
      <c r="K212" s="137">
        <v>15.00202</v>
      </c>
      <c r="L212" s="137">
        <v>278.95441</v>
      </c>
      <c r="M212" s="137">
        <v>425.12481000000002</v>
      </c>
      <c r="N212" s="137">
        <v>1875.8637799999999</v>
      </c>
      <c r="O212" s="137">
        <v>0</v>
      </c>
      <c r="P212" s="137">
        <v>0</v>
      </c>
      <c r="Q212" s="137">
        <v>0</v>
      </c>
      <c r="R212" s="137">
        <v>0</v>
      </c>
      <c r="S212" s="137">
        <f t="shared" si="14"/>
        <v>6186.4082499999986</v>
      </c>
      <c r="T212" s="137">
        <f t="shared" si="15"/>
        <v>475.87755769230756</v>
      </c>
    </row>
    <row r="213" spans="1:20">
      <c r="A213" s="137" t="str">
        <f t="shared" si="20"/>
        <v>LGE</v>
      </c>
      <c r="B213" s="137" t="s">
        <v>867</v>
      </c>
      <c r="C213" s="137" t="str">
        <f t="shared" si="21"/>
        <v>391</v>
      </c>
      <c r="D213" s="134" t="s">
        <v>857</v>
      </c>
      <c r="E213" s="134" t="str">
        <f t="shared" si="11"/>
        <v/>
      </c>
      <c r="F213" s="137">
        <v>15.597</v>
      </c>
      <c r="G213" s="137">
        <v>219.13989999999899</v>
      </c>
      <c r="H213" s="137">
        <v>277.815</v>
      </c>
      <c r="I213" s="137">
        <v>192.4819</v>
      </c>
      <c r="J213" s="137">
        <v>598.67899999999997</v>
      </c>
      <c r="K213" s="137">
        <v>658.14788999999996</v>
      </c>
      <c r="L213" s="137">
        <v>165.26303999999999</v>
      </c>
      <c r="M213" s="137">
        <v>2310.2609499999999</v>
      </c>
      <c r="N213" s="137">
        <v>1758.4263000000001</v>
      </c>
      <c r="O213" s="137">
        <v>18.302</v>
      </c>
      <c r="P213" s="137">
        <v>13.835000000000001</v>
      </c>
      <c r="Q213" s="137">
        <v>144.43899999999999</v>
      </c>
      <c r="R213" s="137">
        <v>142.04300000000001</v>
      </c>
      <c r="S213" s="137">
        <f t="shared" si="14"/>
        <v>6498.8329799999992</v>
      </c>
      <c r="T213" s="137">
        <f t="shared" si="15"/>
        <v>501.1099984615384</v>
      </c>
    </row>
    <row r="214" spans="1:20">
      <c r="A214" s="137" t="str">
        <f t="shared" si="20"/>
        <v>LGE</v>
      </c>
      <c r="B214" s="137" t="s">
        <v>867</v>
      </c>
      <c r="C214" s="137" t="str">
        <f t="shared" si="21"/>
        <v>392</v>
      </c>
      <c r="D214" s="134" t="s">
        <v>858</v>
      </c>
      <c r="E214" s="134" t="str">
        <f t="shared" ref="E214:E283" si="22">IF(ISTEXT(MID($D214,SEARCH("FUTURE USE",$D214),3)),"FUTURE USE",IF(ISTEXT(MID($D214,SEARCH("ECR",$D214),3)),"ECR",IF(ISTEXT(MID($D214,SEARCH("ARO",$D214),3)),"ARO",IF(ISTEXT(MID($D214,SEARCH("DSM",$D214),3)),"DSM",""))))</f>
        <v/>
      </c>
      <c r="F214" s="137">
        <v>0</v>
      </c>
      <c r="G214" s="137">
        <v>0</v>
      </c>
      <c r="H214" s="137">
        <v>0</v>
      </c>
      <c r="I214" s="137">
        <v>0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137">
        <v>0</v>
      </c>
      <c r="P214" s="137">
        <v>0</v>
      </c>
      <c r="Q214" s="137">
        <v>0</v>
      </c>
      <c r="R214" s="137">
        <v>0</v>
      </c>
      <c r="S214" s="137">
        <f t="shared" si="14"/>
        <v>0</v>
      </c>
      <c r="T214" s="137">
        <f t="shared" si="15"/>
        <v>0</v>
      </c>
    </row>
    <row r="215" spans="1:20">
      <c r="A215" s="137" t="str">
        <f t="shared" si="20"/>
        <v>LGE</v>
      </c>
      <c r="B215" s="137" t="s">
        <v>867</v>
      </c>
      <c r="C215" s="137" t="str">
        <f t="shared" si="21"/>
        <v>393</v>
      </c>
      <c r="D215" s="134" t="s">
        <v>859</v>
      </c>
      <c r="E215" s="134" t="str">
        <f t="shared" si="22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4"/>
        <v>0</v>
      </c>
      <c r="T215" s="137">
        <f t="shared" si="15"/>
        <v>0</v>
      </c>
    </row>
    <row r="216" spans="1:20">
      <c r="A216" s="137" t="str">
        <f t="shared" si="20"/>
        <v>LGE</v>
      </c>
      <c r="B216" s="137" t="s">
        <v>867</v>
      </c>
      <c r="C216" s="137" t="str">
        <f t="shared" si="21"/>
        <v>394</v>
      </c>
      <c r="D216" s="134" t="s">
        <v>860</v>
      </c>
      <c r="E216" s="134" t="str">
        <f t="shared" si="22"/>
        <v/>
      </c>
      <c r="F216" s="137">
        <v>0</v>
      </c>
      <c r="G216" s="137">
        <v>0</v>
      </c>
      <c r="H216" s="137">
        <v>0</v>
      </c>
      <c r="I216" s="137">
        <v>0</v>
      </c>
      <c r="J216" s="137">
        <v>0</v>
      </c>
      <c r="K216" s="137">
        <v>0</v>
      </c>
      <c r="L216" s="137">
        <v>40</v>
      </c>
      <c r="M216" s="137">
        <v>0</v>
      </c>
      <c r="N216" s="137">
        <v>0</v>
      </c>
      <c r="O216" s="137">
        <v>0</v>
      </c>
      <c r="P216" s="137">
        <v>0</v>
      </c>
      <c r="Q216" s="137">
        <v>0</v>
      </c>
      <c r="R216" s="137">
        <v>0</v>
      </c>
      <c r="S216" s="137">
        <f t="shared" si="14"/>
        <v>40</v>
      </c>
      <c r="T216" s="137">
        <f t="shared" si="15"/>
        <v>3.0769230769230771</v>
      </c>
    </row>
    <row r="217" spans="1:20">
      <c r="A217" s="137" t="str">
        <f t="shared" si="20"/>
        <v>LGE</v>
      </c>
      <c r="B217" s="137" t="s">
        <v>867</v>
      </c>
      <c r="C217" s="137" t="str">
        <f t="shared" si="21"/>
        <v>396</v>
      </c>
      <c r="D217" s="134" t="s">
        <v>861</v>
      </c>
      <c r="E217" s="134" t="str">
        <f t="shared" si="22"/>
        <v/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4"/>
        <v>0</v>
      </c>
      <c r="T217" s="137">
        <f t="shared" si="15"/>
        <v>0</v>
      </c>
    </row>
    <row r="218" spans="1:20">
      <c r="A218" s="137" t="str">
        <f t="shared" si="20"/>
        <v>LGE</v>
      </c>
      <c r="B218" s="137" t="s">
        <v>867</v>
      </c>
      <c r="C218" s="137" t="str">
        <f t="shared" si="21"/>
        <v>397</v>
      </c>
      <c r="D218" s="134" t="s">
        <v>862</v>
      </c>
      <c r="E218" s="134" t="str">
        <f t="shared" si="22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26</v>
      </c>
      <c r="M218" s="137">
        <v>1083.4977799999999</v>
      </c>
      <c r="N218" s="137">
        <v>1569.32501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4"/>
        <v>2678.8227900000002</v>
      </c>
      <c r="T218" s="137">
        <f t="shared" si="15"/>
        <v>206.06329153846156</v>
      </c>
    </row>
    <row r="219" spans="1:20">
      <c r="A219" s="137" t="str">
        <f t="shared" si="20"/>
        <v>LGE</v>
      </c>
      <c r="B219" s="137" t="s">
        <v>867</v>
      </c>
      <c r="C219" s="137" t="str">
        <f t="shared" si="21"/>
        <v>397</v>
      </c>
      <c r="D219" s="134" t="s">
        <v>864</v>
      </c>
      <c r="E219" s="134" t="str">
        <f t="shared" si="22"/>
        <v/>
      </c>
      <c r="F219" s="137">
        <v>0</v>
      </c>
      <c r="G219" s="137">
        <v>0</v>
      </c>
      <c r="H219" s="137">
        <v>0</v>
      </c>
      <c r="I219" s="137">
        <v>0</v>
      </c>
      <c r="J219" s="137">
        <v>59.739609999999999</v>
      </c>
      <c r="K219" s="137">
        <v>65</v>
      </c>
      <c r="L219" s="137">
        <v>0</v>
      </c>
      <c r="M219" s="137">
        <v>130</v>
      </c>
      <c r="N219" s="137">
        <v>646.25797999999998</v>
      </c>
      <c r="O219" s="137">
        <v>0</v>
      </c>
      <c r="P219" s="137">
        <v>0</v>
      </c>
      <c r="Q219" s="137">
        <v>0</v>
      </c>
      <c r="R219" s="137">
        <v>0</v>
      </c>
      <c r="S219" s="137">
        <f t="shared" ref="S219:S275" si="23">SUM(G219:R219)</f>
        <v>900.99758999999995</v>
      </c>
      <c r="T219" s="137">
        <f t="shared" si="15"/>
        <v>69.307506923076915</v>
      </c>
    </row>
    <row r="220" spans="1:20">
      <c r="E220" s="134"/>
    </row>
    <row r="221" spans="1:20">
      <c r="E221" s="134" t="str">
        <f t="shared" si="22"/>
        <v/>
      </c>
      <c r="T221" s="137">
        <f t="shared" si="15"/>
        <v>0</v>
      </c>
    </row>
    <row r="222" spans="1:20">
      <c r="E222" s="134" t="str">
        <f t="shared" si="22"/>
        <v/>
      </c>
      <c r="S222" s="137">
        <f t="shared" si="23"/>
        <v>0</v>
      </c>
      <c r="T222" s="137">
        <f t="shared" si="15"/>
        <v>0</v>
      </c>
    </row>
    <row r="223" spans="1:20">
      <c r="E223" s="134" t="str">
        <f t="shared" si="22"/>
        <v/>
      </c>
      <c r="S223" s="137">
        <f t="shared" si="23"/>
        <v>0</v>
      </c>
      <c r="T223" s="137">
        <f t="shared" si="15"/>
        <v>0</v>
      </c>
    </row>
    <row r="224" spans="1:20">
      <c r="E224" s="134" t="str">
        <f t="shared" si="22"/>
        <v/>
      </c>
      <c r="S224" s="137">
        <f t="shared" si="23"/>
        <v>0</v>
      </c>
      <c r="T224" s="137">
        <f t="shared" si="15"/>
        <v>0</v>
      </c>
    </row>
    <row r="225" spans="1:20">
      <c r="E225" s="134" t="str">
        <f t="shared" si="22"/>
        <v/>
      </c>
      <c r="S225" s="137">
        <f t="shared" si="23"/>
        <v>0</v>
      </c>
      <c r="T225" s="137">
        <f t="shared" si="15"/>
        <v>0</v>
      </c>
    </row>
    <row r="226" spans="1:20">
      <c r="A226" s="137" t="str">
        <f>MID($D226,4,2)</f>
        <v/>
      </c>
      <c r="B226" s="137" t="str">
        <f>IF(MID($D226,12,2)="- ","KY",MID($D226,12,2))</f>
        <v/>
      </c>
      <c r="C226" s="137" t="str">
        <f>MID($D226,8,3)</f>
        <v/>
      </c>
      <c r="E226" s="134" t="str">
        <f t="shared" si="22"/>
        <v/>
      </c>
      <c r="S226" s="137">
        <f t="shared" si="23"/>
        <v>0</v>
      </c>
      <c r="T226" s="137">
        <f t="shared" si="15"/>
        <v>0</v>
      </c>
    </row>
    <row r="227" spans="1:20">
      <c r="D227" s="134" t="s">
        <v>690</v>
      </c>
      <c r="E227" s="134" t="str">
        <f t="shared" si="22"/>
        <v/>
      </c>
      <c r="S227" s="137">
        <f t="shared" si="23"/>
        <v>0</v>
      </c>
      <c r="T227" s="137">
        <f t="shared" si="15"/>
        <v>0</v>
      </c>
    </row>
    <row r="228" spans="1:20">
      <c r="A228" s="137" t="str">
        <f t="shared" ref="A228:A262" si="24">MID($D228,4,3)</f>
        <v>LGE</v>
      </c>
      <c r="B228" s="137" t="s">
        <v>923</v>
      </c>
      <c r="C228" s="137" t="str">
        <f t="shared" ref="C228:C262" si="25">MID($D228,9,3)</f>
        <v>311</v>
      </c>
      <c r="D228" s="134" t="s">
        <v>790</v>
      </c>
      <c r="E228" s="134" t="str">
        <f t="shared" si="22"/>
        <v/>
      </c>
      <c r="F228" s="137">
        <v>0</v>
      </c>
      <c r="G228" s="137">
        <v>0</v>
      </c>
      <c r="H228" s="137">
        <v>0</v>
      </c>
      <c r="I228" s="137">
        <v>0</v>
      </c>
      <c r="J228" s="137">
        <v>0</v>
      </c>
      <c r="K228" s="137">
        <v>0</v>
      </c>
      <c r="L228" s="137">
        <v>0</v>
      </c>
      <c r="M228" s="137">
        <v>0</v>
      </c>
      <c r="N228" s="137">
        <v>16810.64761</v>
      </c>
      <c r="O228" s="137">
        <v>0</v>
      </c>
      <c r="P228" s="137">
        <v>0</v>
      </c>
      <c r="Q228" s="137">
        <v>0</v>
      </c>
      <c r="R228" s="137">
        <v>0</v>
      </c>
      <c r="S228" s="137">
        <f t="shared" si="23"/>
        <v>16810.64761</v>
      </c>
      <c r="T228" s="137">
        <f t="shared" si="15"/>
        <v>1293.1267392307693</v>
      </c>
    </row>
    <row r="229" spans="1:20">
      <c r="A229" s="137" t="str">
        <f t="shared" si="24"/>
        <v>LGE</v>
      </c>
      <c r="B229" s="137" t="s">
        <v>923</v>
      </c>
      <c r="C229" s="137" t="str">
        <f t="shared" si="25"/>
        <v>312</v>
      </c>
      <c r="D229" s="134" t="s">
        <v>791</v>
      </c>
      <c r="E229" s="134" t="str">
        <f t="shared" si="22"/>
        <v/>
      </c>
      <c r="F229" s="137">
        <v>118.39071999999901</v>
      </c>
      <c r="G229" s="137">
        <v>877.49782000000005</v>
      </c>
      <c r="H229" s="137">
        <v>109.01322999999999</v>
      </c>
      <c r="I229" s="137">
        <v>103.84229000000001</v>
      </c>
      <c r="J229" s="137">
        <v>1117.62697</v>
      </c>
      <c r="K229" s="137">
        <v>439.95729</v>
      </c>
      <c r="L229" s="137">
        <v>81.950310000000002</v>
      </c>
      <c r="M229" s="137">
        <v>635.67470000000003</v>
      </c>
      <c r="N229" s="137">
        <v>10632.755499999999</v>
      </c>
      <c r="O229" s="137">
        <v>96.494799999999998</v>
      </c>
      <c r="P229" s="137">
        <v>5408.5552299999999</v>
      </c>
      <c r="Q229" s="137">
        <v>500.44119999999998</v>
      </c>
      <c r="R229" s="137">
        <v>118.39071999999901</v>
      </c>
      <c r="S229" s="137">
        <f t="shared" si="23"/>
        <v>20122.200059999999</v>
      </c>
      <c r="T229" s="137">
        <f t="shared" si="15"/>
        <v>1556.9685215384618</v>
      </c>
    </row>
    <row r="230" spans="1:20">
      <c r="A230" s="137" t="str">
        <f t="shared" si="24"/>
        <v>LGE</v>
      </c>
      <c r="B230" s="137" t="s">
        <v>923</v>
      </c>
      <c r="C230" s="137" t="str">
        <f t="shared" si="25"/>
        <v>312</v>
      </c>
      <c r="D230" s="134" t="s">
        <v>792</v>
      </c>
      <c r="E230" s="134" t="str">
        <f t="shared" si="22"/>
        <v>ECR</v>
      </c>
      <c r="F230" s="137">
        <v>0</v>
      </c>
      <c r="G230" s="137">
        <v>0</v>
      </c>
      <c r="H230" s="137">
        <v>0</v>
      </c>
      <c r="I230" s="137">
        <v>0</v>
      </c>
      <c r="J230" s="137">
        <v>0</v>
      </c>
      <c r="K230" s="137">
        <v>0</v>
      </c>
      <c r="L230" s="137">
        <v>0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23"/>
        <v>0</v>
      </c>
      <c r="T230" s="137">
        <f t="shared" si="15"/>
        <v>0</v>
      </c>
    </row>
    <row r="231" spans="1:20">
      <c r="A231" s="137" t="str">
        <f t="shared" si="24"/>
        <v>LGE</v>
      </c>
      <c r="B231" s="137" t="s">
        <v>923</v>
      </c>
      <c r="C231" s="137" t="str">
        <f t="shared" si="25"/>
        <v>314</v>
      </c>
      <c r="D231" s="134" t="s">
        <v>795</v>
      </c>
      <c r="E231" s="134" t="str">
        <f t="shared" si="22"/>
        <v/>
      </c>
      <c r="F231" s="137">
        <v>17.052949999999999</v>
      </c>
      <c r="G231" s="137">
        <v>126.39440999999999</v>
      </c>
      <c r="H231" s="137">
        <v>15.702220000000001</v>
      </c>
      <c r="I231" s="137">
        <v>14.9574</v>
      </c>
      <c r="J231" s="137">
        <v>160.98250999999999</v>
      </c>
      <c r="K231" s="137">
        <v>63.371259999999999</v>
      </c>
      <c r="L231" s="137">
        <v>11.80409</v>
      </c>
      <c r="M231" s="137">
        <v>91.562309999999997</v>
      </c>
      <c r="N231" s="137">
        <v>1727.0787399999999</v>
      </c>
      <c r="O231" s="137">
        <v>13.89907</v>
      </c>
      <c r="P231" s="137">
        <v>779.04597999999999</v>
      </c>
      <c r="Q231" s="137">
        <v>72.083330000000004</v>
      </c>
      <c r="R231" s="137">
        <v>17.052949999999999</v>
      </c>
      <c r="S231" s="137">
        <f t="shared" si="23"/>
        <v>3093.9342699999993</v>
      </c>
      <c r="T231" s="137">
        <f t="shared" si="15"/>
        <v>239.3067092307692</v>
      </c>
    </row>
    <row r="232" spans="1:20">
      <c r="A232" s="137" t="str">
        <f t="shared" si="24"/>
        <v>LGE</v>
      </c>
      <c r="B232" s="137" t="s">
        <v>923</v>
      </c>
      <c r="C232" s="137" t="str">
        <f t="shared" si="25"/>
        <v>315</v>
      </c>
      <c r="D232" s="134" t="s">
        <v>796</v>
      </c>
      <c r="E232" s="134" t="str">
        <f t="shared" si="22"/>
        <v/>
      </c>
      <c r="F232" s="137">
        <v>0</v>
      </c>
      <c r="G232" s="137">
        <v>0</v>
      </c>
      <c r="H232" s="137">
        <v>0</v>
      </c>
      <c r="I232" s="137">
        <v>0</v>
      </c>
      <c r="J232" s="137">
        <v>0</v>
      </c>
      <c r="K232" s="137">
        <v>0</v>
      </c>
      <c r="L232" s="137">
        <v>0</v>
      </c>
      <c r="M232" s="137">
        <v>0</v>
      </c>
      <c r="N232" s="137">
        <v>1.12086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23"/>
        <v>1.12086</v>
      </c>
      <c r="T232" s="137">
        <f t="shared" si="15"/>
        <v>8.6219999999999991E-2</v>
      </c>
    </row>
    <row r="233" spans="1:20">
      <c r="A233" s="137" t="str">
        <f t="shared" si="24"/>
        <v>LGE</v>
      </c>
      <c r="B233" s="137" t="s">
        <v>923</v>
      </c>
      <c r="C233" s="137" t="str">
        <f t="shared" si="25"/>
        <v>316</v>
      </c>
      <c r="D233" s="134" t="s">
        <v>798</v>
      </c>
      <c r="E233" s="134" t="str">
        <f t="shared" si="22"/>
        <v/>
      </c>
      <c r="F233" s="137">
        <v>0</v>
      </c>
      <c r="G233" s="137">
        <v>0</v>
      </c>
      <c r="H233" s="137">
        <v>0</v>
      </c>
      <c r="I233" s="137">
        <v>0</v>
      </c>
      <c r="J233" s="137">
        <v>0</v>
      </c>
      <c r="K233" s="137">
        <v>0</v>
      </c>
      <c r="L233" s="137">
        <v>0</v>
      </c>
      <c r="M233" s="137">
        <v>0</v>
      </c>
      <c r="N233" s="137">
        <v>608.12224000000003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23"/>
        <v>608.12224000000003</v>
      </c>
      <c r="T233" s="137">
        <f t="shared" ref="T233:T308" si="26">SUM(F233:R233)/13</f>
        <v>46.778633846153852</v>
      </c>
    </row>
    <row r="234" spans="1:20">
      <c r="A234" s="137" t="str">
        <f t="shared" si="24"/>
        <v>LGE</v>
      </c>
      <c r="B234" s="137" t="s">
        <v>923</v>
      </c>
      <c r="C234" s="137" t="str">
        <f t="shared" si="25"/>
        <v>317</v>
      </c>
      <c r="D234" s="134" t="s">
        <v>799</v>
      </c>
      <c r="E234" s="134" t="str">
        <f t="shared" si="22"/>
        <v>ARO</v>
      </c>
      <c r="F234" s="137">
        <v>0</v>
      </c>
      <c r="G234" s="137">
        <v>48.893889999999999</v>
      </c>
      <c r="H234" s="137">
        <v>0</v>
      </c>
      <c r="I234" s="137">
        <v>0</v>
      </c>
      <c r="J234" s="137">
        <v>0</v>
      </c>
      <c r="K234" s="137">
        <v>0</v>
      </c>
      <c r="L234" s="137">
        <v>0</v>
      </c>
      <c r="M234" s="137">
        <v>0</v>
      </c>
      <c r="N234" s="137">
        <v>0</v>
      </c>
      <c r="O234" s="137">
        <v>13029.744570000001</v>
      </c>
      <c r="P234" s="137">
        <v>0</v>
      </c>
      <c r="Q234" s="137">
        <v>0</v>
      </c>
      <c r="R234" s="137">
        <v>0</v>
      </c>
      <c r="S234" s="137">
        <f t="shared" si="23"/>
        <v>13078.63846</v>
      </c>
      <c r="T234" s="137">
        <f t="shared" si="26"/>
        <v>1006.0491123076923</v>
      </c>
    </row>
    <row r="235" spans="1:20">
      <c r="A235" s="137" t="str">
        <f t="shared" si="24"/>
        <v>LGE</v>
      </c>
      <c r="B235" s="137" t="s">
        <v>923</v>
      </c>
      <c r="C235" s="137" t="str">
        <f t="shared" si="25"/>
        <v>317</v>
      </c>
      <c r="D235" s="134" t="s">
        <v>1817</v>
      </c>
      <c r="E235" s="134" t="str">
        <f t="shared" si="22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0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23"/>
        <v>0</v>
      </c>
      <c r="T235" s="137">
        <f t="shared" si="26"/>
        <v>0</v>
      </c>
    </row>
    <row r="236" spans="1:20">
      <c r="A236" s="137" t="str">
        <f t="shared" si="24"/>
        <v>LGE</v>
      </c>
      <c r="B236" s="137" t="s">
        <v>923</v>
      </c>
      <c r="C236" s="137" t="str">
        <f t="shared" si="25"/>
        <v>333</v>
      </c>
      <c r="D236" s="134" t="s">
        <v>803</v>
      </c>
      <c r="E236" s="134" t="str">
        <f t="shared" si="22"/>
        <v/>
      </c>
      <c r="F236" s="137">
        <v>0</v>
      </c>
      <c r="G236" s="137">
        <v>0</v>
      </c>
      <c r="H236" s="137">
        <v>0</v>
      </c>
      <c r="I236" s="137">
        <v>0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23"/>
        <v>0</v>
      </c>
      <c r="T236" s="137">
        <f t="shared" si="26"/>
        <v>0</v>
      </c>
    </row>
    <row r="237" spans="1:20">
      <c r="A237" s="137" t="str">
        <f t="shared" si="24"/>
        <v>LGE</v>
      </c>
      <c r="B237" s="137" t="s">
        <v>923</v>
      </c>
      <c r="C237" s="137" t="str">
        <f t="shared" si="25"/>
        <v>334</v>
      </c>
      <c r="D237" s="134" t="s">
        <v>804</v>
      </c>
      <c r="E237" s="134" t="str">
        <f t="shared" si="22"/>
        <v/>
      </c>
      <c r="F237" s="137">
        <v>0</v>
      </c>
      <c r="G237" s="137">
        <v>0</v>
      </c>
      <c r="H237" s="137">
        <v>0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23"/>
        <v>0</v>
      </c>
      <c r="T237" s="137">
        <f t="shared" si="26"/>
        <v>0</v>
      </c>
    </row>
    <row r="238" spans="1:20">
      <c r="A238" s="137" t="str">
        <f t="shared" si="24"/>
        <v>LGE</v>
      </c>
      <c r="B238" s="137" t="s">
        <v>923</v>
      </c>
      <c r="C238" s="137" t="str">
        <f t="shared" si="25"/>
        <v>337</v>
      </c>
      <c r="D238" s="134" t="s">
        <v>807</v>
      </c>
      <c r="E238" s="134" t="str">
        <f t="shared" si="22"/>
        <v>ARO</v>
      </c>
      <c r="F238" s="137">
        <v>0</v>
      </c>
      <c r="G238" s="137">
        <v>0</v>
      </c>
      <c r="H238" s="137">
        <v>0</v>
      </c>
      <c r="I238" s="137">
        <v>0</v>
      </c>
      <c r="J238" s="137">
        <v>0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23"/>
        <v>0</v>
      </c>
      <c r="T238" s="137">
        <f t="shared" si="26"/>
        <v>0</v>
      </c>
    </row>
    <row r="239" spans="1:20">
      <c r="A239" s="137" t="str">
        <f t="shared" si="24"/>
        <v>LGE</v>
      </c>
      <c r="B239" s="137" t="s">
        <v>923</v>
      </c>
      <c r="C239" s="137" t="str">
        <f t="shared" si="25"/>
        <v>343</v>
      </c>
      <c r="D239" s="134" t="s">
        <v>811</v>
      </c>
      <c r="E239" s="134" t="str">
        <f t="shared" si="22"/>
        <v/>
      </c>
      <c r="F239" s="137">
        <v>0</v>
      </c>
      <c r="G239" s="137">
        <v>0</v>
      </c>
      <c r="H239" s="137">
        <v>0</v>
      </c>
      <c r="I239" s="137">
        <v>0</v>
      </c>
      <c r="J239" s="137">
        <v>0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23"/>
        <v>0</v>
      </c>
      <c r="T239" s="137">
        <f t="shared" si="26"/>
        <v>0</v>
      </c>
    </row>
    <row r="240" spans="1:20">
      <c r="A240" s="137" t="str">
        <f t="shared" si="24"/>
        <v>LGE</v>
      </c>
      <c r="B240" s="137" t="s">
        <v>923</v>
      </c>
      <c r="C240" s="137" t="str">
        <f t="shared" si="25"/>
        <v>343</v>
      </c>
      <c r="D240" s="134" t="s">
        <v>1520</v>
      </c>
      <c r="E240" s="134" t="str">
        <f t="shared" si="22"/>
        <v/>
      </c>
      <c r="F240" s="137">
        <v>0</v>
      </c>
      <c r="G240" s="137">
        <v>0</v>
      </c>
      <c r="H240" s="137">
        <v>0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1140.98423</v>
      </c>
      <c r="S240" s="137">
        <f t="shared" si="23"/>
        <v>1140.98423</v>
      </c>
      <c r="T240" s="137">
        <f t="shared" si="26"/>
        <v>87.768017692307694</v>
      </c>
    </row>
    <row r="241" spans="1:20">
      <c r="A241" s="137" t="str">
        <f t="shared" si="24"/>
        <v>LGE</v>
      </c>
      <c r="B241" s="137" t="s">
        <v>923</v>
      </c>
      <c r="C241" s="137" t="str">
        <f t="shared" si="25"/>
        <v>352</v>
      </c>
      <c r="D241" s="134" t="s">
        <v>820</v>
      </c>
      <c r="E241" s="134" t="str">
        <f t="shared" si="22"/>
        <v/>
      </c>
      <c r="F241" s="137">
        <v>0</v>
      </c>
      <c r="G241" s="137">
        <v>0</v>
      </c>
      <c r="H241" s="137">
        <v>0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23"/>
        <v>0</v>
      </c>
      <c r="T241" s="137">
        <f t="shared" si="26"/>
        <v>0</v>
      </c>
    </row>
    <row r="242" spans="1:20">
      <c r="A242" s="137" t="str">
        <f t="shared" si="24"/>
        <v>LGE</v>
      </c>
      <c r="B242" s="137" t="s">
        <v>923</v>
      </c>
      <c r="C242" s="137" t="str">
        <f t="shared" si="25"/>
        <v>353</v>
      </c>
      <c r="D242" s="134" t="s">
        <v>822</v>
      </c>
      <c r="E242" s="134" t="str">
        <f t="shared" si="22"/>
        <v/>
      </c>
      <c r="F242" s="137">
        <v>0</v>
      </c>
      <c r="G242" s="137">
        <v>0</v>
      </c>
      <c r="H242" s="137">
        <v>0</v>
      </c>
      <c r="I242" s="137">
        <v>0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23"/>
        <v>0</v>
      </c>
      <c r="T242" s="137">
        <f t="shared" si="26"/>
        <v>0</v>
      </c>
    </row>
    <row r="243" spans="1:20">
      <c r="A243" s="137" t="str">
        <f t="shared" si="24"/>
        <v>LGE</v>
      </c>
      <c r="B243" s="137" t="s">
        <v>923</v>
      </c>
      <c r="C243" s="137" t="str">
        <f t="shared" si="25"/>
        <v>353</v>
      </c>
      <c r="D243" s="134" t="s">
        <v>823</v>
      </c>
      <c r="E243" s="134" t="str">
        <f t="shared" si="22"/>
        <v/>
      </c>
      <c r="F243" s="137">
        <v>260.06968000000001</v>
      </c>
      <c r="G243" s="137">
        <v>164.74563000000001</v>
      </c>
      <c r="H243" s="137">
        <v>317.36946</v>
      </c>
      <c r="I243" s="137">
        <v>79.037530000000004</v>
      </c>
      <c r="J243" s="137">
        <v>245.04748000000001</v>
      </c>
      <c r="K243" s="137">
        <v>46.922620000000002</v>
      </c>
      <c r="L243" s="137">
        <v>222.00588999999999</v>
      </c>
      <c r="M243" s="137">
        <v>133.94728000000001</v>
      </c>
      <c r="N243" s="137">
        <v>271.691409999999</v>
      </c>
      <c r="O243" s="137">
        <v>16.886310000000002</v>
      </c>
      <c r="P243" s="137">
        <v>121.13145</v>
      </c>
      <c r="Q243" s="137">
        <v>82.060379999999995</v>
      </c>
      <c r="R243" s="137">
        <v>260.06968000000001</v>
      </c>
      <c r="S243" s="137">
        <f t="shared" si="23"/>
        <v>1960.9151199999992</v>
      </c>
      <c r="T243" s="137">
        <f t="shared" si="26"/>
        <v>170.84498461538456</v>
      </c>
    </row>
    <row r="244" spans="1:20">
      <c r="A244" s="137" t="str">
        <f t="shared" si="24"/>
        <v>LGE</v>
      </c>
      <c r="B244" s="137" t="s">
        <v>923</v>
      </c>
      <c r="C244" s="137" t="str">
        <f t="shared" si="25"/>
        <v>354</v>
      </c>
      <c r="D244" s="134" t="s">
        <v>825</v>
      </c>
      <c r="E244" s="134" t="str">
        <f t="shared" si="22"/>
        <v/>
      </c>
      <c r="F244" s="137">
        <v>0</v>
      </c>
      <c r="G244" s="137">
        <v>0</v>
      </c>
      <c r="H244" s="137">
        <v>0</v>
      </c>
      <c r="I244" s="137">
        <v>0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23"/>
        <v>0</v>
      </c>
      <c r="T244" s="137">
        <f t="shared" si="26"/>
        <v>0</v>
      </c>
    </row>
    <row r="245" spans="1:20">
      <c r="A245" s="137" t="str">
        <f t="shared" si="24"/>
        <v>LGE</v>
      </c>
      <c r="B245" s="137" t="s">
        <v>923</v>
      </c>
      <c r="C245" s="137" t="str">
        <f t="shared" si="25"/>
        <v>355</v>
      </c>
      <c r="D245" s="134" t="s">
        <v>827</v>
      </c>
      <c r="E245" s="134" t="str">
        <f t="shared" si="22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23"/>
        <v>0</v>
      </c>
      <c r="T245" s="137">
        <f t="shared" si="26"/>
        <v>0</v>
      </c>
    </row>
    <row r="246" spans="1:20">
      <c r="A246" s="137" t="str">
        <f t="shared" si="24"/>
        <v>LGE</v>
      </c>
      <c r="B246" s="137" t="s">
        <v>923</v>
      </c>
      <c r="C246" s="137" t="str">
        <f t="shared" si="25"/>
        <v>356</v>
      </c>
      <c r="D246" s="134" t="s">
        <v>829</v>
      </c>
      <c r="E246" s="134" t="str">
        <f t="shared" si="22"/>
        <v/>
      </c>
      <c r="F246" s="137">
        <v>0</v>
      </c>
      <c r="G246" s="137">
        <v>0</v>
      </c>
      <c r="H246" s="137">
        <v>0</v>
      </c>
      <c r="I246" s="137">
        <v>0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23"/>
        <v>0</v>
      </c>
      <c r="T246" s="137">
        <f t="shared" si="26"/>
        <v>0</v>
      </c>
    </row>
    <row r="247" spans="1:20">
      <c r="A247" s="137" t="str">
        <f t="shared" si="24"/>
        <v>LGE</v>
      </c>
      <c r="B247" s="137" t="s">
        <v>923</v>
      </c>
      <c r="C247" s="137" t="str">
        <f t="shared" si="25"/>
        <v>357</v>
      </c>
      <c r="D247" s="134" t="s">
        <v>830</v>
      </c>
      <c r="E247" s="134" t="str">
        <f t="shared" si="22"/>
        <v/>
      </c>
      <c r="F247" s="137">
        <v>0</v>
      </c>
      <c r="G247" s="137">
        <v>0</v>
      </c>
      <c r="H247" s="137">
        <v>0</v>
      </c>
      <c r="I247" s="137">
        <v>0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23"/>
        <v>0</v>
      </c>
      <c r="T247" s="137">
        <f t="shared" si="26"/>
        <v>0</v>
      </c>
    </row>
    <row r="248" spans="1:20">
      <c r="A248" s="137" t="str">
        <f t="shared" si="24"/>
        <v>LGE</v>
      </c>
      <c r="B248" s="137" t="s">
        <v>923</v>
      </c>
      <c r="C248" s="137" t="str">
        <f t="shared" si="25"/>
        <v>358</v>
      </c>
      <c r="D248" s="134" t="s">
        <v>831</v>
      </c>
      <c r="E248" s="134" t="str">
        <f t="shared" si="22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23"/>
        <v>0</v>
      </c>
      <c r="T248" s="137">
        <f t="shared" si="26"/>
        <v>0</v>
      </c>
    </row>
    <row r="249" spans="1:20">
      <c r="A249" s="137" t="str">
        <f t="shared" si="24"/>
        <v>LGE</v>
      </c>
      <c r="B249" s="137" t="s">
        <v>923</v>
      </c>
      <c r="C249" s="137" t="str">
        <f t="shared" si="25"/>
        <v>359</v>
      </c>
      <c r="D249" s="134" t="s">
        <v>832</v>
      </c>
      <c r="E249" s="134" t="str">
        <f t="shared" si="22"/>
        <v>ARO</v>
      </c>
      <c r="F249" s="137">
        <v>0</v>
      </c>
      <c r="G249" s="137">
        <v>0</v>
      </c>
      <c r="H249" s="137">
        <v>0</v>
      </c>
      <c r="I249" s="137">
        <v>0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23"/>
        <v>0</v>
      </c>
      <c r="T249" s="137">
        <f t="shared" si="26"/>
        <v>0</v>
      </c>
    </row>
    <row r="250" spans="1:20">
      <c r="A250" s="137" t="str">
        <f t="shared" si="24"/>
        <v>LGE</v>
      </c>
      <c r="B250" s="137" t="s">
        <v>924</v>
      </c>
      <c r="C250" s="137" t="str">
        <f t="shared" si="25"/>
        <v>360</v>
      </c>
      <c r="D250" s="134" t="s">
        <v>833</v>
      </c>
      <c r="E250" s="134" t="str">
        <f t="shared" si="22"/>
        <v>FUTURE USE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23"/>
        <v>0</v>
      </c>
      <c r="T250" s="137">
        <f t="shared" si="26"/>
        <v>0</v>
      </c>
    </row>
    <row r="251" spans="1:20">
      <c r="A251" s="137" t="str">
        <f t="shared" si="24"/>
        <v>LGE</v>
      </c>
      <c r="B251" s="137" t="s">
        <v>923</v>
      </c>
      <c r="C251" s="137" t="str">
        <f t="shared" si="25"/>
        <v>362</v>
      </c>
      <c r="D251" s="134" t="s">
        <v>837</v>
      </c>
      <c r="E251" s="134" t="str">
        <f t="shared" si="22"/>
        <v/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23"/>
        <v>0</v>
      </c>
      <c r="T251" s="137">
        <f t="shared" si="26"/>
        <v>0</v>
      </c>
    </row>
    <row r="252" spans="1:20">
      <c r="A252" s="137" t="str">
        <f t="shared" si="24"/>
        <v>LGE</v>
      </c>
      <c r="B252" s="137" t="s">
        <v>923</v>
      </c>
      <c r="C252" s="137" t="str">
        <f t="shared" si="25"/>
        <v>364</v>
      </c>
      <c r="D252" s="134" t="s">
        <v>838</v>
      </c>
      <c r="E252" s="134" t="str">
        <f t="shared" si="22"/>
        <v/>
      </c>
      <c r="F252" s="137">
        <v>143.06197</v>
      </c>
      <c r="G252" s="137">
        <v>200.26354999999899</v>
      </c>
      <c r="H252" s="137">
        <v>79.844059999999999</v>
      </c>
      <c r="I252" s="137">
        <v>444.85237000000001</v>
      </c>
      <c r="J252" s="137">
        <v>358.84003999999999</v>
      </c>
      <c r="K252" s="137">
        <v>20.458069999999999</v>
      </c>
      <c r="L252" s="137">
        <v>113.70133</v>
      </c>
      <c r="M252" s="137">
        <v>39.941009999999999</v>
      </c>
      <c r="N252" s="137">
        <v>218.24558999999999</v>
      </c>
      <c r="O252" s="137">
        <v>12.101649999999999</v>
      </c>
      <c r="P252" s="137">
        <v>150.97887</v>
      </c>
      <c r="Q252" s="137">
        <v>114.43349000000001</v>
      </c>
      <c r="R252" s="137">
        <v>143.06197</v>
      </c>
      <c r="S252" s="137">
        <f t="shared" si="23"/>
        <v>1896.7219999999991</v>
      </c>
      <c r="T252" s="137">
        <f t="shared" si="26"/>
        <v>156.90645923076914</v>
      </c>
    </row>
    <row r="253" spans="1:20">
      <c r="A253" s="137" t="str">
        <f t="shared" si="24"/>
        <v>LGE</v>
      </c>
      <c r="B253" s="137" t="s">
        <v>923</v>
      </c>
      <c r="C253" s="137" t="str">
        <f t="shared" si="25"/>
        <v>365</v>
      </c>
      <c r="D253" s="134" t="s">
        <v>839</v>
      </c>
      <c r="E253" s="134" t="str">
        <f t="shared" si="22"/>
        <v/>
      </c>
      <c r="F253" s="137">
        <v>182.24686</v>
      </c>
      <c r="G253" s="137">
        <v>255.11605</v>
      </c>
      <c r="H253" s="137">
        <v>101.71348</v>
      </c>
      <c r="I253" s="137">
        <v>566.69812999999999</v>
      </c>
      <c r="J253" s="137">
        <v>457.12689</v>
      </c>
      <c r="K253" s="137">
        <v>26.06157</v>
      </c>
      <c r="L253" s="137">
        <v>144.8443</v>
      </c>
      <c r="M253" s="137">
        <v>50.88091</v>
      </c>
      <c r="N253" s="137">
        <v>278.02341999999999</v>
      </c>
      <c r="O253" s="137">
        <v>15.416309999999999</v>
      </c>
      <c r="P253" s="137">
        <v>192.33223000000001</v>
      </c>
      <c r="Q253" s="137">
        <v>145.77700999999999</v>
      </c>
      <c r="R253" s="137">
        <v>182.24686</v>
      </c>
      <c r="S253" s="137">
        <f t="shared" si="23"/>
        <v>2416.2371600000001</v>
      </c>
      <c r="T253" s="137">
        <f t="shared" si="26"/>
        <v>199.88338615384617</v>
      </c>
    </row>
    <row r="254" spans="1:20">
      <c r="A254" s="137" t="str">
        <f t="shared" si="24"/>
        <v>LGE</v>
      </c>
      <c r="B254" s="137" t="s">
        <v>923</v>
      </c>
      <c r="C254" s="137" t="str">
        <f t="shared" si="25"/>
        <v>366</v>
      </c>
      <c r="D254" s="134" t="s">
        <v>840</v>
      </c>
      <c r="E254" s="134" t="str">
        <f t="shared" si="22"/>
        <v/>
      </c>
      <c r="F254" s="137">
        <v>0</v>
      </c>
      <c r="G254" s="137">
        <v>0</v>
      </c>
      <c r="H254" s="137">
        <v>0</v>
      </c>
      <c r="I254" s="137">
        <v>0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23"/>
        <v>0</v>
      </c>
      <c r="T254" s="137">
        <f t="shared" si="26"/>
        <v>0</v>
      </c>
    </row>
    <row r="255" spans="1:20">
      <c r="A255" s="137" t="str">
        <f t="shared" si="24"/>
        <v>LGE</v>
      </c>
      <c r="B255" s="137" t="s">
        <v>923</v>
      </c>
      <c r="C255" s="137" t="str">
        <f t="shared" si="25"/>
        <v>367</v>
      </c>
      <c r="D255" s="134" t="s">
        <v>841</v>
      </c>
      <c r="E255" s="134" t="str">
        <f t="shared" si="22"/>
        <v/>
      </c>
      <c r="F255" s="137">
        <v>77.253429999999994</v>
      </c>
      <c r="G255" s="137">
        <v>108.14227</v>
      </c>
      <c r="H255" s="137">
        <v>43.115780000000001</v>
      </c>
      <c r="I255" s="137">
        <v>240.22018</v>
      </c>
      <c r="J255" s="137">
        <v>193.77354</v>
      </c>
      <c r="K255" s="137">
        <v>11.04735</v>
      </c>
      <c r="L255" s="137">
        <v>61.398690000000002</v>
      </c>
      <c r="M255" s="137">
        <v>21.56813</v>
      </c>
      <c r="N255" s="137">
        <v>117.85257</v>
      </c>
      <c r="O255" s="137">
        <v>6.5348899999999999</v>
      </c>
      <c r="P255" s="137">
        <v>81.528559999999999</v>
      </c>
      <c r="Q255" s="137">
        <v>61.794060000000002</v>
      </c>
      <c r="R255" s="137">
        <v>77.253429999999994</v>
      </c>
      <c r="S255" s="137">
        <f t="shared" si="23"/>
        <v>1024.22945</v>
      </c>
      <c r="T255" s="137">
        <f t="shared" si="26"/>
        <v>84.729452307692313</v>
      </c>
    </row>
    <row r="256" spans="1:20">
      <c r="A256" s="137" t="str">
        <f t="shared" si="24"/>
        <v>LGE</v>
      </c>
      <c r="B256" s="137" t="s">
        <v>923</v>
      </c>
      <c r="C256" s="137" t="str">
        <f t="shared" si="25"/>
        <v>368</v>
      </c>
      <c r="D256" s="134" t="s">
        <v>842</v>
      </c>
      <c r="E256" s="134" t="str">
        <f t="shared" si="22"/>
        <v/>
      </c>
      <c r="F256" s="137">
        <v>88.915149999999997</v>
      </c>
      <c r="G256" s="137">
        <v>124.46679</v>
      </c>
      <c r="H256" s="137">
        <v>49.624279999999999</v>
      </c>
      <c r="I256" s="137">
        <v>276.48239000000001</v>
      </c>
      <c r="J256" s="137">
        <v>223.02444</v>
      </c>
      <c r="K256" s="137">
        <v>12.715</v>
      </c>
      <c r="L256" s="137">
        <v>70.667069999999995</v>
      </c>
      <c r="M256" s="137">
        <v>24.823930000000001</v>
      </c>
      <c r="N256" s="137">
        <v>135.64288999999999</v>
      </c>
      <c r="O256" s="137">
        <v>7.5213599999999996</v>
      </c>
      <c r="P256" s="137">
        <v>93.835619999999906</v>
      </c>
      <c r="Q256" s="137">
        <v>71.122119999999995</v>
      </c>
      <c r="R256" s="137">
        <v>88.915149999999997</v>
      </c>
      <c r="S256" s="137">
        <f t="shared" si="23"/>
        <v>1178.84104</v>
      </c>
      <c r="T256" s="137">
        <f t="shared" si="26"/>
        <v>97.51970692307691</v>
      </c>
    </row>
    <row r="257" spans="1:20">
      <c r="A257" s="137" t="str">
        <f t="shared" si="24"/>
        <v>LGE</v>
      </c>
      <c r="B257" s="137" t="s">
        <v>923</v>
      </c>
      <c r="C257" s="137" t="str">
        <f t="shared" si="25"/>
        <v>369</v>
      </c>
      <c r="D257" s="134" t="s">
        <v>843</v>
      </c>
      <c r="E257" s="134" t="str">
        <f t="shared" si="22"/>
        <v/>
      </c>
      <c r="F257" s="137">
        <v>0</v>
      </c>
      <c r="G257" s="137">
        <v>0</v>
      </c>
      <c r="H257" s="137">
        <v>0</v>
      </c>
      <c r="I257" s="137">
        <v>0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>SUM(G257:R257)</f>
        <v>0</v>
      </c>
      <c r="T257" s="137">
        <f>SUM(F257:R257)/13</f>
        <v>0</v>
      </c>
    </row>
    <row r="258" spans="1:20">
      <c r="A258" s="137" t="str">
        <f t="shared" si="24"/>
        <v>LGE</v>
      </c>
      <c r="B258" s="137" t="s">
        <v>923</v>
      </c>
      <c r="C258" s="137" t="str">
        <f t="shared" si="25"/>
        <v>370</v>
      </c>
      <c r="D258" s="134" t="s">
        <v>844</v>
      </c>
      <c r="E258" s="134" t="str">
        <f t="shared" si="22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0</v>
      </c>
      <c r="T258" s="137">
        <f>SUM(F258:R258)/13</f>
        <v>0</v>
      </c>
    </row>
    <row r="259" spans="1:20">
      <c r="A259" s="137" t="str">
        <f t="shared" si="24"/>
        <v>LGE</v>
      </c>
      <c r="B259" s="137" t="s">
        <v>923</v>
      </c>
      <c r="C259" s="137" t="str">
        <f t="shared" si="25"/>
        <v>370</v>
      </c>
      <c r="D259" s="134" t="s">
        <v>1818</v>
      </c>
      <c r="E259" s="134" t="str">
        <f t="shared" si="22"/>
        <v>DSM</v>
      </c>
      <c r="F259" s="137">
        <v>0</v>
      </c>
      <c r="G259" s="137">
        <v>0</v>
      </c>
      <c r="H259" s="137">
        <v>0</v>
      </c>
      <c r="I259" s="137">
        <v>0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0</v>
      </c>
      <c r="T259" s="137">
        <f>SUM(F259:R259)/13</f>
        <v>0</v>
      </c>
    </row>
    <row r="260" spans="1:20">
      <c r="A260" s="137" t="str">
        <f t="shared" si="24"/>
        <v>LGE</v>
      </c>
      <c r="B260" s="137" t="s">
        <v>923</v>
      </c>
      <c r="C260" s="137" t="str">
        <f t="shared" si="25"/>
        <v>392</v>
      </c>
      <c r="D260" s="134" t="s">
        <v>1527</v>
      </c>
      <c r="E260" s="134" t="str">
        <f t="shared" si="22"/>
        <v/>
      </c>
      <c r="F260" s="137">
        <v>0</v>
      </c>
      <c r="G260" s="137">
        <v>0</v>
      </c>
      <c r="H260" s="137">
        <v>0</v>
      </c>
      <c r="I260" s="137">
        <v>0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87.767080000000007</v>
      </c>
      <c r="P260" s="137">
        <v>0</v>
      </c>
      <c r="Q260" s="137">
        <v>0</v>
      </c>
      <c r="R260" s="137">
        <v>0</v>
      </c>
      <c r="S260" s="137">
        <f>SUM(G260:R260)</f>
        <v>87.767080000000007</v>
      </c>
      <c r="T260" s="137">
        <f>SUM(F260:R260)/13</f>
        <v>6.7513138461538471</v>
      </c>
    </row>
    <row r="261" spans="1:20">
      <c r="A261" s="137" t="str">
        <f t="shared" si="24"/>
        <v>LGE</v>
      </c>
      <c r="B261" s="137" t="s">
        <v>923</v>
      </c>
      <c r="C261" s="137" t="str">
        <f t="shared" si="25"/>
        <v>392</v>
      </c>
      <c r="D261" s="134" t="s">
        <v>847</v>
      </c>
      <c r="E261" s="134" t="str">
        <f t="shared" si="22"/>
        <v/>
      </c>
      <c r="F261" s="137">
        <v>0</v>
      </c>
      <c r="G261" s="137">
        <v>0</v>
      </c>
      <c r="H261" s="137">
        <v>0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0</v>
      </c>
      <c r="T261" s="137">
        <f>SUM(F261:R261)/13</f>
        <v>0</v>
      </c>
    </row>
    <row r="262" spans="1:20">
      <c r="A262" s="137" t="str">
        <f t="shared" si="24"/>
        <v>LGE</v>
      </c>
      <c r="B262" s="137" t="s">
        <v>923</v>
      </c>
      <c r="C262" s="137" t="str">
        <f t="shared" si="25"/>
        <v>394</v>
      </c>
      <c r="D262" s="134" t="s">
        <v>848</v>
      </c>
      <c r="E262" s="134" t="str">
        <f t="shared" si="22"/>
        <v/>
      </c>
      <c r="F262" s="137">
        <v>0</v>
      </c>
      <c r="G262" s="137">
        <v>0</v>
      </c>
      <c r="H262" s="137">
        <v>73.231160000000003</v>
      </c>
      <c r="I262" s="137">
        <v>0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 t="shared" si="23"/>
        <v>73.231160000000003</v>
      </c>
      <c r="T262" s="137">
        <f t="shared" si="26"/>
        <v>5.6331661538461537</v>
      </c>
    </row>
    <row r="263" spans="1:20">
      <c r="E263" s="134"/>
    </row>
    <row r="264" spans="1:20">
      <c r="E264" s="134"/>
    </row>
    <row r="265" spans="1:20">
      <c r="E265" s="134" t="str">
        <f t="shared" si="22"/>
        <v/>
      </c>
      <c r="T265" s="137">
        <f t="shared" si="26"/>
        <v>0</v>
      </c>
    </row>
    <row r="266" spans="1:20">
      <c r="E266" s="134" t="str">
        <f t="shared" si="22"/>
        <v/>
      </c>
      <c r="S266" s="137">
        <f t="shared" si="23"/>
        <v>0</v>
      </c>
      <c r="T266" s="137">
        <f t="shared" si="26"/>
        <v>0</v>
      </c>
    </row>
    <row r="267" spans="1:20">
      <c r="D267" s="134" t="s">
        <v>868</v>
      </c>
      <c r="E267" s="134" t="str">
        <f t="shared" si="22"/>
        <v/>
      </c>
      <c r="S267" s="137">
        <f t="shared" si="23"/>
        <v>0</v>
      </c>
      <c r="T267" s="137">
        <f t="shared" si="26"/>
        <v>0</v>
      </c>
    </row>
    <row r="268" spans="1:20">
      <c r="A268" s="137" t="str">
        <f t="shared" ref="A268:A275" si="27">MID($D268,4,3)</f>
        <v>LGE</v>
      </c>
      <c r="B268" s="137" t="s">
        <v>867</v>
      </c>
      <c r="C268" s="137" t="str">
        <f t="shared" ref="C268:C275" si="28">MID($D268,9,3)</f>
        <v>303</v>
      </c>
      <c r="D268" s="134" t="s">
        <v>853</v>
      </c>
      <c r="E268" s="134" t="str">
        <f t="shared" si="22"/>
        <v/>
      </c>
      <c r="F268" s="137">
        <v>571.74099000000001</v>
      </c>
      <c r="G268" s="137">
        <v>230.88359</v>
      </c>
      <c r="H268" s="137">
        <v>192.80251000000001</v>
      </c>
      <c r="I268" s="137">
        <v>232.8434</v>
      </c>
      <c r="J268" s="137">
        <v>1162.5548799999999</v>
      </c>
      <c r="K268" s="137">
        <v>381.92734999999999</v>
      </c>
      <c r="L268" s="137">
        <v>1372.0749599999999</v>
      </c>
      <c r="M268" s="137">
        <v>3656.1215400000001</v>
      </c>
      <c r="N268" s="137">
        <v>85.180080000000004</v>
      </c>
      <c r="O268" s="137">
        <v>688.97176999999999</v>
      </c>
      <c r="P268" s="137">
        <v>2509.2860799999999</v>
      </c>
      <c r="Q268" s="137">
        <v>268.38684000000001</v>
      </c>
      <c r="R268" s="137">
        <v>24.808299999999999</v>
      </c>
      <c r="S268" s="137">
        <f t="shared" si="23"/>
        <v>10805.8413</v>
      </c>
      <c r="T268" s="137">
        <f t="shared" si="26"/>
        <v>875.19863769230767</v>
      </c>
    </row>
    <row r="269" spans="1:20">
      <c r="A269" s="137" t="str">
        <f t="shared" si="27"/>
        <v>LGE</v>
      </c>
      <c r="B269" s="137" t="s">
        <v>867</v>
      </c>
      <c r="C269" s="137" t="str">
        <f t="shared" si="28"/>
        <v>303</v>
      </c>
      <c r="D269" s="134" t="s">
        <v>854</v>
      </c>
      <c r="E269" s="134" t="str">
        <f t="shared" si="22"/>
        <v/>
      </c>
      <c r="F269" s="137">
        <v>41186.278829999901</v>
      </c>
      <c r="G269" s="137">
        <v>0</v>
      </c>
      <c r="H269" s="137">
        <v>0</v>
      </c>
      <c r="I269" s="137">
        <v>0</v>
      </c>
      <c r="J269" s="137">
        <v>0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f t="shared" si="23"/>
        <v>0</v>
      </c>
      <c r="T269" s="137">
        <f t="shared" si="26"/>
        <v>3168.175294615377</v>
      </c>
    </row>
    <row r="270" spans="1:20">
      <c r="A270" s="137" t="str">
        <f t="shared" si="27"/>
        <v>LGE</v>
      </c>
      <c r="B270" s="137" t="s">
        <v>867</v>
      </c>
      <c r="C270" s="137" t="str">
        <f t="shared" si="28"/>
        <v>390</v>
      </c>
      <c r="D270" s="134" t="s">
        <v>856</v>
      </c>
      <c r="E270" s="134" t="str">
        <f t="shared" si="22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23"/>
        <v>0</v>
      </c>
      <c r="T270" s="137">
        <f t="shared" si="26"/>
        <v>0</v>
      </c>
    </row>
    <row r="271" spans="1:20">
      <c r="A271" s="137" t="str">
        <f t="shared" si="27"/>
        <v>LGE</v>
      </c>
      <c r="B271" s="137" t="s">
        <v>867</v>
      </c>
      <c r="C271" s="137" t="str">
        <f t="shared" si="28"/>
        <v>391</v>
      </c>
      <c r="D271" s="134" t="s">
        <v>857</v>
      </c>
      <c r="E271" s="134" t="str">
        <f t="shared" si="22"/>
        <v/>
      </c>
      <c r="F271" s="137">
        <v>176.06345999999999</v>
      </c>
      <c r="G271" s="137">
        <v>1563.68137</v>
      </c>
      <c r="H271" s="137">
        <v>987.51967000000002</v>
      </c>
      <c r="I271" s="137">
        <v>173.83721</v>
      </c>
      <c r="J271" s="137">
        <v>839.63539000000003</v>
      </c>
      <c r="K271" s="137">
        <v>1656.4884500000001</v>
      </c>
      <c r="L271" s="137">
        <v>612.83745999999996</v>
      </c>
      <c r="M271" s="137">
        <v>87.295590000000004</v>
      </c>
      <c r="N271" s="137">
        <v>516.51522</v>
      </c>
      <c r="O271" s="137">
        <v>30.853770000000001</v>
      </c>
      <c r="P271" s="137">
        <v>1709.5486900000001</v>
      </c>
      <c r="Q271" s="137">
        <v>223.27207000000001</v>
      </c>
      <c r="R271" s="137">
        <v>37.89864</v>
      </c>
      <c r="S271" s="137">
        <f t="shared" si="23"/>
        <v>8439.3835299999992</v>
      </c>
      <c r="T271" s="137">
        <f t="shared" si="26"/>
        <v>662.72669153846152</v>
      </c>
    </row>
    <row r="272" spans="1:20">
      <c r="A272" s="137" t="str">
        <f t="shared" si="27"/>
        <v>LGE</v>
      </c>
      <c r="B272" s="137" t="s">
        <v>867</v>
      </c>
      <c r="C272" s="137" t="str">
        <f t="shared" si="28"/>
        <v>392</v>
      </c>
      <c r="D272" s="134" t="s">
        <v>858</v>
      </c>
      <c r="E272" s="134" t="str">
        <f t="shared" si="22"/>
        <v/>
      </c>
      <c r="F272" s="137">
        <v>0</v>
      </c>
      <c r="G272" s="137">
        <v>0</v>
      </c>
      <c r="H272" s="137">
        <v>0</v>
      </c>
      <c r="I272" s="137">
        <v>0</v>
      </c>
      <c r="J272" s="137">
        <v>0</v>
      </c>
      <c r="K272" s="137">
        <v>0</v>
      </c>
      <c r="L272" s="137">
        <v>0</v>
      </c>
      <c r="M272" s="137">
        <v>0</v>
      </c>
      <c r="N272" s="137">
        <v>0</v>
      </c>
      <c r="O272" s="137">
        <v>0</v>
      </c>
      <c r="P272" s="137">
        <v>0</v>
      </c>
      <c r="Q272" s="137">
        <v>0</v>
      </c>
      <c r="R272" s="137">
        <v>0</v>
      </c>
      <c r="S272" s="137">
        <f t="shared" si="23"/>
        <v>0</v>
      </c>
      <c r="T272" s="137">
        <f t="shared" si="26"/>
        <v>0</v>
      </c>
    </row>
    <row r="273" spans="1:20">
      <c r="A273" s="137" t="str">
        <f t="shared" si="27"/>
        <v>LGE</v>
      </c>
      <c r="B273" s="137" t="s">
        <v>867</v>
      </c>
      <c r="C273" s="137" t="str">
        <f t="shared" si="28"/>
        <v>394</v>
      </c>
      <c r="D273" s="134" t="s">
        <v>860</v>
      </c>
      <c r="E273" s="134" t="str">
        <f t="shared" si="22"/>
        <v/>
      </c>
      <c r="F273" s="137">
        <v>0</v>
      </c>
      <c r="G273" s="137">
        <v>0</v>
      </c>
      <c r="H273" s="137">
        <v>44.164490000000001</v>
      </c>
      <c r="I273" s="137">
        <v>0</v>
      </c>
      <c r="J273" s="137">
        <v>0</v>
      </c>
      <c r="K273" s="137">
        <v>0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23"/>
        <v>44.164490000000001</v>
      </c>
      <c r="T273" s="137">
        <f t="shared" si="26"/>
        <v>3.3972684615384616</v>
      </c>
    </row>
    <row r="274" spans="1:20">
      <c r="A274" s="137" t="str">
        <f t="shared" si="27"/>
        <v>LGE</v>
      </c>
      <c r="B274" s="137" t="s">
        <v>867</v>
      </c>
      <c r="C274" s="137" t="str">
        <f t="shared" si="28"/>
        <v>396</v>
      </c>
      <c r="D274" s="134" t="s">
        <v>1530</v>
      </c>
      <c r="E274" s="134" t="str">
        <f t="shared" si="22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0</v>
      </c>
      <c r="L274" s="137">
        <v>0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>SUM(G274:R274)</f>
        <v>0</v>
      </c>
      <c r="T274" s="137">
        <f>SUM(F274:R274)/13</f>
        <v>0</v>
      </c>
    </row>
    <row r="275" spans="1:20">
      <c r="A275" s="137" t="str">
        <f t="shared" si="27"/>
        <v>LGE</v>
      </c>
      <c r="B275" s="137" t="s">
        <v>867</v>
      </c>
      <c r="C275" s="137" t="str">
        <f t="shared" si="28"/>
        <v>397</v>
      </c>
      <c r="D275" s="134" t="s">
        <v>864</v>
      </c>
      <c r="E275" s="134" t="str">
        <f t="shared" si="22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0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 t="shared" si="23"/>
        <v>0</v>
      </c>
      <c r="T275" s="137">
        <f t="shared" si="26"/>
        <v>0</v>
      </c>
    </row>
    <row r="276" spans="1:20">
      <c r="E276" s="134" t="str">
        <f t="shared" si="22"/>
        <v/>
      </c>
      <c r="T276" s="137">
        <f t="shared" si="26"/>
        <v>0</v>
      </c>
    </row>
    <row r="277" spans="1:20">
      <c r="E277" s="134" t="str">
        <f t="shared" si="22"/>
        <v/>
      </c>
      <c r="T277" s="137">
        <f t="shared" si="26"/>
        <v>0</v>
      </c>
    </row>
    <row r="278" spans="1:20">
      <c r="E278" s="134" t="str">
        <f t="shared" si="22"/>
        <v/>
      </c>
      <c r="T278" s="137">
        <f t="shared" si="26"/>
        <v>0</v>
      </c>
    </row>
    <row r="279" spans="1:20">
      <c r="E279" s="134" t="str">
        <f t="shared" si="22"/>
        <v/>
      </c>
      <c r="T279" s="137">
        <f t="shared" si="26"/>
        <v>0</v>
      </c>
    </row>
    <row r="280" spans="1:20">
      <c r="D280" s="134" t="s">
        <v>691</v>
      </c>
      <c r="E280" s="134" t="str">
        <f t="shared" si="22"/>
        <v/>
      </c>
      <c r="T280" s="137">
        <f t="shared" si="26"/>
        <v>0</v>
      </c>
    </row>
    <row r="281" spans="1:20">
      <c r="A281" s="137" t="str">
        <f t="shared" ref="A281:A348" si="29">MID($D281,4,3)</f>
        <v>LGE</v>
      </c>
      <c r="B281" s="137" t="s">
        <v>923</v>
      </c>
      <c r="C281" s="137" t="str">
        <f t="shared" ref="C281:C348" si="30">MID($D281,9,3)</f>
        <v>311</v>
      </c>
      <c r="D281" s="134" t="s">
        <v>788</v>
      </c>
      <c r="E281" s="134" t="str">
        <f t="shared" si="22"/>
        <v>ECR</v>
      </c>
      <c r="F281" s="137">
        <v>66.060940585200001</v>
      </c>
      <c r="G281" s="137">
        <v>66.980416639300003</v>
      </c>
      <c r="H281" s="137">
        <v>67.899892693400005</v>
      </c>
      <c r="I281" s="137">
        <v>68.819368747499993</v>
      </c>
      <c r="J281" s="137">
        <v>69.738844801599996</v>
      </c>
      <c r="K281" s="137">
        <v>70.658320855699998</v>
      </c>
      <c r="L281" s="137">
        <v>71.5777969098</v>
      </c>
      <c r="M281" s="137">
        <v>72.497272963900002</v>
      </c>
      <c r="N281" s="137">
        <v>73.416749018000004</v>
      </c>
      <c r="O281" s="137">
        <v>74.336225072100007</v>
      </c>
      <c r="P281" s="137">
        <v>75.255701126199995</v>
      </c>
      <c r="Q281" s="137">
        <v>76.175177180299997</v>
      </c>
      <c r="R281" s="137">
        <v>77.094653234399999</v>
      </c>
      <c r="T281" s="137">
        <f t="shared" si="26"/>
        <v>71.5777969098</v>
      </c>
    </row>
    <row r="282" spans="1:20">
      <c r="A282" s="137" t="str">
        <f t="shared" si="29"/>
        <v>LGE</v>
      </c>
      <c r="B282" s="137" t="s">
        <v>923</v>
      </c>
      <c r="C282" s="137" t="str">
        <f t="shared" si="30"/>
        <v>311</v>
      </c>
      <c r="D282" s="134" t="s">
        <v>789</v>
      </c>
      <c r="E282" s="134" t="str">
        <f t="shared" si="22"/>
        <v>ECR</v>
      </c>
      <c r="F282" s="137">
        <v>1177.6238386212999</v>
      </c>
      <c r="G282" s="137">
        <v>1260.8359286534001</v>
      </c>
      <c r="H282" s="137">
        <v>1344.0480186855</v>
      </c>
      <c r="I282" s="137">
        <v>1427.2601087175999</v>
      </c>
      <c r="J282" s="137">
        <v>1510.4721987496901</v>
      </c>
      <c r="K282" s="137">
        <v>1593.68428878179</v>
      </c>
      <c r="L282" s="137">
        <v>1676.8963788138899</v>
      </c>
      <c r="M282" s="137">
        <v>1760.10846884599</v>
      </c>
      <c r="N282" s="137">
        <v>1843.32055887809</v>
      </c>
      <c r="O282" s="137">
        <v>1926.5326489101899</v>
      </c>
      <c r="P282" s="137">
        <v>2009.74473894229</v>
      </c>
      <c r="Q282" s="137">
        <v>2092.9568289743902</v>
      </c>
      <c r="R282" s="137">
        <v>2176.1689190064899</v>
      </c>
      <c r="T282" s="137">
        <f t="shared" si="26"/>
        <v>1676.8963788138931</v>
      </c>
    </row>
    <row r="283" spans="1:20">
      <c r="A283" s="137" t="str">
        <f t="shared" si="29"/>
        <v>LGE</v>
      </c>
      <c r="B283" s="137" t="s">
        <v>923</v>
      </c>
      <c r="C283" s="137" t="str">
        <f t="shared" si="30"/>
        <v>311</v>
      </c>
      <c r="D283" s="134" t="s">
        <v>790</v>
      </c>
      <c r="E283" s="134" t="str">
        <f t="shared" si="22"/>
        <v/>
      </c>
      <c r="F283" s="137">
        <v>176366.448498952</v>
      </c>
      <c r="G283" s="137">
        <v>176780.85780866601</v>
      </c>
      <c r="H283" s="137">
        <v>177195.26711837901</v>
      </c>
      <c r="I283" s="137">
        <v>177585.14488149999</v>
      </c>
      <c r="J283" s="137">
        <v>177995.11278369799</v>
      </c>
      <c r="K283" s="137">
        <v>178385.57838445599</v>
      </c>
      <c r="L283" s="137">
        <v>178767.047648117</v>
      </c>
      <c r="M283" s="137">
        <v>179183.82282158299</v>
      </c>
      <c r="N283" s="137">
        <v>162789.99059384901</v>
      </c>
      <c r="O283" s="137">
        <v>163206.84618501499</v>
      </c>
      <c r="P283" s="137">
        <v>163623.70177618001</v>
      </c>
      <c r="Q283" s="137">
        <v>164040.55736734599</v>
      </c>
      <c r="R283" s="137">
        <v>164457.45364915201</v>
      </c>
      <c r="T283" s="137">
        <f t="shared" si="26"/>
        <v>172336.75611668406</v>
      </c>
    </row>
    <row r="284" spans="1:20">
      <c r="A284" s="137" t="str">
        <f t="shared" si="29"/>
        <v>LGE</v>
      </c>
      <c r="B284" s="137" t="s">
        <v>923</v>
      </c>
      <c r="C284" s="137" t="str">
        <f t="shared" si="30"/>
        <v>312</v>
      </c>
      <c r="D284" s="134" t="s">
        <v>791</v>
      </c>
      <c r="E284" s="134" t="str">
        <f t="shared" ref="E284:E367" si="31">IF(ISTEXT(MID($D284,SEARCH("FUTURE USE",$D284),3)),"FUTURE USE",IF(ISTEXT(MID($D284,SEARCH("ECR",$D284),3)),"ECR",IF(ISTEXT(MID($D284,SEARCH("ARO",$D284),3)),"ARO",IF(ISTEXT(MID($D284,SEARCH("DSM",$D284),3)),"DSM",""))))</f>
        <v/>
      </c>
      <c r="F284" s="137">
        <v>436446.47460071102</v>
      </c>
      <c r="G284" s="137">
        <v>438459.58827554801</v>
      </c>
      <c r="H284" s="137">
        <v>441908.98061666702</v>
      </c>
      <c r="I284" s="137">
        <v>445570.13438624598</v>
      </c>
      <c r="J284" s="137">
        <v>448220.80448094098</v>
      </c>
      <c r="K284" s="137">
        <v>415437.03324752901</v>
      </c>
      <c r="L284" s="137">
        <v>418937.888478273</v>
      </c>
      <c r="M284" s="137">
        <v>421744.01231872803</v>
      </c>
      <c r="N284" s="137">
        <v>410513.74669708801</v>
      </c>
      <c r="O284" s="137">
        <v>414204.18672280799</v>
      </c>
      <c r="P284" s="137">
        <v>412573.176534592</v>
      </c>
      <c r="Q284" s="137">
        <v>415840.44627989898</v>
      </c>
      <c r="R284" s="137">
        <v>419390.44272145297</v>
      </c>
      <c r="T284" s="137">
        <f t="shared" si="26"/>
        <v>426095.91656619095</v>
      </c>
    </row>
    <row r="285" spans="1:20">
      <c r="A285" s="137" t="str">
        <f t="shared" si="29"/>
        <v>LGE</v>
      </c>
      <c r="B285" s="137" t="s">
        <v>923</v>
      </c>
      <c r="C285" s="137" t="str">
        <f t="shared" si="30"/>
        <v>312</v>
      </c>
      <c r="D285" s="134" t="s">
        <v>792</v>
      </c>
      <c r="E285" s="134" t="str">
        <f t="shared" si="31"/>
        <v>ECR</v>
      </c>
      <c r="F285" s="137">
        <v>2238.9003359397502</v>
      </c>
      <c r="G285" s="137">
        <v>2525.4706619000499</v>
      </c>
      <c r="H285" s="137">
        <v>2812.1146795603499</v>
      </c>
      <c r="I285" s="137">
        <v>3098.8323888206501</v>
      </c>
      <c r="J285" s="137">
        <v>3385.6237897809501</v>
      </c>
      <c r="K285" s="137">
        <v>3672.4888824412501</v>
      </c>
      <c r="L285" s="137">
        <v>3959.4276667015502</v>
      </c>
      <c r="M285" s="137">
        <v>4271.75824675285</v>
      </c>
      <c r="N285" s="137">
        <v>4650.5123811541498</v>
      </c>
      <c r="O285" s="137">
        <v>5070.8728002554599</v>
      </c>
      <c r="P285" s="137">
        <v>5493.3574115567599</v>
      </c>
      <c r="Q285" s="137">
        <v>5917.4977949580598</v>
      </c>
      <c r="R285" s="137">
        <v>6341.8910204593594</v>
      </c>
      <c r="T285" s="137">
        <f t="shared" si="26"/>
        <v>4110.6729277139375</v>
      </c>
    </row>
    <row r="286" spans="1:20">
      <c r="A286" s="137" t="str">
        <f t="shared" si="29"/>
        <v>LGE</v>
      </c>
      <c r="B286" s="137" t="s">
        <v>923</v>
      </c>
      <c r="C286" s="137" t="str">
        <f t="shared" si="30"/>
        <v>312</v>
      </c>
      <c r="D286" s="134" t="s">
        <v>793</v>
      </c>
      <c r="E286" s="134" t="str">
        <f t="shared" si="31"/>
        <v>ECR</v>
      </c>
      <c r="F286" s="137">
        <v>94719.235470418003</v>
      </c>
      <c r="G286" s="137">
        <v>98964.741093542005</v>
      </c>
      <c r="H286" s="137">
        <v>103210.24671666601</v>
      </c>
      <c r="I286" s="137">
        <v>107455.75233979001</v>
      </c>
      <c r="J286" s="137">
        <v>111701.25796291401</v>
      </c>
      <c r="K286" s="137">
        <v>115946.76358603801</v>
      </c>
      <c r="L286" s="137">
        <v>120192.269209162</v>
      </c>
      <c r="M286" s="137">
        <v>124437.774832286</v>
      </c>
      <c r="N286" s="137">
        <v>128683.28045541</v>
      </c>
      <c r="O286" s="137">
        <v>132928.786078534</v>
      </c>
      <c r="P286" s="137">
        <v>137174.29170165799</v>
      </c>
      <c r="Q286" s="137">
        <v>141419.797324782</v>
      </c>
      <c r="R286" s="137">
        <v>145665.30294790599</v>
      </c>
      <c r="T286" s="137">
        <f t="shared" si="26"/>
        <v>120192.26920916201</v>
      </c>
    </row>
    <row r="287" spans="1:20">
      <c r="A287" s="137" t="str">
        <f t="shared" si="29"/>
        <v>LGE</v>
      </c>
      <c r="B287" s="137" t="s">
        <v>923</v>
      </c>
      <c r="C287" s="137" t="str">
        <f t="shared" si="30"/>
        <v>312</v>
      </c>
      <c r="D287" s="134" t="s">
        <v>1512</v>
      </c>
      <c r="E287" s="134" t="str">
        <f t="shared" si="31"/>
        <v>ECR</v>
      </c>
      <c r="F287" s="137">
        <v>1995.2033419278901</v>
      </c>
      <c r="G287" s="137">
        <v>2654.0745851625898</v>
      </c>
      <c r="H287" s="137">
        <v>3317.1456457122899</v>
      </c>
      <c r="I287" s="137">
        <v>3984.04180404199</v>
      </c>
      <c r="J287" s="137">
        <v>4658.1218645716899</v>
      </c>
      <c r="K287" s="137">
        <v>5339.8086367813903</v>
      </c>
      <c r="L287" s="137">
        <v>6026.4113054610898</v>
      </c>
      <c r="M287" s="137">
        <v>6717.4049163007903</v>
      </c>
      <c r="N287" s="137">
        <v>7415.4828144184903</v>
      </c>
      <c r="O287" s="137">
        <v>8119.3601171741902</v>
      </c>
      <c r="P287" s="137">
        <v>8824.1022699498917</v>
      </c>
      <c r="Q287" s="137">
        <v>9529.3711585955916</v>
      </c>
      <c r="R287" s="137">
        <v>10235.26004151129</v>
      </c>
      <c r="T287" s="137">
        <f t="shared" si="26"/>
        <v>6062.7529616622442</v>
      </c>
    </row>
    <row r="288" spans="1:20">
      <c r="A288" s="137" t="str">
        <f t="shared" si="29"/>
        <v>LGE</v>
      </c>
      <c r="B288" s="137" t="s">
        <v>923</v>
      </c>
      <c r="C288" s="137" t="str">
        <f t="shared" si="30"/>
        <v>312</v>
      </c>
      <c r="D288" s="134" t="s">
        <v>1847</v>
      </c>
      <c r="E288" s="134" t="str">
        <f t="shared" si="31"/>
        <v/>
      </c>
      <c r="F288" s="137">
        <v>-187.5</v>
      </c>
      <c r="G288" s="137">
        <v>-187.5</v>
      </c>
      <c r="H288" s="137">
        <v>-187.5</v>
      </c>
      <c r="I288" s="137">
        <v>-187.5</v>
      </c>
      <c r="J288" s="137">
        <v>-187.5</v>
      </c>
      <c r="K288" s="137">
        <v>-187.5</v>
      </c>
      <c r="L288" s="137">
        <v>-187.5</v>
      </c>
      <c r="M288" s="137">
        <v>-187.5</v>
      </c>
      <c r="N288" s="137">
        <v>-187.50001</v>
      </c>
      <c r="O288" s="137">
        <v>-187.50001</v>
      </c>
      <c r="P288" s="137">
        <v>-187.50001</v>
      </c>
      <c r="Q288" s="137">
        <v>-187.50001</v>
      </c>
      <c r="R288" s="137">
        <v>-187.50001</v>
      </c>
      <c r="T288" s="137">
        <f>SUM(F288:R288)/13</f>
        <v>-187.5000038461539</v>
      </c>
    </row>
    <row r="289" spans="1:20">
      <c r="A289" s="137" t="str">
        <f t="shared" si="29"/>
        <v>LGE</v>
      </c>
      <c r="B289" s="137" t="s">
        <v>923</v>
      </c>
      <c r="C289" s="137" t="str">
        <f t="shared" si="30"/>
        <v>312</v>
      </c>
      <c r="D289" s="134" t="s">
        <v>1848</v>
      </c>
      <c r="E289" s="134" t="str">
        <f t="shared" si="31"/>
        <v/>
      </c>
      <c r="F289" s="137">
        <v>-11442.57386</v>
      </c>
      <c r="G289" s="137">
        <v>-11442.57386</v>
      </c>
      <c r="H289" s="137">
        <v>-11442.57386</v>
      </c>
      <c r="I289" s="137">
        <v>-11442.57386</v>
      </c>
      <c r="J289" s="137">
        <v>-11442.57386</v>
      </c>
      <c r="K289" s="137">
        <v>-11442.57386</v>
      </c>
      <c r="L289" s="137">
        <v>-11442.57386</v>
      </c>
      <c r="M289" s="137">
        <v>-11442.57386</v>
      </c>
      <c r="N289" s="137">
        <v>-11442.57386</v>
      </c>
      <c r="O289" s="137">
        <v>-11442.57386</v>
      </c>
      <c r="P289" s="137">
        <v>-11442.57386</v>
      </c>
      <c r="Q289" s="137">
        <v>-11442.57386</v>
      </c>
      <c r="R289" s="137">
        <v>-11442.57386</v>
      </c>
      <c r="T289" s="137">
        <f>SUM(F289:R289)/13</f>
        <v>-11442.573860000002</v>
      </c>
    </row>
    <row r="290" spans="1:20">
      <c r="A290" s="137" t="str">
        <f t="shared" si="29"/>
        <v>LGE</v>
      </c>
      <c r="B290" s="137" t="s">
        <v>923</v>
      </c>
      <c r="C290" s="137" t="str">
        <f t="shared" si="30"/>
        <v>312</v>
      </c>
      <c r="D290" s="134" t="s">
        <v>1849</v>
      </c>
      <c r="E290" s="134" t="str">
        <f t="shared" si="31"/>
        <v/>
      </c>
      <c r="F290" s="137">
        <v>-435.78028</v>
      </c>
      <c r="G290" s="137">
        <v>-435.78028</v>
      </c>
      <c r="H290" s="137">
        <v>-435.78028</v>
      </c>
      <c r="I290" s="137">
        <v>-435.78028</v>
      </c>
      <c r="J290" s="137">
        <v>-435.78028</v>
      </c>
      <c r="K290" s="137">
        <v>-435.78028</v>
      </c>
      <c r="L290" s="137">
        <v>-435.78028</v>
      </c>
      <c r="M290" s="137">
        <v>-435.78028</v>
      </c>
      <c r="N290" s="137">
        <v>-435.78028</v>
      </c>
      <c r="O290" s="137">
        <v>-435.78028</v>
      </c>
      <c r="P290" s="137">
        <v>-435.78028</v>
      </c>
      <c r="Q290" s="137">
        <v>-435.78028</v>
      </c>
      <c r="R290" s="137">
        <v>-435.78028</v>
      </c>
      <c r="T290" s="137">
        <f>SUM(F290:R290)/13</f>
        <v>-435.78028</v>
      </c>
    </row>
    <row r="291" spans="1:20">
      <c r="A291" s="137" t="str">
        <f t="shared" si="29"/>
        <v>LGE</v>
      </c>
      <c r="B291" s="137" t="s">
        <v>923</v>
      </c>
      <c r="C291" s="137" t="str">
        <f t="shared" si="30"/>
        <v>314</v>
      </c>
      <c r="D291" s="134" t="s">
        <v>795</v>
      </c>
      <c r="E291" s="134" t="str">
        <f t="shared" si="31"/>
        <v/>
      </c>
      <c r="F291" s="137">
        <v>109757.70476754299</v>
      </c>
      <c r="G291" s="137">
        <v>110023.156437527</v>
      </c>
      <c r="H291" s="137">
        <v>110605.03038791999</v>
      </c>
      <c r="I291" s="137">
        <v>111187.61236676099</v>
      </c>
      <c r="J291" s="137">
        <v>111623.958107745</v>
      </c>
      <c r="K291" s="137">
        <v>112157.64587423801</v>
      </c>
      <c r="L291" s="137">
        <v>112742.810600226</v>
      </c>
      <c r="M291" s="137">
        <v>113248.093066591</v>
      </c>
      <c r="N291" s="137">
        <v>111228.34035908501</v>
      </c>
      <c r="O291" s="137">
        <v>111829.77239362401</v>
      </c>
      <c r="P291" s="137">
        <v>111665.105984184</v>
      </c>
      <c r="Q291" s="137">
        <v>112206.38086956101</v>
      </c>
      <c r="R291" s="137">
        <v>112802.579171408</v>
      </c>
      <c r="T291" s="137">
        <f>SUM(F291:R291)/13</f>
        <v>111621.39926049332</v>
      </c>
    </row>
    <row r="292" spans="1:20">
      <c r="A292" s="137" t="str">
        <f t="shared" si="29"/>
        <v>LGE</v>
      </c>
      <c r="B292" s="137" t="s">
        <v>923</v>
      </c>
      <c r="C292" s="137" t="str">
        <f t="shared" si="30"/>
        <v>315</v>
      </c>
      <c r="D292" s="134" t="s">
        <v>796</v>
      </c>
      <c r="E292" s="134" t="str">
        <f t="shared" si="31"/>
        <v/>
      </c>
      <c r="F292" s="137">
        <v>89187.792773517402</v>
      </c>
      <c r="G292" s="137">
        <v>89478.686948030198</v>
      </c>
      <c r="H292" s="137">
        <v>89769.695815015599</v>
      </c>
      <c r="I292" s="137">
        <v>90060.723584547493</v>
      </c>
      <c r="J292" s="137">
        <v>90352.008889721998</v>
      </c>
      <c r="K292" s="137">
        <v>90633.953306003503</v>
      </c>
      <c r="L292" s="137">
        <v>90926.121017738798</v>
      </c>
      <c r="M292" s="137">
        <v>91208.929793762305</v>
      </c>
      <c r="N292" s="137">
        <v>91404.526204288195</v>
      </c>
      <c r="O292" s="137">
        <v>91702.906265007798</v>
      </c>
      <c r="P292" s="137">
        <v>92001.2863257274</v>
      </c>
      <c r="Q292" s="137">
        <v>92299.666386447003</v>
      </c>
      <c r="R292" s="137">
        <v>92598.046447166606</v>
      </c>
      <c r="T292" s="137">
        <f t="shared" si="26"/>
        <v>90894.180288998032</v>
      </c>
    </row>
    <row r="293" spans="1:20">
      <c r="A293" s="137" t="str">
        <f t="shared" si="29"/>
        <v>LGE</v>
      </c>
      <c r="B293" s="137" t="s">
        <v>923</v>
      </c>
      <c r="C293" s="137" t="str">
        <f t="shared" si="30"/>
        <v>315</v>
      </c>
      <c r="D293" s="134" t="s">
        <v>1513</v>
      </c>
      <c r="E293" s="134" t="str">
        <f t="shared" si="31"/>
        <v>ECR</v>
      </c>
      <c r="F293" s="137">
        <v>137.52850083000001</v>
      </c>
      <c r="G293" s="137">
        <v>140.05668370149999</v>
      </c>
      <c r="H293" s="137">
        <v>142.584866573</v>
      </c>
      <c r="I293" s="137">
        <v>145.11304944450001</v>
      </c>
      <c r="J293" s="137">
        <v>147.64123231600001</v>
      </c>
      <c r="K293" s="137">
        <v>150.16941518749999</v>
      </c>
      <c r="L293" s="137">
        <v>152.697598059</v>
      </c>
      <c r="M293" s="137">
        <v>155.22578093050001</v>
      </c>
      <c r="N293" s="137">
        <v>157.75396380199999</v>
      </c>
      <c r="O293" s="137">
        <v>160.28214667349999</v>
      </c>
      <c r="P293" s="137">
        <v>162.810329545</v>
      </c>
      <c r="Q293" s="137">
        <v>165.33851241650001</v>
      </c>
      <c r="R293" s="137">
        <v>167.86669528799999</v>
      </c>
      <c r="T293" s="137">
        <f t="shared" si="26"/>
        <v>152.697598059</v>
      </c>
    </row>
    <row r="294" spans="1:20">
      <c r="A294" s="137" t="str">
        <f t="shared" si="29"/>
        <v>LGE</v>
      </c>
      <c r="B294" s="137" t="s">
        <v>923</v>
      </c>
      <c r="C294" s="137" t="str">
        <f t="shared" si="30"/>
        <v>315</v>
      </c>
      <c r="D294" s="134" t="s">
        <v>1514</v>
      </c>
      <c r="E294" s="134" t="str">
        <f t="shared" si="31"/>
        <v>ECR</v>
      </c>
      <c r="F294" s="137">
        <v>2276.7497674123001</v>
      </c>
      <c r="G294" s="137">
        <v>2398.1431973257199</v>
      </c>
      <c r="H294" s="137">
        <v>2519.5366272391302</v>
      </c>
      <c r="I294" s="137">
        <v>2640.93005715255</v>
      </c>
      <c r="J294" s="137">
        <v>2762.3234870659699</v>
      </c>
      <c r="K294" s="137">
        <v>2883.7169169793901</v>
      </c>
      <c r="L294" s="137">
        <v>3005.11034689281</v>
      </c>
      <c r="M294" s="137">
        <v>3126.5037768062298</v>
      </c>
      <c r="N294" s="137">
        <v>3247.8972067196501</v>
      </c>
      <c r="O294" s="137">
        <v>3369.2906366330699</v>
      </c>
      <c r="P294" s="137">
        <v>3490.6840665464902</v>
      </c>
      <c r="Q294" s="137">
        <v>3612.07749645991</v>
      </c>
      <c r="R294" s="137">
        <v>3733.4709263733298</v>
      </c>
      <c r="T294" s="137">
        <f t="shared" si="26"/>
        <v>3005.1103468928118</v>
      </c>
    </row>
    <row r="295" spans="1:20">
      <c r="A295" s="137" t="str">
        <f t="shared" si="29"/>
        <v>LGE</v>
      </c>
      <c r="B295" s="137" t="s">
        <v>923</v>
      </c>
      <c r="C295" s="137" t="str">
        <f t="shared" si="30"/>
        <v>316</v>
      </c>
      <c r="D295" s="134" t="s">
        <v>797</v>
      </c>
      <c r="E295" s="134" t="str">
        <f t="shared" si="31"/>
        <v>ECR</v>
      </c>
      <c r="F295" s="137">
        <v>136.63946738582999</v>
      </c>
      <c r="G295" s="137">
        <v>138.85355876764299</v>
      </c>
      <c r="H295" s="137">
        <v>141.067650149456</v>
      </c>
      <c r="I295" s="137">
        <v>143.28174153126901</v>
      </c>
      <c r="J295" s="137">
        <v>145.49583291308201</v>
      </c>
      <c r="K295" s="137">
        <v>147.70992429489499</v>
      </c>
      <c r="L295" s="137">
        <v>149.924015676708</v>
      </c>
      <c r="M295" s="137">
        <v>152.138107058521</v>
      </c>
      <c r="N295" s="137">
        <v>154.35219844033401</v>
      </c>
      <c r="O295" s="137">
        <v>156.56628982214701</v>
      </c>
      <c r="P295" s="137">
        <v>158.78038120395999</v>
      </c>
      <c r="Q295" s="137">
        <v>160.994472585773</v>
      </c>
      <c r="R295" s="137">
        <v>163.208563967586</v>
      </c>
      <c r="T295" s="137">
        <f t="shared" si="26"/>
        <v>149.92401567670797</v>
      </c>
    </row>
    <row r="296" spans="1:20">
      <c r="A296" s="137" t="str">
        <f t="shared" si="29"/>
        <v>LGE</v>
      </c>
      <c r="B296" s="137" t="s">
        <v>923</v>
      </c>
      <c r="C296" s="137" t="str">
        <f t="shared" si="30"/>
        <v>316</v>
      </c>
      <c r="D296" s="134" t="s">
        <v>798</v>
      </c>
      <c r="E296" s="134" t="str">
        <f t="shared" si="31"/>
        <v/>
      </c>
      <c r="F296" s="137">
        <v>7340.3775134403104</v>
      </c>
      <c r="G296" s="137">
        <v>7213.1149702801304</v>
      </c>
      <c r="H296" s="137">
        <v>7273.1432035554599</v>
      </c>
      <c r="I296" s="137">
        <v>7308.5532563688703</v>
      </c>
      <c r="J296" s="137">
        <v>7091.6595287665596</v>
      </c>
      <c r="K296" s="137">
        <v>7156.5283908780102</v>
      </c>
      <c r="L296" s="137">
        <v>7176.9011019892296</v>
      </c>
      <c r="M296" s="137">
        <v>6749.8707677826496</v>
      </c>
      <c r="N296" s="137">
        <v>6041.3509802498102</v>
      </c>
      <c r="O296" s="137">
        <v>6143.6783840670096</v>
      </c>
      <c r="P296" s="137">
        <v>6246.0057878842099</v>
      </c>
      <c r="Q296" s="137">
        <v>6348.4011911867101</v>
      </c>
      <c r="R296" s="137">
        <v>6403.25288369993</v>
      </c>
      <c r="T296" s="137">
        <f t="shared" si="26"/>
        <v>6807.1413815499145</v>
      </c>
    </row>
    <row r="297" spans="1:20">
      <c r="A297" s="137" t="str">
        <f t="shared" si="29"/>
        <v>LGE</v>
      </c>
      <c r="B297" s="137" t="s">
        <v>923</v>
      </c>
      <c r="C297" s="137" t="str">
        <f t="shared" si="30"/>
        <v>317</v>
      </c>
      <c r="D297" s="134" t="s">
        <v>799</v>
      </c>
      <c r="E297" s="134" t="str">
        <f t="shared" si="31"/>
        <v>ARO</v>
      </c>
      <c r="F297" s="137">
        <v>12080.288058927101</v>
      </c>
      <c r="G297" s="137">
        <v>12304.323953819799</v>
      </c>
      <c r="H297" s="137">
        <v>12577.253738712599</v>
      </c>
      <c r="I297" s="137">
        <v>12850.183523605299</v>
      </c>
      <c r="J297" s="137">
        <v>13123.113308497999</v>
      </c>
      <c r="K297" s="137">
        <v>13396.043093390699</v>
      </c>
      <c r="L297" s="137">
        <v>13668.972878283401</v>
      </c>
      <c r="M297" s="137">
        <v>13941.902663176201</v>
      </c>
      <c r="N297" s="137">
        <v>14214.832448068901</v>
      </c>
      <c r="O297" s="137">
        <v>1228.4492738551701</v>
      </c>
      <c r="P297" s="137">
        <v>1271.81066964142</v>
      </c>
      <c r="Q297" s="137">
        <v>1315.1720654276801</v>
      </c>
      <c r="R297" s="137">
        <v>1358.53346121393</v>
      </c>
      <c r="T297" s="137">
        <f t="shared" si="26"/>
        <v>9486.9907028169382</v>
      </c>
    </row>
    <row r="298" spans="1:20">
      <c r="A298" s="137" t="str">
        <f t="shared" si="29"/>
        <v>LGE</v>
      </c>
      <c r="B298" s="137" t="s">
        <v>923</v>
      </c>
      <c r="C298" s="137" t="str">
        <f t="shared" si="30"/>
        <v>317</v>
      </c>
      <c r="D298" s="134" t="s">
        <v>1817</v>
      </c>
      <c r="E298" s="134" t="str">
        <f t="shared" si="31"/>
        <v>ARO</v>
      </c>
      <c r="F298" s="137">
        <v>37502.270639999901</v>
      </c>
      <c r="G298" s="137">
        <v>38107.257589999899</v>
      </c>
      <c r="H298" s="137">
        <v>38712.244539999898</v>
      </c>
      <c r="I298" s="137">
        <v>39317.231489999896</v>
      </c>
      <c r="J298" s="137">
        <v>39922.218439999902</v>
      </c>
      <c r="K298" s="137">
        <v>40527.205389999901</v>
      </c>
      <c r="L298" s="137">
        <v>41132.1923399999</v>
      </c>
      <c r="M298" s="137">
        <v>41737.179289999898</v>
      </c>
      <c r="N298" s="137">
        <v>42342.166239999897</v>
      </c>
      <c r="O298" s="137">
        <v>42947.153189999903</v>
      </c>
      <c r="P298" s="137">
        <v>43552.140139999901</v>
      </c>
      <c r="Q298" s="137">
        <v>44157.1270899999</v>
      </c>
      <c r="R298" s="137">
        <v>44762.114039999899</v>
      </c>
      <c r="T298" s="137">
        <f t="shared" si="26"/>
        <v>41132.192339999907</v>
      </c>
    </row>
    <row r="299" spans="1:20">
      <c r="A299" s="137" t="str">
        <f t="shared" si="29"/>
        <v>LGE</v>
      </c>
      <c r="B299" s="137" t="s">
        <v>923</v>
      </c>
      <c r="C299" s="137" t="str">
        <f t="shared" si="30"/>
        <v>331</v>
      </c>
      <c r="D299" s="134" t="s">
        <v>801</v>
      </c>
      <c r="E299" s="134" t="str">
        <f t="shared" si="31"/>
        <v/>
      </c>
      <c r="F299" s="137">
        <v>4674.9537980798896</v>
      </c>
      <c r="G299" s="137">
        <v>4691.9986823787203</v>
      </c>
      <c r="H299" s="137">
        <v>4709.0435666775502</v>
      </c>
      <c r="I299" s="137">
        <v>4726.08845097638</v>
      </c>
      <c r="J299" s="137">
        <v>4743.1333352752099</v>
      </c>
      <c r="K299" s="137">
        <v>4760.1782195740398</v>
      </c>
      <c r="L299" s="137">
        <v>4777.2231038728696</v>
      </c>
      <c r="M299" s="137">
        <v>4794.2679881717004</v>
      </c>
      <c r="N299" s="137">
        <v>4811.3128724705302</v>
      </c>
      <c r="O299" s="137">
        <v>4828.3577567693601</v>
      </c>
      <c r="P299" s="137">
        <v>4845.40264106819</v>
      </c>
      <c r="Q299" s="137">
        <v>4862.4475253670198</v>
      </c>
      <c r="R299" s="137">
        <v>4879.4924096658497</v>
      </c>
      <c r="T299" s="137">
        <f t="shared" si="26"/>
        <v>4777.2231038728696</v>
      </c>
    </row>
    <row r="300" spans="1:20">
      <c r="A300" s="137" t="str">
        <f t="shared" si="29"/>
        <v>LGE</v>
      </c>
      <c r="B300" s="137" t="s">
        <v>923</v>
      </c>
      <c r="C300" s="137" t="str">
        <f t="shared" si="30"/>
        <v>332</v>
      </c>
      <c r="D300" s="134" t="s">
        <v>802</v>
      </c>
      <c r="E300" s="134" t="str">
        <f t="shared" si="31"/>
        <v/>
      </c>
      <c r="F300" s="137">
        <v>4035.8914940952</v>
      </c>
      <c r="G300" s="137">
        <v>4055.7672949736998</v>
      </c>
      <c r="H300" s="137">
        <v>4075.6430958522001</v>
      </c>
      <c r="I300" s="137">
        <v>4095.5188967306999</v>
      </c>
      <c r="J300" s="137">
        <v>4115.3946976092002</v>
      </c>
      <c r="K300" s="137">
        <v>4135.2704984877</v>
      </c>
      <c r="L300" s="137">
        <v>4155.1462993661999</v>
      </c>
      <c r="M300" s="137">
        <v>4175.0221002446997</v>
      </c>
      <c r="N300" s="137">
        <v>4194.8979011232004</v>
      </c>
      <c r="O300" s="137">
        <v>4214.7737020017003</v>
      </c>
      <c r="P300" s="137">
        <v>4234.6495028802001</v>
      </c>
      <c r="Q300" s="137">
        <v>4254.5253037586999</v>
      </c>
      <c r="R300" s="137">
        <v>4274.4011046371998</v>
      </c>
      <c r="T300" s="137">
        <f t="shared" si="26"/>
        <v>4155.1462993661999</v>
      </c>
    </row>
    <row r="301" spans="1:20">
      <c r="A301" s="137" t="str">
        <f t="shared" si="29"/>
        <v>LGE</v>
      </c>
      <c r="B301" s="137" t="s">
        <v>923</v>
      </c>
      <c r="C301" s="137" t="str">
        <f t="shared" si="30"/>
        <v>333</v>
      </c>
      <c r="D301" s="134" t="s">
        <v>803</v>
      </c>
      <c r="E301" s="134" t="str">
        <f t="shared" si="31"/>
        <v/>
      </c>
      <c r="F301" s="137">
        <v>5435.0124480539898</v>
      </c>
      <c r="G301" s="137">
        <v>5710.1976582319903</v>
      </c>
      <c r="H301" s="137">
        <v>5985.3828684099899</v>
      </c>
      <c r="I301" s="137">
        <v>6260.5680785879904</v>
      </c>
      <c r="J301" s="137">
        <v>6535.75328876599</v>
      </c>
      <c r="K301" s="137">
        <v>6810.9384989439905</v>
      </c>
      <c r="L301" s="137">
        <v>7086.12370912199</v>
      </c>
      <c r="M301" s="137">
        <v>7361.3089192999896</v>
      </c>
      <c r="N301" s="137">
        <v>7636.4941294779901</v>
      </c>
      <c r="O301" s="137">
        <v>7911.6793396559897</v>
      </c>
      <c r="P301" s="137">
        <v>8186.8645498339902</v>
      </c>
      <c r="Q301" s="137">
        <v>8462.0497600119907</v>
      </c>
      <c r="R301" s="137">
        <v>8737.2349701899893</v>
      </c>
      <c r="T301" s="137">
        <f t="shared" si="26"/>
        <v>7086.1237091219909</v>
      </c>
    </row>
    <row r="302" spans="1:20">
      <c r="A302" s="137" t="str">
        <f t="shared" si="29"/>
        <v>LGE</v>
      </c>
      <c r="B302" s="137" t="s">
        <v>923</v>
      </c>
      <c r="C302" s="137" t="str">
        <f t="shared" si="30"/>
        <v>334</v>
      </c>
      <c r="D302" s="134" t="s">
        <v>804</v>
      </c>
      <c r="E302" s="134" t="str">
        <f t="shared" si="31"/>
        <v/>
      </c>
      <c r="F302" s="137">
        <v>3400.6932200000001</v>
      </c>
      <c r="G302" s="137">
        <v>3426.9041980000002</v>
      </c>
      <c r="H302" s="137">
        <v>3453.1151759999998</v>
      </c>
      <c r="I302" s="137">
        <v>3479.3261539999999</v>
      </c>
      <c r="J302" s="137">
        <v>3505.5371319999999</v>
      </c>
      <c r="K302" s="137">
        <v>3531.74811</v>
      </c>
      <c r="L302" s="137">
        <v>3557.9590880000001</v>
      </c>
      <c r="M302" s="137">
        <v>3584.1700660000001</v>
      </c>
      <c r="N302" s="137">
        <v>3610.3810440000002</v>
      </c>
      <c r="O302" s="137">
        <v>3636.5920219999998</v>
      </c>
      <c r="P302" s="137">
        <v>3662.8029999999999</v>
      </c>
      <c r="Q302" s="137">
        <v>3689.013978</v>
      </c>
      <c r="R302" s="137">
        <v>3715.224956</v>
      </c>
      <c r="T302" s="137">
        <f t="shared" si="26"/>
        <v>3557.9590880000001</v>
      </c>
    </row>
    <row r="303" spans="1:20">
      <c r="A303" s="137" t="str">
        <f t="shared" si="29"/>
        <v>LGE</v>
      </c>
      <c r="B303" s="137" t="s">
        <v>923</v>
      </c>
      <c r="C303" s="137" t="str">
        <f t="shared" si="30"/>
        <v>335</v>
      </c>
      <c r="D303" s="134" t="s">
        <v>805</v>
      </c>
      <c r="E303" s="134" t="str">
        <f t="shared" si="31"/>
        <v/>
      </c>
      <c r="F303" s="137">
        <v>417.657065094129</v>
      </c>
      <c r="G303" s="137">
        <v>426.85480560354199</v>
      </c>
      <c r="H303" s="137">
        <v>436.05254611295499</v>
      </c>
      <c r="I303" s="137">
        <v>445.25028662236798</v>
      </c>
      <c r="J303" s="137">
        <v>454.44802713178098</v>
      </c>
      <c r="K303" s="137">
        <v>463.64576764119403</v>
      </c>
      <c r="L303" s="137">
        <v>472.84350815060702</v>
      </c>
      <c r="M303" s="137">
        <v>482.04124866002002</v>
      </c>
      <c r="N303" s="137">
        <v>491.23898916943301</v>
      </c>
      <c r="O303" s="137">
        <v>500.43672967884601</v>
      </c>
      <c r="P303" s="137">
        <v>509.634470188259</v>
      </c>
      <c r="Q303" s="137">
        <v>518.83221069767205</v>
      </c>
      <c r="R303" s="137">
        <v>528.02995120708499</v>
      </c>
      <c r="T303" s="137">
        <f t="shared" si="26"/>
        <v>472.84350815060702</v>
      </c>
    </row>
    <row r="304" spans="1:20">
      <c r="A304" s="137" t="str">
        <f t="shared" si="29"/>
        <v>LGE</v>
      </c>
      <c r="B304" s="137" t="s">
        <v>923</v>
      </c>
      <c r="C304" s="137" t="str">
        <f t="shared" si="30"/>
        <v>336</v>
      </c>
      <c r="D304" s="134" t="s">
        <v>806</v>
      </c>
      <c r="E304" s="134" t="str">
        <f t="shared" si="31"/>
        <v/>
      </c>
      <c r="F304" s="137">
        <v>21.959404846630001</v>
      </c>
      <c r="G304" s="137">
        <v>22.015078331293001</v>
      </c>
      <c r="H304" s="137">
        <v>22.070751815956001</v>
      </c>
      <c r="I304" s="137">
        <v>22.126425300619001</v>
      </c>
      <c r="J304" s="137">
        <v>22.182098785282001</v>
      </c>
      <c r="K304" s="137">
        <v>22.237772269945001</v>
      </c>
      <c r="L304" s="137">
        <v>22.293445754608001</v>
      </c>
      <c r="M304" s="137">
        <v>22.349119239271001</v>
      </c>
      <c r="N304" s="137">
        <v>22.404792723934001</v>
      </c>
      <c r="O304" s="137">
        <v>22.460466208597001</v>
      </c>
      <c r="P304" s="137">
        <v>22.516139693260001</v>
      </c>
      <c r="Q304" s="137">
        <v>22.571813177923001</v>
      </c>
      <c r="R304" s="137">
        <v>22.627486662586001</v>
      </c>
      <c r="T304" s="137">
        <f t="shared" si="26"/>
        <v>22.293445754608005</v>
      </c>
    </row>
    <row r="305" spans="1:20">
      <c r="A305" s="137" t="str">
        <f t="shared" si="29"/>
        <v>LGE</v>
      </c>
      <c r="B305" s="137" t="s">
        <v>923</v>
      </c>
      <c r="C305" s="137" t="str">
        <f t="shared" si="30"/>
        <v>337</v>
      </c>
      <c r="D305" s="134" t="s">
        <v>807</v>
      </c>
      <c r="E305" s="134" t="str">
        <f t="shared" si="31"/>
        <v>ARO</v>
      </c>
      <c r="F305" s="137">
        <v>76.968976164356704</v>
      </c>
      <c r="G305" s="137">
        <v>81.866395780792402</v>
      </c>
      <c r="H305" s="137">
        <v>86.7638153972281</v>
      </c>
      <c r="I305" s="137">
        <v>91.661235013663799</v>
      </c>
      <c r="J305" s="137">
        <v>96.558654630099497</v>
      </c>
      <c r="K305" s="137">
        <v>101.456074246535</v>
      </c>
      <c r="L305" s="137">
        <v>106.35349386297</v>
      </c>
      <c r="M305" s="137">
        <v>111.25091347940599</v>
      </c>
      <c r="N305" s="137">
        <v>116.14833309584201</v>
      </c>
      <c r="O305" s="137">
        <v>116.938364287475</v>
      </c>
      <c r="P305" s="137">
        <v>117.728395479108</v>
      </c>
      <c r="Q305" s="137">
        <v>118.51842667074099</v>
      </c>
      <c r="R305" s="137">
        <v>119.30845786237499</v>
      </c>
      <c r="T305" s="137">
        <f t="shared" si="26"/>
        <v>103.1939643054302</v>
      </c>
    </row>
    <row r="306" spans="1:20">
      <c r="A306" s="137" t="str">
        <f t="shared" si="29"/>
        <v>LGE</v>
      </c>
      <c r="B306" s="137" t="s">
        <v>923</v>
      </c>
      <c r="C306" s="137" t="str">
        <f t="shared" si="30"/>
        <v>341</v>
      </c>
      <c r="D306" s="134" t="s">
        <v>809</v>
      </c>
      <c r="E306" s="134" t="str">
        <f t="shared" si="31"/>
        <v/>
      </c>
      <c r="F306" s="137">
        <v>8421.0831052732992</v>
      </c>
      <c r="G306" s="137">
        <v>8475.3564797922299</v>
      </c>
      <c r="H306" s="137">
        <v>8529.6298543111698</v>
      </c>
      <c r="I306" s="137">
        <v>8583.9032288301096</v>
      </c>
      <c r="J306" s="137">
        <v>8638.1766033490494</v>
      </c>
      <c r="K306" s="137">
        <v>8692.4499778679892</v>
      </c>
      <c r="L306" s="137">
        <v>8746.7233523869309</v>
      </c>
      <c r="M306" s="137">
        <v>8800.9967269058707</v>
      </c>
      <c r="N306" s="137">
        <v>8855.2701014248105</v>
      </c>
      <c r="O306" s="137">
        <v>8909.5434759437503</v>
      </c>
      <c r="P306" s="137">
        <v>8963.8168504626901</v>
      </c>
      <c r="Q306" s="137">
        <v>9018.0902249816299</v>
      </c>
      <c r="R306" s="137">
        <v>9072.3635995005698</v>
      </c>
      <c r="T306" s="137">
        <f t="shared" si="26"/>
        <v>8746.7233523869327</v>
      </c>
    </row>
    <row r="307" spans="1:20">
      <c r="A307" s="137" t="str">
        <f t="shared" si="29"/>
        <v>LGE</v>
      </c>
      <c r="B307" s="137" t="s">
        <v>923</v>
      </c>
      <c r="C307" s="137" t="str">
        <f t="shared" si="30"/>
        <v>341</v>
      </c>
      <c r="D307" s="134" t="s">
        <v>1516</v>
      </c>
      <c r="E307" s="134" t="str">
        <f t="shared" si="31"/>
        <v/>
      </c>
      <c r="F307" s="137">
        <v>5270.2537957189998</v>
      </c>
      <c r="G307" s="137">
        <v>5301.2860750259997</v>
      </c>
      <c r="H307" s="137">
        <v>5332.3183543329997</v>
      </c>
      <c r="I307" s="137">
        <v>5363.3506336399996</v>
      </c>
      <c r="J307" s="137">
        <v>5394.3829129469996</v>
      </c>
      <c r="K307" s="137">
        <v>5425.4151922539904</v>
      </c>
      <c r="L307" s="137">
        <v>5456.4474715609904</v>
      </c>
      <c r="M307" s="137">
        <v>5487.4797508679903</v>
      </c>
      <c r="N307" s="137">
        <v>5518.5120301749903</v>
      </c>
      <c r="O307" s="137">
        <v>5549.5443094819902</v>
      </c>
      <c r="P307" s="137">
        <v>5580.5765887889902</v>
      </c>
      <c r="Q307" s="137">
        <v>5611.6088680959901</v>
      </c>
      <c r="R307" s="137">
        <v>5642.6411474029901</v>
      </c>
      <c r="T307" s="137">
        <f t="shared" si="26"/>
        <v>5456.447471560994</v>
      </c>
    </row>
    <row r="308" spans="1:20">
      <c r="A308" s="137" t="str">
        <f t="shared" si="29"/>
        <v>LGE</v>
      </c>
      <c r="B308" s="137" t="s">
        <v>923</v>
      </c>
      <c r="C308" s="137" t="str">
        <f t="shared" si="30"/>
        <v>341</v>
      </c>
      <c r="D308" s="134" t="s">
        <v>1517</v>
      </c>
      <c r="E308" s="134" t="str">
        <f t="shared" si="31"/>
        <v/>
      </c>
      <c r="F308" s="137">
        <v>90.100986700000007</v>
      </c>
      <c r="G308" s="137">
        <v>93.365595369999994</v>
      </c>
      <c r="H308" s="137">
        <v>96.630204039999995</v>
      </c>
      <c r="I308" s="137">
        <v>99.894812709999997</v>
      </c>
      <c r="J308" s="137">
        <v>103.15942138</v>
      </c>
      <c r="K308" s="137">
        <v>106.42403005</v>
      </c>
      <c r="L308" s="137">
        <v>109.68863872</v>
      </c>
      <c r="M308" s="137">
        <v>112.95324739</v>
      </c>
      <c r="N308" s="137">
        <v>116.21785606</v>
      </c>
      <c r="O308" s="137">
        <v>119.48246473</v>
      </c>
      <c r="P308" s="137">
        <v>122.7470734</v>
      </c>
      <c r="Q308" s="137">
        <v>126.01168207000001</v>
      </c>
      <c r="R308" s="137">
        <v>129.27629074000001</v>
      </c>
      <c r="T308" s="137">
        <f t="shared" si="26"/>
        <v>109.68863872</v>
      </c>
    </row>
    <row r="309" spans="1:20">
      <c r="A309" s="137" t="str">
        <f t="shared" si="29"/>
        <v>LGE</v>
      </c>
      <c r="B309" s="137" t="s">
        <v>923</v>
      </c>
      <c r="C309" s="137" t="str">
        <f t="shared" si="30"/>
        <v>342</v>
      </c>
      <c r="D309" s="134" t="s">
        <v>810</v>
      </c>
      <c r="E309" s="134" t="str">
        <f t="shared" si="31"/>
        <v/>
      </c>
      <c r="F309" s="137">
        <v>3508.7327823679998</v>
      </c>
      <c r="G309" s="137">
        <v>3537.8752331988999</v>
      </c>
      <c r="H309" s="137">
        <v>3567.0176840298</v>
      </c>
      <c r="I309" s="137">
        <v>3596.1601348607001</v>
      </c>
      <c r="J309" s="137">
        <v>3625.3025856916001</v>
      </c>
      <c r="K309" s="137">
        <v>3654.4450365224998</v>
      </c>
      <c r="L309" s="137">
        <v>3683.5874873533999</v>
      </c>
      <c r="M309" s="137">
        <v>3712.7299381843</v>
      </c>
      <c r="N309" s="137">
        <v>3741.8723890152</v>
      </c>
      <c r="O309" s="137">
        <v>3771.0148398461001</v>
      </c>
      <c r="P309" s="137">
        <v>3800.1572906770002</v>
      </c>
      <c r="Q309" s="137">
        <v>3829.2997415078999</v>
      </c>
      <c r="R309" s="137">
        <v>3858.4421923387999</v>
      </c>
      <c r="T309" s="137">
        <f t="shared" ref="T309:T388" si="32">SUM(F309:R309)/13</f>
        <v>3683.5874873534003</v>
      </c>
    </row>
    <row r="310" spans="1:20">
      <c r="A310" s="137" t="str">
        <f t="shared" si="29"/>
        <v>LGE</v>
      </c>
      <c r="B310" s="137" t="s">
        <v>923</v>
      </c>
      <c r="C310" s="137" t="str">
        <f t="shared" si="30"/>
        <v>342</v>
      </c>
      <c r="D310" s="134" t="s">
        <v>1518</v>
      </c>
      <c r="E310" s="134" t="str">
        <f t="shared" si="31"/>
        <v/>
      </c>
      <c r="F310" s="137">
        <v>1059.609295643</v>
      </c>
      <c r="G310" s="137">
        <v>1063.7927852073001</v>
      </c>
      <c r="H310" s="137">
        <v>1067.9762747715999</v>
      </c>
      <c r="I310" s="137">
        <v>1072.1597643359</v>
      </c>
      <c r="J310" s="137">
        <v>1076.3432539001999</v>
      </c>
      <c r="K310" s="137">
        <v>1080.5267434645</v>
      </c>
      <c r="L310" s="137">
        <v>1084.7102330288001</v>
      </c>
      <c r="M310" s="137">
        <v>1088.8937225930999</v>
      </c>
      <c r="N310" s="137">
        <v>1093.0772121574</v>
      </c>
      <c r="O310" s="137">
        <v>1097.2607017216999</v>
      </c>
      <c r="P310" s="137">
        <v>1101.444191286</v>
      </c>
      <c r="Q310" s="137">
        <v>1105.6276808503001</v>
      </c>
      <c r="R310" s="137">
        <v>1109.8111704145999</v>
      </c>
      <c r="T310" s="137">
        <f t="shared" si="32"/>
        <v>1084.7102330288001</v>
      </c>
    </row>
    <row r="311" spans="1:20">
      <c r="A311" s="137" t="str">
        <f t="shared" si="29"/>
        <v>LGE</v>
      </c>
      <c r="B311" s="137" t="s">
        <v>923</v>
      </c>
      <c r="C311" s="137" t="str">
        <f t="shared" si="30"/>
        <v>342</v>
      </c>
      <c r="D311" s="134" t="s">
        <v>1519</v>
      </c>
      <c r="E311" s="134" t="str">
        <f t="shared" si="31"/>
        <v/>
      </c>
      <c r="F311" s="137">
        <v>2428.7284665040002</v>
      </c>
      <c r="G311" s="137">
        <v>2468.4856811544</v>
      </c>
      <c r="H311" s="137">
        <v>2508.2428958047999</v>
      </c>
      <c r="I311" s="137">
        <v>2548.0001104551998</v>
      </c>
      <c r="J311" s="137">
        <v>2587.7573251056001</v>
      </c>
      <c r="K311" s="137">
        <v>2627.514539756</v>
      </c>
      <c r="L311" s="137">
        <v>2667.2717544063999</v>
      </c>
      <c r="M311" s="137">
        <v>2707.0289690568002</v>
      </c>
      <c r="N311" s="137">
        <v>2746.7861837072001</v>
      </c>
      <c r="O311" s="137">
        <v>2786.5433983575999</v>
      </c>
      <c r="P311" s="137">
        <v>2826.3006130079998</v>
      </c>
      <c r="Q311" s="137">
        <v>2866.0578276584001</v>
      </c>
      <c r="R311" s="137">
        <v>2905.8150423088</v>
      </c>
      <c r="T311" s="137">
        <f t="shared" si="32"/>
        <v>2667.2717544063999</v>
      </c>
    </row>
    <row r="312" spans="1:20">
      <c r="A312" s="137" t="str">
        <f t="shared" si="29"/>
        <v>LGE</v>
      </c>
      <c r="B312" s="137" t="s">
        <v>923</v>
      </c>
      <c r="C312" s="137" t="str">
        <f t="shared" si="30"/>
        <v>343</v>
      </c>
      <c r="D312" s="134" t="s">
        <v>811</v>
      </c>
      <c r="E312" s="134" t="str">
        <f t="shared" si="31"/>
        <v/>
      </c>
      <c r="F312" s="137">
        <v>70132.598003897903</v>
      </c>
      <c r="G312" s="137">
        <v>70481.522014148504</v>
      </c>
      <c r="H312" s="137">
        <v>71208.738763180605</v>
      </c>
      <c r="I312" s="137">
        <v>71935.955512212706</v>
      </c>
      <c r="J312" s="137">
        <v>72663.172261244807</v>
      </c>
      <c r="K312" s="137">
        <v>73390.963058691996</v>
      </c>
      <c r="L312" s="137">
        <v>74093.574011861696</v>
      </c>
      <c r="M312" s="137">
        <v>74822.958592338706</v>
      </c>
      <c r="N312" s="137">
        <v>75553.373222813403</v>
      </c>
      <c r="O312" s="137">
        <v>76284.817903283794</v>
      </c>
      <c r="P312" s="137">
        <v>77016.2625837542</v>
      </c>
      <c r="Q312" s="137">
        <v>77747.707264224606</v>
      </c>
      <c r="R312" s="137">
        <v>78479.151944694997</v>
      </c>
      <c r="T312" s="137">
        <f t="shared" si="32"/>
        <v>74139.291933565226</v>
      </c>
    </row>
    <row r="313" spans="1:20">
      <c r="A313" s="137" t="str">
        <f t="shared" si="29"/>
        <v>LGE</v>
      </c>
      <c r="B313" s="137" t="s">
        <v>923</v>
      </c>
      <c r="C313" s="137" t="str">
        <f t="shared" si="30"/>
        <v>343</v>
      </c>
      <c r="D313" s="134" t="s">
        <v>1520</v>
      </c>
      <c r="E313" s="134" t="str">
        <f t="shared" si="31"/>
        <v/>
      </c>
      <c r="F313" s="137">
        <v>5299.1301248600003</v>
      </c>
      <c r="G313" s="137">
        <v>5503.3938931709999</v>
      </c>
      <c r="H313" s="137">
        <v>5707.6979163650003</v>
      </c>
      <c r="I313" s="137">
        <v>5912.042194443</v>
      </c>
      <c r="J313" s="137">
        <v>6116.3864725209996</v>
      </c>
      <c r="K313" s="137">
        <v>6320.7710054729996</v>
      </c>
      <c r="L313" s="137">
        <v>6524.8093110660002</v>
      </c>
      <c r="M313" s="137">
        <v>6729.2899145270003</v>
      </c>
      <c r="N313" s="137">
        <v>6933.8107728619998</v>
      </c>
      <c r="O313" s="137">
        <v>7138.37188608</v>
      </c>
      <c r="P313" s="137">
        <v>7342.9329992980001</v>
      </c>
      <c r="Q313" s="137">
        <v>7547.5344606589997</v>
      </c>
      <c r="R313" s="137">
        <v>5806.0999405290004</v>
      </c>
      <c r="T313" s="137">
        <f t="shared" si="32"/>
        <v>6375.5592993733844</v>
      </c>
    </row>
    <row r="314" spans="1:20">
      <c r="A314" s="137" t="str">
        <f t="shared" si="29"/>
        <v>LGE</v>
      </c>
      <c r="B314" s="137" t="s">
        <v>923</v>
      </c>
      <c r="C314" s="137" t="str">
        <f t="shared" si="30"/>
        <v>344</v>
      </c>
      <c r="D314" s="134" t="s">
        <v>812</v>
      </c>
      <c r="E314" s="134" t="str">
        <f t="shared" si="31"/>
        <v/>
      </c>
      <c r="F314" s="137">
        <v>23589.037745148002</v>
      </c>
      <c r="G314" s="137">
        <v>23688.0976789501</v>
      </c>
      <c r="H314" s="137">
        <v>23787.448075964101</v>
      </c>
      <c r="I314" s="137">
        <v>23886.798472978098</v>
      </c>
      <c r="J314" s="137">
        <v>23986.148869992201</v>
      </c>
      <c r="K314" s="137">
        <v>24085.499267006198</v>
      </c>
      <c r="L314" s="137">
        <v>24184.849664020199</v>
      </c>
      <c r="M314" s="137">
        <v>24258.461813709</v>
      </c>
      <c r="N314" s="137">
        <v>24358.863236062301</v>
      </c>
      <c r="O314" s="137">
        <v>24459.264658415599</v>
      </c>
      <c r="P314" s="137">
        <v>24559.666080768999</v>
      </c>
      <c r="Q314" s="137">
        <v>24660.0675031223</v>
      </c>
      <c r="R314" s="137">
        <v>24760.468925475601</v>
      </c>
      <c r="T314" s="137">
        <f t="shared" si="32"/>
        <v>24174.205537816368</v>
      </c>
    </row>
    <row r="315" spans="1:20">
      <c r="A315" s="137" t="str">
        <f t="shared" si="29"/>
        <v>LGE</v>
      </c>
      <c r="B315" s="137" t="s">
        <v>923</v>
      </c>
      <c r="C315" s="137" t="str">
        <f t="shared" si="30"/>
        <v>344</v>
      </c>
      <c r="D315" s="134" t="s">
        <v>1521</v>
      </c>
      <c r="E315" s="134" t="str">
        <f t="shared" si="31"/>
        <v/>
      </c>
      <c r="F315" s="137">
        <v>2336.7650682752901</v>
      </c>
      <c r="G315" s="137">
        <v>2373.4004145644899</v>
      </c>
      <c r="H315" s="137">
        <v>2410.0357608536901</v>
      </c>
      <c r="I315" s="137">
        <v>2446.6711071428899</v>
      </c>
      <c r="J315" s="137">
        <v>2483.3064534320902</v>
      </c>
      <c r="K315" s="137">
        <v>2519.94179972129</v>
      </c>
      <c r="L315" s="137">
        <v>2556.5771460104902</v>
      </c>
      <c r="M315" s="137">
        <v>2593.21249229969</v>
      </c>
      <c r="N315" s="137">
        <v>2629.8478385888902</v>
      </c>
      <c r="O315" s="137">
        <v>2666.48318487809</v>
      </c>
      <c r="P315" s="137">
        <v>2703.1185311672898</v>
      </c>
      <c r="Q315" s="137">
        <v>2739.75387745649</v>
      </c>
      <c r="R315" s="137">
        <v>2704.8871934276899</v>
      </c>
      <c r="T315" s="137">
        <f t="shared" si="32"/>
        <v>2551.0769898321819</v>
      </c>
    </row>
    <row r="316" spans="1:20">
      <c r="A316" s="137" t="str">
        <f t="shared" si="29"/>
        <v>LGE</v>
      </c>
      <c r="B316" s="137" t="s">
        <v>923</v>
      </c>
      <c r="C316" s="137" t="str">
        <f t="shared" si="30"/>
        <v>344</v>
      </c>
      <c r="D316" s="134" t="s">
        <v>1522</v>
      </c>
      <c r="E316" s="134" t="str">
        <f t="shared" si="31"/>
        <v/>
      </c>
      <c r="F316" s="137">
        <v>1123.6538503306499</v>
      </c>
      <c r="G316" s="137">
        <v>1156.12600639671</v>
      </c>
      <c r="H316" s="137">
        <v>1188.59816246277</v>
      </c>
      <c r="I316" s="137">
        <v>1221.0703185288401</v>
      </c>
      <c r="J316" s="137">
        <v>1253.5424745949001</v>
      </c>
      <c r="K316" s="137">
        <v>1286.0146306609599</v>
      </c>
      <c r="L316" s="137">
        <v>1318.48678672703</v>
      </c>
      <c r="M316" s="137">
        <v>1350.95894279309</v>
      </c>
      <c r="N316" s="137">
        <v>1383.4310988591501</v>
      </c>
      <c r="O316" s="137">
        <v>1415.9032549252199</v>
      </c>
      <c r="P316" s="137">
        <v>1448.37541099128</v>
      </c>
      <c r="Q316" s="137">
        <v>1480.84756705734</v>
      </c>
      <c r="R316" s="137">
        <v>1513.3197231234101</v>
      </c>
      <c r="T316" s="137">
        <f t="shared" si="32"/>
        <v>1318.486786727027</v>
      </c>
    </row>
    <row r="317" spans="1:20">
      <c r="A317" s="137" t="str">
        <f t="shared" si="29"/>
        <v>LGE</v>
      </c>
      <c r="B317" s="137" t="s">
        <v>923</v>
      </c>
      <c r="C317" s="137" t="str">
        <f t="shared" si="30"/>
        <v>345</v>
      </c>
      <c r="D317" s="134" t="s">
        <v>813</v>
      </c>
      <c r="E317" s="134" t="str">
        <f t="shared" si="31"/>
        <v/>
      </c>
      <c r="F317" s="137">
        <v>12816.9245684077</v>
      </c>
      <c r="G317" s="137">
        <v>12927.3839916548</v>
      </c>
      <c r="H317" s="137">
        <v>13037.843414901899</v>
      </c>
      <c r="I317" s="137">
        <v>13148.302838149</v>
      </c>
      <c r="J317" s="137">
        <v>13258.762261396099</v>
      </c>
      <c r="K317" s="137">
        <v>13369.2216846431</v>
      </c>
      <c r="L317" s="137">
        <v>13479.681107890199</v>
      </c>
      <c r="M317" s="137">
        <v>13590.1405311373</v>
      </c>
      <c r="N317" s="137">
        <v>13700.599954384399</v>
      </c>
      <c r="O317" s="137">
        <v>13811.0593776315</v>
      </c>
      <c r="P317" s="137">
        <v>13921.518800878501</v>
      </c>
      <c r="Q317" s="137">
        <v>14031.9782241256</v>
      </c>
      <c r="R317" s="137">
        <v>14142.7756799497</v>
      </c>
      <c r="T317" s="137">
        <f t="shared" si="32"/>
        <v>13479.707110396137</v>
      </c>
    </row>
    <row r="318" spans="1:20">
      <c r="A318" s="137" t="str">
        <f t="shared" si="29"/>
        <v>LGE</v>
      </c>
      <c r="B318" s="137" t="s">
        <v>923</v>
      </c>
      <c r="C318" s="137" t="str">
        <f t="shared" si="30"/>
        <v>345</v>
      </c>
      <c r="D318" s="134" t="s">
        <v>1523</v>
      </c>
      <c r="E318" s="134" t="str">
        <f t="shared" si="31"/>
        <v/>
      </c>
      <c r="F318" s="137">
        <v>739.077050052</v>
      </c>
      <c r="G318" s="137">
        <v>756.76461565</v>
      </c>
      <c r="H318" s="137">
        <v>774.45218124799999</v>
      </c>
      <c r="I318" s="137">
        <v>792.13974684599998</v>
      </c>
      <c r="J318" s="137">
        <v>809.82731244399997</v>
      </c>
      <c r="K318" s="137">
        <v>827.51487804199996</v>
      </c>
      <c r="L318" s="137">
        <v>845.20244363999996</v>
      </c>
      <c r="M318" s="137">
        <v>862.89000923799995</v>
      </c>
      <c r="N318" s="137">
        <v>880.57757483599903</v>
      </c>
      <c r="O318" s="137">
        <v>898.26514043399902</v>
      </c>
      <c r="P318" s="137">
        <v>915.95270603199901</v>
      </c>
      <c r="Q318" s="137">
        <v>933.64027162999901</v>
      </c>
      <c r="R318" s="137">
        <v>951.327837227999</v>
      </c>
      <c r="T318" s="137">
        <f t="shared" si="32"/>
        <v>845.2024436399995</v>
      </c>
    </row>
    <row r="319" spans="1:20">
      <c r="A319" s="137" t="str">
        <f t="shared" si="29"/>
        <v>LGE</v>
      </c>
      <c r="B319" s="137" t="s">
        <v>923</v>
      </c>
      <c r="C319" s="137" t="str">
        <f t="shared" si="30"/>
        <v>345</v>
      </c>
      <c r="D319" s="134" t="s">
        <v>1524</v>
      </c>
      <c r="E319" s="134" t="str">
        <f t="shared" si="31"/>
        <v/>
      </c>
      <c r="F319" s="137">
        <v>45.915116726999898</v>
      </c>
      <c r="G319" s="137">
        <v>46.950878399699903</v>
      </c>
      <c r="H319" s="137">
        <v>47.986640072399901</v>
      </c>
      <c r="I319" s="137">
        <v>49.022401745099899</v>
      </c>
      <c r="J319" s="137">
        <v>50.058163417799904</v>
      </c>
      <c r="K319" s="137">
        <v>51.093925090499901</v>
      </c>
      <c r="L319" s="137">
        <v>52.129686763199899</v>
      </c>
      <c r="M319" s="137">
        <v>53.165448435899897</v>
      </c>
      <c r="N319" s="137">
        <v>56.052162725099898</v>
      </c>
      <c r="O319" s="137">
        <v>60.850687964799903</v>
      </c>
      <c r="P319" s="137">
        <v>65.770929870499899</v>
      </c>
      <c r="Q319" s="137">
        <v>70.812888443199896</v>
      </c>
      <c r="R319" s="137">
        <v>75.976563682899894</v>
      </c>
      <c r="T319" s="137">
        <f t="shared" si="32"/>
        <v>55.829653333699895</v>
      </c>
    </row>
    <row r="320" spans="1:20">
      <c r="A320" s="137" t="str">
        <f t="shared" si="29"/>
        <v>LGE</v>
      </c>
      <c r="B320" s="137" t="s">
        <v>923</v>
      </c>
      <c r="C320" s="137" t="str">
        <f t="shared" si="30"/>
        <v>346</v>
      </c>
      <c r="D320" s="134" t="s">
        <v>814</v>
      </c>
      <c r="E320" s="134" t="str">
        <f t="shared" si="31"/>
        <v/>
      </c>
      <c r="F320" s="137">
        <v>2262.21642799749</v>
      </c>
      <c r="G320" s="137">
        <v>2276.38708229231</v>
      </c>
      <c r="H320" s="137">
        <v>2290.5796230536398</v>
      </c>
      <c r="I320" s="137">
        <v>2304.7940502814599</v>
      </c>
      <c r="J320" s="137">
        <v>2319.0084775092901</v>
      </c>
      <c r="K320" s="137">
        <v>2333.2229047371202</v>
      </c>
      <c r="L320" s="137">
        <v>2347.4373319649399</v>
      </c>
      <c r="M320" s="137">
        <v>2361.65175919277</v>
      </c>
      <c r="N320" s="137">
        <v>2375.8661864205901</v>
      </c>
      <c r="O320" s="137">
        <v>2390.0806136484198</v>
      </c>
      <c r="P320" s="137">
        <v>2404.8491894980798</v>
      </c>
      <c r="Q320" s="137">
        <v>2420.1719139695801</v>
      </c>
      <c r="R320" s="137">
        <v>2428.2473644840702</v>
      </c>
      <c r="T320" s="137">
        <f t="shared" si="32"/>
        <v>2347.2702250038278</v>
      </c>
    </row>
    <row r="321" spans="1:20">
      <c r="A321" s="137" t="str">
        <f t="shared" si="29"/>
        <v>LGE</v>
      </c>
      <c r="B321" s="137" t="s">
        <v>923</v>
      </c>
      <c r="C321" s="137" t="str">
        <f t="shared" si="30"/>
        <v>346</v>
      </c>
      <c r="D321" s="134" t="s">
        <v>1525</v>
      </c>
      <c r="E321" s="134" t="str">
        <f t="shared" si="31"/>
        <v/>
      </c>
      <c r="F321" s="137">
        <v>72.935528977900006</v>
      </c>
      <c r="G321" s="137">
        <v>75.5617651389</v>
      </c>
      <c r="H321" s="137">
        <v>78.279306095899997</v>
      </c>
      <c r="I321" s="137">
        <v>81.088151848899997</v>
      </c>
      <c r="J321" s="137">
        <v>83.896997601899997</v>
      </c>
      <c r="K321" s="137">
        <v>86.764141485699994</v>
      </c>
      <c r="L321" s="137">
        <v>89.689583500200001</v>
      </c>
      <c r="M321" s="137">
        <v>92.615025514699994</v>
      </c>
      <c r="N321" s="137">
        <v>95.540467529200001</v>
      </c>
      <c r="O321" s="137">
        <v>98.465909543699993</v>
      </c>
      <c r="P321" s="137">
        <v>101.3913515582</v>
      </c>
      <c r="Q321" s="137">
        <v>104.40931017050001</v>
      </c>
      <c r="R321" s="137">
        <v>107.5197853805</v>
      </c>
      <c r="T321" s="137">
        <f t="shared" si="32"/>
        <v>89.858255718938452</v>
      </c>
    </row>
    <row r="322" spans="1:20">
      <c r="A322" s="137" t="str">
        <f t="shared" si="29"/>
        <v>LGE</v>
      </c>
      <c r="B322" s="137" t="s">
        <v>923</v>
      </c>
      <c r="C322" s="137" t="str">
        <f t="shared" si="30"/>
        <v>346</v>
      </c>
      <c r="D322" s="134" t="s">
        <v>1526</v>
      </c>
      <c r="E322" s="134" t="str">
        <f t="shared" si="31"/>
        <v/>
      </c>
      <c r="F322" s="137">
        <v>27.967560020999901</v>
      </c>
      <c r="G322" s="137">
        <v>28.9303590230999</v>
      </c>
      <c r="H322" s="137">
        <v>29.893158025199899</v>
      </c>
      <c r="I322" s="137">
        <v>30.855957027299901</v>
      </c>
      <c r="J322" s="137">
        <v>31.8187560293999</v>
      </c>
      <c r="K322" s="137">
        <v>32.781555031499899</v>
      </c>
      <c r="L322" s="137">
        <v>33.744354033599897</v>
      </c>
      <c r="M322" s="137">
        <v>34.707153035699903</v>
      </c>
      <c r="N322" s="137">
        <v>35.669952037799902</v>
      </c>
      <c r="O322" s="137">
        <v>36.632751039899901</v>
      </c>
      <c r="P322" s="137">
        <v>37.5955500419999</v>
      </c>
      <c r="Q322" s="137">
        <v>38.558349044099899</v>
      </c>
      <c r="R322" s="137">
        <v>39.521148046199897</v>
      </c>
      <c r="T322" s="137">
        <f t="shared" si="32"/>
        <v>33.744354033599897</v>
      </c>
    </row>
    <row r="323" spans="1:20">
      <c r="A323" s="137" t="str">
        <f t="shared" si="29"/>
        <v>LGE</v>
      </c>
      <c r="B323" s="137" t="s">
        <v>923</v>
      </c>
      <c r="C323" s="137" t="str">
        <f t="shared" si="30"/>
        <v>347</v>
      </c>
      <c r="D323" s="134" t="s">
        <v>815</v>
      </c>
      <c r="E323" s="134" t="str">
        <f t="shared" si="31"/>
        <v>ARO</v>
      </c>
      <c r="F323" s="137">
        <v>22.3647014131068</v>
      </c>
      <c r="G323" s="137">
        <v>22.957440554417399</v>
      </c>
      <c r="H323" s="137">
        <v>23.550179695728101</v>
      </c>
      <c r="I323" s="137">
        <v>24.142918837038799</v>
      </c>
      <c r="J323" s="137">
        <v>24.735657978349501</v>
      </c>
      <c r="K323" s="137">
        <v>25.328397119660199</v>
      </c>
      <c r="L323" s="137">
        <v>25.921136260970801</v>
      </c>
      <c r="M323" s="137">
        <v>26.513875402281499</v>
      </c>
      <c r="N323" s="137">
        <v>27.106614543592201</v>
      </c>
      <c r="O323" s="137">
        <v>27.202232735785898</v>
      </c>
      <c r="P323" s="137">
        <v>27.2978509279795</v>
      </c>
      <c r="Q323" s="137">
        <v>27.393469120173201</v>
      </c>
      <c r="R323" s="137">
        <v>27.489087312366799</v>
      </c>
      <c r="T323" s="137">
        <f t="shared" si="32"/>
        <v>25.538735530880821</v>
      </c>
    </row>
    <row r="324" spans="1:20">
      <c r="A324" s="137" t="str">
        <f t="shared" si="29"/>
        <v>LGE</v>
      </c>
      <c r="B324" s="137" t="s">
        <v>923</v>
      </c>
      <c r="C324" s="137" t="str">
        <f t="shared" si="30"/>
        <v>350</v>
      </c>
      <c r="D324" s="134" t="s">
        <v>816</v>
      </c>
      <c r="E324" s="134" t="str">
        <f t="shared" si="31"/>
        <v/>
      </c>
      <c r="F324" s="137">
        <v>357.37880788000001</v>
      </c>
      <c r="G324" s="137">
        <v>358.00005566800002</v>
      </c>
      <c r="H324" s="137">
        <v>358.62130345600002</v>
      </c>
      <c r="I324" s="137">
        <v>359.24255124400003</v>
      </c>
      <c r="J324" s="137">
        <v>359.86379903199997</v>
      </c>
      <c r="K324" s="137">
        <v>360.48504681999998</v>
      </c>
      <c r="L324" s="137">
        <v>361.10629460799998</v>
      </c>
      <c r="M324" s="137">
        <v>361.72754239599999</v>
      </c>
      <c r="N324" s="137">
        <v>362.34879018399999</v>
      </c>
      <c r="O324" s="137">
        <v>362.970037972</v>
      </c>
      <c r="P324" s="137">
        <v>363.59128576000001</v>
      </c>
      <c r="Q324" s="137">
        <v>364.21253354800001</v>
      </c>
      <c r="R324" s="137">
        <v>364.83378133600002</v>
      </c>
      <c r="T324" s="137">
        <f t="shared" si="32"/>
        <v>361.10629460800004</v>
      </c>
    </row>
    <row r="325" spans="1:20">
      <c r="A325" s="137" t="str">
        <f t="shared" si="29"/>
        <v>LGE</v>
      </c>
      <c r="B325" s="137" t="s">
        <v>923</v>
      </c>
      <c r="C325" s="137" t="str">
        <f t="shared" si="30"/>
        <v>350</v>
      </c>
      <c r="D325" s="134" t="s">
        <v>817</v>
      </c>
      <c r="E325" s="134" t="str">
        <f t="shared" si="31"/>
        <v/>
      </c>
      <c r="F325" s="137">
        <v>2977.5699817299901</v>
      </c>
      <c r="G325" s="137">
        <v>2985.1070039029901</v>
      </c>
      <c r="H325" s="137">
        <v>2992.64402607599</v>
      </c>
      <c r="I325" s="137">
        <v>3000.18104824899</v>
      </c>
      <c r="J325" s="137">
        <v>3007.71807042199</v>
      </c>
      <c r="K325" s="137">
        <v>3015.2550925949899</v>
      </c>
      <c r="L325" s="137">
        <v>3022.7921147679899</v>
      </c>
      <c r="M325" s="137">
        <v>3030.3291369409899</v>
      </c>
      <c r="N325" s="137">
        <v>3037.8661591139899</v>
      </c>
      <c r="O325" s="137">
        <v>3045.4031812869898</v>
      </c>
      <c r="P325" s="137">
        <v>3052.9402034599898</v>
      </c>
      <c r="Q325" s="137">
        <v>3060.4772256329902</v>
      </c>
      <c r="R325" s="137">
        <v>3068.0142478059902</v>
      </c>
      <c r="T325" s="137">
        <f t="shared" si="32"/>
        <v>3022.7921147679904</v>
      </c>
    </row>
    <row r="326" spans="1:20">
      <c r="A326" s="137" t="str">
        <f t="shared" si="29"/>
        <v>LGE</v>
      </c>
      <c r="B326" s="137" t="s">
        <v>923</v>
      </c>
      <c r="C326" s="137" t="str">
        <f t="shared" si="30"/>
        <v>352</v>
      </c>
      <c r="D326" s="134" t="s">
        <v>818</v>
      </c>
      <c r="E326" s="134" t="str">
        <f t="shared" si="31"/>
        <v/>
      </c>
      <c r="F326" s="137">
        <v>97.307309919999895</v>
      </c>
      <c r="G326" s="137">
        <v>97.635500019799906</v>
      </c>
      <c r="H326" s="137">
        <v>97.963690119599903</v>
      </c>
      <c r="I326" s="137">
        <v>98.2918802193999</v>
      </c>
      <c r="J326" s="137">
        <v>98.620070319199897</v>
      </c>
      <c r="K326" s="137">
        <v>98.948260418999894</v>
      </c>
      <c r="L326" s="137">
        <v>99.294002234799905</v>
      </c>
      <c r="M326" s="137">
        <v>99.6572957666029</v>
      </c>
      <c r="N326" s="137">
        <v>100.020589298405</v>
      </c>
      <c r="O326" s="137">
        <v>100.38388283020799</v>
      </c>
      <c r="P326" s="137">
        <v>100.747176362011</v>
      </c>
      <c r="Q326" s="137">
        <v>101.110469893814</v>
      </c>
      <c r="R326" s="137">
        <v>101.47376342561699</v>
      </c>
      <c r="T326" s="137">
        <f t="shared" si="32"/>
        <v>99.342606986804398</v>
      </c>
    </row>
    <row r="327" spans="1:20">
      <c r="A327" s="137" t="str">
        <f t="shared" si="29"/>
        <v>LGE</v>
      </c>
      <c r="B327" s="137" t="s">
        <v>923</v>
      </c>
      <c r="C327" s="137" t="str">
        <f t="shared" si="30"/>
        <v>352</v>
      </c>
      <c r="D327" s="134" t="s">
        <v>819</v>
      </c>
      <c r="E327" s="134" t="str">
        <f t="shared" si="31"/>
        <v/>
      </c>
      <c r="F327" s="137">
        <v>780.25201418999904</v>
      </c>
      <c r="G327" s="137">
        <v>793.24184560899903</v>
      </c>
      <c r="H327" s="137">
        <v>806.23167702799901</v>
      </c>
      <c r="I327" s="137">
        <v>819.221508446999</v>
      </c>
      <c r="J327" s="137">
        <v>832.21133986599898</v>
      </c>
      <c r="K327" s="137">
        <v>845.20117128499896</v>
      </c>
      <c r="L327" s="137">
        <v>858.19100270399895</v>
      </c>
      <c r="M327" s="137">
        <v>871.18083412299904</v>
      </c>
      <c r="N327" s="137">
        <v>884.17066554199903</v>
      </c>
      <c r="O327" s="137">
        <v>897.16049696099901</v>
      </c>
      <c r="P327" s="137">
        <v>910.150328379999</v>
      </c>
      <c r="Q327" s="137">
        <v>923.14015979899898</v>
      </c>
      <c r="R327" s="137">
        <v>936.12999121799896</v>
      </c>
      <c r="T327" s="137">
        <f t="shared" si="32"/>
        <v>858.19100270399895</v>
      </c>
    </row>
    <row r="328" spans="1:20">
      <c r="A328" s="137" t="str">
        <f t="shared" si="29"/>
        <v>LGE</v>
      </c>
      <c r="B328" s="137" t="s">
        <v>923</v>
      </c>
      <c r="C328" s="137" t="str">
        <f t="shared" si="30"/>
        <v>352</v>
      </c>
      <c r="D328" s="134" t="s">
        <v>820</v>
      </c>
      <c r="E328" s="134" t="str">
        <f t="shared" si="31"/>
        <v/>
      </c>
      <c r="F328" s="137">
        <v>1900.302855789</v>
      </c>
      <c r="G328" s="137">
        <v>1912.802345518</v>
      </c>
      <c r="H328" s="137">
        <v>1925.3018352470001</v>
      </c>
      <c r="I328" s="137">
        <v>1937.8013249759999</v>
      </c>
      <c r="J328" s="137">
        <v>1950.300814705</v>
      </c>
      <c r="K328" s="137">
        <v>1962.8003044340001</v>
      </c>
      <c r="L328" s="137">
        <v>1975.2997941629999</v>
      </c>
      <c r="M328" s="137">
        <v>1987.8073003889999</v>
      </c>
      <c r="N328" s="137">
        <v>2000.322823102</v>
      </c>
      <c r="O328" s="137">
        <v>2012.8383458149999</v>
      </c>
      <c r="P328" s="137">
        <v>2025.353868528</v>
      </c>
      <c r="Q328" s="137">
        <v>2037.8693912409999</v>
      </c>
      <c r="R328" s="137">
        <v>2050.3849139539998</v>
      </c>
      <c r="T328" s="137">
        <f t="shared" si="32"/>
        <v>1975.3219936816154</v>
      </c>
    </row>
    <row r="329" spans="1:20">
      <c r="A329" s="137" t="str">
        <f t="shared" si="29"/>
        <v>LGE</v>
      </c>
      <c r="B329" s="137" t="s">
        <v>923</v>
      </c>
      <c r="C329" s="137" t="str">
        <f t="shared" si="30"/>
        <v>353</v>
      </c>
      <c r="D329" s="134" t="s">
        <v>821</v>
      </c>
      <c r="E329" s="134" t="str">
        <f t="shared" si="31"/>
        <v/>
      </c>
      <c r="F329" s="137">
        <v>50.406179870299901</v>
      </c>
      <c r="G329" s="137">
        <v>51.230293857329897</v>
      </c>
      <c r="H329" s="137">
        <v>52.054407844359901</v>
      </c>
      <c r="I329" s="137">
        <v>52.878521831389897</v>
      </c>
      <c r="J329" s="137">
        <v>53.7026358184199</v>
      </c>
      <c r="K329" s="137">
        <v>54.526749805449903</v>
      </c>
      <c r="L329" s="137">
        <v>55.350863792479899</v>
      </c>
      <c r="M329" s="137">
        <v>56.174977779509902</v>
      </c>
      <c r="N329" s="137">
        <v>58.945346364639903</v>
      </c>
      <c r="O329" s="137">
        <v>63.661969547139897</v>
      </c>
      <c r="P329" s="137">
        <v>68.378592729639905</v>
      </c>
      <c r="Q329" s="137">
        <v>73.095215912139906</v>
      </c>
      <c r="R329" s="137">
        <v>77.811839094639893</v>
      </c>
      <c r="T329" s="137">
        <f t="shared" si="32"/>
        <v>59.093661095956818</v>
      </c>
    </row>
    <row r="330" spans="1:20">
      <c r="A330" s="137" t="str">
        <f t="shared" si="29"/>
        <v>LGE</v>
      </c>
      <c r="B330" s="137" t="s">
        <v>923</v>
      </c>
      <c r="C330" s="137" t="str">
        <f t="shared" si="30"/>
        <v>353</v>
      </c>
      <c r="D330" s="134" t="s">
        <v>822</v>
      </c>
      <c r="E330" s="134" t="str">
        <f t="shared" si="31"/>
        <v/>
      </c>
      <c r="F330" s="137">
        <v>8193.7980262510901</v>
      </c>
      <c r="G330" s="137">
        <v>8218.8384093577897</v>
      </c>
      <c r="H330" s="137">
        <v>8243.8787924644894</v>
      </c>
      <c r="I330" s="137">
        <v>8269.7577429674893</v>
      </c>
      <c r="J330" s="137">
        <v>8296.4752608667895</v>
      </c>
      <c r="K330" s="137">
        <v>8323.1927787660898</v>
      </c>
      <c r="L330" s="137">
        <v>8349.91029666539</v>
      </c>
      <c r="M330" s="137">
        <v>8376.6278145646902</v>
      </c>
      <c r="N330" s="137">
        <v>8403.3453324639904</v>
      </c>
      <c r="O330" s="137">
        <v>8430.0628503632906</v>
      </c>
      <c r="P330" s="137">
        <v>8456.7803682625909</v>
      </c>
      <c r="Q330" s="137">
        <v>8483.4978861618893</v>
      </c>
      <c r="R330" s="137">
        <v>8510.2154040611895</v>
      </c>
      <c r="T330" s="137">
        <f t="shared" si="32"/>
        <v>8350.4908433243672</v>
      </c>
    </row>
    <row r="331" spans="1:20">
      <c r="A331" s="137" t="str">
        <f t="shared" si="29"/>
        <v>LGE</v>
      </c>
      <c r="B331" s="137" t="s">
        <v>923</v>
      </c>
      <c r="C331" s="137" t="str">
        <f t="shared" si="30"/>
        <v>353</v>
      </c>
      <c r="D331" s="134" t="s">
        <v>823</v>
      </c>
      <c r="E331" s="134" t="str">
        <f t="shared" si="31"/>
        <v/>
      </c>
      <c r="F331" s="137">
        <v>62207.021864132999</v>
      </c>
      <c r="G331" s="137">
        <v>62240.735400138998</v>
      </c>
      <c r="H331" s="137">
        <v>61784.177432885997</v>
      </c>
      <c r="I331" s="137">
        <v>62005.202091994899</v>
      </c>
      <c r="J331" s="137">
        <v>62025.244925109902</v>
      </c>
      <c r="K331" s="137">
        <v>62280.064186171898</v>
      </c>
      <c r="L331" s="137">
        <v>62360.615529651899</v>
      </c>
      <c r="M331" s="137">
        <v>62529.0634110959</v>
      </c>
      <c r="N331" s="137">
        <v>62360.184199925898</v>
      </c>
      <c r="O331" s="137">
        <v>62645.292234166896</v>
      </c>
      <c r="P331" s="137">
        <v>62826.225887106899</v>
      </c>
      <c r="Q331" s="137">
        <v>63046.720446457897</v>
      </c>
      <c r="R331" s="137">
        <v>63089.620131645999</v>
      </c>
      <c r="T331" s="137">
        <f t="shared" si="32"/>
        <v>62415.397518498925</v>
      </c>
    </row>
    <row r="332" spans="1:20">
      <c r="A332" s="137" t="str">
        <f t="shared" si="29"/>
        <v>LGE</v>
      </c>
      <c r="B332" s="137" t="s">
        <v>923</v>
      </c>
      <c r="C332" s="137" t="str">
        <f t="shared" si="30"/>
        <v>354</v>
      </c>
      <c r="D332" s="134" t="s">
        <v>824</v>
      </c>
      <c r="E332" s="134" t="str">
        <f t="shared" si="31"/>
        <v/>
      </c>
      <c r="F332" s="137">
        <v>5821.1225306189999</v>
      </c>
      <c r="G332" s="137">
        <v>5842.2909676809004</v>
      </c>
      <c r="H332" s="137">
        <v>5863.4594047428</v>
      </c>
      <c r="I332" s="137">
        <v>5884.6278418047004</v>
      </c>
      <c r="J332" s="137">
        <v>5905.7962788666</v>
      </c>
      <c r="K332" s="137">
        <v>5926.9647159284996</v>
      </c>
      <c r="L332" s="137">
        <v>5948.1331529904</v>
      </c>
      <c r="M332" s="137">
        <v>5969.3015900522996</v>
      </c>
      <c r="N332" s="137">
        <v>5990.4700271142001</v>
      </c>
      <c r="O332" s="137">
        <v>6011.6384641761097</v>
      </c>
      <c r="P332" s="137">
        <v>6032.8069012380101</v>
      </c>
      <c r="Q332" s="137">
        <v>6053.9753382999097</v>
      </c>
      <c r="R332" s="137">
        <v>6075.1437753618102</v>
      </c>
      <c r="T332" s="137">
        <f t="shared" si="32"/>
        <v>5948.1331529904028</v>
      </c>
    </row>
    <row r="333" spans="1:20">
      <c r="A333" s="137" t="str">
        <f t="shared" si="29"/>
        <v>LGE</v>
      </c>
      <c r="B333" s="137" t="s">
        <v>923</v>
      </c>
      <c r="C333" s="137" t="str">
        <f t="shared" si="30"/>
        <v>354</v>
      </c>
      <c r="D333" s="134" t="s">
        <v>825</v>
      </c>
      <c r="E333" s="134" t="str">
        <f t="shared" si="31"/>
        <v/>
      </c>
      <c r="F333" s="137">
        <v>21142.937798479899</v>
      </c>
      <c r="G333" s="137">
        <v>21189.004806327899</v>
      </c>
      <c r="H333" s="137">
        <v>21235.071814175899</v>
      </c>
      <c r="I333" s="137">
        <v>21281.138822023899</v>
      </c>
      <c r="J333" s="137">
        <v>21327.205829871898</v>
      </c>
      <c r="K333" s="137">
        <v>21373.272837719898</v>
      </c>
      <c r="L333" s="137">
        <v>21419.339845567902</v>
      </c>
      <c r="M333" s="137">
        <v>21465.406853415901</v>
      </c>
      <c r="N333" s="137">
        <v>21511.473861263901</v>
      </c>
      <c r="O333" s="137">
        <v>21557.540869111901</v>
      </c>
      <c r="P333" s="137">
        <v>21603.607876959901</v>
      </c>
      <c r="Q333" s="137">
        <v>21649.674884807901</v>
      </c>
      <c r="R333" s="137">
        <v>21695.7418926559</v>
      </c>
      <c r="T333" s="137">
        <f t="shared" si="32"/>
        <v>21419.339845567898</v>
      </c>
    </row>
    <row r="334" spans="1:20">
      <c r="A334" s="137" t="str">
        <f t="shared" si="29"/>
        <v>LGE</v>
      </c>
      <c r="B334" s="137" t="s">
        <v>923</v>
      </c>
      <c r="C334" s="137" t="str">
        <f t="shared" si="30"/>
        <v>355</v>
      </c>
      <c r="D334" s="134" t="s">
        <v>826</v>
      </c>
      <c r="E334" s="134" t="str">
        <f t="shared" si="31"/>
        <v/>
      </c>
      <c r="F334" s="137">
        <v>2636.0566211099999</v>
      </c>
      <c r="G334" s="137">
        <v>2673.0476327249999</v>
      </c>
      <c r="H334" s="137">
        <v>2712.5667728439998</v>
      </c>
      <c r="I334" s="137">
        <v>2752.0859129629998</v>
      </c>
      <c r="J334" s="137">
        <v>2791.6050530819998</v>
      </c>
      <c r="K334" s="137">
        <v>2831.1241932009998</v>
      </c>
      <c r="L334" s="137">
        <v>2870.6433333199998</v>
      </c>
      <c r="M334" s="137">
        <v>2910.1624734390002</v>
      </c>
      <c r="N334" s="137">
        <v>2949.6816135580002</v>
      </c>
      <c r="O334" s="137">
        <v>2989.2007536770002</v>
      </c>
      <c r="P334" s="137">
        <v>3028.7198937960002</v>
      </c>
      <c r="Q334" s="137">
        <v>3068.2390339150002</v>
      </c>
      <c r="R334" s="137">
        <v>3107.7581740340001</v>
      </c>
      <c r="T334" s="137">
        <f t="shared" si="32"/>
        <v>2870.8378047433848</v>
      </c>
    </row>
    <row r="335" spans="1:20">
      <c r="A335" s="137" t="str">
        <f t="shared" si="29"/>
        <v>LGE</v>
      </c>
      <c r="B335" s="137" t="s">
        <v>923</v>
      </c>
      <c r="C335" s="137" t="str">
        <f t="shared" si="30"/>
        <v>355</v>
      </c>
      <c r="D335" s="134" t="s">
        <v>827</v>
      </c>
      <c r="E335" s="134" t="str">
        <f t="shared" si="31"/>
        <v/>
      </c>
      <c r="F335" s="137">
        <v>26678.833835449899</v>
      </c>
      <c r="G335" s="137">
        <v>26389.581183669899</v>
      </c>
      <c r="H335" s="137">
        <v>26618.901822409902</v>
      </c>
      <c r="I335" s="137">
        <v>26848.7387884399</v>
      </c>
      <c r="J335" s="137">
        <v>27079.079663479999</v>
      </c>
      <c r="K335" s="137">
        <v>27309.821298379899</v>
      </c>
      <c r="L335" s="137">
        <v>27540.857342519899</v>
      </c>
      <c r="M335" s="137">
        <v>27772.163732069999</v>
      </c>
      <c r="N335" s="137">
        <v>28003.829266299999</v>
      </c>
      <c r="O335" s="137">
        <v>28235.76738804</v>
      </c>
      <c r="P335" s="137">
        <v>28467.7818779099</v>
      </c>
      <c r="Q335" s="137">
        <v>28699.872735999899</v>
      </c>
      <c r="R335" s="137">
        <v>28933.270497309899</v>
      </c>
      <c r="T335" s="137">
        <f t="shared" si="32"/>
        <v>27582.961494767624</v>
      </c>
    </row>
    <row r="336" spans="1:20">
      <c r="A336" s="137" t="str">
        <f t="shared" si="29"/>
        <v>LGE</v>
      </c>
      <c r="B336" s="137" t="s">
        <v>923</v>
      </c>
      <c r="C336" s="137" t="str">
        <f t="shared" si="30"/>
        <v>356</v>
      </c>
      <c r="D336" s="134" t="s">
        <v>828</v>
      </c>
      <c r="E336" s="134" t="str">
        <f t="shared" si="31"/>
        <v/>
      </c>
      <c r="F336" s="137">
        <v>3961.2557306399899</v>
      </c>
      <c r="G336" s="137">
        <v>3978.7484627039898</v>
      </c>
      <c r="H336" s="137">
        <v>3996.2411947679898</v>
      </c>
      <c r="I336" s="137">
        <v>4013.7339268319902</v>
      </c>
      <c r="J336" s="137">
        <v>4031.2266588959901</v>
      </c>
      <c r="K336" s="137">
        <v>4048.7193909599901</v>
      </c>
      <c r="L336" s="137">
        <v>4066.21212302399</v>
      </c>
      <c r="M336" s="137">
        <v>4083.7048550879899</v>
      </c>
      <c r="N336" s="137">
        <v>4101.1975871519899</v>
      </c>
      <c r="O336" s="137">
        <v>4118.6903192159898</v>
      </c>
      <c r="P336" s="137">
        <v>4136.1830512799897</v>
      </c>
      <c r="Q336" s="137">
        <v>4153.6757833439897</v>
      </c>
      <c r="R336" s="137">
        <v>4171.1685154079896</v>
      </c>
      <c r="T336" s="137">
        <f t="shared" si="32"/>
        <v>4066.2121230239895</v>
      </c>
    </row>
    <row r="337" spans="1:20">
      <c r="A337" s="137" t="str">
        <f t="shared" si="29"/>
        <v>LGE</v>
      </c>
      <c r="B337" s="137" t="s">
        <v>923</v>
      </c>
      <c r="C337" s="137" t="str">
        <f t="shared" si="30"/>
        <v>356</v>
      </c>
      <c r="D337" s="134" t="s">
        <v>829</v>
      </c>
      <c r="E337" s="134" t="str">
        <f t="shared" si="31"/>
        <v/>
      </c>
      <c r="F337" s="137">
        <v>27014.156777538999</v>
      </c>
      <c r="G337" s="137">
        <v>27165.236549429999</v>
      </c>
      <c r="H337" s="137">
        <v>27316.338341111899</v>
      </c>
      <c r="I337" s="137">
        <v>27304.512344252998</v>
      </c>
      <c r="J337" s="137">
        <v>27458.759118861999</v>
      </c>
      <c r="K337" s="137">
        <v>27613.027913262998</v>
      </c>
      <c r="L337" s="137">
        <v>27767.318727455</v>
      </c>
      <c r="M337" s="137">
        <v>27921.631561438</v>
      </c>
      <c r="N337" s="137">
        <v>28075.966415203002</v>
      </c>
      <c r="O337" s="137">
        <v>28230.286120198001</v>
      </c>
      <c r="P337" s="137">
        <v>28384.628497900001</v>
      </c>
      <c r="Q337" s="137">
        <v>28538.993498385</v>
      </c>
      <c r="R337" s="137">
        <v>28693.381121652001</v>
      </c>
      <c r="T337" s="137">
        <f t="shared" si="32"/>
        <v>27806.479768206915</v>
      </c>
    </row>
    <row r="338" spans="1:20">
      <c r="A338" s="137" t="str">
        <f t="shared" si="29"/>
        <v>LGE</v>
      </c>
      <c r="B338" s="137" t="s">
        <v>923</v>
      </c>
      <c r="C338" s="137" t="str">
        <f t="shared" si="30"/>
        <v>357</v>
      </c>
      <c r="D338" s="134" t="s">
        <v>830</v>
      </c>
      <c r="E338" s="134" t="str">
        <f t="shared" si="31"/>
        <v/>
      </c>
      <c r="F338" s="137">
        <v>777.16901502799999</v>
      </c>
      <c r="G338" s="137">
        <v>779.92020453079999</v>
      </c>
      <c r="H338" s="137">
        <v>782.6713940336</v>
      </c>
      <c r="I338" s="137">
        <v>785.4225835364</v>
      </c>
      <c r="J338" s="137">
        <v>788.1737730392</v>
      </c>
      <c r="K338" s="137">
        <v>790.924962542</v>
      </c>
      <c r="L338" s="137">
        <v>793.67615204480001</v>
      </c>
      <c r="M338" s="137">
        <v>796.42734154760001</v>
      </c>
      <c r="N338" s="137">
        <v>799.17853105040001</v>
      </c>
      <c r="O338" s="137">
        <v>801.92972055320001</v>
      </c>
      <c r="P338" s="137">
        <v>804.68091005600002</v>
      </c>
      <c r="Q338" s="137">
        <v>807.43209955880002</v>
      </c>
      <c r="R338" s="137">
        <v>810.18328906160002</v>
      </c>
      <c r="T338" s="137">
        <f t="shared" si="32"/>
        <v>793.67615204480001</v>
      </c>
    </row>
    <row r="339" spans="1:20">
      <c r="A339" s="137" t="str">
        <f t="shared" si="29"/>
        <v>LGE</v>
      </c>
      <c r="B339" s="137" t="s">
        <v>923</v>
      </c>
      <c r="C339" s="137" t="str">
        <f t="shared" si="30"/>
        <v>358</v>
      </c>
      <c r="D339" s="134" t="s">
        <v>831</v>
      </c>
      <c r="E339" s="134" t="str">
        <f t="shared" si="31"/>
        <v/>
      </c>
      <c r="F339" s="137">
        <v>3677.5974720590002</v>
      </c>
      <c r="G339" s="137">
        <v>3692.9067840289999</v>
      </c>
      <c r="H339" s="137">
        <v>3708.2160959990001</v>
      </c>
      <c r="I339" s="137">
        <v>3723.5254079689998</v>
      </c>
      <c r="J339" s="137">
        <v>3738.834719939</v>
      </c>
      <c r="K339" s="137">
        <v>3754.1440319090002</v>
      </c>
      <c r="L339" s="137">
        <v>3769.4533438789999</v>
      </c>
      <c r="M339" s="137">
        <v>3784.7626558490001</v>
      </c>
      <c r="N339" s="137">
        <v>3800.0719678189998</v>
      </c>
      <c r="O339" s="137">
        <v>3815.381279789</v>
      </c>
      <c r="P339" s="137">
        <v>3830.6905917590002</v>
      </c>
      <c r="Q339" s="137">
        <v>3845.9999037289999</v>
      </c>
      <c r="R339" s="137">
        <v>3861.3092156990001</v>
      </c>
      <c r="T339" s="137">
        <f t="shared" si="32"/>
        <v>3769.4533438790004</v>
      </c>
    </row>
    <row r="340" spans="1:20">
      <c r="A340" s="137" t="str">
        <f t="shared" si="29"/>
        <v>LGE</v>
      </c>
      <c r="B340" s="137" t="s">
        <v>923</v>
      </c>
      <c r="C340" s="137" t="str">
        <f t="shared" si="30"/>
        <v>359</v>
      </c>
      <c r="D340" s="134" t="s">
        <v>832</v>
      </c>
      <c r="E340" s="134" t="str">
        <f t="shared" si="31"/>
        <v>ARO</v>
      </c>
      <c r="F340" s="137">
        <v>45.599380951534997</v>
      </c>
      <c r="G340" s="137">
        <v>46.290769046688503</v>
      </c>
      <c r="H340" s="137">
        <v>46.982157141842002</v>
      </c>
      <c r="I340" s="137">
        <v>47.673545236995501</v>
      </c>
      <c r="J340" s="137">
        <v>48.364933332149</v>
      </c>
      <c r="K340" s="137">
        <v>49.0563214273025</v>
      </c>
      <c r="L340" s="137">
        <v>49.747709522456098</v>
      </c>
      <c r="M340" s="137">
        <v>50.439097617609598</v>
      </c>
      <c r="N340" s="137">
        <v>51.130485712763097</v>
      </c>
      <c r="O340" s="137">
        <v>51.242017540434503</v>
      </c>
      <c r="P340" s="137">
        <v>51.353549368106002</v>
      </c>
      <c r="Q340" s="137">
        <v>51.465081195777501</v>
      </c>
      <c r="R340" s="137">
        <v>51.5766130234489</v>
      </c>
      <c r="T340" s="137">
        <f t="shared" si="32"/>
        <v>49.30166623977756</v>
      </c>
    </row>
    <row r="341" spans="1:20">
      <c r="A341" s="137" t="str">
        <f t="shared" si="29"/>
        <v>LGE</v>
      </c>
      <c r="B341" s="137" t="s">
        <v>923</v>
      </c>
      <c r="C341" s="137" t="str">
        <f t="shared" si="30"/>
        <v>360</v>
      </c>
      <c r="D341" s="134" t="s">
        <v>834</v>
      </c>
      <c r="E341" s="134" t="str">
        <f t="shared" si="31"/>
        <v/>
      </c>
      <c r="F341" s="137">
        <v>-46.07846</v>
      </c>
      <c r="G341" s="137">
        <v>-46.07846</v>
      </c>
      <c r="H341" s="137">
        <v>-46.07846</v>
      </c>
      <c r="I341" s="137">
        <v>-46.07846</v>
      </c>
      <c r="J341" s="137">
        <v>-46.07846</v>
      </c>
      <c r="K341" s="137">
        <v>-46.07846</v>
      </c>
      <c r="L341" s="137">
        <v>-46.07846</v>
      </c>
      <c r="M341" s="137">
        <v>-46.07846</v>
      </c>
      <c r="N341" s="137">
        <v>-46.07846</v>
      </c>
      <c r="O341" s="137">
        <v>-46.07846</v>
      </c>
      <c r="P341" s="137">
        <v>-46.07846</v>
      </c>
      <c r="Q341" s="137">
        <v>-46.07846</v>
      </c>
      <c r="R341" s="137">
        <v>-46.07846</v>
      </c>
      <c r="T341" s="137">
        <f t="shared" si="32"/>
        <v>-46.078459999999993</v>
      </c>
    </row>
    <row r="342" spans="1:20">
      <c r="A342" s="137" t="str">
        <f t="shared" si="29"/>
        <v>LGE</v>
      </c>
      <c r="B342" s="137" t="s">
        <v>923</v>
      </c>
      <c r="C342" s="137" t="str">
        <f t="shared" si="30"/>
        <v>361</v>
      </c>
      <c r="D342" s="134" t="s">
        <v>835</v>
      </c>
      <c r="E342" s="134" t="str">
        <f t="shared" si="31"/>
        <v/>
      </c>
      <c r="F342" s="137">
        <v>2108.28828775599</v>
      </c>
      <c r="G342" s="137">
        <v>2014.46707607699</v>
      </c>
      <c r="H342" s="137">
        <v>1927.3379556739901</v>
      </c>
      <c r="I342" s="137">
        <v>1846.900922216</v>
      </c>
      <c r="J342" s="137">
        <v>1768.4887162350001</v>
      </c>
      <c r="K342" s="137">
        <v>1692.101355067</v>
      </c>
      <c r="L342" s="137">
        <v>1636.77904727699</v>
      </c>
      <c r="M342" s="137">
        <v>1583.4815880809899</v>
      </c>
      <c r="N342" s="137">
        <v>1532.57024724899</v>
      </c>
      <c r="O342" s="137">
        <v>1498.1780553819999</v>
      </c>
      <c r="P342" s="137">
        <v>1465.5859939530001</v>
      </c>
      <c r="Q342" s="137">
        <v>1434.7941155670001</v>
      </c>
      <c r="R342" s="137">
        <v>1389.3096535449999</v>
      </c>
      <c r="T342" s="137">
        <f t="shared" si="32"/>
        <v>1684.4833087753029</v>
      </c>
    </row>
    <row r="343" spans="1:20">
      <c r="A343" s="137" t="str">
        <f t="shared" si="29"/>
        <v>LGE</v>
      </c>
      <c r="B343" s="137" t="s">
        <v>924</v>
      </c>
      <c r="C343" s="137" t="str">
        <f t="shared" si="30"/>
        <v>362</v>
      </c>
      <c r="D343" s="134" t="s">
        <v>836</v>
      </c>
      <c r="E343" s="134" t="str">
        <f t="shared" si="31"/>
        <v>FUTURE USE</v>
      </c>
      <c r="F343" s="137">
        <v>9.8899999999999995E-3</v>
      </c>
      <c r="G343" s="137">
        <v>9.8899999999999995E-3</v>
      </c>
      <c r="H343" s="137">
        <v>9.8899999999999995E-3</v>
      </c>
      <c r="I343" s="137">
        <v>9.8899999999999995E-3</v>
      </c>
      <c r="J343" s="137">
        <v>9.8899999999999995E-3</v>
      </c>
      <c r="K343" s="137">
        <v>9.8899999999999995E-3</v>
      </c>
      <c r="L343" s="137">
        <v>9.8899999999999995E-3</v>
      </c>
      <c r="M343" s="137">
        <v>9.8899999999999995E-3</v>
      </c>
      <c r="N343" s="137">
        <v>9.8899999999999995E-3</v>
      </c>
      <c r="O343" s="137">
        <v>9.8899999999999995E-3</v>
      </c>
      <c r="P343" s="137">
        <v>9.8899999999999995E-3</v>
      </c>
      <c r="Q343" s="137">
        <v>9.8899999999999995E-3</v>
      </c>
      <c r="R343" s="137">
        <v>9.8899999999999995E-3</v>
      </c>
      <c r="T343" s="137">
        <f t="shared" si="32"/>
        <v>9.8899999999999978E-3</v>
      </c>
    </row>
    <row r="344" spans="1:20">
      <c r="A344" s="137" t="str">
        <f t="shared" si="29"/>
        <v>LGE</v>
      </c>
      <c r="B344" s="137" t="s">
        <v>923</v>
      </c>
      <c r="C344" s="137" t="str">
        <f t="shared" si="30"/>
        <v>362</v>
      </c>
      <c r="D344" s="134" t="s">
        <v>837</v>
      </c>
      <c r="E344" s="134" t="str">
        <f t="shared" si="31"/>
        <v/>
      </c>
      <c r="F344" s="137">
        <v>47827.119777840002</v>
      </c>
      <c r="G344" s="137">
        <v>48024.129483024997</v>
      </c>
      <c r="H344" s="137">
        <v>48255.610964364001</v>
      </c>
      <c r="I344" s="137">
        <v>48481.629316594997</v>
      </c>
      <c r="J344" s="137">
        <v>48704.926276161998</v>
      </c>
      <c r="K344" s="137">
        <v>48953.680112743998</v>
      </c>
      <c r="L344" s="137">
        <v>49211.300824361999</v>
      </c>
      <c r="M344" s="137">
        <v>49463.667466170897</v>
      </c>
      <c r="N344" s="137">
        <v>49459.613749131997</v>
      </c>
      <c r="O344" s="137">
        <v>49712.863246444897</v>
      </c>
      <c r="P344" s="137">
        <v>49981.449831134902</v>
      </c>
      <c r="Q344" s="137">
        <v>50240.338622598902</v>
      </c>
      <c r="R344" s="137">
        <v>50510.989777023897</v>
      </c>
      <c r="T344" s="137">
        <f t="shared" si="32"/>
        <v>49140.563034430575</v>
      </c>
    </row>
    <row r="345" spans="1:20">
      <c r="A345" s="137" t="str">
        <f t="shared" si="29"/>
        <v>LGE</v>
      </c>
      <c r="B345" s="137" t="s">
        <v>923</v>
      </c>
      <c r="C345" s="137" t="str">
        <f t="shared" si="30"/>
        <v>364</v>
      </c>
      <c r="D345" s="134" t="s">
        <v>838</v>
      </c>
      <c r="E345" s="134" t="str">
        <f t="shared" si="31"/>
        <v/>
      </c>
      <c r="F345" s="137">
        <v>84801.037487209993</v>
      </c>
      <c r="G345" s="137">
        <v>85039.732876540002</v>
      </c>
      <c r="H345" s="137">
        <v>85390.436314010003</v>
      </c>
      <c r="I345" s="137">
        <v>85380.060199689993</v>
      </c>
      <c r="J345" s="137">
        <v>85466.38485473</v>
      </c>
      <c r="K345" s="137">
        <v>85888.142910530005</v>
      </c>
      <c r="L345" s="137">
        <v>86256.797978460003</v>
      </c>
      <c r="M345" s="137">
        <v>86696.08731201</v>
      </c>
      <c r="N345" s="137">
        <v>86912.68898572</v>
      </c>
      <c r="O345" s="137">
        <v>87343.224969600007</v>
      </c>
      <c r="P345" s="137">
        <v>87611.187022869999</v>
      </c>
      <c r="Q345" s="137">
        <v>87900.145027990002</v>
      </c>
      <c r="R345" s="137">
        <v>88177.422268359995</v>
      </c>
      <c r="T345" s="137">
        <f t="shared" si="32"/>
        <v>86374.103708286144</v>
      </c>
    </row>
    <row r="346" spans="1:20">
      <c r="A346" s="137" t="str">
        <f t="shared" si="29"/>
        <v>LGE</v>
      </c>
      <c r="B346" s="137" t="s">
        <v>923</v>
      </c>
      <c r="C346" s="137" t="str">
        <f t="shared" si="30"/>
        <v>365</v>
      </c>
      <c r="D346" s="134" t="s">
        <v>839</v>
      </c>
      <c r="E346" s="134" t="str">
        <f t="shared" si="31"/>
        <v/>
      </c>
      <c r="F346" s="137">
        <v>130623.34989203</v>
      </c>
      <c r="G346" s="137">
        <v>131143.96958171</v>
      </c>
      <c r="H346" s="137">
        <v>131798.40354078001</v>
      </c>
      <c r="I346" s="137">
        <v>131968.35634822</v>
      </c>
      <c r="J346" s="137">
        <v>132296.37981631901</v>
      </c>
      <c r="K346" s="137">
        <v>133078.326030639</v>
      </c>
      <c r="L346" s="137">
        <v>133762.91663855</v>
      </c>
      <c r="M346" s="137">
        <v>134514.61053661999</v>
      </c>
      <c r="N346" s="137">
        <v>134555.04048786001</v>
      </c>
      <c r="O346" s="137">
        <v>135372.13327950999</v>
      </c>
      <c r="P346" s="137">
        <v>136014.55131490901</v>
      </c>
      <c r="Q346" s="137">
        <v>136720.54365836899</v>
      </c>
      <c r="R346" s="137">
        <v>137342.416461699</v>
      </c>
      <c r="T346" s="137">
        <f t="shared" si="32"/>
        <v>133783.92289132424</v>
      </c>
    </row>
    <row r="347" spans="1:20">
      <c r="A347" s="137" t="str">
        <f t="shared" si="29"/>
        <v>LGE</v>
      </c>
      <c r="B347" s="137" t="s">
        <v>923</v>
      </c>
      <c r="C347" s="137" t="str">
        <f t="shared" si="30"/>
        <v>366</v>
      </c>
      <c r="D347" s="134" t="s">
        <v>840</v>
      </c>
      <c r="E347" s="134" t="str">
        <f t="shared" si="31"/>
        <v/>
      </c>
      <c r="F347" s="137">
        <v>33904.216360029997</v>
      </c>
      <c r="G347" s="137">
        <v>34033.11635941</v>
      </c>
      <c r="H347" s="137">
        <v>34162.016358790002</v>
      </c>
      <c r="I347" s="137">
        <v>34290.916358169998</v>
      </c>
      <c r="J347" s="137">
        <v>34419.81635755</v>
      </c>
      <c r="K347" s="137">
        <v>34548.716356930003</v>
      </c>
      <c r="L347" s="137">
        <v>34677.616356309998</v>
      </c>
      <c r="M347" s="137">
        <v>34806.516355690001</v>
      </c>
      <c r="N347" s="137">
        <v>34238.93894932</v>
      </c>
      <c r="O347" s="137">
        <v>34382.832537219998</v>
      </c>
      <c r="P347" s="137">
        <v>34526.726125120003</v>
      </c>
      <c r="Q347" s="137">
        <v>34670.619713020002</v>
      </c>
      <c r="R347" s="137">
        <v>34814.51330092</v>
      </c>
      <c r="T347" s="137">
        <f t="shared" si="32"/>
        <v>34421.27396065231</v>
      </c>
    </row>
    <row r="348" spans="1:20">
      <c r="A348" s="137" t="str">
        <f t="shared" si="29"/>
        <v>LGE</v>
      </c>
      <c r="B348" s="137" t="s">
        <v>923</v>
      </c>
      <c r="C348" s="137" t="str">
        <f t="shared" si="30"/>
        <v>367</v>
      </c>
      <c r="D348" s="134" t="s">
        <v>841</v>
      </c>
      <c r="E348" s="134" t="str">
        <f t="shared" si="31"/>
        <v/>
      </c>
      <c r="F348" s="137">
        <v>64608.221264722</v>
      </c>
      <c r="G348" s="137">
        <v>64906.233041747</v>
      </c>
      <c r="H348" s="137">
        <v>65261.533600823001</v>
      </c>
      <c r="I348" s="137">
        <v>65429.961042912</v>
      </c>
      <c r="J348" s="137">
        <v>65650.243148331007</v>
      </c>
      <c r="K348" s="137">
        <v>66069.395341815005</v>
      </c>
      <c r="L348" s="137">
        <v>66434.642911967996</v>
      </c>
      <c r="M348" s="137">
        <v>66829.232029537001</v>
      </c>
      <c r="N348" s="137">
        <v>67212.496920813996</v>
      </c>
      <c r="O348" s="137">
        <v>67658.381573084</v>
      </c>
      <c r="P348" s="137">
        <v>68033.963262133999</v>
      </c>
      <c r="Q348" s="137">
        <v>68387.355887954007</v>
      </c>
      <c r="R348" s="137">
        <v>68794.715145973998</v>
      </c>
      <c r="T348" s="137">
        <f t="shared" si="32"/>
        <v>66559.7211670627</v>
      </c>
    </row>
    <row r="349" spans="1:20">
      <c r="A349" s="137" t="str">
        <f t="shared" ref="A349:A361" si="33">MID($D349,4,3)</f>
        <v>LGE</v>
      </c>
      <c r="B349" s="137" t="s">
        <v>923</v>
      </c>
      <c r="C349" s="137" t="str">
        <f t="shared" ref="C349:C361" si="34">MID($D349,9,3)</f>
        <v>368</v>
      </c>
      <c r="D349" s="134" t="s">
        <v>842</v>
      </c>
      <c r="E349" s="134" t="str">
        <f t="shared" si="31"/>
        <v/>
      </c>
      <c r="F349" s="137">
        <v>82459.957255219997</v>
      </c>
      <c r="G349" s="137">
        <v>82641.329263029998</v>
      </c>
      <c r="H349" s="137">
        <v>82896.181788960006</v>
      </c>
      <c r="I349" s="137">
        <v>82920.457240289994</v>
      </c>
      <c r="J349" s="137">
        <v>82987.102385849998</v>
      </c>
      <c r="K349" s="137">
        <v>83290.033683849993</v>
      </c>
      <c r="L349" s="137">
        <v>83526.565443259999</v>
      </c>
      <c r="M349" s="137">
        <v>83817.579976730005</v>
      </c>
      <c r="N349" s="137">
        <v>84000.696408239994</v>
      </c>
      <c r="O349" s="137">
        <v>84295.281380490007</v>
      </c>
      <c r="P349" s="137">
        <v>84500.917572360006</v>
      </c>
      <c r="Q349" s="137">
        <v>84739.232802590006</v>
      </c>
      <c r="R349" s="137">
        <v>84969.639085820003</v>
      </c>
      <c r="T349" s="137">
        <f t="shared" si="32"/>
        <v>83618.844175899241</v>
      </c>
    </row>
    <row r="350" spans="1:20">
      <c r="A350" s="137" t="str">
        <f t="shared" si="33"/>
        <v>LGE</v>
      </c>
      <c r="B350" s="137" t="s">
        <v>923</v>
      </c>
      <c r="C350" s="137" t="str">
        <f t="shared" si="34"/>
        <v>369</v>
      </c>
      <c r="D350" s="134" t="s">
        <v>843</v>
      </c>
      <c r="E350" s="134" t="str">
        <f t="shared" si="31"/>
        <v/>
      </c>
      <c r="F350" s="137">
        <v>26895.165406709999</v>
      </c>
      <c r="G350" s="137">
        <v>26988.572612870001</v>
      </c>
      <c r="H350" s="137">
        <v>27081.979819029999</v>
      </c>
      <c r="I350" s="137">
        <v>27175.387025190001</v>
      </c>
      <c r="J350" s="137">
        <v>27268.794231349999</v>
      </c>
      <c r="K350" s="137">
        <v>27362.201437510001</v>
      </c>
      <c r="L350" s="137">
        <v>27455.608643669999</v>
      </c>
      <c r="M350" s="137">
        <v>27549.015849830001</v>
      </c>
      <c r="N350" s="137">
        <v>27643.517920909999</v>
      </c>
      <c r="O350" s="137">
        <v>27739.118875159998</v>
      </c>
      <c r="P350" s="137">
        <v>27834.72786571</v>
      </c>
      <c r="Q350" s="137">
        <v>27930.344892329998</v>
      </c>
      <c r="R350" s="137">
        <v>28025.969955029999</v>
      </c>
      <c r="T350" s="137">
        <f t="shared" si="32"/>
        <v>27457.723425792312</v>
      </c>
    </row>
    <row r="351" spans="1:20">
      <c r="A351" s="137" t="str">
        <f t="shared" si="33"/>
        <v>LGE</v>
      </c>
      <c r="B351" s="137" t="s">
        <v>923</v>
      </c>
      <c r="C351" s="137" t="str">
        <f t="shared" si="34"/>
        <v>370</v>
      </c>
      <c r="D351" s="134" t="s">
        <v>844</v>
      </c>
      <c r="E351" s="134" t="str">
        <f t="shared" si="31"/>
        <v/>
      </c>
      <c r="F351" s="137">
        <v>24752.6776601319</v>
      </c>
      <c r="G351" s="137">
        <v>24853.121790776899</v>
      </c>
      <c r="H351" s="137">
        <v>24953.800030521899</v>
      </c>
      <c r="I351" s="137">
        <v>25054.593548136902</v>
      </c>
      <c r="J351" s="137">
        <v>25155.516792101898</v>
      </c>
      <c r="K351" s="137">
        <v>25256.544431616901</v>
      </c>
      <c r="L351" s="137">
        <v>25357.609646071902</v>
      </c>
      <c r="M351" s="137">
        <v>25458.686311396901</v>
      </c>
      <c r="N351" s="137">
        <v>25560.510260901901</v>
      </c>
      <c r="O351" s="137">
        <v>25663.1904893069</v>
      </c>
      <c r="P351" s="137">
        <v>25766.131685471901</v>
      </c>
      <c r="Q351" s="137">
        <v>25869.342841896902</v>
      </c>
      <c r="R351" s="137">
        <v>25972.7550260719</v>
      </c>
      <c r="T351" s="137">
        <f t="shared" si="32"/>
        <v>25359.575424184983</v>
      </c>
    </row>
    <row r="352" spans="1:20">
      <c r="A352" s="137" t="str">
        <f t="shared" si="33"/>
        <v>LGE</v>
      </c>
      <c r="B352" s="137" t="s">
        <v>923</v>
      </c>
      <c r="C352" s="137" t="str">
        <f t="shared" si="34"/>
        <v>370</v>
      </c>
      <c r="D352" s="134" t="s">
        <v>2575</v>
      </c>
      <c r="E352" s="134" t="str">
        <f t="shared" si="31"/>
        <v>DSM</v>
      </c>
      <c r="F352" s="137">
        <v>282.87459343</v>
      </c>
      <c r="G352" s="137">
        <v>292.30912577300001</v>
      </c>
      <c r="H352" s="137">
        <v>301.74365811600001</v>
      </c>
      <c r="I352" s="137">
        <v>311.17819045900001</v>
      </c>
      <c r="J352" s="137">
        <v>320.61272280200001</v>
      </c>
      <c r="K352" s="137">
        <v>330.04725514500001</v>
      </c>
      <c r="L352" s="137">
        <v>339.48178748800001</v>
      </c>
      <c r="M352" s="137">
        <v>348.91631983100001</v>
      </c>
      <c r="N352" s="137">
        <v>358.35085217400001</v>
      </c>
      <c r="O352" s="137">
        <v>367.78538451700001</v>
      </c>
      <c r="P352" s="137">
        <v>377.21991686000001</v>
      </c>
      <c r="Q352" s="137">
        <v>386.65444920300001</v>
      </c>
      <c r="R352" s="137">
        <v>396.08898154600001</v>
      </c>
      <c r="T352" s="137">
        <f t="shared" si="32"/>
        <v>339.48178748799995</v>
      </c>
    </row>
    <row r="353" spans="1:20">
      <c r="A353" s="137" t="str">
        <f t="shared" si="33"/>
        <v>LGE</v>
      </c>
      <c r="B353" s="137" t="s">
        <v>923</v>
      </c>
      <c r="C353" s="137" t="str">
        <f t="shared" si="34"/>
        <v>371</v>
      </c>
      <c r="D353" s="134" t="s">
        <v>2572</v>
      </c>
      <c r="E353" s="134" t="str">
        <f t="shared" si="31"/>
        <v/>
      </c>
      <c r="F353" s="137">
        <v>10.4252852101</v>
      </c>
      <c r="G353" s="137">
        <v>11.7297531271</v>
      </c>
      <c r="H353" s="137">
        <v>13.034221044100001</v>
      </c>
      <c r="I353" s="137">
        <v>14.338688961100001</v>
      </c>
      <c r="J353" s="137">
        <v>15.643156878099999</v>
      </c>
      <c r="K353" s="137">
        <v>16.947624795100001</v>
      </c>
      <c r="L353" s="137">
        <v>18.252092712100001</v>
      </c>
      <c r="M353" s="137">
        <v>19.556560629100002</v>
      </c>
      <c r="N353" s="137">
        <v>20.861028546099998</v>
      </c>
      <c r="O353" s="137">
        <v>22.165496463099998</v>
      </c>
      <c r="P353" s="137">
        <v>23.469964380099999</v>
      </c>
      <c r="Q353" s="137">
        <v>24.774432297099999</v>
      </c>
      <c r="R353" s="137">
        <v>26.078900214099999</v>
      </c>
      <c r="T353" s="137">
        <f t="shared" ref="T353" si="35">SUM(F353:R353)/13</f>
        <v>18.252092712100001</v>
      </c>
    </row>
    <row r="354" spans="1:20">
      <c r="A354" s="137" t="str">
        <f t="shared" si="33"/>
        <v>LGE</v>
      </c>
      <c r="B354" s="137" t="s">
        <v>923</v>
      </c>
      <c r="C354" s="137" t="str">
        <f t="shared" si="34"/>
        <v>373</v>
      </c>
      <c r="D354" s="134" t="s">
        <v>845</v>
      </c>
      <c r="E354" s="134" t="str">
        <f t="shared" si="31"/>
        <v/>
      </c>
      <c r="F354" s="137">
        <v>45697.537647766898</v>
      </c>
      <c r="G354" s="137">
        <v>46034.076958336998</v>
      </c>
      <c r="H354" s="137">
        <v>46383.978792852999</v>
      </c>
      <c r="I354" s="137">
        <v>46730.879661432999</v>
      </c>
      <c r="J354" s="137">
        <v>47077.562532019998</v>
      </c>
      <c r="K354" s="137">
        <v>47424.265149190003</v>
      </c>
      <c r="L354" s="137">
        <v>47775.654678888</v>
      </c>
      <c r="M354" s="137">
        <v>48114.395232146002</v>
      </c>
      <c r="N354" s="137">
        <v>48455.515664263003</v>
      </c>
      <c r="O354" s="137">
        <v>48804.858485653</v>
      </c>
      <c r="P354" s="137">
        <v>49177.377491866901</v>
      </c>
      <c r="Q354" s="137">
        <v>49532.309189303996</v>
      </c>
      <c r="R354" s="137">
        <v>49888.2938575519</v>
      </c>
      <c r="T354" s="137">
        <f t="shared" si="32"/>
        <v>47776.669641636356</v>
      </c>
    </row>
    <row r="355" spans="1:20">
      <c r="A355" s="137" t="str">
        <f t="shared" si="33"/>
        <v>LGE</v>
      </c>
      <c r="B355" s="137" t="s">
        <v>923</v>
      </c>
      <c r="C355" s="137" t="str">
        <f t="shared" si="34"/>
        <v>374</v>
      </c>
      <c r="D355" s="134" t="s">
        <v>846</v>
      </c>
      <c r="E355" s="134" t="str">
        <f t="shared" si="31"/>
        <v>ARO</v>
      </c>
      <c r="F355" s="137">
        <v>59.222215111057501</v>
      </c>
      <c r="G355" s="137">
        <v>59.887382622163202</v>
      </c>
      <c r="H355" s="137">
        <v>60.552550133269001</v>
      </c>
      <c r="I355" s="137">
        <v>61.217717644374702</v>
      </c>
      <c r="J355" s="137">
        <v>61.882885155480501</v>
      </c>
      <c r="K355" s="137">
        <v>62.548052666586202</v>
      </c>
      <c r="L355" s="137">
        <v>63.213220177692001</v>
      </c>
      <c r="M355" s="137">
        <v>63.878387688797702</v>
      </c>
      <c r="N355" s="137">
        <v>64.543555199903494</v>
      </c>
      <c r="O355" s="137">
        <v>64.650857232931401</v>
      </c>
      <c r="P355" s="137">
        <v>64.758159265959407</v>
      </c>
      <c r="Q355" s="137">
        <v>64.865461298987299</v>
      </c>
      <c r="R355" s="137">
        <v>64.972763332015305</v>
      </c>
      <c r="T355" s="137">
        <f t="shared" si="32"/>
        <v>62.784092886862908</v>
      </c>
    </row>
    <row r="356" spans="1:20">
      <c r="A356" s="137" t="str">
        <f t="shared" si="33"/>
        <v>LGE</v>
      </c>
      <c r="B356" s="137" t="s">
        <v>923</v>
      </c>
      <c r="C356" s="137" t="str">
        <f t="shared" si="34"/>
        <v>392</v>
      </c>
      <c r="D356" s="134" t="s">
        <v>1527</v>
      </c>
      <c r="E356" s="134" t="str">
        <f t="shared" si="31"/>
        <v/>
      </c>
      <c r="F356" s="137">
        <v>70.300347427999895</v>
      </c>
      <c r="G356" s="137">
        <v>73.093637063999907</v>
      </c>
      <c r="H356" s="137">
        <v>75.886926699999904</v>
      </c>
      <c r="I356" s="137">
        <v>78.680216335999901</v>
      </c>
      <c r="J356" s="137">
        <v>81.473505971999899</v>
      </c>
      <c r="K356" s="137">
        <v>84.266795607999896</v>
      </c>
      <c r="L356" s="137">
        <v>87.060085243999893</v>
      </c>
      <c r="M356" s="137">
        <v>89.853374879999905</v>
      </c>
      <c r="N356" s="137">
        <v>92.646664515999902</v>
      </c>
      <c r="O356" s="137">
        <v>7.4779580949999396</v>
      </c>
      <c r="P356" s="137">
        <v>9.8814156169999396</v>
      </c>
      <c r="Q356" s="137">
        <v>12.284873138999901</v>
      </c>
      <c r="R356" s="137">
        <v>14.688330660999901</v>
      </c>
      <c r="T356" s="137">
        <f t="shared" si="32"/>
        <v>59.814933173846057</v>
      </c>
    </row>
    <row r="357" spans="1:20">
      <c r="A357" s="137" t="str">
        <f t="shared" si="33"/>
        <v>LGE</v>
      </c>
      <c r="B357" s="137" t="s">
        <v>923</v>
      </c>
      <c r="C357" s="137" t="str">
        <f t="shared" si="34"/>
        <v>392</v>
      </c>
      <c r="D357" s="134" t="s">
        <v>847</v>
      </c>
      <c r="E357" s="134" t="str">
        <f t="shared" si="31"/>
        <v/>
      </c>
      <c r="F357" s="137">
        <v>3130.9680605599901</v>
      </c>
      <c r="G357" s="137">
        <v>3153.57747603799</v>
      </c>
      <c r="H357" s="137">
        <v>3176.1868915159898</v>
      </c>
      <c r="I357" s="137">
        <v>3198.7963069939901</v>
      </c>
      <c r="J357" s="137">
        <v>3221.40572247199</v>
      </c>
      <c r="K357" s="137">
        <v>3244.0151379499898</v>
      </c>
      <c r="L357" s="137">
        <v>3266.6245534279901</v>
      </c>
      <c r="M357" s="137">
        <v>3289.23396890599</v>
      </c>
      <c r="N357" s="137">
        <v>3311.8433843839898</v>
      </c>
      <c r="O357" s="137">
        <v>3334.4527998619901</v>
      </c>
      <c r="P357" s="137">
        <v>3357.06221533999</v>
      </c>
      <c r="Q357" s="137">
        <v>3379.6716308179898</v>
      </c>
      <c r="R357" s="137">
        <v>3402.2810462959901</v>
      </c>
      <c r="T357" s="137">
        <f t="shared" si="32"/>
        <v>3266.6245534279901</v>
      </c>
    </row>
    <row r="358" spans="1:20">
      <c r="A358" s="137" t="str">
        <f t="shared" si="33"/>
        <v>LGE</v>
      </c>
      <c r="B358" s="137" t="s">
        <v>923</v>
      </c>
      <c r="C358" s="137" t="str">
        <f t="shared" si="34"/>
        <v>394</v>
      </c>
      <c r="D358" s="134" t="s">
        <v>848</v>
      </c>
      <c r="E358" s="134" t="str">
        <f t="shared" si="31"/>
        <v/>
      </c>
      <c r="F358" s="137">
        <v>2854.1069375500001</v>
      </c>
      <c r="G358" s="137">
        <v>2878.3104202999998</v>
      </c>
      <c r="H358" s="137">
        <v>2829.16270437</v>
      </c>
      <c r="I358" s="137">
        <v>2853.1261097500001</v>
      </c>
      <c r="J358" s="137">
        <v>2877.0895151300001</v>
      </c>
      <c r="K358" s="137">
        <v>2901.0529205100001</v>
      </c>
      <c r="L358" s="137">
        <v>2925.0163258900002</v>
      </c>
      <c r="M358" s="137">
        <v>2948.9797312699998</v>
      </c>
      <c r="N358" s="137">
        <v>2974.0023682999999</v>
      </c>
      <c r="O358" s="137">
        <v>3000.0842369699999</v>
      </c>
      <c r="P358" s="137">
        <v>3026.1661056399998</v>
      </c>
      <c r="Q358" s="137">
        <v>3052.2479743099998</v>
      </c>
      <c r="R358" s="137">
        <v>3078.3298429800002</v>
      </c>
      <c r="T358" s="137">
        <f t="shared" si="32"/>
        <v>2938.282707151538</v>
      </c>
    </row>
    <row r="359" spans="1:20">
      <c r="A359" s="137" t="str">
        <f t="shared" si="33"/>
        <v>LGE</v>
      </c>
      <c r="B359" s="137" t="s">
        <v>923</v>
      </c>
      <c r="C359" s="137" t="str">
        <f t="shared" si="34"/>
        <v>396</v>
      </c>
      <c r="D359" s="134" t="s">
        <v>849</v>
      </c>
      <c r="E359" s="134" t="str">
        <f t="shared" si="31"/>
        <v/>
      </c>
      <c r="F359" s="137">
        <v>115.8891704575</v>
      </c>
      <c r="G359" s="137">
        <v>116.7262034865</v>
      </c>
      <c r="H359" s="137">
        <v>117.56323651549999</v>
      </c>
      <c r="I359" s="137">
        <v>118.40026954450001</v>
      </c>
      <c r="J359" s="137">
        <v>119.2373025735</v>
      </c>
      <c r="K359" s="137">
        <v>120.0743356025</v>
      </c>
      <c r="L359" s="137">
        <v>120.9113686315</v>
      </c>
      <c r="M359" s="137">
        <v>121.74840166049999</v>
      </c>
      <c r="N359" s="137">
        <v>122.5854346895</v>
      </c>
      <c r="O359" s="137">
        <v>123.4224677185</v>
      </c>
      <c r="P359" s="137">
        <v>124.2595007475</v>
      </c>
      <c r="Q359" s="137">
        <v>125.0965337765</v>
      </c>
      <c r="R359" s="137">
        <v>125.933566805499</v>
      </c>
      <c r="T359" s="137">
        <f t="shared" si="32"/>
        <v>120.9113686314999</v>
      </c>
    </row>
    <row r="360" spans="1:20">
      <c r="A360" s="137" t="str">
        <f t="shared" si="33"/>
        <v>LGE</v>
      </c>
      <c r="B360" s="137" t="s">
        <v>923</v>
      </c>
      <c r="C360" s="137" t="str">
        <f t="shared" si="34"/>
        <v>396</v>
      </c>
      <c r="D360" s="134" t="s">
        <v>1528</v>
      </c>
      <c r="E360" s="134" t="str">
        <f t="shared" si="31"/>
        <v/>
      </c>
      <c r="F360" s="137">
        <v>1496.380471248</v>
      </c>
      <c r="G360" s="137">
        <v>1496.9513663728001</v>
      </c>
      <c r="H360" s="137">
        <v>1497.5222614976001</v>
      </c>
      <c r="I360" s="137">
        <v>1498.0931566224001</v>
      </c>
      <c r="J360" s="137">
        <v>1498.6640517471999</v>
      </c>
      <c r="K360" s="137">
        <v>1499.2349468719999</v>
      </c>
      <c r="L360" s="137">
        <v>1499.8058419967999</v>
      </c>
      <c r="M360" s="137">
        <v>1500.3767371215999</v>
      </c>
      <c r="N360" s="137">
        <v>1500.9476322464</v>
      </c>
      <c r="O360" s="137">
        <v>1501.5185273712</v>
      </c>
      <c r="P360" s="137">
        <v>1502.089422496</v>
      </c>
      <c r="Q360" s="137">
        <v>1502.6603176208</v>
      </c>
      <c r="R360" s="137">
        <v>1503.2312127456</v>
      </c>
      <c r="T360" s="137">
        <f t="shared" si="32"/>
        <v>1499.8058419967999</v>
      </c>
    </row>
    <row r="361" spans="1:20">
      <c r="A361" s="137" t="str">
        <f t="shared" si="33"/>
        <v>LGE</v>
      </c>
      <c r="B361" s="137" t="s">
        <v>923</v>
      </c>
      <c r="C361" s="137" t="str">
        <f t="shared" si="34"/>
        <v>397</v>
      </c>
      <c r="D361" s="134" t="s">
        <v>850</v>
      </c>
      <c r="E361" s="134" t="str">
        <f t="shared" si="31"/>
        <v>DSM</v>
      </c>
      <c r="F361" s="137">
        <v>3642.8898954299998</v>
      </c>
      <c r="G361" s="137">
        <v>3715.2583592999999</v>
      </c>
      <c r="H361" s="137">
        <v>3787.8400176800001</v>
      </c>
      <c r="I361" s="137">
        <v>3860.6348705700002</v>
      </c>
      <c r="J361" s="137">
        <v>3933.6429179800002</v>
      </c>
      <c r="K361" s="137">
        <v>4006.8641598999998</v>
      </c>
      <c r="L361" s="137">
        <v>4080.2985963299998</v>
      </c>
      <c r="M361" s="137">
        <v>4153.9462272700002</v>
      </c>
      <c r="N361" s="137">
        <v>4227.8070527299997</v>
      </c>
      <c r="O361" s="137">
        <v>4301.7874800099999</v>
      </c>
      <c r="P361" s="137">
        <v>4375.79391674</v>
      </c>
      <c r="Q361" s="137">
        <v>4449.8263632300004</v>
      </c>
      <c r="R361" s="137">
        <v>4523.8848194800003</v>
      </c>
      <c r="T361" s="137">
        <f t="shared" si="32"/>
        <v>4081.5749751269232</v>
      </c>
    </row>
    <row r="362" spans="1:20">
      <c r="E362" s="134"/>
    </row>
    <row r="363" spans="1:20">
      <c r="E363" s="134"/>
    </row>
    <row r="364" spans="1:20">
      <c r="E364" s="134"/>
    </row>
    <row r="365" spans="1:20">
      <c r="E365" s="134" t="str">
        <f t="shared" si="31"/>
        <v/>
      </c>
      <c r="T365" s="137">
        <f>SUM(T281:T364)</f>
        <v>1889056.0830365475</v>
      </c>
    </row>
    <row r="366" spans="1:20">
      <c r="E366" s="134" t="str">
        <f t="shared" si="31"/>
        <v/>
      </c>
      <c r="T366" s="137">
        <f t="shared" si="32"/>
        <v>0</v>
      </c>
    </row>
    <row r="367" spans="1:20">
      <c r="E367" s="134" t="str">
        <f t="shared" si="31"/>
        <v/>
      </c>
      <c r="T367" s="137">
        <f t="shared" si="32"/>
        <v>0</v>
      </c>
    </row>
    <row r="368" spans="1:20">
      <c r="E368" s="134" t="str">
        <f t="shared" ref="E368:E405" si="36">IF(ISTEXT(MID($D368,SEARCH("FUTURE USE",$D368),3)),"FUTURE USE",IF(ISTEXT(MID($D368,SEARCH("ECR",$D368),3)),"ECR",IF(ISTEXT(MID($D368,SEARCH("ARO",$D368),3)),"ARO",IF(ISTEXT(MID($D368,SEARCH("DSM",$D368),3)),"DSM",""))))</f>
        <v/>
      </c>
      <c r="T368" s="137">
        <f t="shared" si="32"/>
        <v>0</v>
      </c>
    </row>
    <row r="369" spans="1:20">
      <c r="E369" s="134" t="str">
        <f t="shared" si="36"/>
        <v/>
      </c>
      <c r="T369" s="137">
        <f t="shared" si="32"/>
        <v>0</v>
      </c>
    </row>
    <row r="370" spans="1:20">
      <c r="E370" s="134" t="str">
        <f t="shared" si="36"/>
        <v/>
      </c>
      <c r="T370" s="137">
        <f t="shared" si="32"/>
        <v>0</v>
      </c>
    </row>
    <row r="371" spans="1:20">
      <c r="E371" s="134" t="str">
        <f t="shared" si="36"/>
        <v/>
      </c>
      <c r="T371" s="137">
        <f t="shared" si="32"/>
        <v>0</v>
      </c>
    </row>
    <row r="372" spans="1:20">
      <c r="E372" s="134" t="str">
        <f t="shared" si="36"/>
        <v/>
      </c>
      <c r="T372" s="137">
        <f t="shared" si="32"/>
        <v>0</v>
      </c>
    </row>
    <row r="373" spans="1:20">
      <c r="E373" s="134" t="str">
        <f t="shared" si="36"/>
        <v/>
      </c>
      <c r="T373" s="137">
        <f t="shared" si="32"/>
        <v>0</v>
      </c>
    </row>
    <row r="374" spans="1:20">
      <c r="E374" s="134" t="str">
        <f t="shared" si="36"/>
        <v/>
      </c>
      <c r="T374" s="137">
        <f t="shared" si="32"/>
        <v>0</v>
      </c>
    </row>
    <row r="375" spans="1:20">
      <c r="E375" s="134" t="str">
        <f t="shared" si="36"/>
        <v/>
      </c>
      <c r="T375" s="137">
        <f t="shared" si="32"/>
        <v>0</v>
      </c>
    </row>
    <row r="376" spans="1:20">
      <c r="D376" s="134" t="s">
        <v>865</v>
      </c>
      <c r="E376" s="134" t="str">
        <f t="shared" si="36"/>
        <v/>
      </c>
      <c r="T376" s="137">
        <f t="shared" si="32"/>
        <v>0</v>
      </c>
    </row>
    <row r="377" spans="1:20">
      <c r="A377" s="137" t="str">
        <f t="shared" ref="A377:A405" si="37">MID($D377,4,3)</f>
        <v>LGE</v>
      </c>
      <c r="B377" s="137" t="s">
        <v>867</v>
      </c>
      <c r="C377" s="137" t="str">
        <f t="shared" ref="C377:C405" si="38">MID($D377,9,3)</f>
        <v>121</v>
      </c>
      <c r="D377" s="134" t="s">
        <v>851</v>
      </c>
      <c r="E377" s="134" t="str">
        <f t="shared" si="36"/>
        <v/>
      </c>
      <c r="F377" s="137">
        <v>63.36036</v>
      </c>
      <c r="G377" s="137">
        <v>63.36036</v>
      </c>
      <c r="H377" s="137">
        <v>63.36036</v>
      </c>
      <c r="I377" s="137">
        <v>63.36036</v>
      </c>
      <c r="J377" s="137">
        <v>63.36036</v>
      </c>
      <c r="K377" s="137">
        <v>63.36036</v>
      </c>
      <c r="L377" s="137">
        <v>63.36036</v>
      </c>
      <c r="M377" s="137">
        <v>63.36036</v>
      </c>
      <c r="N377" s="137">
        <v>63.36036</v>
      </c>
      <c r="O377" s="137">
        <v>63.36036</v>
      </c>
      <c r="P377" s="137">
        <v>63.36036</v>
      </c>
      <c r="Q377" s="137">
        <v>63.36036</v>
      </c>
      <c r="R377" s="137">
        <v>63.36036</v>
      </c>
      <c r="T377" s="137">
        <f t="shared" si="32"/>
        <v>63.360360000000007</v>
      </c>
    </row>
    <row r="378" spans="1:20">
      <c r="A378" s="137" t="str">
        <f t="shared" si="37"/>
        <v>LGE</v>
      </c>
      <c r="B378" s="137" t="s">
        <v>867</v>
      </c>
      <c r="C378" s="137" t="str">
        <f t="shared" si="38"/>
        <v>303</v>
      </c>
      <c r="D378" s="134" t="s">
        <v>853</v>
      </c>
      <c r="E378" s="134" t="str">
        <f t="shared" si="36"/>
        <v/>
      </c>
      <c r="F378" s="137">
        <v>26645.701299</v>
      </c>
      <c r="G378" s="137">
        <v>27627.530940000001</v>
      </c>
      <c r="H378" s="137">
        <v>28668.186758</v>
      </c>
      <c r="I378" s="137">
        <v>29694.746528</v>
      </c>
      <c r="J378" s="137">
        <v>29796.25302</v>
      </c>
      <c r="K378" s="137">
        <v>30672.881750999899</v>
      </c>
      <c r="L378" s="137">
        <v>30583.5787979999</v>
      </c>
      <c r="M378" s="137">
        <v>28212.478475999898</v>
      </c>
      <c r="N378" s="137">
        <v>29409.035329999999</v>
      </c>
      <c r="O378" s="137">
        <v>30014.2356049999</v>
      </c>
      <c r="P378" s="137">
        <v>28770.177336999899</v>
      </c>
      <c r="Q378" s="137">
        <v>29808.211369999899</v>
      </c>
      <c r="R378" s="137">
        <v>31161.634499999898</v>
      </c>
      <c r="T378" s="137">
        <f t="shared" si="32"/>
        <v>29312.665516307639</v>
      </c>
    </row>
    <row r="379" spans="1:20">
      <c r="A379" s="137" t="str">
        <f t="shared" si="37"/>
        <v>LGE</v>
      </c>
      <c r="B379" s="137" t="s">
        <v>867</v>
      </c>
      <c r="C379" s="137" t="str">
        <f t="shared" si="38"/>
        <v>303</v>
      </c>
      <c r="D379" s="134" t="s">
        <v>854</v>
      </c>
      <c r="E379" s="134" t="str">
        <f t="shared" si="36"/>
        <v/>
      </c>
      <c r="F379" s="137">
        <v>5403.6371307000099</v>
      </c>
      <c r="G379" s="137">
        <v>5539.12854840001</v>
      </c>
      <c r="H379" s="137">
        <v>5674.8040328000097</v>
      </c>
      <c r="I379" s="137">
        <v>5810.4795172000104</v>
      </c>
      <c r="J379" s="137">
        <v>5946.1550016000101</v>
      </c>
      <c r="K379" s="137">
        <v>6081.8304860000098</v>
      </c>
      <c r="L379" s="137">
        <v>6217.5059704000096</v>
      </c>
      <c r="M379" s="137">
        <v>6353.1814548000102</v>
      </c>
      <c r="N379" s="137">
        <v>6489.2210866000096</v>
      </c>
      <c r="O379" s="137">
        <v>6625.6248659000103</v>
      </c>
      <c r="P379" s="137">
        <v>6762.02864520001</v>
      </c>
      <c r="Q379" s="137">
        <v>6898.4324245000098</v>
      </c>
      <c r="R379" s="137">
        <v>7035.3884038000097</v>
      </c>
      <c r="T379" s="137">
        <f t="shared" si="32"/>
        <v>6218.2628898384719</v>
      </c>
    </row>
    <row r="380" spans="1:20">
      <c r="A380" s="137" t="str">
        <f t="shared" si="37"/>
        <v>LGE</v>
      </c>
      <c r="B380" s="137" t="s">
        <v>867</v>
      </c>
      <c r="C380" s="137" t="str">
        <f t="shared" si="38"/>
        <v>390</v>
      </c>
      <c r="D380" s="134" t="s">
        <v>856</v>
      </c>
      <c r="E380" s="134" t="str">
        <f t="shared" si="36"/>
        <v/>
      </c>
      <c r="F380" s="137">
        <v>38208.103707623501</v>
      </c>
      <c r="G380" s="137">
        <v>38400.156171809802</v>
      </c>
      <c r="H380" s="137">
        <v>38570.683264456202</v>
      </c>
      <c r="I380" s="137">
        <v>38766.587740572497</v>
      </c>
      <c r="J380" s="137">
        <v>38963.5011065289</v>
      </c>
      <c r="K380" s="137">
        <v>39160.752959535203</v>
      </c>
      <c r="L380" s="137">
        <v>39358.3416376116</v>
      </c>
      <c r="M380" s="137">
        <v>39556.737073127901</v>
      </c>
      <c r="N380" s="137">
        <v>39757.769058064303</v>
      </c>
      <c r="O380" s="137">
        <v>39960.950470260599</v>
      </c>
      <c r="P380" s="137">
        <v>40164.131882456997</v>
      </c>
      <c r="Q380" s="137">
        <v>40367.313294653301</v>
      </c>
      <c r="R380" s="137">
        <v>40570.494706849699</v>
      </c>
      <c r="T380" s="137">
        <f t="shared" si="32"/>
        <v>39369.655621042344</v>
      </c>
    </row>
    <row r="381" spans="1:20">
      <c r="A381" s="137" t="str">
        <f t="shared" si="37"/>
        <v>LGE</v>
      </c>
      <c r="B381" s="137" t="s">
        <v>867</v>
      </c>
      <c r="C381" s="137" t="str">
        <f t="shared" si="38"/>
        <v>391</v>
      </c>
      <c r="D381" s="134" t="s">
        <v>857</v>
      </c>
      <c r="E381" s="134" t="str">
        <f t="shared" si="36"/>
        <v/>
      </c>
      <c r="F381" s="137">
        <v>18675.461601588999</v>
      </c>
      <c r="G381" s="137">
        <v>17664.626975441999</v>
      </c>
      <c r="H381" s="137">
        <v>17217.535658726902</v>
      </c>
      <c r="I381" s="137">
        <v>17582.6968977049</v>
      </c>
      <c r="J381" s="137">
        <v>17280.2136580529</v>
      </c>
      <c r="K381" s="137">
        <v>16148.661362691901</v>
      </c>
      <c r="L381" s="137">
        <v>16046.9648641779</v>
      </c>
      <c r="M381" s="137">
        <v>16485.809683002899</v>
      </c>
      <c r="N381" s="137">
        <v>16523.393730337899</v>
      </c>
      <c r="O381" s="137">
        <v>17055.9381529979</v>
      </c>
      <c r="P381" s="137">
        <v>15896.4047886879</v>
      </c>
      <c r="Q381" s="137">
        <v>16209.3000280579</v>
      </c>
      <c r="R381" s="137">
        <v>16707.708921497899</v>
      </c>
      <c r="T381" s="137">
        <f t="shared" si="32"/>
        <v>16884.208947920612</v>
      </c>
    </row>
    <row r="382" spans="1:20">
      <c r="A382" s="137" t="str">
        <f t="shared" si="37"/>
        <v>LGE</v>
      </c>
      <c r="B382" s="137" t="s">
        <v>867</v>
      </c>
      <c r="C382" s="137" t="str">
        <f t="shared" si="38"/>
        <v>392</v>
      </c>
      <c r="D382" s="134" t="s">
        <v>1529</v>
      </c>
      <c r="E382" s="134" t="str">
        <f t="shared" si="36"/>
        <v/>
      </c>
      <c r="F382" s="137">
        <v>1.0312605180000001</v>
      </c>
      <c r="G382" s="137">
        <v>1.3438365698000001</v>
      </c>
      <c r="H382" s="137">
        <v>1.6564126215999999</v>
      </c>
      <c r="I382" s="137">
        <v>1.9689886733999999</v>
      </c>
      <c r="J382" s="137">
        <v>2.2815647252</v>
      </c>
      <c r="K382" s="137">
        <v>2.5941407769999998</v>
      </c>
      <c r="L382" s="137">
        <v>2.9067168288</v>
      </c>
      <c r="M382" s="137">
        <v>3.2192928805999999</v>
      </c>
      <c r="N382" s="137">
        <v>3.5318689324000001</v>
      </c>
      <c r="O382" s="137">
        <v>3.8444449841999999</v>
      </c>
      <c r="P382" s="137">
        <v>4.1570210359999997</v>
      </c>
      <c r="Q382" s="137">
        <v>4.4695970877999898</v>
      </c>
      <c r="R382" s="137">
        <v>4.7821731395999896</v>
      </c>
      <c r="T382" s="137">
        <f t="shared" si="32"/>
        <v>2.9067168287999983</v>
      </c>
    </row>
    <row r="383" spans="1:20">
      <c r="A383" s="137" t="str">
        <f t="shared" si="37"/>
        <v>LGE</v>
      </c>
      <c r="B383" s="137" t="s">
        <v>867</v>
      </c>
      <c r="C383" s="137" t="str">
        <f t="shared" si="38"/>
        <v>392</v>
      </c>
      <c r="D383" s="134" t="s">
        <v>858</v>
      </c>
      <c r="E383" s="134" t="str">
        <f t="shared" si="36"/>
        <v/>
      </c>
      <c r="F383" s="137">
        <v>161.534519735299</v>
      </c>
      <c r="G383" s="137">
        <v>162.28265508959899</v>
      </c>
      <c r="H383" s="137">
        <v>163.03079044389901</v>
      </c>
      <c r="I383" s="137">
        <v>163.778925798199</v>
      </c>
      <c r="J383" s="137">
        <v>164.52706115249899</v>
      </c>
      <c r="K383" s="137">
        <v>165.27519650679901</v>
      </c>
      <c r="L383" s="137">
        <v>166.023331861099</v>
      </c>
      <c r="M383" s="137">
        <v>166.77146721539901</v>
      </c>
      <c r="N383" s="137">
        <v>167.519602569699</v>
      </c>
      <c r="O383" s="137">
        <v>168.26773792399899</v>
      </c>
      <c r="P383" s="137">
        <v>169.01587327829901</v>
      </c>
      <c r="Q383" s="137">
        <v>169.764008632599</v>
      </c>
      <c r="R383" s="137">
        <v>170.51214398689899</v>
      </c>
      <c r="T383" s="137">
        <f t="shared" si="32"/>
        <v>166.023331861099</v>
      </c>
    </row>
    <row r="384" spans="1:20">
      <c r="A384" s="137" t="str">
        <f t="shared" si="37"/>
        <v>LGE</v>
      </c>
      <c r="B384" s="137" t="s">
        <v>867</v>
      </c>
      <c r="C384" s="137" t="str">
        <f t="shared" si="38"/>
        <v>393</v>
      </c>
      <c r="D384" s="134" t="s">
        <v>859</v>
      </c>
      <c r="E384" s="134" t="str">
        <f t="shared" si="36"/>
        <v/>
      </c>
      <c r="F384" s="137">
        <v>1109.8038578190001</v>
      </c>
      <c r="G384" s="137">
        <v>1117.152140812</v>
      </c>
      <c r="H384" s="137">
        <v>1124.5004238050001</v>
      </c>
      <c r="I384" s="137">
        <v>1131.848706798</v>
      </c>
      <c r="J384" s="137">
        <v>1139.1969897910001</v>
      </c>
      <c r="K384" s="137">
        <v>1146.545272784</v>
      </c>
      <c r="L384" s="137">
        <v>1153.8935557770001</v>
      </c>
      <c r="M384" s="137">
        <v>1161.24183877</v>
      </c>
      <c r="N384" s="137">
        <v>1168.5901217630001</v>
      </c>
      <c r="O384" s="137">
        <v>1175.938404756</v>
      </c>
      <c r="P384" s="137">
        <v>1183.2866877490001</v>
      </c>
      <c r="Q384" s="137">
        <v>1190.634970742</v>
      </c>
      <c r="R384" s="137">
        <v>1197.9832537350001</v>
      </c>
      <c r="T384" s="137">
        <f t="shared" si="32"/>
        <v>1153.8935557769998</v>
      </c>
    </row>
    <row r="385" spans="1:20">
      <c r="A385" s="137" t="str">
        <f t="shared" si="37"/>
        <v>LGE</v>
      </c>
      <c r="B385" s="137" t="s">
        <v>867</v>
      </c>
      <c r="C385" s="137" t="str">
        <f t="shared" si="38"/>
        <v>394</v>
      </c>
      <c r="D385" s="134" t="s">
        <v>860</v>
      </c>
      <c r="E385" s="134" t="str">
        <f t="shared" si="36"/>
        <v/>
      </c>
      <c r="F385" s="137">
        <v>2506.2234487400001</v>
      </c>
      <c r="G385" s="137">
        <v>2521.1298178100001</v>
      </c>
      <c r="H385" s="137">
        <v>2491.79348893</v>
      </c>
      <c r="I385" s="137">
        <v>2506.5434421</v>
      </c>
      <c r="J385" s="137">
        <v>2521.29339527</v>
      </c>
      <c r="K385" s="137">
        <v>2536.04334844</v>
      </c>
      <c r="L385" s="137">
        <v>2550.86413494</v>
      </c>
      <c r="M385" s="137">
        <v>2565.7557547800002</v>
      </c>
      <c r="N385" s="137">
        <v>2580.6473746199999</v>
      </c>
      <c r="O385" s="137">
        <v>2595.5389944600001</v>
      </c>
      <c r="P385" s="137">
        <v>2610.4306142999999</v>
      </c>
      <c r="Q385" s="137">
        <v>2625.3222341400001</v>
      </c>
      <c r="R385" s="137">
        <v>2640.2138539799998</v>
      </c>
      <c r="T385" s="137">
        <f t="shared" si="32"/>
        <v>2557.8307617315386</v>
      </c>
    </row>
    <row r="386" spans="1:20">
      <c r="A386" s="137" t="str">
        <f t="shared" si="37"/>
        <v>LGE</v>
      </c>
      <c r="B386" s="137" t="s">
        <v>867</v>
      </c>
      <c r="C386" s="137" t="str">
        <f t="shared" si="38"/>
        <v>396</v>
      </c>
      <c r="D386" s="134" t="s">
        <v>861</v>
      </c>
      <c r="E386" s="134" t="str">
        <f t="shared" si="36"/>
        <v/>
      </c>
      <c r="F386" s="137">
        <v>15.321568870799901</v>
      </c>
      <c r="G386" s="137">
        <v>15.4087497991299</v>
      </c>
      <c r="H386" s="137">
        <v>15.4959307274599</v>
      </c>
      <c r="I386" s="137">
        <v>15.583111655789899</v>
      </c>
      <c r="J386" s="137">
        <v>15.670292584119901</v>
      </c>
      <c r="K386" s="137">
        <v>15.7574735124499</v>
      </c>
      <c r="L386" s="137">
        <v>15.8446544407799</v>
      </c>
      <c r="M386" s="137">
        <v>15.9318353691099</v>
      </c>
      <c r="N386" s="137">
        <v>16.019016297439901</v>
      </c>
      <c r="O386" s="137">
        <v>16.1061972257699</v>
      </c>
      <c r="P386" s="137">
        <v>16.1933781540999</v>
      </c>
      <c r="Q386" s="137">
        <v>16.2805590824299</v>
      </c>
      <c r="R386" s="137">
        <v>16.367740010759899</v>
      </c>
      <c r="T386" s="137">
        <f t="shared" si="32"/>
        <v>15.8446544407799</v>
      </c>
    </row>
    <row r="387" spans="1:20">
      <c r="A387" s="137" t="str">
        <f t="shared" si="37"/>
        <v>LGE</v>
      </c>
      <c r="B387" s="137" t="s">
        <v>867</v>
      </c>
      <c r="C387" s="137" t="str">
        <f t="shared" si="38"/>
        <v>396</v>
      </c>
      <c r="D387" s="134" t="s">
        <v>1530</v>
      </c>
      <c r="E387" s="134" t="str">
        <f t="shared" si="36"/>
        <v/>
      </c>
      <c r="F387" s="137">
        <v>236.38240602299899</v>
      </c>
      <c r="G387" s="137">
        <v>236.50756462529901</v>
      </c>
      <c r="H387" s="137">
        <v>236.632723227599</v>
      </c>
      <c r="I387" s="137">
        <v>236.75788182989899</v>
      </c>
      <c r="J387" s="137">
        <v>236.88304043219901</v>
      </c>
      <c r="K387" s="137">
        <v>237.008199034499</v>
      </c>
      <c r="L387" s="137">
        <v>237.13335763679899</v>
      </c>
      <c r="M387" s="137">
        <v>237.25851623909901</v>
      </c>
      <c r="N387" s="137">
        <v>237.383674841399</v>
      </c>
      <c r="O387" s="137">
        <v>237.50883344369899</v>
      </c>
      <c r="P387" s="137">
        <v>237.63399204599901</v>
      </c>
      <c r="Q387" s="137">
        <v>237.759150648299</v>
      </c>
      <c r="R387" s="137">
        <v>237.88430925059899</v>
      </c>
      <c r="T387" s="137">
        <f t="shared" si="32"/>
        <v>237.13335763679905</v>
      </c>
    </row>
    <row r="388" spans="1:20">
      <c r="A388" s="137" t="str">
        <f t="shared" si="37"/>
        <v>LGE</v>
      </c>
      <c r="B388" s="137" t="s">
        <v>867</v>
      </c>
      <c r="C388" s="137" t="str">
        <f t="shared" si="38"/>
        <v>397</v>
      </c>
      <c r="D388" s="134" t="s">
        <v>862</v>
      </c>
      <c r="E388" s="134" t="str">
        <f t="shared" si="36"/>
        <v/>
      </c>
      <c r="F388" s="137">
        <v>11072.209675709901</v>
      </c>
      <c r="G388" s="137">
        <v>11115.6565915799</v>
      </c>
      <c r="H388" s="137">
        <v>11159.1035074499</v>
      </c>
      <c r="I388" s="137">
        <v>11202.550423319901</v>
      </c>
      <c r="J388" s="137">
        <v>11245.9973391899</v>
      </c>
      <c r="K388" s="137">
        <v>11289.4442550599</v>
      </c>
      <c r="L388" s="137">
        <v>11332.9250792599</v>
      </c>
      <c r="M388" s="137">
        <v>11377.8528734799</v>
      </c>
      <c r="N388" s="137">
        <v>11426.2403907599</v>
      </c>
      <c r="O388" s="137">
        <v>11476.674569409901</v>
      </c>
      <c r="P388" s="137">
        <v>11527.1087480599</v>
      </c>
      <c r="Q388" s="137">
        <v>11577.542926709901</v>
      </c>
      <c r="R388" s="137">
        <v>11627.97710536</v>
      </c>
      <c r="T388" s="137">
        <f t="shared" si="32"/>
        <v>11340.867960411446</v>
      </c>
    </row>
    <row r="389" spans="1:20">
      <c r="A389" s="137" t="str">
        <f t="shared" si="37"/>
        <v>LGE</v>
      </c>
      <c r="B389" s="137" t="s">
        <v>867</v>
      </c>
      <c r="C389" s="137" t="str">
        <f t="shared" si="38"/>
        <v>397</v>
      </c>
      <c r="D389" s="134" t="s">
        <v>863</v>
      </c>
      <c r="E389" s="134" t="str">
        <f t="shared" si="36"/>
        <v/>
      </c>
      <c r="F389" s="137">
        <v>-9.43785390419999</v>
      </c>
      <c r="G389" s="137">
        <v>-9.3888772946199897</v>
      </c>
      <c r="H389" s="137">
        <v>-9.3399006850399893</v>
      </c>
      <c r="I389" s="137">
        <v>-9.2909240754599907</v>
      </c>
      <c r="J389" s="137">
        <v>-9.2419474658799903</v>
      </c>
      <c r="K389" s="137">
        <v>-9.1929708562999899</v>
      </c>
      <c r="L389" s="137">
        <v>-9.1439942467199895</v>
      </c>
      <c r="M389" s="137">
        <v>-9.0950176371399891</v>
      </c>
      <c r="N389" s="137">
        <v>-9.0460410275599905</v>
      </c>
      <c r="O389" s="137">
        <v>-8.9970644179799901</v>
      </c>
      <c r="P389" s="137">
        <v>-8.9480878083999897</v>
      </c>
      <c r="Q389" s="137">
        <v>-8.8991111988199894</v>
      </c>
      <c r="R389" s="137">
        <v>-8.8501345892399907</v>
      </c>
      <c r="T389" s="137">
        <f>SUM(F389:R389)/13</f>
        <v>-9.1439942467199895</v>
      </c>
    </row>
    <row r="390" spans="1:20">
      <c r="A390" s="137" t="str">
        <f t="shared" si="37"/>
        <v>LGE</v>
      </c>
      <c r="B390" s="137" t="s">
        <v>867</v>
      </c>
      <c r="C390" s="137" t="str">
        <f t="shared" si="38"/>
        <v>397</v>
      </c>
      <c r="D390" s="134" t="s">
        <v>864</v>
      </c>
      <c r="E390" s="134" t="str">
        <f t="shared" si="36"/>
        <v/>
      </c>
      <c r="F390" s="137">
        <v>16165.68807502</v>
      </c>
      <c r="G390" s="137">
        <v>16179.03690766</v>
      </c>
      <c r="H390" s="137">
        <v>16192.3857403</v>
      </c>
      <c r="I390" s="137">
        <v>16205.73457294</v>
      </c>
      <c r="J390" s="137">
        <v>16219.103069860001</v>
      </c>
      <c r="K390" s="137">
        <v>16232.512626899999</v>
      </c>
      <c r="L390" s="137">
        <v>16245.94357978</v>
      </c>
      <c r="M390" s="137">
        <v>16259.41732432</v>
      </c>
      <c r="N390" s="137">
        <v>16273.14658712</v>
      </c>
      <c r="O390" s="137">
        <v>16287.0885765</v>
      </c>
      <c r="P390" s="137">
        <v>16301.030565880001</v>
      </c>
      <c r="Q390" s="137">
        <v>16314.972555259999</v>
      </c>
      <c r="R390" s="137">
        <v>16328.91454464</v>
      </c>
      <c r="T390" s="137">
        <f>SUM(F390:R390)/13</f>
        <v>16246.536517398463</v>
      </c>
    </row>
    <row r="391" spans="1:20">
      <c r="E391" s="134"/>
    </row>
    <row r="392" spans="1:20">
      <c r="E392" s="134"/>
    </row>
    <row r="393" spans="1:20">
      <c r="E393" s="134" t="str">
        <f t="shared" si="36"/>
        <v/>
      </c>
    </row>
    <row r="394" spans="1:20">
      <c r="D394" s="134" t="s">
        <v>1028</v>
      </c>
      <c r="E394" s="134" t="str">
        <f t="shared" si="36"/>
        <v/>
      </c>
      <c r="F394" s="137">
        <v>0</v>
      </c>
      <c r="G394" s="137">
        <v>0</v>
      </c>
      <c r="H394" s="137">
        <v>0</v>
      </c>
      <c r="I394" s="137">
        <v>0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</row>
    <row r="395" spans="1:20">
      <c r="A395" s="137" t="str">
        <f t="shared" si="37"/>
        <v>LGE</v>
      </c>
      <c r="B395" s="137" t="s">
        <v>923</v>
      </c>
      <c r="C395" s="137" t="str">
        <f t="shared" si="38"/>
        <v>311</v>
      </c>
      <c r="D395" s="134" t="s">
        <v>790</v>
      </c>
      <c r="E395" s="134" t="str">
        <f t="shared" si="36"/>
        <v/>
      </c>
      <c r="F395" s="137">
        <v>0</v>
      </c>
      <c r="G395" s="137">
        <v>0</v>
      </c>
      <c r="H395" s="137">
        <v>0</v>
      </c>
      <c r="I395" s="137">
        <v>0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ref="S395:S405" si="39">SUM(G395:R395)</f>
        <v>0</v>
      </c>
      <c r="T395" s="137">
        <f t="shared" ref="T395:T405" si="40">SUM(F395:R395)/13</f>
        <v>0</v>
      </c>
    </row>
    <row r="396" spans="1:20">
      <c r="A396" s="137" t="str">
        <f t="shared" si="37"/>
        <v>LGE</v>
      </c>
      <c r="B396" s="137" t="s">
        <v>923</v>
      </c>
      <c r="C396" s="137" t="str">
        <f t="shared" si="38"/>
        <v>312</v>
      </c>
      <c r="D396" s="134" t="s">
        <v>791</v>
      </c>
      <c r="E396" s="134" t="str">
        <f t="shared" si="36"/>
        <v/>
      </c>
      <c r="F396" s="137">
        <v>0</v>
      </c>
      <c r="G396" s="137">
        <v>0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39"/>
        <v>0</v>
      </c>
      <c r="T396" s="137">
        <f t="shared" si="40"/>
        <v>0</v>
      </c>
    </row>
    <row r="397" spans="1:20">
      <c r="A397" s="137" t="str">
        <f t="shared" si="37"/>
        <v>LGE</v>
      </c>
      <c r="B397" s="137" t="s">
        <v>923</v>
      </c>
      <c r="C397" s="137" t="str">
        <f t="shared" si="38"/>
        <v>314</v>
      </c>
      <c r="D397" s="134" t="s">
        <v>795</v>
      </c>
      <c r="E397" s="134" t="str">
        <f t="shared" si="36"/>
        <v/>
      </c>
      <c r="F397" s="137">
        <v>0</v>
      </c>
      <c r="G397" s="137">
        <v>0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39"/>
        <v>0</v>
      </c>
      <c r="T397" s="137">
        <f t="shared" si="40"/>
        <v>0</v>
      </c>
    </row>
    <row r="398" spans="1:20">
      <c r="A398" s="137" t="str">
        <f t="shared" si="37"/>
        <v>LGE</v>
      </c>
      <c r="B398" s="137" t="s">
        <v>923</v>
      </c>
      <c r="C398" s="137" t="str">
        <f t="shared" si="38"/>
        <v>315</v>
      </c>
      <c r="D398" s="134" t="s">
        <v>796</v>
      </c>
      <c r="E398" s="134" t="str">
        <f t="shared" si="36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0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39"/>
        <v>0</v>
      </c>
      <c r="T398" s="137">
        <f t="shared" si="40"/>
        <v>0</v>
      </c>
    </row>
    <row r="399" spans="1:20">
      <c r="A399" s="137" t="str">
        <f t="shared" si="37"/>
        <v>LGE</v>
      </c>
      <c r="B399" s="137" t="s">
        <v>923</v>
      </c>
      <c r="C399" s="137" t="str">
        <f t="shared" si="38"/>
        <v>316</v>
      </c>
      <c r="D399" s="134" t="s">
        <v>798</v>
      </c>
      <c r="E399" s="134" t="str">
        <f t="shared" si="36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0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39"/>
        <v>0</v>
      </c>
      <c r="T399" s="137">
        <f t="shared" si="40"/>
        <v>0</v>
      </c>
    </row>
    <row r="400" spans="1:20">
      <c r="A400" s="137" t="str">
        <f t="shared" si="37"/>
        <v>LGE</v>
      </c>
      <c r="B400" s="137" t="s">
        <v>923</v>
      </c>
      <c r="C400" s="137" t="str">
        <f t="shared" si="38"/>
        <v>317</v>
      </c>
      <c r="D400" s="134" t="s">
        <v>799</v>
      </c>
      <c r="E400" s="134" t="str">
        <f t="shared" si="36"/>
        <v>ARO</v>
      </c>
      <c r="F400" s="137">
        <v>0</v>
      </c>
      <c r="G400" s="137">
        <v>0</v>
      </c>
      <c r="H400" s="137">
        <v>0</v>
      </c>
      <c r="I400" s="137">
        <v>0</v>
      </c>
      <c r="J400" s="137">
        <v>0</v>
      </c>
      <c r="K400" s="137">
        <v>0</v>
      </c>
      <c r="L400" s="137">
        <v>0</v>
      </c>
      <c r="M400" s="137">
        <v>0</v>
      </c>
      <c r="N400" s="137">
        <v>0</v>
      </c>
      <c r="O400" s="137">
        <v>0</v>
      </c>
      <c r="P400" s="137">
        <v>0</v>
      </c>
      <c r="Q400" s="137">
        <v>0</v>
      </c>
      <c r="R400" s="137">
        <v>0</v>
      </c>
      <c r="S400" s="137">
        <f t="shared" si="39"/>
        <v>0</v>
      </c>
      <c r="T400" s="137">
        <f t="shared" si="40"/>
        <v>0</v>
      </c>
    </row>
    <row r="401" spans="1:20">
      <c r="A401" s="137" t="str">
        <f t="shared" si="37"/>
        <v>LGE</v>
      </c>
      <c r="B401" s="137" t="s">
        <v>923</v>
      </c>
      <c r="C401" s="137" t="str">
        <f t="shared" si="38"/>
        <v>317</v>
      </c>
      <c r="D401" s="134" t="s">
        <v>1817</v>
      </c>
      <c r="E401" s="134" t="str">
        <f t="shared" si="36"/>
        <v>ARO</v>
      </c>
      <c r="F401" s="137">
        <v>0</v>
      </c>
      <c r="G401" s="137">
        <v>0</v>
      </c>
      <c r="H401" s="137">
        <v>0</v>
      </c>
      <c r="I401" s="137">
        <v>0</v>
      </c>
      <c r="J401" s="137">
        <v>0</v>
      </c>
      <c r="K401" s="137">
        <v>0</v>
      </c>
      <c r="L401" s="137">
        <v>0</v>
      </c>
      <c r="M401" s="137">
        <v>0</v>
      </c>
      <c r="N401" s="137">
        <v>0</v>
      </c>
      <c r="O401" s="137">
        <v>0</v>
      </c>
      <c r="P401" s="137">
        <v>0</v>
      </c>
      <c r="Q401" s="137">
        <v>0</v>
      </c>
      <c r="R401" s="137">
        <v>0</v>
      </c>
      <c r="S401" s="137">
        <f t="shared" si="39"/>
        <v>0</v>
      </c>
      <c r="T401" s="137">
        <f t="shared" si="40"/>
        <v>0</v>
      </c>
    </row>
    <row r="402" spans="1:20">
      <c r="A402" s="137" t="str">
        <f t="shared" si="37"/>
        <v>LGE</v>
      </c>
      <c r="B402" s="137" t="s">
        <v>923</v>
      </c>
      <c r="C402" s="137" t="str">
        <f t="shared" si="38"/>
        <v>343</v>
      </c>
      <c r="D402" s="134" t="s">
        <v>811</v>
      </c>
      <c r="E402" s="134" t="str">
        <f t="shared" si="36"/>
        <v/>
      </c>
      <c r="F402" s="137">
        <v>0</v>
      </c>
      <c r="G402" s="137">
        <v>0</v>
      </c>
      <c r="H402" s="137">
        <v>0</v>
      </c>
      <c r="I402" s="137">
        <v>0</v>
      </c>
      <c r="J402" s="137">
        <v>0</v>
      </c>
      <c r="K402" s="137">
        <v>0</v>
      </c>
      <c r="L402" s="137">
        <v>0</v>
      </c>
      <c r="M402" s="137">
        <v>0</v>
      </c>
      <c r="N402" s="137">
        <v>0</v>
      </c>
      <c r="O402" s="137">
        <v>0</v>
      </c>
      <c r="P402" s="137">
        <v>0</v>
      </c>
      <c r="Q402" s="137">
        <v>0</v>
      </c>
      <c r="R402" s="137">
        <v>0</v>
      </c>
      <c r="S402" s="137">
        <f t="shared" si="39"/>
        <v>0</v>
      </c>
      <c r="T402" s="137">
        <f t="shared" si="40"/>
        <v>0</v>
      </c>
    </row>
    <row r="403" spans="1:20">
      <c r="A403" s="137" t="str">
        <f t="shared" si="37"/>
        <v>LGE</v>
      </c>
      <c r="B403" s="137" t="s">
        <v>923</v>
      </c>
      <c r="C403" s="137" t="str">
        <f t="shared" si="38"/>
        <v>344</v>
      </c>
      <c r="D403" s="134" t="s">
        <v>812</v>
      </c>
      <c r="E403" s="134" t="str">
        <f t="shared" si="36"/>
        <v/>
      </c>
      <c r="F403" s="137">
        <v>0</v>
      </c>
      <c r="G403" s="137">
        <v>0</v>
      </c>
      <c r="H403" s="137">
        <v>0</v>
      </c>
      <c r="I403" s="137">
        <v>0</v>
      </c>
      <c r="J403" s="137">
        <v>0</v>
      </c>
      <c r="K403" s="137">
        <v>0</v>
      </c>
      <c r="L403" s="137">
        <v>0</v>
      </c>
      <c r="M403" s="137">
        <v>0</v>
      </c>
      <c r="N403" s="137">
        <v>0</v>
      </c>
      <c r="O403" s="137">
        <v>0</v>
      </c>
      <c r="P403" s="137">
        <v>0</v>
      </c>
      <c r="Q403" s="137">
        <v>0</v>
      </c>
      <c r="R403" s="137">
        <v>0</v>
      </c>
      <c r="S403" s="137">
        <f t="shared" si="39"/>
        <v>0</v>
      </c>
      <c r="T403" s="137">
        <f t="shared" si="40"/>
        <v>0</v>
      </c>
    </row>
    <row r="404" spans="1:20">
      <c r="A404" s="137" t="str">
        <f t="shared" si="37"/>
        <v>LGE</v>
      </c>
      <c r="B404" s="137" t="s">
        <v>923</v>
      </c>
      <c r="C404" s="137" t="str">
        <f t="shared" si="38"/>
        <v>353</v>
      </c>
      <c r="D404" s="134" t="s">
        <v>823</v>
      </c>
      <c r="E404" s="134" t="str">
        <f t="shared" si="36"/>
        <v/>
      </c>
      <c r="F404" s="137">
        <v>0</v>
      </c>
      <c r="G404" s="137">
        <v>0</v>
      </c>
      <c r="H404" s="137">
        <v>0</v>
      </c>
      <c r="I404" s="137">
        <v>0</v>
      </c>
      <c r="J404" s="137">
        <v>0</v>
      </c>
      <c r="K404" s="137">
        <v>0</v>
      </c>
      <c r="L404" s="137">
        <v>0</v>
      </c>
      <c r="M404" s="137">
        <v>0</v>
      </c>
      <c r="N404" s="137">
        <v>0</v>
      </c>
      <c r="O404" s="137">
        <v>0</v>
      </c>
      <c r="P404" s="137">
        <v>0</v>
      </c>
      <c r="Q404" s="137">
        <v>0</v>
      </c>
      <c r="R404" s="137">
        <v>0</v>
      </c>
      <c r="S404" s="137">
        <f t="shared" si="39"/>
        <v>0</v>
      </c>
      <c r="T404" s="137">
        <f t="shared" si="40"/>
        <v>0</v>
      </c>
    </row>
    <row r="405" spans="1:20">
      <c r="A405" s="137" t="str">
        <f t="shared" si="37"/>
        <v>LGE</v>
      </c>
      <c r="B405" s="137" t="s">
        <v>923</v>
      </c>
      <c r="C405" s="137" t="str">
        <f t="shared" si="38"/>
        <v>362</v>
      </c>
      <c r="D405" s="134" t="s">
        <v>837</v>
      </c>
      <c r="E405" s="134" t="str">
        <f t="shared" si="36"/>
        <v/>
      </c>
      <c r="F405" s="137">
        <v>0</v>
      </c>
      <c r="G405" s="137">
        <v>0</v>
      </c>
      <c r="H405" s="137">
        <v>0</v>
      </c>
      <c r="I405" s="137">
        <v>0</v>
      </c>
      <c r="J405" s="137">
        <v>0</v>
      </c>
      <c r="K405" s="137">
        <v>0</v>
      </c>
      <c r="L405" s="137">
        <v>0</v>
      </c>
      <c r="M405" s="137">
        <v>0</v>
      </c>
      <c r="N405" s="137">
        <v>0</v>
      </c>
      <c r="O405" s="137">
        <v>0</v>
      </c>
      <c r="P405" s="137">
        <v>0</v>
      </c>
      <c r="Q405" s="137">
        <v>0</v>
      </c>
      <c r="R405" s="137">
        <v>0</v>
      </c>
      <c r="S405" s="137">
        <f t="shared" si="39"/>
        <v>0</v>
      </c>
      <c r="T405" s="137">
        <f t="shared" si="40"/>
        <v>0</v>
      </c>
    </row>
    <row r="406" spans="1:20">
      <c r="E406" s="134"/>
    </row>
    <row r="407" spans="1:20">
      <c r="E407" s="134"/>
    </row>
    <row r="408" spans="1:20">
      <c r="E408" s="134"/>
    </row>
    <row r="409" spans="1:20">
      <c r="E409" s="134"/>
    </row>
    <row r="410" spans="1:20">
      <c r="E410" s="134"/>
    </row>
    <row r="411" spans="1:20">
      <c r="E411" s="134"/>
    </row>
  </sheetData>
  <autoFilter ref="B1:B411"/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34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28" sqref="C28"/>
    </sheetView>
  </sheetViews>
  <sheetFormatPr defaultColWidth="7.77734375" defaultRowHeight="15"/>
  <cols>
    <col min="1" max="1" width="11.33203125" style="137" customWidth="1"/>
    <col min="2" max="2" width="32.77734375" style="134" customWidth="1"/>
    <col min="3" max="3" width="10.88671875" style="134" customWidth="1"/>
    <col min="4" max="16" width="9.33203125" style="137" customWidth="1"/>
    <col min="17" max="16384" width="7.77734375" style="137"/>
  </cols>
  <sheetData>
    <row r="1" spans="1:16" s="136" customFormat="1">
      <c r="B1" s="180"/>
      <c r="C1" s="180"/>
    </row>
    <row r="2" spans="1:16" s="136" customFormat="1">
      <c r="A2" s="136" t="s">
        <v>1595</v>
      </c>
      <c r="B2" s="180" t="s">
        <v>1507</v>
      </c>
      <c r="C2" s="180" t="s">
        <v>1596</v>
      </c>
      <c r="D2" s="136" t="s">
        <v>1819</v>
      </c>
      <c r="E2" s="136" t="s">
        <v>1820</v>
      </c>
      <c r="F2" s="136" t="s">
        <v>1821</v>
      </c>
      <c r="G2" s="136" t="s">
        <v>1822</v>
      </c>
      <c r="H2" s="136" t="s">
        <v>1823</v>
      </c>
      <c r="I2" s="136" t="s">
        <v>1824</v>
      </c>
      <c r="J2" s="136" t="s">
        <v>1825</v>
      </c>
      <c r="K2" s="136" t="s">
        <v>1715</v>
      </c>
      <c r="L2" s="136" t="s">
        <v>1716</v>
      </c>
      <c r="M2" s="136" t="s">
        <v>1717</v>
      </c>
      <c r="N2" s="136" t="s">
        <v>1718</v>
      </c>
      <c r="O2" s="136" t="s">
        <v>1719</v>
      </c>
      <c r="P2" s="136" t="s">
        <v>1720</v>
      </c>
    </row>
    <row r="3" spans="1:16" s="136" customFormat="1">
      <c r="B3" s="180"/>
      <c r="C3" s="180"/>
    </row>
    <row r="5" spans="1:16">
      <c r="B5" s="134" t="s">
        <v>599</v>
      </c>
    </row>
    <row r="6" spans="1:16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7700.5960400000004</v>
      </c>
      <c r="E6" s="137">
        <v>3790.1316299999999</v>
      </c>
      <c r="F6" s="137">
        <v>4222.1369299999997</v>
      </c>
      <c r="G6" s="137">
        <v>3344.5384199999999</v>
      </c>
      <c r="H6" s="137">
        <v>3868.0132199999998</v>
      </c>
      <c r="I6" s="137">
        <v>4565.5245299999997</v>
      </c>
      <c r="J6" s="137">
        <v>6043.2347900000004</v>
      </c>
      <c r="K6" s="137">
        <v>6478.5118300000004</v>
      </c>
      <c r="L6" s="137">
        <v>8026.4608799999996</v>
      </c>
      <c r="M6" s="137">
        <v>8410.1701499999999</v>
      </c>
      <c r="N6" s="137">
        <v>8504.6128700000008</v>
      </c>
      <c r="O6" s="137">
        <v>6409.9974199999997</v>
      </c>
      <c r="P6" s="137">
        <v>4366.7861199999998</v>
      </c>
    </row>
    <row r="7" spans="1:16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>IF(ISTEXT(MID($B7,SEARCH("FUTURE USE",$B7),3)),"FUTURE USE",IF(ISTEXT(MID($B7,SEARCH("ECR",$B7),3)),"ECR",IF(ISTEXT(MID($B7,SEARCH("ARO",$B7),3)),"ARO",IF(ISTEXT(MID($B7,SEARCH("DSM",$B7),3)),"DSM",IF(ISTEXT(MID($B7,SEARCH("GLT",$B7),3)),"GLT","")))))</f>
        <v/>
      </c>
      <c r="D7" s="137">
        <v>8618.8743799998992</v>
      </c>
      <c r="E7" s="137">
        <v>8596.7722599999997</v>
      </c>
      <c r="F7" s="137">
        <v>9881.2970299999906</v>
      </c>
      <c r="G7" s="137">
        <v>11302.7142999999</v>
      </c>
      <c r="H7" s="137">
        <v>12489.42779</v>
      </c>
      <c r="I7" s="137">
        <v>13212.846170000001</v>
      </c>
      <c r="J7" s="137">
        <v>14219.973</v>
      </c>
      <c r="K7" s="137">
        <v>11745.68147</v>
      </c>
      <c r="L7" s="137">
        <v>12382.37571</v>
      </c>
      <c r="M7" s="137">
        <v>12381.923119999999</v>
      </c>
      <c r="N7" s="137">
        <v>8795.9492499999997</v>
      </c>
      <c r="O7" s="137">
        <v>9511.8583799999997</v>
      </c>
      <c r="P7" s="137">
        <v>7762.3562000000002</v>
      </c>
    </row>
    <row r="8" spans="1:16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>IF(ISTEXT(MID($B8,SEARCH("FUTURE USE",$B8),3)),"FUTURE USE",IF(ISTEXT(MID($B8,SEARCH("ECR",$B8),3)),"ECR",IF(ISTEXT(MID($B8,SEARCH("ARO",$B8),3)),"ARO",IF(ISTEXT(MID($B8,SEARCH("DSM",$B8),3)),"DSM",IF(ISTEXT(MID($B8,SEARCH("GLT",$B8),3)),"GLT","")))))</f>
        <v/>
      </c>
      <c r="D8" s="137">
        <v>8257.9078000000009</v>
      </c>
      <c r="E8" s="137">
        <v>9480.6676900000002</v>
      </c>
      <c r="F8" s="137">
        <v>11228.382869999999</v>
      </c>
      <c r="G8" s="137">
        <v>16455.968279999899</v>
      </c>
      <c r="H8" s="137">
        <v>15815.759099999999</v>
      </c>
      <c r="I8" s="137">
        <v>18610.34892</v>
      </c>
      <c r="J8" s="137">
        <v>25365.496849999901</v>
      </c>
      <c r="K8" s="137">
        <v>21524.810209999901</v>
      </c>
      <c r="L8" s="137">
        <v>25691.381059999901</v>
      </c>
      <c r="M8" s="137">
        <v>30028.749109999899</v>
      </c>
      <c r="N8" s="137">
        <v>34346.705769999899</v>
      </c>
      <c r="O8" s="137">
        <v>38806.720439999903</v>
      </c>
      <c r="P8" s="137">
        <v>12908.2229299999</v>
      </c>
    </row>
    <row r="9" spans="1:16">
      <c r="A9" s="398" t="str">
        <f t="shared" ref="A9:A17" si="0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ref="C9:C33" si="1">IF(ISTEXT(MID($B9,SEARCH("FUTURE USE",$B9),3)),"FUTURE USE",IF(ISTEXT(MID($B9,SEARCH("ECR",$B9),3)),"ECR",IF(ISTEXT(MID($B9,SEARCH("ARO",$B9),3)),"ARO",IF(ISTEXT(MID($B9,SEARCH("DSM",$B9),3)),"DSM",IF(ISTEXT(MID($B9,SEARCH("GLT",$B9),3)),"GLT","")))))</f>
        <v/>
      </c>
      <c r="D9" s="137">
        <v>681.22432000000003</v>
      </c>
      <c r="E9" s="137">
        <v>724.75756999999999</v>
      </c>
      <c r="F9" s="137">
        <v>427.92063999999999</v>
      </c>
      <c r="G9" s="137">
        <v>489.41275000000002</v>
      </c>
      <c r="H9" s="137">
        <v>519.81960000000004</v>
      </c>
      <c r="I9" s="137">
        <v>404.99299000000002</v>
      </c>
      <c r="J9" s="137">
        <v>267.03314</v>
      </c>
      <c r="K9" s="137">
        <v>92.066689999999895</v>
      </c>
      <c r="L9" s="137">
        <v>464.42554999999999</v>
      </c>
      <c r="M9" s="137">
        <v>477.69954000000001</v>
      </c>
      <c r="N9" s="137">
        <v>521.41624000000002</v>
      </c>
      <c r="O9" s="137">
        <v>653.61238000000003</v>
      </c>
      <c r="P9" s="137">
        <v>240.63284999999999</v>
      </c>
    </row>
    <row r="10" spans="1:16">
      <c r="A10" s="398" t="str">
        <f t="shared" si="0"/>
        <v>PRODUCTION</v>
      </c>
      <c r="B10" s="134" t="s">
        <v>604</v>
      </c>
      <c r="C10" s="134" t="str">
        <f t="shared" si="1"/>
        <v/>
      </c>
      <c r="D10" s="137">
        <v>2055.9703399999999</v>
      </c>
      <c r="E10" s="137">
        <v>2271.37059</v>
      </c>
      <c r="F10" s="137">
        <v>3798.3273399999998</v>
      </c>
      <c r="G10" s="137">
        <v>4605.2129999999997</v>
      </c>
      <c r="H10" s="137">
        <v>6206.7945899999904</v>
      </c>
      <c r="I10" s="137">
        <v>6369.8797599999998</v>
      </c>
      <c r="J10" s="137">
        <v>6816.6230999999998</v>
      </c>
      <c r="K10" s="137">
        <v>1386.7486699999999</v>
      </c>
      <c r="L10" s="137">
        <v>1386.7486699999999</v>
      </c>
      <c r="M10" s="137">
        <v>1786.5097699999901</v>
      </c>
      <c r="N10" s="137">
        <v>-4.5474735088646402E-13</v>
      </c>
      <c r="O10" s="137">
        <v>-4.5474735088646402E-13</v>
      </c>
      <c r="P10" s="137">
        <v>-4.5474735088646402E-13</v>
      </c>
    </row>
    <row r="11" spans="1:16">
      <c r="A11" s="398" t="str">
        <f t="shared" si="0"/>
        <v>INTANGIBLE</v>
      </c>
      <c r="B11" s="134" t="s">
        <v>605</v>
      </c>
      <c r="C11" s="134" t="str">
        <f t="shared" si="1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</row>
    <row r="12" spans="1:16">
      <c r="A12" s="398" t="str">
        <f t="shared" si="0"/>
        <v>PRODUCTION</v>
      </c>
      <c r="B12" s="134" t="s">
        <v>606</v>
      </c>
      <c r="C12" s="134" t="str">
        <f t="shared" si="1"/>
        <v/>
      </c>
      <c r="D12" s="137">
        <v>2294.3751900000002</v>
      </c>
      <c r="E12" s="137">
        <v>2333.13895</v>
      </c>
      <c r="F12" s="137">
        <v>2347.7149800000002</v>
      </c>
      <c r="G12" s="137">
        <v>2298.34996</v>
      </c>
      <c r="H12" s="137">
        <v>2306.4592400000001</v>
      </c>
      <c r="I12" s="137">
        <v>2584.9227099999998</v>
      </c>
      <c r="J12" s="137">
        <v>1968.75297</v>
      </c>
      <c r="K12" s="137">
        <v>517.01614999999902</v>
      </c>
      <c r="L12" s="137">
        <v>644.11979999999903</v>
      </c>
      <c r="M12" s="137">
        <v>753.99500999999998</v>
      </c>
      <c r="N12" s="137">
        <v>896.33291999999994</v>
      </c>
      <c r="O12" s="137">
        <v>2064.6399299999998</v>
      </c>
      <c r="P12" s="137">
        <v>805.96299999999997</v>
      </c>
    </row>
    <row r="13" spans="1:16">
      <c r="A13" s="398" t="str">
        <f t="shared" si="0"/>
        <v>PRODUCTION</v>
      </c>
      <c r="B13" s="134" t="s">
        <v>607</v>
      </c>
      <c r="C13" s="134" t="str">
        <f t="shared" si="1"/>
        <v/>
      </c>
      <c r="D13" s="137">
        <v>48717.73242</v>
      </c>
      <c r="E13" s="137">
        <v>57096.967309999898</v>
      </c>
      <c r="F13" s="137">
        <v>66458.293090000006</v>
      </c>
      <c r="G13" s="137">
        <v>73831.350210000004</v>
      </c>
      <c r="H13" s="137">
        <v>84317.635349999997</v>
      </c>
      <c r="I13" s="137">
        <v>75039.342250000002</v>
      </c>
      <c r="J13" s="137">
        <v>76960.015870000003</v>
      </c>
      <c r="K13" s="137">
        <v>79684.467059999995</v>
      </c>
      <c r="L13" s="137">
        <v>83993.885540000003</v>
      </c>
      <c r="M13" s="137">
        <v>87472.351200000005</v>
      </c>
      <c r="N13" s="137">
        <v>21474.501549999899</v>
      </c>
      <c r="O13" s="137">
        <v>11842.2768399999</v>
      </c>
      <c r="P13" s="137">
        <v>12521.2631099999</v>
      </c>
    </row>
    <row r="14" spans="1:16">
      <c r="A14" s="398" t="str">
        <f t="shared" si="0"/>
        <v>PRODUCTION</v>
      </c>
      <c r="B14" s="134" t="s">
        <v>608</v>
      </c>
      <c r="C14" s="134" t="str">
        <f t="shared" si="1"/>
        <v>ECR</v>
      </c>
      <c r="D14" s="137">
        <v>84998.483080000005</v>
      </c>
      <c r="E14" s="137">
        <v>87134.596460000001</v>
      </c>
      <c r="F14" s="137">
        <v>88626.507100000003</v>
      </c>
      <c r="G14" s="137">
        <v>92672.21862</v>
      </c>
      <c r="H14" s="137">
        <v>95533.439129999999</v>
      </c>
      <c r="I14" s="137">
        <v>97098.979149999897</v>
      </c>
      <c r="J14" s="137">
        <v>99759.3333099999</v>
      </c>
      <c r="K14" s="137">
        <v>101358.29715</v>
      </c>
      <c r="L14" s="137">
        <v>70437.145149999997</v>
      </c>
      <c r="M14" s="137">
        <v>43822.268769999901</v>
      </c>
      <c r="N14" s="137">
        <v>45782.647759999898</v>
      </c>
      <c r="O14" s="137">
        <v>47195.271749999898</v>
      </c>
      <c r="P14" s="137">
        <v>48782.6384599999</v>
      </c>
    </row>
    <row r="15" spans="1:16">
      <c r="A15" s="398" t="str">
        <f t="shared" si="0"/>
        <v>PRODUCTION</v>
      </c>
      <c r="B15" s="134" t="s">
        <v>609</v>
      </c>
      <c r="C15" s="134" t="str">
        <f t="shared" si="1"/>
        <v>ECR</v>
      </c>
      <c r="D15" s="137">
        <v>12533.584779999999</v>
      </c>
      <c r="E15" s="137">
        <v>13207.18986</v>
      </c>
      <c r="F15" s="137">
        <v>13417.628720000001</v>
      </c>
      <c r="G15" s="137">
        <v>14602.68937</v>
      </c>
      <c r="H15" s="137">
        <v>14696.445970000001</v>
      </c>
      <c r="I15" s="137">
        <v>15172.3488799999</v>
      </c>
      <c r="J15" s="137">
        <v>4688.1645699999999</v>
      </c>
      <c r="K15" s="137">
        <v>0</v>
      </c>
      <c r="L15" s="137">
        <v>0</v>
      </c>
      <c r="M15" s="137">
        <v>0</v>
      </c>
      <c r="N15" s="137">
        <v>0</v>
      </c>
      <c r="O15" s="137">
        <v>720</v>
      </c>
      <c r="P15" s="137">
        <v>720</v>
      </c>
    </row>
    <row r="16" spans="1:16">
      <c r="A16" s="398" t="str">
        <f t="shared" si="0"/>
        <v>PRODUCTION</v>
      </c>
      <c r="B16" s="134" t="s">
        <v>1534</v>
      </c>
      <c r="C16" s="134" t="str">
        <f t="shared" si="1"/>
        <v>ECR</v>
      </c>
      <c r="D16" s="137">
        <v>87388.49583</v>
      </c>
      <c r="E16" s="137">
        <v>101938.07219000001</v>
      </c>
      <c r="F16" s="137">
        <v>116678.35086999999</v>
      </c>
      <c r="G16" s="137">
        <v>128186.840969999</v>
      </c>
      <c r="H16" s="137">
        <v>138611.49661</v>
      </c>
      <c r="I16" s="137">
        <v>149845.32941000001</v>
      </c>
      <c r="J16" s="137">
        <v>160566.75214999999</v>
      </c>
      <c r="K16" s="137">
        <v>167022.93013999899</v>
      </c>
      <c r="L16" s="137">
        <v>175972.44013999999</v>
      </c>
      <c r="M16" s="137">
        <v>182866.68013999899</v>
      </c>
      <c r="N16" s="137">
        <v>188904.84464</v>
      </c>
      <c r="O16" s="137">
        <v>194676.03162999899</v>
      </c>
      <c r="P16" s="137">
        <v>197088.98074999999</v>
      </c>
    </row>
    <row r="17" spans="1:16">
      <c r="A17" s="398" t="str">
        <f t="shared" si="0"/>
        <v>TRANSMISSION</v>
      </c>
      <c r="B17" s="134" t="s">
        <v>611</v>
      </c>
      <c r="C17" s="134" t="str">
        <f t="shared" si="1"/>
        <v/>
      </c>
      <c r="D17" s="137">
        <v>21584.143410000001</v>
      </c>
      <c r="E17" s="137">
        <v>23853.247409999902</v>
      </c>
      <c r="F17" s="137">
        <v>25994.480389999899</v>
      </c>
      <c r="G17" s="137">
        <v>28030.456020000001</v>
      </c>
      <c r="H17" s="137">
        <v>26270.118279999999</v>
      </c>
      <c r="I17" s="137">
        <v>26232.508010000001</v>
      </c>
      <c r="J17" s="137">
        <v>27982.77765</v>
      </c>
      <c r="K17" s="137">
        <v>12595.139590000001</v>
      </c>
      <c r="L17" s="137">
        <v>14965.899020000001</v>
      </c>
      <c r="M17" s="137">
        <v>14477.858120000001</v>
      </c>
      <c r="N17" s="137">
        <v>13876.69634</v>
      </c>
      <c r="O17" s="137">
        <v>14034.52505</v>
      </c>
      <c r="P17" s="137">
        <v>7453.6794</v>
      </c>
    </row>
    <row r="19" spans="1:16">
      <c r="C19" s="134" t="str">
        <f t="shared" si="1"/>
        <v/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</row>
    <row r="20" spans="1:16">
      <c r="C20" s="134" t="str">
        <f t="shared" si="1"/>
        <v/>
      </c>
    </row>
    <row r="21" spans="1:16">
      <c r="C21" s="134" t="str">
        <f t="shared" si="1"/>
        <v/>
      </c>
    </row>
    <row r="22" spans="1:16">
      <c r="B22" s="134" t="s">
        <v>612</v>
      </c>
      <c r="C22" s="134" t="str">
        <f t="shared" si="1"/>
        <v/>
      </c>
    </row>
    <row r="23" spans="1:16">
      <c r="B23" s="134" t="s">
        <v>600</v>
      </c>
      <c r="C23" s="134" t="str">
        <f t="shared" si="1"/>
        <v/>
      </c>
      <c r="D23" s="137">
        <v>199.64586999999901</v>
      </c>
      <c r="E23" s="137">
        <v>201.04862</v>
      </c>
      <c r="F23" s="137">
        <v>182.66985999999901</v>
      </c>
      <c r="G23" s="137">
        <v>255.24769999999901</v>
      </c>
      <c r="H23" s="137">
        <v>236.69568999999899</v>
      </c>
      <c r="I23" s="137">
        <v>236.36453</v>
      </c>
      <c r="J23" s="137">
        <v>254.68003999999999</v>
      </c>
      <c r="K23" s="137">
        <v>258.95105999999998</v>
      </c>
      <c r="L23" s="137">
        <v>14.519959999999999</v>
      </c>
      <c r="M23" s="137">
        <v>3.05898000000002</v>
      </c>
      <c r="N23" s="137">
        <v>10.5025</v>
      </c>
      <c r="O23" s="137">
        <v>5.4042000000000199</v>
      </c>
      <c r="P23" s="137">
        <v>2.3092638912203199E-14</v>
      </c>
    </row>
    <row r="24" spans="1:16">
      <c r="B24" s="134" t="s">
        <v>602</v>
      </c>
      <c r="C24" s="134" t="str">
        <f t="shared" si="1"/>
        <v/>
      </c>
      <c r="D24" s="137">
        <v>5525.9642999999996</v>
      </c>
      <c r="E24" s="137">
        <v>6073.5054399999999</v>
      </c>
      <c r="F24" s="137">
        <v>6973.9237699999903</v>
      </c>
      <c r="G24" s="137">
        <v>6922.3360400000001</v>
      </c>
      <c r="H24" s="137">
        <v>7510.06124</v>
      </c>
      <c r="I24" s="137">
        <v>7729.8889399999898</v>
      </c>
      <c r="J24" s="137">
        <v>7084.7723100000003</v>
      </c>
      <c r="K24" s="137">
        <v>590.23901999999998</v>
      </c>
      <c r="L24" s="137">
        <v>660.14980999999898</v>
      </c>
      <c r="M24" s="137">
        <v>734.31788999999901</v>
      </c>
      <c r="N24" s="137">
        <v>811.67876999999999</v>
      </c>
      <c r="O24" s="137">
        <v>882.616479999999</v>
      </c>
      <c r="P24" s="137">
        <v>79.751400000000302</v>
      </c>
    </row>
    <row r="25" spans="1:16">
      <c r="B25" s="134" t="s">
        <v>603</v>
      </c>
      <c r="C25" s="134" t="str">
        <f t="shared" si="1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0.63676999999999995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</row>
    <row r="26" spans="1:16">
      <c r="B26" s="134" t="s">
        <v>604</v>
      </c>
      <c r="C26" s="134" t="str">
        <f t="shared" si="1"/>
        <v/>
      </c>
      <c r="D26" s="137">
        <v>6529.3722699999998</v>
      </c>
      <c r="E26" s="137">
        <v>6351.2172399999999</v>
      </c>
      <c r="F26" s="137">
        <v>6348.3539899999996</v>
      </c>
      <c r="G26" s="137">
        <v>6348.3539899999996</v>
      </c>
      <c r="H26" s="137">
        <v>6371.2153799999996</v>
      </c>
      <c r="I26" s="137">
        <v>6371.2153799999996</v>
      </c>
      <c r="J26" s="137">
        <v>6371.2153799999996</v>
      </c>
      <c r="K26" s="137">
        <v>29.944800000001099</v>
      </c>
      <c r="L26" s="137">
        <v>29.944800000001099</v>
      </c>
      <c r="M26" s="137">
        <v>29.944800000001099</v>
      </c>
      <c r="N26" s="137">
        <v>1.12265752250095E-12</v>
      </c>
      <c r="O26" s="137">
        <v>1.12265752250095E-12</v>
      </c>
      <c r="P26" s="137">
        <v>1.12265752250095E-12</v>
      </c>
    </row>
    <row r="27" spans="1:16">
      <c r="B27" s="134" t="s">
        <v>605</v>
      </c>
      <c r="C27" s="134" t="str">
        <f t="shared" si="1"/>
        <v/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</row>
    <row r="28" spans="1:16">
      <c r="B28" s="134" t="s">
        <v>606</v>
      </c>
      <c r="C28" s="134" t="str">
        <f t="shared" si="1"/>
        <v/>
      </c>
      <c r="D28" s="137">
        <v>13624.679040000001</v>
      </c>
      <c r="E28" s="137">
        <v>13639.96385</v>
      </c>
      <c r="F28" s="137">
        <v>13908.896919999999</v>
      </c>
      <c r="G28" s="137">
        <v>13906.570669999999</v>
      </c>
      <c r="H28" s="137">
        <v>13904.830669999999</v>
      </c>
      <c r="I28" s="137">
        <v>13904.830669999999</v>
      </c>
      <c r="J28" s="137">
        <v>13898.161469999999</v>
      </c>
      <c r="K28" s="137">
        <v>1.81898940354585E-12</v>
      </c>
      <c r="L28" s="137">
        <v>0.77000000000181901</v>
      </c>
      <c r="M28" s="137">
        <v>1.3000000000018099</v>
      </c>
      <c r="N28" s="137">
        <v>1.91135000000181</v>
      </c>
      <c r="O28" s="137">
        <v>1.81432646684243E-12</v>
      </c>
      <c r="P28" s="137">
        <v>1.81432646684243E-12</v>
      </c>
    </row>
    <row r="29" spans="1:16">
      <c r="B29" s="134" t="s">
        <v>607</v>
      </c>
      <c r="C29" s="134" t="str">
        <f t="shared" si="1"/>
        <v/>
      </c>
      <c r="D29" s="137">
        <v>6117.9514300000001</v>
      </c>
      <c r="E29" s="137">
        <v>8307.3607800000009</v>
      </c>
      <c r="F29" s="137">
        <v>9759.8093599999993</v>
      </c>
      <c r="G29" s="137">
        <v>14309.59381</v>
      </c>
      <c r="H29" s="137">
        <v>16003.112999999899</v>
      </c>
      <c r="I29" s="137">
        <v>17661.207869999998</v>
      </c>
      <c r="J29" s="137">
        <v>19978.135539999999</v>
      </c>
      <c r="K29" s="137">
        <v>17341.365040000001</v>
      </c>
      <c r="L29" s="137">
        <v>19666.847969999999</v>
      </c>
      <c r="M29" s="137">
        <v>22287.4005</v>
      </c>
      <c r="N29" s="137">
        <v>25244.603139999999</v>
      </c>
      <c r="O29" s="137">
        <v>25406.289110000002</v>
      </c>
      <c r="P29" s="137">
        <v>25992.419440000001</v>
      </c>
    </row>
    <row r="30" spans="1:16">
      <c r="B30" s="134" t="s">
        <v>608</v>
      </c>
      <c r="C30" s="134" t="str">
        <f t="shared" si="1"/>
        <v>ECR</v>
      </c>
      <c r="D30" s="137">
        <v>187.50001</v>
      </c>
      <c r="E30" s="137">
        <v>187.50001</v>
      </c>
      <c r="F30" s="137">
        <v>187.50001</v>
      </c>
      <c r="G30" s="137">
        <v>187.50001</v>
      </c>
      <c r="H30" s="137">
        <v>187.50001</v>
      </c>
      <c r="I30" s="137">
        <v>187.50001</v>
      </c>
      <c r="J30" s="137">
        <v>187.50001</v>
      </c>
      <c r="K30" s="137">
        <v>1.0000000003174099E-5</v>
      </c>
      <c r="L30" s="137">
        <v>1.0000000003174099E-5</v>
      </c>
      <c r="M30" s="137">
        <v>1.0000000003174099E-5</v>
      </c>
      <c r="N30" s="137">
        <v>1.0000000003174099E-5</v>
      </c>
      <c r="O30" s="137">
        <v>1.0000000003174099E-5</v>
      </c>
      <c r="P30" s="137">
        <v>1.0000000003174099E-5</v>
      </c>
    </row>
    <row r="31" spans="1:16">
      <c r="B31" s="134" t="s">
        <v>609</v>
      </c>
      <c r="C31" s="134" t="str">
        <f t="shared" si="1"/>
        <v>ECR</v>
      </c>
      <c r="D31" s="137">
        <v>11442.57386</v>
      </c>
      <c r="E31" s="137">
        <v>11442.57386</v>
      </c>
      <c r="F31" s="137">
        <v>11442.5738599999</v>
      </c>
      <c r="G31" s="137">
        <v>11442.5738599999</v>
      </c>
      <c r="H31" s="137">
        <v>11442.5738599999</v>
      </c>
      <c r="I31" s="137">
        <v>11442.57386</v>
      </c>
      <c r="J31" s="137">
        <v>11442.57386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</row>
    <row r="32" spans="1:16">
      <c r="B32" s="134" t="s">
        <v>1534</v>
      </c>
      <c r="C32" s="134" t="str">
        <f t="shared" si="1"/>
        <v>ECR</v>
      </c>
      <c r="D32" s="137">
        <v>197.09861000000001</v>
      </c>
      <c r="E32" s="137">
        <v>197.09861000000001</v>
      </c>
      <c r="F32" s="137">
        <v>197.09861000000001</v>
      </c>
      <c r="G32" s="137">
        <v>306.58366000000001</v>
      </c>
      <c r="H32" s="137">
        <v>355.02265999999997</v>
      </c>
      <c r="I32" s="137">
        <v>393.32646</v>
      </c>
      <c r="J32" s="137">
        <v>435.78028</v>
      </c>
      <c r="K32" s="137">
        <v>435.78028</v>
      </c>
      <c r="L32" s="137">
        <v>435.78028</v>
      </c>
      <c r="M32" s="137">
        <v>435.78028</v>
      </c>
      <c r="N32" s="137">
        <v>435.78028</v>
      </c>
      <c r="O32" s="137">
        <v>435.78028</v>
      </c>
      <c r="P32" s="137">
        <v>435.78028</v>
      </c>
    </row>
    <row r="33" spans="2:16">
      <c r="B33" s="134" t="s">
        <v>611</v>
      </c>
      <c r="C33" s="134" t="str">
        <f t="shared" si="1"/>
        <v/>
      </c>
      <c r="D33" s="137">
        <v>1303.66371999999</v>
      </c>
      <c r="E33" s="137">
        <v>1429.0204799999999</v>
      </c>
      <c r="F33" s="137">
        <v>1450.4166</v>
      </c>
      <c r="G33" s="137">
        <v>1435.5762299999999</v>
      </c>
      <c r="H33" s="137">
        <v>1117.9178899999999</v>
      </c>
      <c r="I33" s="137">
        <v>1156.6296500000001</v>
      </c>
      <c r="J33" s="137">
        <v>714.25233999999898</v>
      </c>
      <c r="K33" s="137">
        <v>-68.564650000000299</v>
      </c>
      <c r="L33" s="137">
        <v>-68.0754000000003</v>
      </c>
      <c r="M33" s="137">
        <v>2.5700699999996202</v>
      </c>
      <c r="N33" s="137">
        <v>24.074739999999601</v>
      </c>
      <c r="O33" s="137">
        <v>36.101939999999601</v>
      </c>
      <c r="P33" s="137">
        <v>71.276659999999595</v>
      </c>
    </row>
    <row r="34" spans="2:16">
      <c r="P34" s="336">
        <f>SUM(P25:P33)+P24</f>
        <v>26579.227790000004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S35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J43" sqref="J43"/>
    </sheetView>
  </sheetViews>
  <sheetFormatPr defaultColWidth="7.77734375" defaultRowHeight="15"/>
  <cols>
    <col min="1" max="1" width="11.33203125" style="137" customWidth="1"/>
    <col min="2" max="2" width="32.77734375" style="134" customWidth="1"/>
    <col min="3" max="16" width="9.33203125" style="137" customWidth="1"/>
    <col min="17" max="17" width="9.44140625" style="137" bestFit="1" customWidth="1"/>
    <col min="18" max="18" width="10.33203125" style="137" bestFit="1" customWidth="1"/>
    <col min="19" max="16384" width="7.77734375" style="137"/>
  </cols>
  <sheetData>
    <row r="1" spans="1:17" s="136" customFormat="1">
      <c r="B1" s="180"/>
    </row>
    <row r="2" spans="1:17" s="136" customFormat="1" ht="45">
      <c r="A2" s="136" t="s">
        <v>1595</v>
      </c>
      <c r="B2" s="180" t="s">
        <v>1507</v>
      </c>
      <c r="C2" s="180" t="s">
        <v>1596</v>
      </c>
      <c r="D2" s="136" t="s">
        <v>1831</v>
      </c>
      <c r="E2" s="136" t="s">
        <v>1832</v>
      </c>
      <c r="F2" s="136" t="s">
        <v>1833</v>
      </c>
      <c r="G2" s="136" t="s">
        <v>1834</v>
      </c>
      <c r="H2" s="136" t="s">
        <v>1835</v>
      </c>
      <c r="I2" s="136" t="s">
        <v>1836</v>
      </c>
      <c r="J2" s="136" t="s">
        <v>1837</v>
      </c>
      <c r="K2" s="136" t="s">
        <v>1838</v>
      </c>
      <c r="L2" s="136" t="s">
        <v>1839</v>
      </c>
      <c r="M2" s="136" t="s">
        <v>1840</v>
      </c>
      <c r="N2" s="136" t="s">
        <v>1841</v>
      </c>
      <c r="O2" s="136" t="s">
        <v>1842</v>
      </c>
      <c r="P2" s="136" t="s">
        <v>1843</v>
      </c>
      <c r="Q2" s="136" t="s">
        <v>1830</v>
      </c>
    </row>
    <row r="3" spans="1:17" s="136" customFormat="1">
      <c r="B3" s="180"/>
    </row>
    <row r="5" spans="1:17">
      <c r="B5" s="134" t="s">
        <v>599</v>
      </c>
    </row>
    <row r="6" spans="1:17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 t="shared" ref="C6:C22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9492.68289</v>
      </c>
      <c r="E6" s="137">
        <v>8870.3341799999998</v>
      </c>
      <c r="F6" s="137">
        <v>11757.634980000001</v>
      </c>
      <c r="G6" s="137">
        <v>12335.22013</v>
      </c>
      <c r="H6" s="137">
        <v>13736.867700000001</v>
      </c>
      <c r="I6" s="137">
        <v>14899.909820000001</v>
      </c>
      <c r="J6" s="137">
        <v>16860.03256</v>
      </c>
      <c r="K6" s="137">
        <v>14914.6633099999</v>
      </c>
      <c r="L6" s="137">
        <v>11239.0198899999</v>
      </c>
      <c r="M6" s="137">
        <v>12302.4521999999</v>
      </c>
      <c r="N6" s="137">
        <v>13290.1831699999</v>
      </c>
      <c r="O6" s="137">
        <v>15261.6321199999</v>
      </c>
      <c r="P6" s="137">
        <v>16891.308469999902</v>
      </c>
      <c r="Q6" s="137">
        <f t="shared" ref="Q6:Q22" si="1">SUM(D6:P6)/13</f>
        <v>13219.380109230724</v>
      </c>
    </row>
    <row r="7" spans="1:17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 t="shared" si="0"/>
        <v/>
      </c>
      <c r="D7" s="137">
        <v>12383.546329999999</v>
      </c>
      <c r="E7" s="137">
        <v>13054.96048</v>
      </c>
      <c r="F7" s="137">
        <v>12765.466189999999</v>
      </c>
      <c r="G7" s="137">
        <v>12934.24791</v>
      </c>
      <c r="H7" s="137">
        <v>13934.577160000001</v>
      </c>
      <c r="I7" s="137">
        <v>14962.321980000001</v>
      </c>
      <c r="J7" s="137">
        <v>12281.158719999999</v>
      </c>
      <c r="K7" s="137">
        <v>12218.070170000001</v>
      </c>
      <c r="L7" s="137">
        <v>10940.49209</v>
      </c>
      <c r="M7" s="137">
        <v>11599.65114</v>
      </c>
      <c r="N7" s="137">
        <v>12725.614740000001</v>
      </c>
      <c r="O7" s="137">
        <v>9147.5697999999993</v>
      </c>
      <c r="P7" s="137">
        <v>9878.93858</v>
      </c>
      <c r="Q7" s="137">
        <f t="shared" si="1"/>
        <v>12217.431945384615</v>
      </c>
    </row>
    <row r="8" spans="1:17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 t="shared" si="0"/>
        <v/>
      </c>
      <c r="D8" s="137">
        <v>24207.286179999901</v>
      </c>
      <c r="E8" s="137">
        <v>28161.337989999902</v>
      </c>
      <c r="F8" s="137">
        <v>27297.955469999899</v>
      </c>
      <c r="G8" s="137">
        <v>25273.710559999901</v>
      </c>
      <c r="H8" s="137">
        <v>28983.682409999899</v>
      </c>
      <c r="I8" s="137">
        <v>32628.245489999899</v>
      </c>
      <c r="J8" s="137">
        <v>36321.5444099999</v>
      </c>
      <c r="K8" s="137">
        <v>39852.073239999903</v>
      </c>
      <c r="L8" s="137">
        <v>13645.1153599999</v>
      </c>
      <c r="M8" s="137">
        <v>16823.165459999898</v>
      </c>
      <c r="N8" s="137">
        <v>19512.872159999901</v>
      </c>
      <c r="O8" s="137">
        <v>22477.674989999901</v>
      </c>
      <c r="P8" s="137">
        <v>25301.8315699999</v>
      </c>
      <c r="Q8" s="137">
        <f t="shared" si="1"/>
        <v>26191.268868461444</v>
      </c>
    </row>
    <row r="9" spans="1:17">
      <c r="A9" s="398" t="str">
        <f t="shared" ref="A9:A17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si="0"/>
        <v/>
      </c>
      <c r="D9" s="137">
        <v>500.68702000000002</v>
      </c>
      <c r="E9" s="137">
        <v>688.23940000000005</v>
      </c>
      <c r="F9" s="137">
        <v>900.92891999999995</v>
      </c>
      <c r="G9" s="137">
        <v>951.1431</v>
      </c>
      <c r="H9" s="137">
        <v>1059.95054</v>
      </c>
      <c r="I9" s="137">
        <v>1155.15482</v>
      </c>
      <c r="J9" s="137">
        <v>1205.3689999999999</v>
      </c>
      <c r="K9" s="137">
        <v>1305.30908</v>
      </c>
      <c r="L9" s="137">
        <v>903.47445000000005</v>
      </c>
      <c r="M9" s="137">
        <v>990.08241999999996</v>
      </c>
      <c r="N9" s="137">
        <v>1076.6904500000001</v>
      </c>
      <c r="O9" s="137">
        <v>1163.2984799999999</v>
      </c>
      <c r="P9" s="137">
        <v>1249.90651</v>
      </c>
      <c r="Q9" s="137">
        <f t="shared" si="1"/>
        <v>1011.5564761538462</v>
      </c>
    </row>
    <row r="10" spans="1:17">
      <c r="A10" s="398" t="str">
        <f t="shared" si="2"/>
        <v>PRODUCTION</v>
      </c>
      <c r="B10" s="134" t="s">
        <v>604</v>
      </c>
      <c r="C10" s="134" t="str">
        <f t="shared" si="0"/>
        <v/>
      </c>
      <c r="D10" s="137">
        <v>-4.5474735088646402E-13</v>
      </c>
      <c r="E10" s="137">
        <v>-4.5474735088646402E-13</v>
      </c>
      <c r="F10" s="137">
        <v>-4.5474735088646402E-13</v>
      </c>
      <c r="G10" s="137">
        <v>-4.5474735088646402E-13</v>
      </c>
      <c r="H10" s="137">
        <v>-4.5474735088646402E-13</v>
      </c>
      <c r="I10" s="137">
        <v>-4.5474735088646402E-13</v>
      </c>
      <c r="J10" s="137">
        <v>-4.5474735088646402E-13</v>
      </c>
      <c r="K10" s="137">
        <v>-4.5474735088646402E-13</v>
      </c>
      <c r="L10" s="137">
        <v>-4.5474735088646402E-13</v>
      </c>
      <c r="M10" s="137">
        <v>-4.5474735088646402E-13</v>
      </c>
      <c r="N10" s="137">
        <v>-4.5474735088646402E-13</v>
      </c>
      <c r="O10" s="137">
        <v>80.263489999999507</v>
      </c>
      <c r="P10" s="137">
        <v>80.263489999999507</v>
      </c>
      <c r="Q10" s="137">
        <f t="shared" si="1"/>
        <v>12.348229230768769</v>
      </c>
    </row>
    <row r="11" spans="1:17">
      <c r="A11" s="398" t="str">
        <f t="shared" si="2"/>
        <v>INTANGIBLE</v>
      </c>
      <c r="B11" s="134" t="s">
        <v>605</v>
      </c>
      <c r="C11" s="134" t="str">
        <f t="shared" si="0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f t="shared" si="1"/>
        <v>0</v>
      </c>
    </row>
    <row r="12" spans="1:17">
      <c r="A12" s="398" t="str">
        <f t="shared" si="2"/>
        <v>PRODUCTION</v>
      </c>
      <c r="B12" s="134" t="s">
        <v>606</v>
      </c>
      <c r="C12" s="134" t="str">
        <f t="shared" si="0"/>
        <v/>
      </c>
      <c r="D12" s="137">
        <v>7769.6552099999999</v>
      </c>
      <c r="E12" s="137">
        <v>1009.15763</v>
      </c>
      <c r="F12" s="137">
        <v>1042.82429</v>
      </c>
      <c r="G12" s="137">
        <v>1393.9370799999999</v>
      </c>
      <c r="H12" s="137">
        <v>1829.7398900000001</v>
      </c>
      <c r="I12" s="137">
        <v>1846.0528200000001</v>
      </c>
      <c r="J12" s="137">
        <v>2126.9995199999998</v>
      </c>
      <c r="K12" s="137">
        <v>1959.3409300000001</v>
      </c>
      <c r="L12" s="137">
        <v>404.52168999999998</v>
      </c>
      <c r="M12" s="137">
        <v>486.52508999999998</v>
      </c>
      <c r="N12" s="137">
        <v>351.11291</v>
      </c>
      <c r="O12" s="137">
        <v>3896.1026000000002</v>
      </c>
      <c r="P12" s="137">
        <v>8.9197700000004208</v>
      </c>
      <c r="Q12" s="137">
        <f t="shared" si="1"/>
        <v>1855.7607253846156</v>
      </c>
    </row>
    <row r="13" spans="1:17">
      <c r="A13" s="398" t="str">
        <f t="shared" si="2"/>
        <v>PRODUCTION</v>
      </c>
      <c r="B13" s="134" t="s">
        <v>607</v>
      </c>
      <c r="C13" s="134" t="str">
        <f t="shared" si="0"/>
        <v/>
      </c>
      <c r="D13" s="137">
        <v>27517.8065099999</v>
      </c>
      <c r="E13" s="137">
        <v>14323.329809999899</v>
      </c>
      <c r="F13" s="137">
        <v>15628.1831699999</v>
      </c>
      <c r="G13" s="137">
        <v>17417.557169999902</v>
      </c>
      <c r="H13" s="137">
        <v>20938.185099999901</v>
      </c>
      <c r="I13" s="137">
        <v>24831.5949799999</v>
      </c>
      <c r="J13" s="137">
        <v>43831.736889999898</v>
      </c>
      <c r="K13" s="137">
        <v>37867.037049999897</v>
      </c>
      <c r="L13" s="137">
        <v>15193.5073399999</v>
      </c>
      <c r="M13" s="137">
        <v>16255.3997799999</v>
      </c>
      <c r="N13" s="137">
        <v>17348.369969999902</v>
      </c>
      <c r="O13" s="137">
        <v>18635.714669999899</v>
      </c>
      <c r="P13" s="137">
        <v>24838.6518599999</v>
      </c>
      <c r="Q13" s="137">
        <f t="shared" si="1"/>
        <v>22663.621099999906</v>
      </c>
    </row>
    <row r="14" spans="1:17">
      <c r="A14" s="398" t="str">
        <f t="shared" si="2"/>
        <v>PRODUCTION</v>
      </c>
      <c r="B14" s="134" t="s">
        <v>608</v>
      </c>
      <c r="C14" s="134" t="str">
        <f t="shared" si="0"/>
        <v>ECR</v>
      </c>
      <c r="D14" s="137">
        <v>54058.9878199999</v>
      </c>
      <c r="E14" s="137">
        <v>55289.441919999997</v>
      </c>
      <c r="F14" s="137">
        <v>57115.8160299999</v>
      </c>
      <c r="G14" s="137">
        <v>59123.540139999997</v>
      </c>
      <c r="H14" s="137">
        <v>60962.004249999998</v>
      </c>
      <c r="I14" s="137">
        <v>63524.1175</v>
      </c>
      <c r="J14" s="137">
        <v>64339.221599999997</v>
      </c>
      <c r="K14" s="137">
        <v>39883.634140000002</v>
      </c>
      <c r="L14" s="137">
        <v>7.2759576141834202E-12</v>
      </c>
      <c r="M14" s="137">
        <v>7.2759576141834202E-12</v>
      </c>
      <c r="N14" s="137">
        <v>7.2759576141834202E-12</v>
      </c>
      <c r="O14" s="137">
        <v>7.2759576141834202E-12</v>
      </c>
      <c r="P14" s="137">
        <v>7.2759576141834202E-12</v>
      </c>
      <c r="Q14" s="137">
        <f t="shared" si="1"/>
        <v>34945.904876923058</v>
      </c>
    </row>
    <row r="15" spans="1:17">
      <c r="A15" s="398" t="str">
        <f t="shared" si="2"/>
        <v>PRODUCTION</v>
      </c>
      <c r="B15" s="134" t="s">
        <v>609</v>
      </c>
      <c r="C15" s="134" t="str">
        <f t="shared" si="0"/>
        <v>ECR</v>
      </c>
      <c r="D15" s="137">
        <v>891.61828000000003</v>
      </c>
      <c r="E15" s="137">
        <v>1178.3101099999999</v>
      </c>
      <c r="F15" s="137">
        <v>1178.3101099999999</v>
      </c>
      <c r="G15" s="137">
        <v>1465.0019400000001</v>
      </c>
      <c r="H15" s="137">
        <v>1465.0019400000001</v>
      </c>
      <c r="I15" s="137">
        <v>1465.0019400000001</v>
      </c>
      <c r="J15" s="137">
        <v>1465.0019400000001</v>
      </c>
      <c r="K15" s="137">
        <v>1751.6937700000001</v>
      </c>
      <c r="L15" s="137">
        <v>1866.7673</v>
      </c>
      <c r="M15" s="137">
        <v>1866.7673</v>
      </c>
      <c r="N15" s="137">
        <v>1866.7673</v>
      </c>
      <c r="O15" s="137">
        <v>1866.7673</v>
      </c>
      <c r="P15" s="137">
        <v>2855.5089899999998</v>
      </c>
      <c r="Q15" s="137">
        <f t="shared" si="1"/>
        <v>1629.4244784615382</v>
      </c>
    </row>
    <row r="16" spans="1:17">
      <c r="A16" s="398" t="str">
        <f t="shared" si="2"/>
        <v>PRODUCTION</v>
      </c>
      <c r="B16" s="134" t="s">
        <v>1534</v>
      </c>
      <c r="C16" s="134" t="str">
        <f t="shared" si="0"/>
        <v>ECR</v>
      </c>
      <c r="D16" s="137">
        <v>3528.45612999996</v>
      </c>
      <c r="E16" s="137">
        <v>3547.95612999996</v>
      </c>
      <c r="F16" s="137">
        <v>3567.45612999996</v>
      </c>
      <c r="G16" s="137">
        <v>3586.95612999996</v>
      </c>
      <c r="H16" s="137">
        <v>3606.45612999996</v>
      </c>
      <c r="I16" s="137">
        <v>3625.95612999997</v>
      </c>
      <c r="J16" s="137">
        <v>3645.45612999996</v>
      </c>
      <c r="K16" s="137">
        <v>3664.95612999996</v>
      </c>
      <c r="L16" s="137">
        <v>-2.0000029508082601E-5</v>
      </c>
      <c r="M16" s="137">
        <v>-2.0000029508082601E-5</v>
      </c>
      <c r="N16" s="137">
        <v>-2.0000029508082601E-5</v>
      </c>
      <c r="O16" s="137">
        <v>-2.0000029508082601E-5</v>
      </c>
      <c r="P16" s="137">
        <v>-2.0000029508082601E-5</v>
      </c>
      <c r="Q16" s="137">
        <f t="shared" si="1"/>
        <v>2213.3576107691956</v>
      </c>
    </row>
    <row r="17" spans="1:17">
      <c r="A17" s="398" t="str">
        <f t="shared" si="2"/>
        <v>TRANSMISSION</v>
      </c>
      <c r="B17" s="134" t="s">
        <v>611</v>
      </c>
      <c r="C17" s="134" t="str">
        <f t="shared" si="0"/>
        <v/>
      </c>
      <c r="D17" s="137">
        <v>16815.111830000002</v>
      </c>
      <c r="E17" s="137">
        <v>13921.506890000001</v>
      </c>
      <c r="F17" s="137">
        <v>11556.00633</v>
      </c>
      <c r="G17" s="137">
        <v>9694.1545600000009</v>
      </c>
      <c r="H17" s="137">
        <v>10831.95047</v>
      </c>
      <c r="I17" s="137">
        <v>11180.245489999999</v>
      </c>
      <c r="J17" s="137">
        <v>12900.05126</v>
      </c>
      <c r="K17" s="137">
        <v>14337.97603</v>
      </c>
      <c r="L17" s="137">
        <v>6704.4809400000004</v>
      </c>
      <c r="M17" s="137">
        <v>8856.1090299999996</v>
      </c>
      <c r="N17" s="137">
        <v>11626.40422</v>
      </c>
      <c r="O17" s="137">
        <v>13989.14482</v>
      </c>
      <c r="P17" s="137">
        <v>15961.792509999999</v>
      </c>
      <c r="Q17" s="137">
        <f t="shared" si="1"/>
        <v>12182.687259999999</v>
      </c>
    </row>
    <row r="18" spans="1:17">
      <c r="C18" s="134" t="str">
        <f t="shared" si="0"/>
        <v/>
      </c>
      <c r="Q18" s="137">
        <f>SUM(Q6:Q17)</f>
        <v>128142.74167999972</v>
      </c>
    </row>
    <row r="19" spans="1:17">
      <c r="C19" s="134" t="str">
        <f t="shared" si="0"/>
        <v/>
      </c>
      <c r="Q19" s="137">
        <f t="shared" si="1"/>
        <v>0</v>
      </c>
    </row>
    <row r="20" spans="1:17">
      <c r="B20" s="134" t="s">
        <v>612</v>
      </c>
      <c r="C20" s="134" t="str">
        <f t="shared" si="0"/>
        <v/>
      </c>
      <c r="Q20" s="137">
        <f t="shared" si="1"/>
        <v>0</v>
      </c>
    </row>
    <row r="21" spans="1:17">
      <c r="B21" s="134" t="s">
        <v>600</v>
      </c>
      <c r="C21" s="134" t="str">
        <f t="shared" si="0"/>
        <v/>
      </c>
      <c r="D21" s="137">
        <v>2.1316282072802999E-14</v>
      </c>
      <c r="E21" s="137">
        <v>2.1316282072802999E-14</v>
      </c>
      <c r="F21" s="137">
        <v>2.1316282072802999E-14</v>
      </c>
      <c r="G21" s="137">
        <v>2.1316282072802999E-14</v>
      </c>
      <c r="H21" s="137">
        <v>2.1316282072802999E-14</v>
      </c>
      <c r="I21" s="137">
        <v>2.1316282072802999E-14</v>
      </c>
      <c r="J21" s="137">
        <v>2.1316282072802999E-14</v>
      </c>
      <c r="K21" s="137">
        <v>2.1316282072802999E-14</v>
      </c>
      <c r="L21" s="137">
        <v>2.1316282072802999E-14</v>
      </c>
      <c r="M21" s="137">
        <v>2.1316282072802999E-14</v>
      </c>
      <c r="N21" s="137">
        <v>2.1316282072802999E-14</v>
      </c>
      <c r="O21" s="137">
        <v>2.1316282072802999E-14</v>
      </c>
      <c r="P21" s="137">
        <v>2.1316282072802999E-14</v>
      </c>
      <c r="Q21" s="137">
        <f t="shared" si="1"/>
        <v>2.1316282072803002E-14</v>
      </c>
    </row>
    <row r="22" spans="1:17">
      <c r="B22" s="134" t="s">
        <v>602</v>
      </c>
      <c r="C22" s="134" t="str">
        <f t="shared" si="0"/>
        <v/>
      </c>
      <c r="D22" s="137">
        <v>675.20136000000002</v>
      </c>
      <c r="E22" s="137">
        <v>871.17964000000097</v>
      </c>
      <c r="F22" s="137">
        <v>1122.9090799999999</v>
      </c>
      <c r="G22" s="137">
        <v>1351.10456</v>
      </c>
      <c r="H22" s="137">
        <v>1578.3906400000001</v>
      </c>
      <c r="I22" s="137">
        <v>1786.1411499999999</v>
      </c>
      <c r="J22" s="137">
        <v>1996.2684300000001</v>
      </c>
      <c r="K22" s="137">
        <v>2195.8231300000002</v>
      </c>
      <c r="L22" s="137">
        <v>917.77047000000198</v>
      </c>
      <c r="M22" s="137">
        <v>1100.7457199999999</v>
      </c>
      <c r="N22" s="137">
        <v>1285.90887</v>
      </c>
      <c r="O22" s="137">
        <v>1515.29369</v>
      </c>
      <c r="P22" s="137">
        <v>1739.8060599999999</v>
      </c>
      <c r="Q22" s="137">
        <f t="shared" si="1"/>
        <v>1395.1186769230769</v>
      </c>
    </row>
    <row r="23" spans="1:17">
      <c r="B23" s="134" t="s">
        <v>603</v>
      </c>
      <c r="C23" s="134"/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</row>
    <row r="24" spans="1:17">
      <c r="B24" s="134" t="s">
        <v>604</v>
      </c>
      <c r="C24" s="134" t="str">
        <f t="shared" ref="C24:C35" si="3">IF(ISTEXT(MID($B24,SEARCH("FUTURE USE",$B24),3)),"FUTURE USE",IF(ISTEXT(MID($B24,SEARCH("ECR",$B24),3)),"ECR",IF(ISTEXT(MID($B24,SEARCH("ARO",$B24),3)),"ARO",IF(ISTEXT(MID($B24,SEARCH("DSM",$B24),3)),"DSM",IF(ISTEXT(MID($B24,SEARCH("GLT",$B24),3)),"GLT","")))))</f>
        <v/>
      </c>
      <c r="D24" s="137">
        <v>1.12265752250095E-12</v>
      </c>
      <c r="E24" s="137">
        <v>1.12265752250095E-12</v>
      </c>
      <c r="F24" s="137">
        <v>1.12265752250095E-12</v>
      </c>
      <c r="G24" s="137">
        <v>1.12265752250095E-12</v>
      </c>
      <c r="H24" s="137">
        <v>1.12265752250095E-12</v>
      </c>
      <c r="I24" s="137">
        <v>1.12265752250095E-12</v>
      </c>
      <c r="J24" s="137">
        <v>1.12265752250095E-12</v>
      </c>
      <c r="K24" s="137">
        <v>1.12265752250095E-12</v>
      </c>
      <c r="L24" s="137">
        <v>1.12265752250095E-12</v>
      </c>
      <c r="M24" s="137">
        <v>1.12265752250095E-12</v>
      </c>
      <c r="N24" s="137">
        <v>1.12265752250095E-12</v>
      </c>
      <c r="O24" s="137">
        <v>9.9108500000011208</v>
      </c>
      <c r="P24" s="137">
        <v>9.9108500000011208</v>
      </c>
      <c r="Q24" s="137">
        <f t="shared" ref="Q24:Q31" si="4">SUM(D24:P24)/13</f>
        <v>1.5247461538472762</v>
      </c>
    </row>
    <row r="25" spans="1:17">
      <c r="B25" s="134" t="s">
        <v>605</v>
      </c>
      <c r="C25" s="134" t="str">
        <f t="shared" si="3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f t="shared" si="4"/>
        <v>0</v>
      </c>
    </row>
    <row r="26" spans="1:17">
      <c r="B26" s="134" t="s">
        <v>606</v>
      </c>
      <c r="C26" s="134" t="str">
        <f t="shared" si="3"/>
        <v/>
      </c>
      <c r="D26" s="137">
        <v>322.544250000001</v>
      </c>
      <c r="E26" s="137">
        <v>1.87583282240666E-12</v>
      </c>
      <c r="F26" s="137">
        <v>1.87583282240666E-12</v>
      </c>
      <c r="G26" s="137">
        <v>1.87583282240666E-12</v>
      </c>
      <c r="H26" s="137">
        <v>1.87583282240666E-12</v>
      </c>
      <c r="I26" s="137">
        <v>1.87583282240666E-12</v>
      </c>
      <c r="J26" s="137">
        <v>1.87583282240666E-12</v>
      </c>
      <c r="K26" s="137">
        <v>1.87583282240666E-12</v>
      </c>
      <c r="L26" s="137">
        <v>1.87583282240666E-12</v>
      </c>
      <c r="M26" s="137">
        <v>7.7820200000018698</v>
      </c>
      <c r="N26" s="137">
        <v>7.7820200000018698</v>
      </c>
      <c r="O26" s="137">
        <v>857.07096000000195</v>
      </c>
      <c r="P26" s="137">
        <v>0.99108000000194296</v>
      </c>
      <c r="Q26" s="137">
        <f t="shared" si="4"/>
        <v>92.013102307694126</v>
      </c>
    </row>
    <row r="27" spans="1:17">
      <c r="B27" s="134" t="s">
        <v>607</v>
      </c>
      <c r="C27" s="134" t="str">
        <f t="shared" si="3"/>
        <v/>
      </c>
      <c r="D27" s="137">
        <v>32383.662810000002</v>
      </c>
      <c r="E27" s="137">
        <v>32375.67499</v>
      </c>
      <c r="F27" s="137">
        <v>33343.492299999998</v>
      </c>
      <c r="G27" s="137">
        <v>34714.48216</v>
      </c>
      <c r="H27" s="137">
        <v>36501.249159999999</v>
      </c>
      <c r="I27" s="137">
        <v>606.91763000000299</v>
      </c>
      <c r="J27" s="137">
        <v>2713.2116700000001</v>
      </c>
      <c r="K27" s="137">
        <v>2655.9639299999999</v>
      </c>
      <c r="L27" s="137">
        <v>687.02831000000401</v>
      </c>
      <c r="M27" s="137">
        <v>706.20336000000395</v>
      </c>
      <c r="N27" s="137">
        <v>725.37841000000401</v>
      </c>
      <c r="O27" s="137">
        <v>774.94331000000398</v>
      </c>
      <c r="P27" s="137">
        <v>1195.50803</v>
      </c>
      <c r="Q27" s="137">
        <f t="shared" si="4"/>
        <v>13798.74739</v>
      </c>
    </row>
    <row r="28" spans="1:17">
      <c r="B28" s="134" t="s">
        <v>608</v>
      </c>
      <c r="C28" s="134" t="str">
        <f t="shared" si="3"/>
        <v>ECR</v>
      </c>
      <c r="D28" s="137">
        <v>1.0000000003174099E-5</v>
      </c>
      <c r="E28" s="137">
        <v>1.0000000003174099E-5</v>
      </c>
      <c r="F28" s="137">
        <v>1.0000000003174099E-5</v>
      </c>
      <c r="G28" s="137">
        <v>1.0000000003174099E-5</v>
      </c>
      <c r="H28" s="137">
        <v>1.0000000003174099E-5</v>
      </c>
      <c r="I28" s="137">
        <v>1.0000000003174099E-5</v>
      </c>
      <c r="J28" s="137">
        <v>1.0000000003174099E-5</v>
      </c>
      <c r="K28" s="137">
        <v>1.0000000003174099E-5</v>
      </c>
      <c r="L28" s="137">
        <v>3.17413569115698E-15</v>
      </c>
      <c r="M28" s="137">
        <v>3.17413569115698E-15</v>
      </c>
      <c r="N28" s="137">
        <v>3.17413569115698E-15</v>
      </c>
      <c r="O28" s="137">
        <v>3.17413569115698E-15</v>
      </c>
      <c r="P28" s="137">
        <v>3.17413569115698E-15</v>
      </c>
      <c r="Q28" s="137">
        <f t="shared" si="4"/>
        <v>6.1538461570202668E-6</v>
      </c>
    </row>
    <row r="29" spans="1:17">
      <c r="B29" s="134" t="s">
        <v>609</v>
      </c>
      <c r="C29" s="134" t="str">
        <f t="shared" si="3"/>
        <v>ECR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145.68957999999901</v>
      </c>
      <c r="Q29" s="137">
        <f>SUM(D29:P29)/13</f>
        <v>11.206890769230693</v>
      </c>
    </row>
    <row r="30" spans="1:17">
      <c r="B30" s="134" t="s">
        <v>1534</v>
      </c>
      <c r="C30" s="134" t="str">
        <f t="shared" si="3"/>
        <v>ECR</v>
      </c>
      <c r="D30" s="137">
        <v>-5.6843418860808002E-14</v>
      </c>
      <c r="E30" s="137">
        <v>-5.6843418860808002E-14</v>
      </c>
      <c r="F30" s="137">
        <v>-5.6843418860808002E-14</v>
      </c>
      <c r="G30" s="137">
        <v>-5.6843418860808002E-14</v>
      </c>
      <c r="H30" s="137">
        <v>-5.6843418860808002E-14</v>
      </c>
      <c r="I30" s="137">
        <v>-5.6843418860808002E-14</v>
      </c>
      <c r="J30" s="137">
        <v>-5.6843418860808002E-14</v>
      </c>
      <c r="K30" s="137">
        <v>-5.6843418860808002E-14</v>
      </c>
      <c r="L30" s="137">
        <v>-5.6843418860808002E-14</v>
      </c>
      <c r="M30" s="137">
        <v>-5.6843418860808002E-14</v>
      </c>
      <c r="N30" s="137">
        <v>-5.6843418860808002E-14</v>
      </c>
      <c r="O30" s="137">
        <v>-5.6843418860808002E-14</v>
      </c>
      <c r="P30" s="137">
        <v>-5.6843418860808002E-14</v>
      </c>
      <c r="Q30" s="137">
        <f>SUM(D30:P30)/13</f>
        <v>-5.6843418860808009E-14</v>
      </c>
    </row>
    <row r="31" spans="1:17">
      <c r="B31" s="134" t="s">
        <v>611</v>
      </c>
      <c r="C31" s="134" t="str">
        <f t="shared" si="3"/>
        <v/>
      </c>
      <c r="D31" s="137">
        <v>1463.81527999999</v>
      </c>
      <c r="E31" s="137">
        <v>1196.9487199999901</v>
      </c>
      <c r="F31" s="137">
        <v>964.85232999999903</v>
      </c>
      <c r="G31" s="137">
        <v>983.39674999999897</v>
      </c>
      <c r="H31" s="137">
        <v>1109.9414199999901</v>
      </c>
      <c r="I31" s="137">
        <v>1280.2464299999899</v>
      </c>
      <c r="J31" s="137">
        <v>1461.7761799999901</v>
      </c>
      <c r="K31" s="137">
        <v>1627.3511899999901</v>
      </c>
      <c r="L31" s="137">
        <v>1557.01555999999</v>
      </c>
      <c r="M31" s="137">
        <v>1631.95343999999</v>
      </c>
      <c r="N31" s="137">
        <v>1707.9913199999901</v>
      </c>
      <c r="O31" s="137">
        <v>1807.67919999999</v>
      </c>
      <c r="P31" s="137">
        <v>1936.7205799999899</v>
      </c>
      <c r="Q31" s="137">
        <f t="shared" si="4"/>
        <v>1440.7452615384532</v>
      </c>
    </row>
    <row r="32" spans="1:17">
      <c r="C32" s="134" t="str">
        <f t="shared" si="3"/>
        <v/>
      </c>
      <c r="P32" s="336">
        <f>SUM(P23:P31)+P22</f>
        <v>5028.626179999992</v>
      </c>
      <c r="Q32" s="336">
        <f>SUM(Q23:Q31)+Q22</f>
        <v>16739.356073846149</v>
      </c>
    </row>
    <row r="33" spans="3:19">
      <c r="C33" s="134" t="str">
        <f t="shared" si="3"/>
        <v/>
      </c>
      <c r="R33" s="336"/>
      <c r="S33" s="336"/>
    </row>
    <row r="34" spans="3:19">
      <c r="C34" s="134" t="str">
        <f t="shared" si="3"/>
        <v/>
      </c>
    </row>
    <row r="35" spans="3:19">
      <c r="C35" s="134" t="str">
        <f t="shared" si="3"/>
        <v/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O25"/>
  <sheetViews>
    <sheetView workbookViewId="0">
      <selection activeCell="H25" sqref="H25"/>
    </sheetView>
  </sheetViews>
  <sheetFormatPr defaultColWidth="9" defaultRowHeight="15" outlineLevelCol="1"/>
  <cols>
    <col min="1" max="1" width="38.88671875" style="283" bestFit="1" customWidth="1"/>
    <col min="2" max="2" width="13.33203125" style="283" bestFit="1" customWidth="1"/>
    <col min="3" max="3" width="2" style="283" customWidth="1"/>
    <col min="4" max="4" width="8.33203125" style="283" bestFit="1" customWidth="1"/>
    <col min="5" max="5" width="14.77734375" style="283" bestFit="1" customWidth="1"/>
    <col min="6" max="6" width="12.44140625" style="283" bestFit="1" customWidth="1"/>
    <col min="7" max="7" width="13.6640625" style="283" customWidth="1"/>
    <col min="8" max="9" width="9" style="283"/>
    <col min="10" max="10" width="9" style="283" bestFit="1" customWidth="1"/>
    <col min="11" max="11" width="24" style="283" customWidth="1"/>
    <col min="12" max="23" width="10.109375" style="283" hidden="1" customWidth="1" outlineLevel="1"/>
    <col min="24" max="24" width="10.109375" style="283" customWidth="1" collapsed="1"/>
    <col min="25" max="39" width="10.109375" style="283" hidden="1" customWidth="1" outlineLevel="1"/>
    <col min="40" max="40" width="10.109375" style="283" customWidth="1" collapsed="1"/>
    <col min="41" max="41" width="10" style="283" customWidth="1"/>
    <col min="42" max="16384" width="9" style="283"/>
  </cols>
  <sheetData>
    <row r="1" spans="1:41">
      <c r="A1" s="283" t="s">
        <v>1488</v>
      </c>
    </row>
    <row r="2" spans="1:41">
      <c r="A2" s="283" t="s">
        <v>103</v>
      </c>
      <c r="B2" s="337" t="s">
        <v>1408</v>
      </c>
    </row>
    <row r="3" spans="1:41">
      <c r="G3" s="338">
        <v>41882</v>
      </c>
    </row>
    <row r="4" spans="1:41">
      <c r="A4" s="339" t="s">
        <v>689</v>
      </c>
      <c r="B4" s="340"/>
      <c r="E4" s="288" t="s">
        <v>1484</v>
      </c>
      <c r="F4" s="288" t="s">
        <v>1485</v>
      </c>
      <c r="G4" s="283" t="s">
        <v>1486</v>
      </c>
    </row>
    <row r="5" spans="1:41">
      <c r="A5" s="318" t="s">
        <v>786</v>
      </c>
      <c r="B5" s="340">
        <v>360851.26</v>
      </c>
      <c r="K5" s="288" t="s">
        <v>1490</v>
      </c>
      <c r="L5" s="287">
        <v>43100</v>
      </c>
      <c r="M5" s="287">
        <f>EOMONTH(L5,1)</f>
        <v>43131</v>
      </c>
      <c r="N5" s="287">
        <f t="shared" ref="N5:X5" si="0">EOMONTH(M5,1)</f>
        <v>43159</v>
      </c>
      <c r="O5" s="287">
        <f t="shared" si="0"/>
        <v>43190</v>
      </c>
      <c r="P5" s="287">
        <f t="shared" si="0"/>
        <v>43220</v>
      </c>
      <c r="Q5" s="287">
        <f t="shared" si="0"/>
        <v>43251</v>
      </c>
      <c r="R5" s="287">
        <f t="shared" si="0"/>
        <v>43281</v>
      </c>
      <c r="S5" s="287">
        <f t="shared" si="0"/>
        <v>43312</v>
      </c>
      <c r="T5" s="287">
        <f t="shared" si="0"/>
        <v>43343</v>
      </c>
      <c r="U5" s="287">
        <f t="shared" si="0"/>
        <v>43373</v>
      </c>
      <c r="V5" s="287">
        <f t="shared" si="0"/>
        <v>43404</v>
      </c>
      <c r="W5" s="287">
        <f t="shared" si="0"/>
        <v>43434</v>
      </c>
      <c r="X5" s="287">
        <f t="shared" si="0"/>
        <v>43465</v>
      </c>
      <c r="Y5" s="287">
        <f t="shared" ref="Y5:AN5" si="1">EOMONTH(X5,1)</f>
        <v>43496</v>
      </c>
      <c r="Z5" s="287">
        <f t="shared" si="1"/>
        <v>43524</v>
      </c>
      <c r="AA5" s="287">
        <f t="shared" si="1"/>
        <v>43555</v>
      </c>
      <c r="AB5" s="287">
        <f t="shared" si="1"/>
        <v>43585</v>
      </c>
      <c r="AC5" s="287">
        <f t="shared" si="1"/>
        <v>43616</v>
      </c>
      <c r="AD5" s="287">
        <f t="shared" si="1"/>
        <v>43646</v>
      </c>
      <c r="AE5" s="287">
        <f t="shared" si="1"/>
        <v>43677</v>
      </c>
      <c r="AF5" s="287">
        <f t="shared" si="1"/>
        <v>43708</v>
      </c>
      <c r="AG5" s="287">
        <f t="shared" si="1"/>
        <v>43738</v>
      </c>
      <c r="AH5" s="287">
        <f t="shared" si="1"/>
        <v>43769</v>
      </c>
      <c r="AI5" s="287">
        <f t="shared" si="1"/>
        <v>43799</v>
      </c>
      <c r="AJ5" s="287">
        <f t="shared" si="1"/>
        <v>43830</v>
      </c>
      <c r="AK5" s="287">
        <f t="shared" si="1"/>
        <v>43861</v>
      </c>
      <c r="AL5" s="287">
        <f t="shared" si="1"/>
        <v>43890</v>
      </c>
      <c r="AM5" s="287">
        <f t="shared" si="1"/>
        <v>43921</v>
      </c>
      <c r="AN5" s="287">
        <f t="shared" si="1"/>
        <v>43951</v>
      </c>
      <c r="AO5" s="341" t="s">
        <v>1398</v>
      </c>
    </row>
    <row r="6" spans="1:41">
      <c r="A6" s="318" t="s">
        <v>788</v>
      </c>
      <c r="B6" s="340">
        <v>163110.74</v>
      </c>
      <c r="E6" s="342"/>
      <c r="F6" s="342"/>
      <c r="G6" s="342"/>
      <c r="J6" s="283" t="s">
        <v>1491</v>
      </c>
      <c r="K6" s="283" t="s">
        <v>1492</v>
      </c>
      <c r="L6" s="288" t="s">
        <v>1493</v>
      </c>
      <c r="M6" s="288" t="s">
        <v>1493</v>
      </c>
      <c r="N6" s="288" t="s">
        <v>1493</v>
      </c>
      <c r="O6" s="288" t="s">
        <v>1493</v>
      </c>
      <c r="P6" s="288" t="s">
        <v>1493</v>
      </c>
      <c r="Q6" s="288" t="s">
        <v>1493</v>
      </c>
      <c r="R6" s="288" t="s">
        <v>1493</v>
      </c>
      <c r="S6" s="288" t="s">
        <v>1493</v>
      </c>
      <c r="T6" s="288" t="s">
        <v>1493</v>
      </c>
      <c r="U6" s="288" t="s">
        <v>1493</v>
      </c>
      <c r="V6" s="288" t="s">
        <v>1493</v>
      </c>
      <c r="W6" s="288" t="s">
        <v>1493</v>
      </c>
      <c r="X6" s="288" t="s">
        <v>1493</v>
      </c>
      <c r="Y6" s="288" t="s">
        <v>1493</v>
      </c>
      <c r="Z6" s="288" t="s">
        <v>1493</v>
      </c>
      <c r="AA6" s="288" t="s">
        <v>1493</v>
      </c>
      <c r="AB6" s="288" t="s">
        <v>1493</v>
      </c>
      <c r="AC6" s="288" t="s">
        <v>1493</v>
      </c>
      <c r="AD6" s="288" t="s">
        <v>1493</v>
      </c>
      <c r="AE6" s="288" t="s">
        <v>1493</v>
      </c>
      <c r="AF6" s="288" t="s">
        <v>1493</v>
      </c>
      <c r="AG6" s="288" t="s">
        <v>1493</v>
      </c>
      <c r="AH6" s="288" t="s">
        <v>1493</v>
      </c>
      <c r="AI6" s="288" t="s">
        <v>1493</v>
      </c>
      <c r="AJ6" s="288" t="s">
        <v>1493</v>
      </c>
      <c r="AK6" s="288" t="s">
        <v>1493</v>
      </c>
      <c r="AL6" s="288" t="s">
        <v>1493</v>
      </c>
      <c r="AM6" s="288" t="s">
        <v>1493</v>
      </c>
      <c r="AN6" s="288" t="s">
        <v>1493</v>
      </c>
    </row>
    <row r="7" spans="1:41">
      <c r="A7" s="318" t="s">
        <v>789</v>
      </c>
      <c r="B7" s="340">
        <v>2350495.38</v>
      </c>
      <c r="D7" s="283">
        <v>2009</v>
      </c>
      <c r="E7" s="343">
        <f>SUM(B6,B8)</f>
        <v>19298726.789999999</v>
      </c>
      <c r="F7" s="343">
        <v>14235626</v>
      </c>
      <c r="G7" s="343">
        <f>E7-F7</f>
        <v>5063100.7899999991</v>
      </c>
      <c r="H7" s="283" t="s">
        <v>1489</v>
      </c>
      <c r="J7" s="356">
        <v>0.21959999999999999</v>
      </c>
      <c r="K7" s="289">
        <f>G7*J7/12</f>
        <v>92654.744456999979</v>
      </c>
      <c r="L7" s="289">
        <v>0</v>
      </c>
      <c r="M7" s="289">
        <f t="shared" ref="M7:X7" si="2">L7</f>
        <v>0</v>
      </c>
      <c r="N7" s="289">
        <f t="shared" si="2"/>
        <v>0</v>
      </c>
      <c r="O7" s="289">
        <f t="shared" si="2"/>
        <v>0</v>
      </c>
      <c r="P7" s="289">
        <f t="shared" si="2"/>
        <v>0</v>
      </c>
      <c r="Q7" s="289">
        <f t="shared" si="2"/>
        <v>0</v>
      </c>
      <c r="R7" s="289">
        <f t="shared" si="2"/>
        <v>0</v>
      </c>
      <c r="S7" s="289">
        <f t="shared" si="2"/>
        <v>0</v>
      </c>
      <c r="T7" s="289">
        <f t="shared" si="2"/>
        <v>0</v>
      </c>
      <c r="U7" s="289">
        <f t="shared" si="2"/>
        <v>0</v>
      </c>
      <c r="V7" s="289">
        <f t="shared" si="2"/>
        <v>0</v>
      </c>
      <c r="W7" s="289">
        <f t="shared" si="2"/>
        <v>0</v>
      </c>
      <c r="X7" s="289">
        <f t="shared" si="2"/>
        <v>0</v>
      </c>
      <c r="Y7" s="289">
        <f>X7</f>
        <v>0</v>
      </c>
      <c r="Z7" s="289">
        <f>Y7</f>
        <v>0</v>
      </c>
      <c r="AA7" s="289">
        <f>Z7</f>
        <v>0</v>
      </c>
      <c r="AB7" s="289">
        <f>AA7</f>
        <v>0</v>
      </c>
      <c r="AC7" s="289">
        <f>K7</f>
        <v>92654.744456999979</v>
      </c>
      <c r="AD7" s="289">
        <f t="shared" ref="AD7:AN7" si="3">AC7</f>
        <v>92654.744456999979</v>
      </c>
      <c r="AE7" s="289">
        <f t="shared" si="3"/>
        <v>92654.744456999979</v>
      </c>
      <c r="AF7" s="289">
        <f t="shared" si="3"/>
        <v>92654.744456999979</v>
      </c>
      <c r="AG7" s="289">
        <f t="shared" si="3"/>
        <v>92654.744456999979</v>
      </c>
      <c r="AH7" s="289">
        <f t="shared" si="3"/>
        <v>92654.744456999979</v>
      </c>
      <c r="AI7" s="289">
        <f t="shared" si="3"/>
        <v>92654.744456999979</v>
      </c>
      <c r="AJ7" s="289">
        <f t="shared" si="3"/>
        <v>92654.744456999979</v>
      </c>
      <c r="AK7" s="289">
        <f t="shared" si="3"/>
        <v>92654.744456999979</v>
      </c>
      <c r="AL7" s="289">
        <f t="shared" si="3"/>
        <v>92654.744456999979</v>
      </c>
      <c r="AM7" s="289">
        <f t="shared" si="3"/>
        <v>92654.744456999979</v>
      </c>
      <c r="AN7" s="289">
        <f t="shared" si="3"/>
        <v>92654.744456999979</v>
      </c>
    </row>
    <row r="8" spans="1:41">
      <c r="A8" s="318" t="s">
        <v>792</v>
      </c>
      <c r="B8" s="340">
        <v>19135616.050000001</v>
      </c>
      <c r="D8" s="283">
        <v>2011</v>
      </c>
      <c r="E8" s="344">
        <f>SUM(B5,B7,B9,B11)</f>
        <v>5446379.9999999991</v>
      </c>
      <c r="F8" s="344">
        <v>5446380</v>
      </c>
      <c r="G8" s="344">
        <f>E8-F8</f>
        <v>0</v>
      </c>
      <c r="J8" s="345" t="s">
        <v>792</v>
      </c>
    </row>
    <row r="9" spans="1:41">
      <c r="A9" s="318" t="s">
        <v>793</v>
      </c>
      <c r="B9" s="340">
        <v>2247094.4500000002</v>
      </c>
      <c r="E9" s="346">
        <f>SUM(E7:E8)</f>
        <v>24745106.789999999</v>
      </c>
      <c r="F9" s="346">
        <f>SUM(F7:F8)</f>
        <v>19682006</v>
      </c>
      <c r="G9" s="346">
        <f>SUM(G7:G8)</f>
        <v>5063100.7899999991</v>
      </c>
    </row>
    <row r="10" spans="1:41">
      <c r="A10" s="318" t="s">
        <v>794</v>
      </c>
      <c r="B10" s="340">
        <v>0</v>
      </c>
      <c r="E10" s="347"/>
      <c r="F10" s="347"/>
      <c r="G10" s="347"/>
    </row>
    <row r="11" spans="1:41">
      <c r="A11" s="318" t="s">
        <v>797</v>
      </c>
      <c r="B11" s="340">
        <v>487938.90999999898</v>
      </c>
      <c r="E11" s="347"/>
      <c r="F11" s="347"/>
      <c r="G11" s="347"/>
    </row>
    <row r="12" spans="1:41">
      <c r="A12" s="318"/>
      <c r="B12" s="348">
        <f>SUM(B5:B11)</f>
        <v>24745106.789999999</v>
      </c>
      <c r="E12" s="347"/>
      <c r="F12" s="347"/>
      <c r="G12" s="347"/>
    </row>
    <row r="13" spans="1:41">
      <c r="A13" s="339" t="s">
        <v>691</v>
      </c>
      <c r="B13" s="349"/>
      <c r="E13" s="347"/>
      <c r="F13" s="347"/>
      <c r="G13" s="347"/>
    </row>
    <row r="14" spans="1:41">
      <c r="A14" s="318" t="s">
        <v>788</v>
      </c>
      <c r="B14" s="340">
        <v>17708.310000000001</v>
      </c>
      <c r="E14" s="347"/>
      <c r="F14" s="347"/>
      <c r="G14" s="347"/>
    </row>
    <row r="15" spans="1:41">
      <c r="A15" s="318" t="s">
        <v>789</v>
      </c>
      <c r="B15" s="340">
        <v>53396.51</v>
      </c>
      <c r="D15" s="340"/>
      <c r="E15" s="290"/>
      <c r="F15" s="290"/>
      <c r="G15" s="347"/>
      <c r="K15" s="288" t="s">
        <v>1490</v>
      </c>
      <c r="L15" s="290" t="s">
        <v>1494</v>
      </c>
      <c r="M15" s="290" t="s">
        <v>1494</v>
      </c>
      <c r="N15" s="290" t="s">
        <v>1494</v>
      </c>
      <c r="O15" s="290" t="s">
        <v>1494</v>
      </c>
      <c r="P15" s="290" t="s">
        <v>1494</v>
      </c>
      <c r="Q15" s="290" t="s">
        <v>1494</v>
      </c>
      <c r="R15" s="290" t="s">
        <v>1494</v>
      </c>
      <c r="S15" s="290" t="s">
        <v>1494</v>
      </c>
      <c r="T15" s="290" t="s">
        <v>1494</v>
      </c>
      <c r="U15" s="290" t="s">
        <v>1494</v>
      </c>
      <c r="V15" s="290" t="s">
        <v>1494</v>
      </c>
      <c r="W15" s="290" t="s">
        <v>1494</v>
      </c>
      <c r="X15" s="350" t="s">
        <v>1494</v>
      </c>
      <c r="Y15" s="290" t="s">
        <v>1494</v>
      </c>
      <c r="Z15" s="290" t="s">
        <v>1494</v>
      </c>
      <c r="AA15" s="290" t="s">
        <v>1494</v>
      </c>
      <c r="AB15" s="290" t="s">
        <v>1494</v>
      </c>
      <c r="AC15" s="290" t="s">
        <v>1494</v>
      </c>
      <c r="AD15" s="290" t="s">
        <v>1494</v>
      </c>
      <c r="AE15" s="290" t="s">
        <v>1494</v>
      </c>
      <c r="AF15" s="290" t="s">
        <v>1494</v>
      </c>
      <c r="AG15" s="290" t="s">
        <v>1494</v>
      </c>
      <c r="AH15" s="290" t="s">
        <v>1494</v>
      </c>
      <c r="AI15" s="290" t="s">
        <v>1494</v>
      </c>
      <c r="AJ15" s="290" t="s">
        <v>1494</v>
      </c>
      <c r="AK15" s="290" t="s">
        <v>1494</v>
      </c>
      <c r="AL15" s="290" t="s">
        <v>1494</v>
      </c>
      <c r="AM15" s="290" t="s">
        <v>1494</v>
      </c>
      <c r="AN15" s="350" t="s">
        <v>1494</v>
      </c>
      <c r="AO15" s="350" t="s">
        <v>1494</v>
      </c>
    </row>
    <row r="16" spans="1:41">
      <c r="A16" s="318" t="s">
        <v>792</v>
      </c>
      <c r="B16" s="340">
        <v>1138090.8400000001</v>
      </c>
      <c r="E16" s="342" t="s">
        <v>1484</v>
      </c>
      <c r="F16" s="342" t="s">
        <v>1485</v>
      </c>
      <c r="G16" s="342" t="s">
        <v>1486</v>
      </c>
      <c r="Q16" s="290"/>
      <c r="X16" s="350" t="s">
        <v>1490</v>
      </c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350" t="s">
        <v>1490</v>
      </c>
      <c r="AO16" s="350" t="s">
        <v>1490</v>
      </c>
    </row>
    <row r="17" spans="1:41">
      <c r="A17" s="318" t="s">
        <v>793</v>
      </c>
      <c r="B17" s="340">
        <v>126119.27</v>
      </c>
      <c r="D17" s="283">
        <v>2009</v>
      </c>
      <c r="E17" s="343">
        <f>SUM(B14,B16)</f>
        <v>1155799.1500000001</v>
      </c>
      <c r="F17" s="343">
        <v>826192</v>
      </c>
      <c r="G17" s="343">
        <f>E17-F17</f>
        <v>329607.15000000014</v>
      </c>
      <c r="J17" s="283" t="s">
        <v>1495</v>
      </c>
      <c r="L17" s="289">
        <v>682505</v>
      </c>
      <c r="M17" s="289">
        <f>L17+M7</f>
        <v>682505</v>
      </c>
      <c r="N17" s="289">
        <f t="shared" ref="N17:Y17" si="4">M17+N7</f>
        <v>682505</v>
      </c>
      <c r="O17" s="289">
        <f t="shared" si="4"/>
        <v>682505</v>
      </c>
      <c r="P17" s="289">
        <f t="shared" si="4"/>
        <v>682505</v>
      </c>
      <c r="Q17" s="342">
        <f t="shared" si="4"/>
        <v>682505</v>
      </c>
      <c r="R17" s="289">
        <f t="shared" si="4"/>
        <v>682505</v>
      </c>
      <c r="S17" s="289">
        <f t="shared" si="4"/>
        <v>682505</v>
      </c>
      <c r="T17" s="289">
        <f t="shared" si="4"/>
        <v>682505</v>
      </c>
      <c r="U17" s="289">
        <f t="shared" si="4"/>
        <v>682505</v>
      </c>
      <c r="V17" s="289">
        <f t="shared" si="4"/>
        <v>682505</v>
      </c>
      <c r="W17" s="289">
        <f t="shared" si="4"/>
        <v>682505</v>
      </c>
      <c r="X17" s="351">
        <f t="shared" si="4"/>
        <v>682505</v>
      </c>
      <c r="Y17" s="351">
        <f t="shared" si="4"/>
        <v>682505</v>
      </c>
      <c r="Z17" s="342">
        <f t="shared" ref="Z17:AN17" si="5">Y17+Z7</f>
        <v>682505</v>
      </c>
      <c r="AA17" s="342">
        <f t="shared" si="5"/>
        <v>682505</v>
      </c>
      <c r="AB17" s="342">
        <f t="shared" si="5"/>
        <v>682505</v>
      </c>
      <c r="AC17" s="342">
        <f t="shared" si="5"/>
        <v>775159.74445699994</v>
      </c>
      <c r="AD17" s="342">
        <f t="shared" si="5"/>
        <v>867814.48891399987</v>
      </c>
      <c r="AE17" s="342">
        <f t="shared" si="5"/>
        <v>960469.23337099981</v>
      </c>
      <c r="AF17" s="342">
        <f t="shared" si="5"/>
        <v>1053123.9778279997</v>
      </c>
      <c r="AG17" s="342">
        <f t="shared" si="5"/>
        <v>1145778.7222849997</v>
      </c>
      <c r="AH17" s="342">
        <f t="shared" si="5"/>
        <v>1238433.4667419996</v>
      </c>
      <c r="AI17" s="342">
        <f t="shared" si="5"/>
        <v>1331088.2111989995</v>
      </c>
      <c r="AJ17" s="342">
        <f t="shared" si="5"/>
        <v>1423742.9556559995</v>
      </c>
      <c r="AK17" s="342">
        <f t="shared" si="5"/>
        <v>1516397.7001129994</v>
      </c>
      <c r="AL17" s="342">
        <f t="shared" si="5"/>
        <v>1609052.4445699994</v>
      </c>
      <c r="AM17" s="342">
        <f t="shared" si="5"/>
        <v>1701707.1890269993</v>
      </c>
      <c r="AN17" s="351">
        <f t="shared" si="5"/>
        <v>1794361.9334839992</v>
      </c>
      <c r="AO17" s="351">
        <f>SUM(AB17:AN17)/13</f>
        <v>1238433.4667419994</v>
      </c>
    </row>
    <row r="18" spans="1:41" ht="15.75">
      <c r="A18" s="318" t="s">
        <v>794</v>
      </c>
      <c r="B18" s="340">
        <v>0</v>
      </c>
      <c r="D18" s="283">
        <v>2011</v>
      </c>
      <c r="E18" s="344">
        <f>SUM(B15,B17,B19)</f>
        <v>197699.51</v>
      </c>
      <c r="F18" s="344">
        <v>197699.51</v>
      </c>
      <c r="G18" s="352">
        <f>E18-F18</f>
        <v>0</v>
      </c>
      <c r="J18" s="345" t="s">
        <v>792</v>
      </c>
      <c r="Q18" s="287"/>
      <c r="X18" s="384">
        <f>X5</f>
        <v>43465</v>
      </c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4">
        <f>AN5</f>
        <v>43951</v>
      </c>
      <c r="AO18" s="350" t="s">
        <v>1398</v>
      </c>
    </row>
    <row r="19" spans="1:41">
      <c r="A19" s="318" t="s">
        <v>797</v>
      </c>
      <c r="B19" s="340">
        <v>18183.73</v>
      </c>
      <c r="E19" s="346">
        <f>SUM(E17:E18)</f>
        <v>1353498.6600000001</v>
      </c>
      <c r="F19" s="346">
        <f>SUM(F17:F18)</f>
        <v>1023891.51</v>
      </c>
      <c r="G19" s="346"/>
    </row>
    <row r="20" spans="1:41">
      <c r="B20" s="348">
        <f>SUM(B14:B19)</f>
        <v>1353498.6600000001</v>
      </c>
    </row>
    <row r="21" spans="1:41">
      <c r="A21" s="353" t="s">
        <v>1487</v>
      </c>
      <c r="B21" s="340"/>
    </row>
    <row r="22" spans="1:41">
      <c r="A22" s="354" t="s">
        <v>608</v>
      </c>
      <c r="B22" s="340">
        <v>11093507.77</v>
      </c>
    </row>
    <row r="23" spans="1:41">
      <c r="A23" s="354" t="s">
        <v>609</v>
      </c>
      <c r="B23" s="340">
        <v>565697759.28999996</v>
      </c>
    </row>
    <row r="24" spans="1:41">
      <c r="A24" s="354" t="s">
        <v>610</v>
      </c>
      <c r="B24" s="340">
        <v>0</v>
      </c>
    </row>
    <row r="25" spans="1:41" ht="15.75">
      <c r="A25" s="354"/>
      <c r="B25" s="355"/>
    </row>
  </sheetData>
  <pageMargins left="0.7" right="0.7" top="0.75" bottom="0.75" header="0.3" footer="0.3"/>
  <pageSetup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54"/>
  <sheetViews>
    <sheetView showGridLines="0" zoomScale="55" zoomScaleNormal="55" zoomScaleSheetLayoutView="55" workbookViewId="0">
      <selection activeCell="K49" sqref="K49"/>
    </sheetView>
  </sheetViews>
  <sheetFormatPr defaultColWidth="10.88671875" defaultRowHeight="15.75"/>
  <cols>
    <col min="1" max="1" width="3.6640625" style="457" customWidth="1"/>
    <col min="2" max="2" width="53.21875" style="456" customWidth="1"/>
    <col min="3" max="4" width="2.33203125" style="456" customWidth="1"/>
    <col min="5" max="5" width="16.6640625" style="456" customWidth="1"/>
    <col min="6" max="6" width="1.6640625" style="456" customWidth="1"/>
    <col min="7" max="7" width="16.6640625" style="456" customWidth="1"/>
    <col min="8" max="8" width="1.6640625" style="456" customWidth="1"/>
    <col min="9" max="9" width="16.6640625" style="456" customWidth="1"/>
    <col min="10" max="10" width="1.6640625" style="456" customWidth="1"/>
    <col min="11" max="11" width="16.6640625" style="456" customWidth="1"/>
    <col min="12" max="12" width="1.6640625" style="456" customWidth="1"/>
    <col min="13" max="13" width="16.6640625" style="456" customWidth="1"/>
    <col min="14" max="14" width="1.6640625" style="456" customWidth="1"/>
    <col min="15" max="15" width="16.6640625" style="456" customWidth="1"/>
    <col min="16" max="16" width="1.77734375" style="456" customWidth="1"/>
    <col min="17" max="17" width="16.6640625" style="456" customWidth="1"/>
    <col min="18" max="18" width="1.77734375" style="456" customWidth="1"/>
    <col min="19" max="19" width="16.6640625" style="456" customWidth="1"/>
    <col min="20" max="20" width="1.77734375" style="456" customWidth="1"/>
    <col min="21" max="21" width="16.6640625" style="456" customWidth="1"/>
    <col min="22" max="22" width="1.6640625" style="456" customWidth="1"/>
    <col min="23" max="23" width="16.6640625" style="456" customWidth="1"/>
    <col min="24" max="24" width="1.6640625" style="456" customWidth="1"/>
    <col min="25" max="25" width="16.6640625" style="456" customWidth="1"/>
    <col min="26" max="26" width="1.6640625" style="456" customWidth="1"/>
    <col min="27" max="27" width="16.6640625" style="456" customWidth="1"/>
    <col min="28" max="28" width="1.77734375" style="456" customWidth="1"/>
    <col min="29" max="29" width="16.6640625" style="456" customWidth="1"/>
    <col min="30" max="30" width="1.6640625" style="456" customWidth="1"/>
    <col min="31" max="31" width="16.6640625" style="456" customWidth="1"/>
    <col min="32" max="32" width="10.88671875" style="456"/>
    <col min="33" max="33" width="13.44140625" style="456" bestFit="1" customWidth="1"/>
    <col min="34" max="34" width="12" style="456" bestFit="1" customWidth="1"/>
    <col min="35" max="35" width="10.88671875" style="456"/>
    <col min="36" max="37" width="12" style="456" bestFit="1" customWidth="1"/>
    <col min="38" max="16384" width="10.88671875" style="456"/>
  </cols>
  <sheetData>
    <row r="1" spans="1:36">
      <c r="A1" s="452"/>
      <c r="B1" s="319" t="s">
        <v>122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4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5" t="s">
        <v>1478</v>
      </c>
    </row>
    <row r="2" spans="1:36">
      <c r="A2" s="452"/>
      <c r="B2" s="320" t="s">
        <v>1797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00" t="str">
        <f>'Rate Case Constants'!$C$38</f>
        <v>WITNESS:   C. M. GARRETT</v>
      </c>
    </row>
    <row r="3" spans="1:36">
      <c r="A3" s="453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5" t="s">
        <v>145</v>
      </c>
    </row>
    <row r="4" spans="1:36">
      <c r="P4" s="458"/>
      <c r="R4" s="458"/>
      <c r="T4" s="458"/>
      <c r="AB4" s="458"/>
    </row>
    <row r="5" spans="1:36">
      <c r="A5" s="459" t="s">
        <v>784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</row>
    <row r="6" spans="1:36">
      <c r="A6" s="461"/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</row>
    <row r="7" spans="1:36">
      <c r="A7" s="834" t="s">
        <v>1873</v>
      </c>
      <c r="B7" s="834"/>
      <c r="C7" s="834"/>
      <c r="D7" s="834"/>
      <c r="E7" s="834"/>
      <c r="F7" s="834"/>
      <c r="G7" s="834"/>
      <c r="H7" s="834"/>
      <c r="I7" s="834"/>
      <c r="J7" s="834"/>
      <c r="K7" s="834"/>
      <c r="L7" s="834"/>
      <c r="M7" s="834"/>
      <c r="N7" s="834"/>
      <c r="O7" s="834"/>
      <c r="P7" s="834"/>
      <c r="Q7" s="834"/>
      <c r="R7" s="834"/>
      <c r="S7" s="834"/>
      <c r="T7" s="834"/>
      <c r="U7" s="834"/>
      <c r="V7" s="834"/>
      <c r="W7" s="834"/>
      <c r="X7" s="834"/>
      <c r="Y7" s="834"/>
      <c r="Z7" s="834"/>
      <c r="AA7" s="834"/>
      <c r="AB7" s="834"/>
      <c r="AC7" s="834"/>
      <c r="AD7" s="834"/>
      <c r="AE7" s="834"/>
    </row>
    <row r="8" spans="1:36">
      <c r="A8" s="834" t="s">
        <v>1479</v>
      </c>
      <c r="B8" s="834"/>
      <c r="C8" s="834"/>
      <c r="D8" s="834"/>
      <c r="E8" s="834"/>
      <c r="F8" s="834"/>
      <c r="G8" s="834"/>
      <c r="H8" s="834"/>
      <c r="I8" s="834"/>
      <c r="J8" s="834"/>
      <c r="K8" s="834"/>
      <c r="L8" s="834"/>
      <c r="M8" s="834"/>
      <c r="N8" s="834"/>
      <c r="O8" s="834"/>
      <c r="P8" s="834"/>
      <c r="Q8" s="834"/>
      <c r="R8" s="834"/>
      <c r="S8" s="834"/>
      <c r="T8" s="834"/>
      <c r="U8" s="834"/>
      <c r="V8" s="834"/>
      <c r="W8" s="834"/>
      <c r="X8" s="834"/>
      <c r="Y8" s="834"/>
      <c r="Z8" s="834"/>
      <c r="AA8" s="834"/>
      <c r="AB8" s="834"/>
      <c r="AC8" s="834"/>
      <c r="AD8" s="834"/>
      <c r="AE8" s="834"/>
    </row>
    <row r="9" spans="1:36">
      <c r="A9" s="459"/>
      <c r="B9" s="460"/>
      <c r="C9" s="460"/>
      <c r="D9" s="460"/>
      <c r="E9" s="460"/>
      <c r="F9" s="460"/>
      <c r="G9" s="462"/>
      <c r="H9" s="460"/>
      <c r="I9" s="462"/>
      <c r="J9" s="460"/>
      <c r="K9" s="462"/>
      <c r="L9" s="460"/>
      <c r="M9" s="462"/>
      <c r="N9" s="460"/>
      <c r="O9" s="462"/>
      <c r="P9" s="460"/>
      <c r="Q9" s="460"/>
      <c r="R9" s="460"/>
      <c r="S9" s="460"/>
      <c r="T9" s="460"/>
      <c r="U9" s="462"/>
      <c r="V9" s="460"/>
      <c r="W9" s="462"/>
      <c r="X9" s="460"/>
      <c r="Y9" s="462"/>
      <c r="Z9" s="460"/>
      <c r="AA9" s="462"/>
      <c r="AB9" s="460"/>
      <c r="AC9" s="460"/>
      <c r="AD9" s="460"/>
      <c r="AE9" s="460"/>
    </row>
    <row r="10" spans="1:36">
      <c r="A10" s="463"/>
      <c r="B10" s="454"/>
      <c r="D10" s="458"/>
      <c r="M10" s="464" t="s">
        <v>1473</v>
      </c>
      <c r="O10" s="464" t="s">
        <v>1472</v>
      </c>
      <c r="AA10" s="464" t="s">
        <v>1472</v>
      </c>
    </row>
    <row r="11" spans="1:36" ht="21" customHeight="1">
      <c r="B11" s="465" t="s">
        <v>1441</v>
      </c>
      <c r="E11" s="466" t="s">
        <v>1442</v>
      </c>
      <c r="F11" s="466"/>
      <c r="G11" s="464" t="s">
        <v>1443</v>
      </c>
      <c r="H11" s="466"/>
      <c r="I11" s="464" t="s">
        <v>1470</v>
      </c>
      <c r="J11" s="466"/>
      <c r="K11" s="464" t="s">
        <v>1471</v>
      </c>
      <c r="L11" s="466"/>
      <c r="M11" s="464" t="s">
        <v>1474</v>
      </c>
      <c r="N11" s="466"/>
      <c r="O11" s="464" t="s">
        <v>10</v>
      </c>
      <c r="P11" s="466"/>
      <c r="Q11" s="464" t="s">
        <v>1444</v>
      </c>
      <c r="R11" s="466"/>
      <c r="S11" s="466" t="s">
        <v>1445</v>
      </c>
      <c r="T11" s="466"/>
      <c r="U11" s="464" t="s">
        <v>1446</v>
      </c>
      <c r="V11" s="466"/>
      <c r="W11" s="464" t="s">
        <v>1470</v>
      </c>
      <c r="X11" s="466"/>
      <c r="Y11" s="464" t="s">
        <v>1471</v>
      </c>
      <c r="Z11" s="466"/>
      <c r="AA11" s="464" t="s">
        <v>10</v>
      </c>
      <c r="AB11" s="466"/>
      <c r="AC11" s="464" t="s">
        <v>1447</v>
      </c>
      <c r="AD11" s="466"/>
      <c r="AE11" s="466" t="s">
        <v>1448</v>
      </c>
    </row>
    <row r="12" spans="1:36">
      <c r="B12" s="467">
        <v>-1</v>
      </c>
      <c r="E12" s="468" t="s">
        <v>1449</v>
      </c>
      <c r="F12" s="466"/>
      <c r="G12" s="468" t="s">
        <v>1450</v>
      </c>
      <c r="H12" s="466"/>
      <c r="I12" s="468">
        <v>-4</v>
      </c>
      <c r="J12" s="466"/>
      <c r="K12" s="468">
        <v>-5</v>
      </c>
      <c r="L12" s="466"/>
      <c r="M12" s="468">
        <v>-6</v>
      </c>
      <c r="N12" s="466"/>
      <c r="O12" s="468">
        <v>-7</v>
      </c>
      <c r="P12" s="466"/>
      <c r="Q12" s="468">
        <v>-8</v>
      </c>
      <c r="R12" s="466"/>
      <c r="S12" s="468">
        <v>-9</v>
      </c>
      <c r="T12" s="466"/>
      <c r="U12" s="468">
        <v>-10</v>
      </c>
      <c r="V12" s="466"/>
      <c r="W12" s="468">
        <v>-11</v>
      </c>
      <c r="X12" s="466"/>
      <c r="Y12" s="468">
        <v>-12</v>
      </c>
      <c r="Z12" s="466"/>
      <c r="AA12" s="468">
        <v>-13</v>
      </c>
      <c r="AB12" s="466"/>
      <c r="AC12" s="469">
        <v>-14</v>
      </c>
      <c r="AD12" s="466"/>
      <c r="AE12" s="469">
        <v>-15</v>
      </c>
      <c r="AG12" s="470"/>
      <c r="AJ12" s="470"/>
    </row>
    <row r="13" spans="1:36"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64" t="s">
        <v>1796</v>
      </c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64" t="s">
        <v>1476</v>
      </c>
      <c r="AD13" s="471"/>
      <c r="AE13" s="464" t="s">
        <v>1475</v>
      </c>
    </row>
    <row r="14" spans="1:36" ht="21" customHeight="1">
      <c r="A14" s="472">
        <f>1</f>
        <v>1</v>
      </c>
      <c r="B14" s="456" t="s">
        <v>1451</v>
      </c>
      <c r="E14" s="259">
        <f>SUM('SCH B-2'!E59,'SCH B-2.6'!D55,'SCH B-4'!H54)</f>
        <v>6433415446.1063957</v>
      </c>
      <c r="F14" s="259"/>
      <c r="G14" s="259">
        <f>-SUM('SCH B-2.2'!F38:F42,'SCH B-4.1'!E31)</f>
        <v>1544110397.0846159</v>
      </c>
      <c r="H14" s="259"/>
      <c r="I14" s="259">
        <f>-SUM('SCH B-2.2'!F49,'SCH B-2.2'!F47)</f>
        <v>8825114.4861538447</v>
      </c>
      <c r="J14" s="259"/>
      <c r="K14" s="259">
        <f>-SUM('SCH B-2.2'!F43:F46,'SCH B-2.2'!F48)</f>
        <v>86272094.61307694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4794207839.9225492</v>
      </c>
      <c r="R14" s="259"/>
      <c r="S14" s="259">
        <v>1515512717.7297435</v>
      </c>
      <c r="T14" s="259"/>
      <c r="U14" s="259">
        <v>126206283.84923059</v>
      </c>
      <c r="V14" s="259"/>
      <c r="W14" s="259">
        <v>0</v>
      </c>
      <c r="X14" s="259"/>
      <c r="Y14" s="259">
        <v>22097905.769999903</v>
      </c>
      <c r="Z14" s="259"/>
      <c r="AA14" s="259">
        <v>0</v>
      </c>
      <c r="AB14" s="259"/>
      <c r="AC14" s="259">
        <v>1367208528.110513</v>
      </c>
      <c r="AD14" s="259"/>
      <c r="AE14" s="260">
        <f>+E14+S14</f>
        <v>7948928163.8361397</v>
      </c>
    </row>
    <row r="15" spans="1:36" ht="12.75" customHeight="1">
      <c r="A15" s="473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36" ht="15" customHeight="1">
      <c r="A16" s="472">
        <f>1+A14</f>
        <v>2</v>
      </c>
      <c r="B16" s="456" t="s">
        <v>1452</v>
      </c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6"/>
    </row>
    <row r="17" spans="1:37" ht="21" customHeight="1">
      <c r="A17" s="472">
        <f>1+A16</f>
        <v>3</v>
      </c>
      <c r="B17" s="477" t="s">
        <v>1453</v>
      </c>
      <c r="E17" s="456">
        <f>-SUM('SCH B-3 F'!G133,'SCH B-2.6'!E55)</f>
        <v>1957529430.3001959</v>
      </c>
      <c r="G17" s="456">
        <f>SUM('SCH B-3.1'!F37:F40)</f>
        <v>134183467.76814842</v>
      </c>
      <c r="I17" s="278">
        <f>SUM('SCH B-3.1'!F47,'SCH B-3.1'!F45)</f>
        <v>4421056.7626149226</v>
      </c>
      <c r="K17" s="278">
        <f>SUM('SCH B-3.1'!F41:F44,'SCH B-3.1'!F46)</f>
        <v>50860001.501779802</v>
      </c>
      <c r="M17" s="278">
        <f>SUM('SCH B-3.1'!H41:H46)</f>
        <v>0</v>
      </c>
      <c r="O17" s="268">
        <v>0</v>
      </c>
      <c r="Q17" s="456">
        <f>E17-SUM(G17:O17)</f>
        <v>1768064904.2676528</v>
      </c>
      <c r="S17" s="456">
        <v>409838234.52047366</v>
      </c>
      <c r="U17" s="456">
        <v>-2451697.5225753989</v>
      </c>
      <c r="W17" s="268">
        <v>0</v>
      </c>
      <c r="Y17" s="456">
        <v>3790619.4943739139</v>
      </c>
      <c r="AA17" s="268">
        <v>0</v>
      </c>
      <c r="AC17" s="456">
        <v>408499312.54867512</v>
      </c>
      <c r="AE17" s="265">
        <f>+E17+S17</f>
        <v>2367367664.8206697</v>
      </c>
    </row>
    <row r="18" spans="1:37" ht="11.25" customHeight="1">
      <c r="A18" s="478"/>
      <c r="E18" s="479"/>
      <c r="G18" s="479"/>
      <c r="I18" s="479"/>
      <c r="K18" s="479"/>
      <c r="M18" s="479"/>
      <c r="O18" s="479"/>
      <c r="Q18" s="479"/>
      <c r="S18" s="479"/>
      <c r="U18" s="479"/>
      <c r="W18" s="479"/>
      <c r="Y18" s="479"/>
      <c r="AA18" s="479"/>
      <c r="AC18" s="479"/>
      <c r="AE18" s="479"/>
    </row>
    <row r="19" spans="1:37" ht="21" customHeight="1">
      <c r="A19" s="472">
        <f>1+A17</f>
        <v>4</v>
      </c>
      <c r="B19" s="456" t="s">
        <v>616</v>
      </c>
      <c r="E19" s="480">
        <f>+E14-E17</f>
        <v>4475886015.8062</v>
      </c>
      <c r="F19" s="480"/>
      <c r="G19" s="480">
        <f>+G14-G17</f>
        <v>1409926929.3164675</v>
      </c>
      <c r="H19" s="480"/>
      <c r="I19" s="278">
        <f>+I14-I17</f>
        <v>4404057.7235389221</v>
      </c>
      <c r="J19" s="480"/>
      <c r="K19" s="278">
        <f>+K14-K17</f>
        <v>35412093.111297138</v>
      </c>
      <c r="L19" s="480"/>
      <c r="M19" s="278">
        <f>+M14-M17</f>
        <v>0</v>
      </c>
      <c r="N19" s="480"/>
      <c r="O19" s="268">
        <f>+O14-O17</f>
        <v>0</v>
      </c>
      <c r="P19" s="480"/>
      <c r="Q19" s="480">
        <f>+Q14-Q17</f>
        <v>3026142935.6548967</v>
      </c>
      <c r="R19" s="480"/>
      <c r="S19" s="480">
        <v>1105674483.2092698</v>
      </c>
      <c r="T19" s="480"/>
      <c r="U19" s="480">
        <v>128657981.37180598</v>
      </c>
      <c r="V19" s="480"/>
      <c r="W19" s="268">
        <v>0</v>
      </c>
      <c r="X19" s="480"/>
      <c r="Y19" s="480">
        <v>18307286.275625989</v>
      </c>
      <c r="Z19" s="480"/>
      <c r="AA19" s="268">
        <v>0</v>
      </c>
      <c r="AB19" s="480"/>
      <c r="AC19" s="480">
        <v>958709215.56183791</v>
      </c>
      <c r="AD19" s="480"/>
      <c r="AE19" s="480">
        <f>+AE14-AE17</f>
        <v>5581560499.0154705</v>
      </c>
      <c r="AG19" s="480"/>
      <c r="AH19" s="480"/>
      <c r="AJ19" s="480"/>
      <c r="AK19" s="480"/>
    </row>
    <row r="20" spans="1:37" ht="9.75" customHeight="1">
      <c r="A20" s="472"/>
      <c r="K20" s="481"/>
      <c r="M20" s="481"/>
    </row>
    <row r="21" spans="1:37" ht="15" customHeight="1">
      <c r="A21" s="472">
        <f>1+A19</f>
        <v>5</v>
      </c>
      <c r="B21" s="456" t="s">
        <v>1452</v>
      </c>
      <c r="K21" s="481"/>
      <c r="M21" s="481"/>
    </row>
    <row r="22" spans="1:37" ht="21" customHeight="1">
      <c r="A22" s="472">
        <f>A21+1</f>
        <v>6</v>
      </c>
      <c r="B22" s="477" t="s">
        <v>1454</v>
      </c>
      <c r="E22" s="456">
        <f>'SCH B-6'!F34</f>
        <v>6462454.9470801074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456">
        <f>E22-SUM(G22:O22)</f>
        <v>6462454.9470801074</v>
      </c>
      <c r="S22" s="456">
        <v>7666909.8729198929</v>
      </c>
      <c r="U22" s="278">
        <v>0</v>
      </c>
      <c r="W22" s="268">
        <v>0</v>
      </c>
      <c r="Y22" s="268">
        <v>0</v>
      </c>
      <c r="AA22" s="268">
        <v>0</v>
      </c>
      <c r="AC22" s="456">
        <v>7666909.8729198929</v>
      </c>
      <c r="AE22" s="456">
        <f>+E22+S22</f>
        <v>14129364.82</v>
      </c>
    </row>
    <row r="23" spans="1:37" ht="21" customHeight="1">
      <c r="A23" s="472">
        <f>A22+1</f>
        <v>7</v>
      </c>
      <c r="B23" s="477" t="s">
        <v>1455</v>
      </c>
      <c r="E23" s="456">
        <f>'SCH B-6'!F38</f>
        <v>980229172.48843169</v>
      </c>
      <c r="G23" s="456">
        <f>-'ECR DEFTAX'!AD2*1000</f>
        <v>306893062.7995984</v>
      </c>
      <c r="I23" s="278">
        <f>-'DSM DEFTAX'!AD10</f>
        <v>1211582.706161588</v>
      </c>
      <c r="K23" s="278">
        <v>0</v>
      </c>
      <c r="M23" s="278">
        <v>0</v>
      </c>
      <c r="O23" s="268">
        <v>0</v>
      </c>
      <c r="Q23" s="456">
        <f>E23-SUM(G23:O23)</f>
        <v>672124526.98267174</v>
      </c>
      <c r="S23" s="456">
        <v>232751759.12002745</v>
      </c>
      <c r="U23" s="456">
        <v>9531849.6153333262</v>
      </c>
      <c r="W23" s="268">
        <v>0</v>
      </c>
      <c r="Y23" s="268">
        <v>0</v>
      </c>
      <c r="AA23" s="268">
        <v>0</v>
      </c>
      <c r="AC23" s="456">
        <v>223219909.50469413</v>
      </c>
      <c r="AE23" s="456">
        <f>+E23+S23</f>
        <v>1212980931.6084592</v>
      </c>
    </row>
    <row r="24" spans="1:37" ht="12" customHeight="1">
      <c r="A24" s="478"/>
      <c r="E24" s="479"/>
      <c r="G24" s="479"/>
      <c r="I24" s="479"/>
      <c r="K24" s="482"/>
      <c r="M24" s="482"/>
      <c r="O24" s="479"/>
      <c r="Q24" s="479"/>
      <c r="S24" s="479"/>
      <c r="U24" s="479"/>
      <c r="W24" s="479"/>
      <c r="Y24" s="479"/>
      <c r="AA24" s="479"/>
      <c r="AC24" s="479"/>
      <c r="AE24" s="479"/>
    </row>
    <row r="25" spans="1:37" ht="21" customHeight="1">
      <c r="A25" s="472">
        <f>1+A23</f>
        <v>8</v>
      </c>
      <c r="B25" s="477" t="s">
        <v>1456</v>
      </c>
      <c r="E25" s="480">
        <f>SUM(E22:E24)</f>
        <v>986691627.43551183</v>
      </c>
      <c r="F25" s="480"/>
      <c r="G25" s="480">
        <f>SUM(G22:G24)</f>
        <v>306893062.7995984</v>
      </c>
      <c r="H25" s="480"/>
      <c r="I25" s="278">
        <f>SUM(I22:I24)</f>
        <v>1211582.706161588</v>
      </c>
      <c r="J25" s="480"/>
      <c r="K25" s="278">
        <f>SUM(K22:K24)</f>
        <v>0</v>
      </c>
      <c r="L25" s="480"/>
      <c r="M25" s="278">
        <f>SUM(M22:M24)</f>
        <v>0</v>
      </c>
      <c r="N25" s="480"/>
      <c r="O25" s="268">
        <f>SUM(O22:O24)</f>
        <v>0</v>
      </c>
      <c r="P25" s="480"/>
      <c r="Q25" s="480">
        <f>SUM(Q22:Q24)</f>
        <v>678586981.92975187</v>
      </c>
      <c r="R25" s="480"/>
      <c r="S25" s="480">
        <v>240418668.99294734</v>
      </c>
      <c r="T25" s="480"/>
      <c r="U25" s="480">
        <v>9531849.6153333262</v>
      </c>
      <c r="V25" s="480"/>
      <c r="W25" s="268">
        <v>0</v>
      </c>
      <c r="X25" s="480"/>
      <c r="Y25" s="268">
        <v>0</v>
      </c>
      <c r="Z25" s="480"/>
      <c r="AA25" s="268">
        <v>0</v>
      </c>
      <c r="AB25" s="480"/>
      <c r="AC25" s="480">
        <v>230886819.37761402</v>
      </c>
      <c r="AD25" s="480"/>
      <c r="AE25" s="480">
        <f>SUM(AE22:AE24)</f>
        <v>1227110296.4284592</v>
      </c>
    </row>
    <row r="26" spans="1:37" ht="12" customHeight="1">
      <c r="A26" s="478"/>
      <c r="K26" s="481"/>
      <c r="M26" s="481"/>
    </row>
    <row r="27" spans="1:37" ht="21" customHeight="1">
      <c r="A27" s="472">
        <f>1+A25</f>
        <v>9</v>
      </c>
      <c r="B27" s="456" t="s">
        <v>1457</v>
      </c>
      <c r="E27" s="480">
        <f>+E19-E25</f>
        <v>3489194388.3706884</v>
      </c>
      <c r="F27" s="480"/>
      <c r="G27" s="480">
        <f>+G19-G25</f>
        <v>1103033866.5168691</v>
      </c>
      <c r="H27" s="480"/>
      <c r="I27" s="278">
        <f>+I19-I25</f>
        <v>3192475.0173773342</v>
      </c>
      <c r="J27" s="480"/>
      <c r="K27" s="278">
        <f>+K19-K25</f>
        <v>35412093.111297138</v>
      </c>
      <c r="L27" s="480"/>
      <c r="M27" s="278">
        <f>+M19-M25</f>
        <v>0</v>
      </c>
      <c r="N27" s="480"/>
      <c r="O27" s="268">
        <f>+O19-O25</f>
        <v>0</v>
      </c>
      <c r="P27" s="480"/>
      <c r="Q27" s="456">
        <f t="shared" ref="Q27:Q34" si="0">E27-SUM(G27:O27)</f>
        <v>2347555953.7251449</v>
      </c>
      <c r="R27" s="480"/>
      <c r="S27" s="480">
        <v>865255814.21632242</v>
      </c>
      <c r="T27" s="480"/>
      <c r="U27" s="480">
        <v>119126131.75647265</v>
      </c>
      <c r="V27" s="480"/>
      <c r="W27" s="268">
        <v>0</v>
      </c>
      <c r="X27" s="480"/>
      <c r="Y27" s="278">
        <v>18307286.275625989</v>
      </c>
      <c r="Z27" s="480"/>
      <c r="AA27" s="268">
        <v>0</v>
      </c>
      <c r="AB27" s="480"/>
      <c r="AC27" s="480">
        <v>727822396.18422389</v>
      </c>
      <c r="AD27" s="480"/>
      <c r="AE27" s="480">
        <f>+AE19-AE25</f>
        <v>4354450202.5870113</v>
      </c>
    </row>
    <row r="28" spans="1:37" ht="12" customHeight="1">
      <c r="A28" s="478"/>
      <c r="I28" s="268"/>
      <c r="K28" s="278"/>
      <c r="M28" s="278"/>
      <c r="O28" s="268"/>
      <c r="Y28" s="268"/>
      <c r="AA28" s="268"/>
    </row>
    <row r="29" spans="1:37" ht="14.25" customHeight="1">
      <c r="A29" s="472">
        <f>1+A27</f>
        <v>10</v>
      </c>
      <c r="B29" s="456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472">
        <f>A29+1</f>
        <v>11</v>
      </c>
      <c r="B30" s="477" t="s">
        <v>1477</v>
      </c>
      <c r="E30" s="456">
        <f>SUM('SCH B-5'!E41,'SCH B-5'!E43)+G30+M30</f>
        <v>78524573.085354477</v>
      </c>
      <c r="G30" s="278">
        <f>INV!AC48</f>
        <v>142.95000000000002</v>
      </c>
      <c r="I30" s="268">
        <v>0</v>
      </c>
      <c r="K30" s="278">
        <v>0</v>
      </c>
      <c r="M30" s="278">
        <f>SUM('TC1 Disallowance'!$I$22:$I$34)/13+SUM('TC1 Disallowance'!$M$22:$M$34)/13+SUM('TC1 Disallowance'!$J$22:$J$34)/13+SUM('TC1 Disallowance'!$K$22:$K$34)/13+SUM('TC1 Disallowance'!$L$22:$L$34)/13+SUM('TC1 Disallowance'!$N$22:$N$34)/13</f>
        <v>5430474.2235390088</v>
      </c>
      <c r="O30" s="268">
        <v>0</v>
      </c>
      <c r="Q30" s="456">
        <f>E30-SUM(G30:O30)</f>
        <v>73093955.911815464</v>
      </c>
      <c r="S30" s="456">
        <v>768184.50299676857</v>
      </c>
      <c r="U30" s="268">
        <v>0</v>
      </c>
      <c r="W30" s="268">
        <v>0</v>
      </c>
      <c r="Y30" s="268">
        <v>0</v>
      </c>
      <c r="AA30" s="268">
        <v>0</v>
      </c>
      <c r="AC30" s="456">
        <v>768184.50299676857</v>
      </c>
      <c r="AE30" s="456">
        <f>+E30+S30</f>
        <v>79292757.58835125</v>
      </c>
    </row>
    <row r="31" spans="1:37" ht="21" customHeight="1">
      <c r="A31" s="472">
        <f>A30+1</f>
        <v>12</v>
      </c>
      <c r="B31" s="477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456">
        <v>21049082.375544779</v>
      </c>
      <c r="U31" s="268">
        <v>0</v>
      </c>
      <c r="W31" s="268">
        <v>0</v>
      </c>
      <c r="Y31" s="268">
        <v>0</v>
      </c>
      <c r="AA31" s="268">
        <v>0</v>
      </c>
      <c r="AC31" s="456">
        <v>21049082.375544779</v>
      </c>
      <c r="AE31" s="456">
        <f>+E31+S31</f>
        <v>21049082.375544779</v>
      </c>
    </row>
    <row r="32" spans="1:37" ht="21" customHeight="1">
      <c r="A32" s="472">
        <f>A31+1</f>
        <v>13</v>
      </c>
      <c r="B32" s="264" t="s">
        <v>1912</v>
      </c>
      <c r="E32" s="456">
        <f>'SCH B-5'!E45</f>
        <v>13197914.906508759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456">
        <f t="shared" si="0"/>
        <v>13197914.906508759</v>
      </c>
      <c r="S32" s="456">
        <v>3178701.1829673043</v>
      </c>
      <c r="U32" s="268">
        <v>0</v>
      </c>
      <c r="W32" s="268">
        <v>0</v>
      </c>
      <c r="Y32" s="268">
        <v>0</v>
      </c>
      <c r="AA32" s="268">
        <v>0</v>
      </c>
      <c r="AC32" s="456">
        <v>3178701.1829673043</v>
      </c>
      <c r="AE32" s="456">
        <f>+E32+S32</f>
        <v>16376616.089476064</v>
      </c>
    </row>
    <row r="33" spans="1:31" ht="21" customHeight="1">
      <c r="A33" s="472">
        <f>A32+1</f>
        <v>14</v>
      </c>
      <c r="B33" s="477" t="s">
        <v>2539</v>
      </c>
      <c r="E33" s="456">
        <f>'SCH B-5.2 F (1)'!Q78</f>
        <v>117143803.27808094</v>
      </c>
      <c r="G33" s="278">
        <f>'SCH B-5.2 F (1)'!Q80</f>
        <v>863005.4999999993</v>
      </c>
      <c r="I33" s="268">
        <v>0</v>
      </c>
      <c r="K33" s="278">
        <v>0</v>
      </c>
      <c r="M33" s="278">
        <v>0</v>
      </c>
      <c r="O33" s="268">
        <v>0</v>
      </c>
      <c r="Q33" s="456">
        <f t="shared" si="0"/>
        <v>116280797.77808094</v>
      </c>
      <c r="S33" s="456">
        <v>22563529.698627308</v>
      </c>
      <c r="U33" s="268">
        <v>0</v>
      </c>
      <c r="W33" s="268">
        <v>0</v>
      </c>
      <c r="Y33" s="268">
        <v>0</v>
      </c>
      <c r="AA33" s="268">
        <v>0</v>
      </c>
      <c r="AC33" s="456">
        <v>22563529.698627308</v>
      </c>
      <c r="AE33" s="456">
        <f>+E33+S33</f>
        <v>139707332.97670823</v>
      </c>
    </row>
    <row r="34" spans="1:31" ht="21" customHeight="1">
      <c r="A34" s="472">
        <f>A33+1</f>
        <v>15</v>
      </c>
      <c r="B34" s="477" t="s">
        <v>1601</v>
      </c>
      <c r="E34" s="456">
        <f>-'SCH B-6'!F40</f>
        <v>32284755.456976477</v>
      </c>
      <c r="G34" s="456">
        <f>'SCH B-6'!G40</f>
        <v>32284755.456976477</v>
      </c>
      <c r="I34" s="268">
        <v>0</v>
      </c>
      <c r="K34" s="278">
        <v>0</v>
      </c>
      <c r="M34" s="278">
        <v>0</v>
      </c>
      <c r="O34" s="268">
        <v>0</v>
      </c>
      <c r="Q34" s="268">
        <f t="shared" si="0"/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456">
        <f>+E34+S34</f>
        <v>32284755.456976477</v>
      </c>
    </row>
    <row r="35" spans="1:31" ht="12" customHeight="1">
      <c r="A35" s="478"/>
      <c r="E35" s="479"/>
      <c r="G35" s="479"/>
      <c r="I35" s="479"/>
      <c r="K35" s="482"/>
      <c r="M35" s="482"/>
      <c r="O35" s="479"/>
      <c r="Q35" s="479"/>
      <c r="S35" s="479"/>
      <c r="U35" s="479"/>
      <c r="W35" s="479"/>
      <c r="Y35" s="479"/>
      <c r="AA35" s="479"/>
      <c r="AC35" s="479"/>
      <c r="AE35" s="479"/>
    </row>
    <row r="36" spans="1:31" ht="21" customHeight="1">
      <c r="A36" s="472">
        <f>A34+1</f>
        <v>16</v>
      </c>
      <c r="B36" s="477" t="s">
        <v>1460</v>
      </c>
      <c r="E36" s="480">
        <f>SUM(E30:E35)</f>
        <v>241151046.72692066</v>
      </c>
      <c r="G36" s="480">
        <f>SUM(G30:G35)</f>
        <v>33147903.906976476</v>
      </c>
      <c r="I36" s="268">
        <f>SUM(I30:I35)</f>
        <v>0</v>
      </c>
      <c r="K36" s="278">
        <f>SUM(K30:K35)</f>
        <v>0</v>
      </c>
      <c r="M36" s="278">
        <f>SUM(M30:M35)</f>
        <v>5430474.2235390088</v>
      </c>
      <c r="O36" s="268">
        <f>SUM(O30:O35)</f>
        <v>0</v>
      </c>
      <c r="Q36" s="480">
        <f>SUM(Q30:Q35)</f>
        <v>202572668.59640515</v>
      </c>
      <c r="S36" s="480">
        <v>47559497.760136157</v>
      </c>
      <c r="U36" s="268">
        <v>0</v>
      </c>
      <c r="W36" s="268">
        <v>0</v>
      </c>
      <c r="Y36" s="268">
        <v>0</v>
      </c>
      <c r="AA36" s="268">
        <v>0</v>
      </c>
      <c r="AC36" s="480">
        <v>47559497.760136157</v>
      </c>
      <c r="AE36" s="480">
        <f>SUM(AE30:AE35)</f>
        <v>288710544.48705679</v>
      </c>
    </row>
    <row r="37" spans="1:31" ht="14.25" customHeight="1">
      <c r="A37" s="478"/>
    </row>
    <row r="38" spans="1:31" ht="21" customHeight="1" thickBot="1">
      <c r="A38" s="472">
        <f>1+A36</f>
        <v>17</v>
      </c>
      <c r="B38" s="456" t="s">
        <v>1461</v>
      </c>
      <c r="E38" s="269">
        <f>+E27+E36</f>
        <v>3730345435.097609</v>
      </c>
      <c r="G38" s="269">
        <f>+G27+G36</f>
        <v>1136181770.4238455</v>
      </c>
      <c r="I38" s="269">
        <f>+I27+I36</f>
        <v>3192475.0173773342</v>
      </c>
      <c r="K38" s="269">
        <f>+K27+K36</f>
        <v>35412093.111297138</v>
      </c>
      <c r="M38" s="269">
        <f>+M27+M36</f>
        <v>5430474.2235390088</v>
      </c>
      <c r="O38" s="269">
        <f>+O27+O36</f>
        <v>0</v>
      </c>
      <c r="Q38" s="269">
        <f>+Q27+Q36</f>
        <v>2550128622.3215499</v>
      </c>
      <c r="S38" s="269">
        <v>912815311.97645855</v>
      </c>
      <c r="U38" s="269">
        <v>119126131.75647265</v>
      </c>
      <c r="W38" s="269">
        <v>0</v>
      </c>
      <c r="Y38" s="269">
        <v>18307286.275625989</v>
      </c>
      <c r="AA38" s="269">
        <v>0</v>
      </c>
      <c r="AC38" s="269">
        <v>775381893.94436002</v>
      </c>
      <c r="AE38" s="269">
        <f>+AE27+AE36</f>
        <v>4643160747.0740681</v>
      </c>
    </row>
    <row r="39" spans="1:31" ht="12.75" customHeight="1" thickTop="1">
      <c r="A39" s="47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472">
        <f>1+A38</f>
        <v>18</v>
      </c>
      <c r="B40" s="477" t="s">
        <v>1480</v>
      </c>
      <c r="K40" s="456">
        <f>-K38</f>
        <v>-35412093.111297138</v>
      </c>
      <c r="Q40" s="456">
        <f>E40-SUM(G40:O40)</f>
        <v>35412093.111297138</v>
      </c>
      <c r="Y40" s="456">
        <v>-18307286.275625989</v>
      </c>
      <c r="AC40" s="456">
        <v>18307286.275625989</v>
      </c>
      <c r="AE40" s="268">
        <f>+E40+S40</f>
        <v>0</v>
      </c>
    </row>
    <row r="41" spans="1:31" ht="14.25" customHeight="1">
      <c r="A41" s="478"/>
    </row>
    <row r="42" spans="1:31" ht="21" customHeight="1" thickBot="1">
      <c r="A42" s="472">
        <f>1+A40</f>
        <v>19</v>
      </c>
      <c r="B42" s="456" t="s">
        <v>1481</v>
      </c>
      <c r="E42" s="269">
        <f>E38+E40</f>
        <v>3730345435.097609</v>
      </c>
      <c r="G42" s="269">
        <f>G38+G40</f>
        <v>1136181770.4238455</v>
      </c>
      <c r="I42" s="269">
        <f>I38+I40</f>
        <v>3192475.0173773342</v>
      </c>
      <c r="K42" s="269">
        <f>K38+K40</f>
        <v>0</v>
      </c>
      <c r="M42" s="269">
        <f>M38+M40</f>
        <v>5430474.2235390088</v>
      </c>
      <c r="O42" s="269">
        <f>O38+O40</f>
        <v>0</v>
      </c>
      <c r="Q42" s="269">
        <f>Q38+Q40</f>
        <v>2585540715.432847</v>
      </c>
      <c r="S42" s="269">
        <v>912815311.97645855</v>
      </c>
      <c r="U42" s="269">
        <v>119126131.75647265</v>
      </c>
      <c r="W42" s="269">
        <v>0</v>
      </c>
      <c r="Y42" s="269">
        <v>0</v>
      </c>
      <c r="AA42" s="269">
        <v>0</v>
      </c>
      <c r="AC42" s="269">
        <v>793689180.21998596</v>
      </c>
      <c r="AE42" s="269">
        <f>AE38+AE40</f>
        <v>4643160747.0740681</v>
      </c>
    </row>
    <row r="43" spans="1:31" ht="12.75" customHeight="1" thickTop="1">
      <c r="A43" s="47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472">
        <f>1+A42</f>
        <v>20</v>
      </c>
      <c r="B44" s="470" t="s">
        <v>1462</v>
      </c>
      <c r="E44" s="271">
        <f>ROUND(+E42/$AE42,4)</f>
        <v>0.8034</v>
      </c>
      <c r="F44" s="480"/>
      <c r="G44" s="271">
        <f>ROUND(+G42/$AE42,4)</f>
        <v>0.2447</v>
      </c>
      <c r="H44" s="480"/>
      <c r="I44" s="271">
        <f>ROUND(+I42/$AE42,4)</f>
        <v>6.9999999999999999E-4</v>
      </c>
      <c r="J44" s="480"/>
      <c r="K44" s="271">
        <f>ROUND(+K42/$AE42,4)</f>
        <v>0</v>
      </c>
      <c r="L44" s="480"/>
      <c r="M44" s="271">
        <f>ROUND(+M42/$AE42,4)</f>
        <v>1.1999999999999999E-3</v>
      </c>
      <c r="N44" s="480"/>
      <c r="O44" s="271">
        <f>ROUND(+O42/$AE42,4)</f>
        <v>0</v>
      </c>
      <c r="Q44" s="271">
        <f>ROUND(+Q42/$AE42,4)</f>
        <v>0.55679999999999996</v>
      </c>
      <c r="S44" s="271">
        <f>ROUND(+S42/$AE42,4)</f>
        <v>0.1966</v>
      </c>
      <c r="U44" s="271">
        <f>ROUND(+U42/$AE42,4)</f>
        <v>2.5700000000000001E-2</v>
      </c>
      <c r="V44" s="480"/>
      <c r="W44" s="271">
        <f>ROUND(+W42/$AE42,4)</f>
        <v>0</v>
      </c>
      <c r="X44" s="480"/>
      <c r="Y44" s="271">
        <f>ROUND(+Y42/$AE42,4)</f>
        <v>0</v>
      </c>
      <c r="Z44" s="480"/>
      <c r="AA44" s="271">
        <f>ROUND(+AA42/$AE42,4)</f>
        <v>0</v>
      </c>
      <c r="AC44" s="271">
        <f>ROUND(+AC42/$AE42,6)</f>
        <v>0.17093700000000001</v>
      </c>
      <c r="AD44" s="480"/>
      <c r="AE44" s="271">
        <f>ROUND(+AE42/$AE42,4)</f>
        <v>1</v>
      </c>
    </row>
    <row r="45" spans="1:31" ht="16.5" thickTop="1">
      <c r="A45" s="478"/>
      <c r="Q45" s="272"/>
      <c r="AC45" s="272"/>
    </row>
    <row r="46" spans="1:31">
      <c r="A46" s="273"/>
      <c r="Q46" s="272"/>
      <c r="R46" s="480"/>
      <c r="S46" s="272"/>
      <c r="AC46" s="272"/>
    </row>
    <row r="47" spans="1:31" ht="18.95" customHeight="1">
      <c r="A47" s="483" t="s">
        <v>1463</v>
      </c>
      <c r="B47" s="470" t="s">
        <v>1874</v>
      </c>
      <c r="Q47" s="484"/>
      <c r="S47" s="484"/>
      <c r="AC47" s="484"/>
    </row>
    <row r="48" spans="1:31" ht="18.95" customHeight="1">
      <c r="A48" s="483" t="s">
        <v>1464</v>
      </c>
      <c r="B48" s="456" t="s">
        <v>1465</v>
      </c>
    </row>
    <row r="49" spans="1:31" ht="18.95" customHeight="1">
      <c r="A49" s="483" t="s">
        <v>1466</v>
      </c>
      <c r="B49" s="456" t="s">
        <v>1469</v>
      </c>
    </row>
    <row r="50" spans="1:31" ht="18.95" customHeight="1">
      <c r="A50" s="483" t="s">
        <v>1468</v>
      </c>
      <c r="B50" s="456" t="s">
        <v>1467</v>
      </c>
    </row>
    <row r="51" spans="1:31" ht="18.95" customHeight="1">
      <c r="A51" s="483"/>
    </row>
    <row r="52" spans="1:31" ht="18.95" customHeight="1">
      <c r="A52" s="483"/>
    </row>
    <row r="53" spans="1:31">
      <c r="A53" s="485"/>
      <c r="B53" s="486"/>
      <c r="C53" s="480"/>
      <c r="D53" s="480"/>
      <c r="E53" s="480"/>
      <c r="F53" s="480"/>
      <c r="G53" s="270"/>
      <c r="H53" s="480"/>
      <c r="I53" s="270"/>
      <c r="J53" s="480"/>
      <c r="K53" s="270"/>
      <c r="L53" s="480"/>
      <c r="M53" s="270"/>
      <c r="N53" s="480"/>
      <c r="O53" s="270"/>
      <c r="P53" s="480"/>
      <c r="Q53" s="480"/>
      <c r="R53" s="480"/>
      <c r="S53" s="480"/>
      <c r="T53" s="480"/>
      <c r="U53" s="270"/>
      <c r="V53" s="480"/>
      <c r="W53" s="270"/>
      <c r="X53" s="480"/>
      <c r="Y53" s="270"/>
      <c r="Z53" s="480"/>
      <c r="AA53" s="270"/>
      <c r="AB53" s="480"/>
      <c r="AC53" s="480"/>
      <c r="AD53" s="480"/>
      <c r="AE53" s="480"/>
    </row>
    <row r="54" spans="1:31">
      <c r="A54" s="485"/>
      <c r="B54" s="486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</row>
  </sheetData>
  <mergeCells count="2">
    <mergeCell ref="A7:AE7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D29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RowHeight="15"/>
  <cols>
    <col min="1" max="1" width="28.6640625" style="318" bestFit="1" customWidth="1"/>
    <col min="2" max="30" width="8.33203125" style="317" customWidth="1"/>
    <col min="31" max="16384" width="8.88671875" style="317"/>
  </cols>
  <sheetData>
    <row r="1" spans="1:30" s="805" customFormat="1" ht="23.25" customHeight="1">
      <c r="A1" s="803" t="s">
        <v>1713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</row>
    <row r="2" spans="1:30" s="805" customFormat="1" ht="23.25" customHeight="1">
      <c r="A2" s="803" t="s">
        <v>1714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4"/>
      <c r="AC2" s="804"/>
      <c r="AD2" s="804"/>
    </row>
    <row r="3" spans="1:30" s="358" customFormat="1">
      <c r="A3" s="806" t="s">
        <v>1871</v>
      </c>
    </row>
    <row r="4" spans="1:30" s="358" customFormat="1" ht="15" customHeight="1">
      <c r="A4" s="807"/>
      <c r="B4" s="358" t="s">
        <v>1819</v>
      </c>
      <c r="C4" s="358" t="s">
        <v>1820</v>
      </c>
      <c r="D4" s="358" t="s">
        <v>1821</v>
      </c>
      <c r="E4" s="358" t="s">
        <v>1822</v>
      </c>
      <c r="F4" s="358" t="s">
        <v>1823</v>
      </c>
      <c r="G4" s="358" t="s">
        <v>1824</v>
      </c>
      <c r="H4" s="358" t="s">
        <v>1825</v>
      </c>
      <c r="I4" s="358" t="s">
        <v>1715</v>
      </c>
      <c r="J4" s="358" t="s">
        <v>1716</v>
      </c>
      <c r="K4" s="358" t="s">
        <v>1717</v>
      </c>
      <c r="L4" s="358" t="s">
        <v>1718</v>
      </c>
      <c r="M4" s="358" t="s">
        <v>1719</v>
      </c>
      <c r="N4" s="358" t="s">
        <v>1720</v>
      </c>
      <c r="O4" s="358" t="s">
        <v>1844</v>
      </c>
      <c r="P4" s="358" t="s">
        <v>1845</v>
      </c>
      <c r="Q4" s="358" t="s">
        <v>1846</v>
      </c>
      <c r="R4" s="358" t="s">
        <v>1831</v>
      </c>
      <c r="S4" s="358" t="s">
        <v>1832</v>
      </c>
      <c r="T4" s="358" t="s">
        <v>1833</v>
      </c>
      <c r="U4" s="358" t="s">
        <v>1834</v>
      </c>
      <c r="V4" s="358" t="s">
        <v>1835</v>
      </c>
      <c r="W4" s="358" t="s">
        <v>1836</v>
      </c>
      <c r="X4" s="358" t="s">
        <v>1837</v>
      </c>
      <c r="Y4" s="358" t="s">
        <v>1838</v>
      </c>
      <c r="Z4" s="358" t="s">
        <v>1839</v>
      </c>
      <c r="AA4" s="358" t="s">
        <v>1840</v>
      </c>
      <c r="AB4" s="358" t="s">
        <v>1841</v>
      </c>
      <c r="AC4" s="358" t="s">
        <v>1842</v>
      </c>
      <c r="AD4" s="358" t="s">
        <v>1843</v>
      </c>
    </row>
    <row r="5" spans="1:30" s="358" customFormat="1">
      <c r="A5" s="357" t="s">
        <v>1851</v>
      </c>
    </row>
    <row r="6" spans="1:30">
      <c r="A6" s="353" t="s">
        <v>1722</v>
      </c>
    </row>
    <row r="7" spans="1:30">
      <c r="A7" s="808" t="s">
        <v>691</v>
      </c>
      <c r="B7" s="317">
        <v>38088.166089999904</v>
      </c>
      <c r="C7" s="317">
        <v>39052.059050000003</v>
      </c>
      <c r="D7" s="317">
        <v>40016.022970000005</v>
      </c>
      <c r="E7" s="317">
        <v>40979.98689</v>
      </c>
      <c r="F7" s="317">
        <v>41943.950810000002</v>
      </c>
      <c r="G7" s="317">
        <v>42907.914730000004</v>
      </c>
      <c r="H7" s="317">
        <v>43871.878650000006</v>
      </c>
      <c r="I7" s="317">
        <v>44838.570275043101</v>
      </c>
      <c r="J7" s="317">
        <v>45840.418432447099</v>
      </c>
      <c r="K7" s="317">
        <v>46902.745678064101</v>
      </c>
      <c r="L7" s="317">
        <v>47994.880613699104</v>
      </c>
      <c r="M7" s="317">
        <v>49090.386657380099</v>
      </c>
      <c r="N7" s="317">
        <v>50188.922075662005</v>
      </c>
      <c r="O7" s="317">
        <v>51288.898368645001</v>
      </c>
      <c r="P7" s="317">
        <v>52388.925024128002</v>
      </c>
      <c r="Q7" s="317">
        <v>53489.273999611003</v>
      </c>
      <c r="R7" s="317">
        <v>54590.042465094099</v>
      </c>
      <c r="S7" s="317">
        <v>56418.079632523099</v>
      </c>
      <c r="T7" s="317">
        <v>58246.162912452099</v>
      </c>
      <c r="U7" s="317">
        <v>60074.292304881099</v>
      </c>
      <c r="V7" s="317">
        <v>61902.467809810099</v>
      </c>
      <c r="W7" s="317">
        <v>63730.6894272391</v>
      </c>
      <c r="X7" s="317">
        <v>65558.957157168101</v>
      </c>
      <c r="Y7" s="317">
        <v>67408.529570060098</v>
      </c>
      <c r="Z7" s="317">
        <v>68721.914367922102</v>
      </c>
      <c r="AA7" s="317">
        <v>70668.259692641106</v>
      </c>
      <c r="AB7" s="317">
        <v>72616.364453360104</v>
      </c>
      <c r="AC7" s="317">
        <v>74565.856929079106</v>
      </c>
      <c r="AD7" s="317">
        <v>76515.53349312811</v>
      </c>
    </row>
    <row r="8" spans="1:30">
      <c r="A8" s="318" t="s">
        <v>1721</v>
      </c>
      <c r="B8" s="317">
        <v>-6.6878099999999998</v>
      </c>
      <c r="C8" s="317">
        <v>-6.6878099999999998</v>
      </c>
      <c r="D8" s="317">
        <v>-6.6878099999999998</v>
      </c>
      <c r="E8" s="317">
        <v>-6.6878099999999998</v>
      </c>
      <c r="F8" s="317">
        <v>-6.6878099999999998</v>
      </c>
      <c r="G8" s="317">
        <v>-6.6878099999999998</v>
      </c>
      <c r="H8" s="317">
        <v>-6.6878099999999998</v>
      </c>
      <c r="I8" s="317">
        <v>-36.445779999999999</v>
      </c>
      <c r="J8" s="317">
        <v>-36.445779999999999</v>
      </c>
      <c r="K8" s="317">
        <v>-36.445779999999999</v>
      </c>
      <c r="L8" s="317">
        <v>-36.445779999999999</v>
      </c>
      <c r="M8" s="317">
        <v>-36.445779999999999</v>
      </c>
      <c r="N8" s="317">
        <v>-36.445779999999999</v>
      </c>
      <c r="O8" s="317">
        <v>-36.445779999999999</v>
      </c>
      <c r="P8" s="317">
        <v>-36.445779999999999</v>
      </c>
      <c r="Q8" s="317">
        <v>-36.445779999999999</v>
      </c>
      <c r="R8" s="317">
        <v>-36.445779999999999</v>
      </c>
      <c r="S8" s="317">
        <v>-36.445779999999999</v>
      </c>
      <c r="T8" s="317">
        <v>-36.445779999999999</v>
      </c>
      <c r="U8" s="317">
        <v>-36.445779999999999</v>
      </c>
      <c r="V8" s="317">
        <v>-36.445779999999999</v>
      </c>
      <c r="W8" s="317">
        <v>-36.445779999999999</v>
      </c>
      <c r="X8" s="317">
        <v>-36.445779999999999</v>
      </c>
      <c r="Y8" s="317">
        <v>-36.445779999999999</v>
      </c>
      <c r="Z8" s="317">
        <v>-101.24757</v>
      </c>
      <c r="AA8" s="317">
        <v>-101.24757</v>
      </c>
      <c r="AB8" s="317">
        <v>-101.24757</v>
      </c>
      <c r="AC8" s="317">
        <v>-101.24757</v>
      </c>
      <c r="AD8" s="317">
        <v>-101.24757</v>
      </c>
    </row>
    <row r="9" spans="1:30">
      <c r="A9" s="318" t="s">
        <v>1872</v>
      </c>
      <c r="B9" s="317">
        <v>38081.478279999901</v>
      </c>
      <c r="C9" s="317">
        <v>39045.37124</v>
      </c>
      <c r="D9" s="317">
        <v>40009.335160000002</v>
      </c>
      <c r="E9" s="317">
        <v>40973.299079999997</v>
      </c>
      <c r="F9" s="317">
        <v>41937.262999999999</v>
      </c>
      <c r="G9" s="317">
        <v>42901.226920000001</v>
      </c>
      <c r="H9" s="317">
        <v>43865.190840000003</v>
      </c>
      <c r="I9" s="317">
        <v>44802.124495043099</v>
      </c>
      <c r="J9" s="317">
        <v>45803.972652447097</v>
      </c>
      <c r="K9" s="317">
        <v>46866.299898064099</v>
      </c>
      <c r="L9" s="317">
        <v>47958.434833699102</v>
      </c>
      <c r="M9" s="317">
        <v>49053.940877380097</v>
      </c>
      <c r="N9" s="317">
        <v>50152.476295662003</v>
      </c>
      <c r="O9" s="317">
        <v>51252.452588644999</v>
      </c>
      <c r="P9" s="317">
        <v>52352.479244128001</v>
      </c>
      <c r="Q9" s="317">
        <v>53452.828219611001</v>
      </c>
      <c r="R9" s="317">
        <v>54553.596685094097</v>
      </c>
      <c r="S9" s="317">
        <v>56381.633852523097</v>
      </c>
      <c r="T9" s="317">
        <v>58209.717132452097</v>
      </c>
      <c r="U9" s="317">
        <v>60037.846524881097</v>
      </c>
      <c r="V9" s="317">
        <v>61866.022029810098</v>
      </c>
      <c r="W9" s="317">
        <v>63694.243647239098</v>
      </c>
      <c r="X9" s="317">
        <v>65522.511377168099</v>
      </c>
      <c r="Y9" s="317">
        <v>67372.083790060104</v>
      </c>
      <c r="Z9" s="317">
        <v>68620.666797922095</v>
      </c>
      <c r="AA9" s="317">
        <v>70567.012122641099</v>
      </c>
      <c r="AB9" s="317">
        <v>72515.116883360097</v>
      </c>
      <c r="AC9" s="317">
        <v>74464.609359079099</v>
      </c>
      <c r="AD9" s="317">
        <v>76414.285923128104</v>
      </c>
    </row>
    <row r="10" spans="1:30">
      <c r="A10" s="353" t="s">
        <v>1723</v>
      </c>
    </row>
    <row r="11" spans="1:30">
      <c r="A11" s="808" t="s">
        <v>691</v>
      </c>
      <c r="B11" s="317">
        <v>46117.700039999901</v>
      </c>
      <c r="C11" s="317">
        <v>47779.107069999998</v>
      </c>
      <c r="D11" s="317">
        <v>49440.5141</v>
      </c>
      <c r="E11" s="317">
        <v>51101.921130000002</v>
      </c>
      <c r="F11" s="317">
        <v>52763.325169999996</v>
      </c>
      <c r="G11" s="317">
        <v>54424.726219999997</v>
      </c>
      <c r="H11" s="317">
        <v>56091.221230000003</v>
      </c>
      <c r="I11" s="317">
        <v>57765.563076373001</v>
      </c>
      <c r="J11" s="317">
        <v>59442.657795020998</v>
      </c>
      <c r="K11" s="317">
        <v>61119.752513668995</v>
      </c>
      <c r="L11" s="317">
        <v>62796.847232316999</v>
      </c>
      <c r="M11" s="317">
        <v>64473.941950964996</v>
      </c>
      <c r="N11" s="317">
        <v>66151.036669613008</v>
      </c>
      <c r="O11" s="317">
        <v>67828.131388260997</v>
      </c>
      <c r="P11" s="317">
        <v>69505.226106909002</v>
      </c>
      <c r="Q11" s="317">
        <v>69455.452075556997</v>
      </c>
      <c r="R11" s="317">
        <v>71128.809294204999</v>
      </c>
      <c r="S11" s="317">
        <v>74289.051820474997</v>
      </c>
      <c r="T11" s="317">
        <v>77449.294346744995</v>
      </c>
      <c r="U11" s="317">
        <v>80609.536873015008</v>
      </c>
      <c r="V11" s="317">
        <v>83769.779399285006</v>
      </c>
      <c r="W11" s="317">
        <v>86930.021925554902</v>
      </c>
      <c r="X11" s="317">
        <v>90090.2644518249</v>
      </c>
      <c r="Y11" s="317">
        <v>93250.506978094912</v>
      </c>
      <c r="Z11" s="317">
        <v>95305.834727084904</v>
      </c>
      <c r="AA11" s="317">
        <v>98472.419598694905</v>
      </c>
      <c r="AB11" s="317">
        <v>101639.00447030499</v>
      </c>
      <c r="AC11" s="317">
        <v>103081.58101968499</v>
      </c>
      <c r="AD11" s="317">
        <v>106250.14924672499</v>
      </c>
    </row>
    <row r="12" spans="1:30">
      <c r="A12" s="318" t="s">
        <v>1721</v>
      </c>
      <c r="B12" s="317">
        <v>0</v>
      </c>
      <c r="C12" s="317">
        <v>0</v>
      </c>
      <c r="D12" s="317">
        <v>0</v>
      </c>
      <c r="E12" s="317">
        <v>0</v>
      </c>
      <c r="F12" s="317">
        <v>0</v>
      </c>
      <c r="G12" s="317">
        <v>0</v>
      </c>
      <c r="H12" s="317">
        <v>0</v>
      </c>
      <c r="I12" s="317">
        <v>-12031.50655</v>
      </c>
      <c r="J12" s="317">
        <v>-12031.50655</v>
      </c>
      <c r="K12" s="317">
        <v>-12031.50655</v>
      </c>
      <c r="L12" s="317">
        <v>-12031.50655</v>
      </c>
      <c r="M12" s="317">
        <v>-12031.50655</v>
      </c>
      <c r="N12" s="317">
        <v>-12031.50655</v>
      </c>
      <c r="O12" s="317">
        <v>-12031.50655</v>
      </c>
      <c r="P12" s="317">
        <v>-12031.50655</v>
      </c>
      <c r="Q12" s="317">
        <v>-12031.50655</v>
      </c>
      <c r="R12" s="317">
        <v>-12031.50655</v>
      </c>
      <c r="S12" s="317">
        <v>-12031.50655</v>
      </c>
      <c r="T12" s="317">
        <v>-12031.50655</v>
      </c>
      <c r="U12" s="317">
        <v>-12031.50655</v>
      </c>
      <c r="V12" s="317">
        <v>-12031.50655</v>
      </c>
      <c r="W12" s="317">
        <v>-12031.50655</v>
      </c>
      <c r="X12" s="317">
        <v>-12031.50655</v>
      </c>
      <c r="Y12" s="317">
        <v>-12031.50655</v>
      </c>
      <c r="Z12" s="317">
        <v>-12130.25215</v>
      </c>
      <c r="AA12" s="317">
        <v>-12130.25215</v>
      </c>
      <c r="AB12" s="317">
        <v>-12130.25215</v>
      </c>
      <c r="AC12" s="317">
        <v>-12352.429750000001</v>
      </c>
      <c r="AD12" s="317">
        <v>-12352.429750000001</v>
      </c>
    </row>
    <row r="13" spans="1:30">
      <c r="A13" s="318" t="s">
        <v>1872</v>
      </c>
      <c r="B13" s="317">
        <v>46117.700039999901</v>
      </c>
      <c r="C13" s="317">
        <v>47779.107069999998</v>
      </c>
      <c r="D13" s="317">
        <v>49440.5141</v>
      </c>
      <c r="E13" s="317">
        <v>51101.921130000002</v>
      </c>
      <c r="F13" s="317">
        <v>52763.325169999996</v>
      </c>
      <c r="G13" s="317">
        <v>54424.726219999997</v>
      </c>
      <c r="H13" s="317">
        <v>56091.221230000003</v>
      </c>
      <c r="I13" s="317">
        <v>45734.056526373002</v>
      </c>
      <c r="J13" s="317">
        <v>47411.151245020999</v>
      </c>
      <c r="K13" s="317">
        <v>49088.245963668996</v>
      </c>
      <c r="L13" s="317">
        <v>50765.340682317001</v>
      </c>
      <c r="M13" s="317">
        <v>52442.435400964998</v>
      </c>
      <c r="N13" s="317">
        <v>54119.530119613002</v>
      </c>
      <c r="O13" s="317">
        <v>55796.624838260999</v>
      </c>
      <c r="P13" s="317">
        <v>57473.719556909004</v>
      </c>
      <c r="Q13" s="317">
        <v>57423.945525556999</v>
      </c>
      <c r="R13" s="317">
        <v>59097.302744205001</v>
      </c>
      <c r="S13" s="317">
        <v>62257.545270474999</v>
      </c>
      <c r="T13" s="317">
        <v>65417.787796744997</v>
      </c>
      <c r="U13" s="317">
        <v>68578.030323015002</v>
      </c>
      <c r="V13" s="317">
        <v>71738.272849285</v>
      </c>
      <c r="W13" s="317">
        <v>74898.515375554896</v>
      </c>
      <c r="X13" s="317">
        <v>78058.757901824894</v>
      </c>
      <c r="Y13" s="317">
        <v>81219.000428094907</v>
      </c>
      <c r="Z13" s="317">
        <v>83175.582577084904</v>
      </c>
      <c r="AA13" s="317">
        <v>86342.167448694905</v>
      </c>
      <c r="AB13" s="317">
        <v>89508.752320304993</v>
      </c>
      <c r="AC13" s="317">
        <v>90729.151269684997</v>
      </c>
      <c r="AD13" s="317">
        <v>93897.719496724996</v>
      </c>
    </row>
    <row r="14" spans="1:30">
      <c r="A14" s="353" t="s">
        <v>1724</v>
      </c>
    </row>
    <row r="15" spans="1:30">
      <c r="A15" s="808" t="s">
        <v>691</v>
      </c>
      <c r="B15" s="317">
        <v>111.85887999999998</v>
      </c>
      <c r="C15" s="317">
        <v>142.38401999999999</v>
      </c>
      <c r="D15" s="317">
        <v>172.90916000000001</v>
      </c>
      <c r="E15" s="317">
        <v>203.43430000000001</v>
      </c>
      <c r="F15" s="317">
        <v>233.95944</v>
      </c>
      <c r="G15" s="317">
        <v>264.48457999999999</v>
      </c>
      <c r="H15" s="317">
        <v>295.00971999999996</v>
      </c>
      <c r="I15" s="317">
        <v>325.53485731802999</v>
      </c>
      <c r="J15" s="317">
        <v>356.05999463605997</v>
      </c>
      <c r="K15" s="317">
        <v>386.58513195408995</v>
      </c>
      <c r="L15" s="317">
        <v>417.11026927211998</v>
      </c>
      <c r="M15" s="317">
        <v>447.63540659014996</v>
      </c>
      <c r="N15" s="317">
        <v>478.16054390817999</v>
      </c>
      <c r="O15" s="317">
        <v>508.68568122620997</v>
      </c>
      <c r="P15" s="317">
        <v>539.21081854423994</v>
      </c>
      <c r="Q15" s="317">
        <v>569.73595586226998</v>
      </c>
      <c r="R15" s="317">
        <v>600.26109318030001</v>
      </c>
      <c r="S15" s="317">
        <v>662.53277814136993</v>
      </c>
      <c r="T15" s="317">
        <v>724.80446310243894</v>
      </c>
      <c r="U15" s="317">
        <v>787.07614806350898</v>
      </c>
      <c r="V15" s="317">
        <v>849.34783302457902</v>
      </c>
      <c r="W15" s="317">
        <v>911.61951798564894</v>
      </c>
      <c r="X15" s="317">
        <v>973.89120294671898</v>
      </c>
      <c r="Y15" s="317">
        <v>1036.16288790778</v>
      </c>
      <c r="Z15" s="317">
        <v>1098.4345728688502</v>
      </c>
      <c r="AA15" s="317">
        <v>1160.7062578299301</v>
      </c>
      <c r="AB15" s="317">
        <v>1222.977942791</v>
      </c>
      <c r="AC15" s="317">
        <v>1285.2496277520702</v>
      </c>
      <c r="AD15" s="317">
        <v>1347.5213127131401</v>
      </c>
    </row>
    <row r="16" spans="1:30">
      <c r="A16" s="318" t="s">
        <v>1721</v>
      </c>
      <c r="B16" s="317">
        <v>-2.19457999999999</v>
      </c>
      <c r="C16" s="317">
        <v>-2.19457999999999</v>
      </c>
      <c r="D16" s="317">
        <v>-2.19457999999999</v>
      </c>
      <c r="E16" s="317">
        <v>-2.19457999999999</v>
      </c>
      <c r="F16" s="317">
        <v>-2.19457999999999</v>
      </c>
      <c r="G16" s="317">
        <v>-2.19457999999999</v>
      </c>
      <c r="H16" s="317">
        <v>-2.19457999999999</v>
      </c>
      <c r="I16" s="317">
        <v>-2.19457999999999</v>
      </c>
      <c r="J16" s="317">
        <v>-2.19457999999999</v>
      </c>
      <c r="K16" s="317">
        <v>-2.19457999999999</v>
      </c>
      <c r="L16" s="317">
        <v>-2.19457999999999</v>
      </c>
      <c r="M16" s="317">
        <v>-2.19457999999999</v>
      </c>
      <c r="N16" s="317">
        <v>-2.19457999999999</v>
      </c>
      <c r="O16" s="317">
        <v>-2.19457999999999</v>
      </c>
      <c r="P16" s="317">
        <v>-2.19457999999999</v>
      </c>
      <c r="Q16" s="317">
        <v>-2.19457999999999</v>
      </c>
      <c r="R16" s="317">
        <v>-2.19457999999999</v>
      </c>
      <c r="S16" s="317">
        <v>-2.19457999999999</v>
      </c>
      <c r="T16" s="317">
        <v>-2.19457999999999</v>
      </c>
      <c r="U16" s="317">
        <v>-2.19457999999999</v>
      </c>
      <c r="V16" s="317">
        <v>-2.19457999999999</v>
      </c>
      <c r="W16" s="317">
        <v>-2.19457999999999</v>
      </c>
      <c r="X16" s="317">
        <v>-2.19457999999999</v>
      </c>
      <c r="Y16" s="317">
        <v>-2.19457999999999</v>
      </c>
      <c r="Z16" s="317">
        <v>-2.19457999999999</v>
      </c>
      <c r="AA16" s="317">
        <v>-2.19457999999999</v>
      </c>
      <c r="AB16" s="317">
        <v>-2.19457999999999</v>
      </c>
      <c r="AC16" s="317">
        <v>-2.19457999999999</v>
      </c>
      <c r="AD16" s="317">
        <v>-2.19457999999999</v>
      </c>
    </row>
    <row r="17" spans="1:30">
      <c r="A17" s="318" t="s">
        <v>1872</v>
      </c>
      <c r="B17" s="317">
        <v>109.6643</v>
      </c>
      <c r="C17" s="317">
        <v>140.18943999999999</v>
      </c>
      <c r="D17" s="317">
        <v>170.71458000000001</v>
      </c>
      <c r="E17" s="317">
        <v>201.23972000000001</v>
      </c>
      <c r="F17" s="317">
        <v>231.76486</v>
      </c>
      <c r="G17" s="317">
        <v>262.29000000000002</v>
      </c>
      <c r="H17" s="317">
        <v>292.81513999999999</v>
      </c>
      <c r="I17" s="317">
        <v>323.34027731803002</v>
      </c>
      <c r="J17" s="317">
        <v>353.86541463606</v>
      </c>
      <c r="K17" s="317">
        <v>384.39055195408997</v>
      </c>
      <c r="L17" s="317">
        <v>414.91568927212001</v>
      </c>
      <c r="M17" s="317">
        <v>445.44082659014998</v>
      </c>
      <c r="N17" s="317">
        <v>475.96596390818002</v>
      </c>
      <c r="O17" s="317">
        <v>506.49110122620999</v>
      </c>
      <c r="P17" s="317">
        <v>537.01623854423997</v>
      </c>
      <c r="Q17" s="317">
        <v>567.54137586227</v>
      </c>
      <c r="R17" s="317">
        <v>598.06651318030003</v>
      </c>
      <c r="S17" s="317">
        <v>660.33819814136996</v>
      </c>
      <c r="T17" s="317">
        <v>722.60988310243897</v>
      </c>
      <c r="U17" s="317">
        <v>784.88156806350901</v>
      </c>
      <c r="V17" s="317">
        <v>847.15325302457904</v>
      </c>
      <c r="W17" s="317">
        <v>909.42493798564897</v>
      </c>
      <c r="X17" s="317">
        <v>971.696622946719</v>
      </c>
      <c r="Y17" s="317">
        <v>1033.9683079077799</v>
      </c>
      <c r="Z17" s="317">
        <v>1096.2399928688501</v>
      </c>
      <c r="AA17" s="317">
        <v>1158.51167782993</v>
      </c>
      <c r="AB17" s="317">
        <v>1220.7833627909999</v>
      </c>
      <c r="AC17" s="317">
        <v>1283.0550477520701</v>
      </c>
      <c r="AD17" s="317">
        <v>1345.32673271314</v>
      </c>
    </row>
    <row r="18" spans="1:30">
      <c r="A18" s="353" t="s">
        <v>1725</v>
      </c>
    </row>
    <row r="19" spans="1:30">
      <c r="A19" s="808" t="s">
        <v>691</v>
      </c>
      <c r="B19" s="317">
        <v>2884.0989300000001</v>
      </c>
      <c r="C19" s="317">
        <v>2944.62655</v>
      </c>
      <c r="D19" s="317">
        <v>3005.1541699999998</v>
      </c>
      <c r="E19" s="317">
        <v>3065.6817899999901</v>
      </c>
      <c r="F19" s="317">
        <v>3126.2094099999999</v>
      </c>
      <c r="G19" s="317">
        <v>3186.7370299999998</v>
      </c>
      <c r="H19" s="317">
        <v>3247.2646500000001</v>
      </c>
      <c r="I19" s="317">
        <v>3309.4904721861999</v>
      </c>
      <c r="J19" s="317">
        <v>3413.0480648069001</v>
      </c>
      <c r="K19" s="317">
        <v>3589.406454464</v>
      </c>
      <c r="L19" s="317">
        <v>3800.8627100281001</v>
      </c>
      <c r="M19" s="317">
        <v>1156.617057248759</v>
      </c>
      <c r="N19" s="317">
        <v>1370.9198995699501</v>
      </c>
      <c r="O19" s="317">
        <v>1587.3953502561501</v>
      </c>
      <c r="P19" s="317">
        <v>1803.95528424235</v>
      </c>
      <c r="Q19" s="317">
        <v>2021.0445143535501</v>
      </c>
      <c r="R19" s="317">
        <v>2238.9003359397502</v>
      </c>
      <c r="S19" s="317">
        <v>2525.4706619000499</v>
      </c>
      <c r="T19" s="317">
        <v>2812.1146795603499</v>
      </c>
      <c r="U19" s="317">
        <v>3098.8323888206501</v>
      </c>
      <c r="V19" s="317">
        <v>3385.6237897809501</v>
      </c>
      <c r="W19" s="317">
        <v>3672.4888824412501</v>
      </c>
      <c r="X19" s="317">
        <v>3959.4276667015502</v>
      </c>
      <c r="Y19" s="317">
        <v>4271.75824675285</v>
      </c>
      <c r="Z19" s="317">
        <v>4650.5123811541498</v>
      </c>
      <c r="AA19" s="317">
        <v>5070.8728002554599</v>
      </c>
      <c r="AB19" s="317">
        <v>5493.3574115567599</v>
      </c>
      <c r="AC19" s="317">
        <v>5917.4977949580598</v>
      </c>
      <c r="AD19" s="317">
        <v>6341.8910204593594</v>
      </c>
    </row>
    <row r="20" spans="1:30">
      <c r="A20" s="318" t="s">
        <v>1721</v>
      </c>
      <c r="B20" s="317">
        <v>0</v>
      </c>
      <c r="C20" s="317">
        <v>0</v>
      </c>
      <c r="D20" s="317">
        <v>0</v>
      </c>
      <c r="E20" s="317">
        <v>0</v>
      </c>
      <c r="F20" s="317">
        <v>0</v>
      </c>
      <c r="G20" s="317">
        <v>0</v>
      </c>
      <c r="H20" s="317">
        <v>0</v>
      </c>
      <c r="I20" s="317">
        <v>-187.5</v>
      </c>
      <c r="J20" s="317">
        <v>-187.5</v>
      </c>
      <c r="K20" s="317">
        <v>-187.5</v>
      </c>
      <c r="L20" s="317">
        <v>-187.5</v>
      </c>
      <c r="M20" s="317">
        <v>-187.5</v>
      </c>
      <c r="N20" s="317">
        <v>-187.5</v>
      </c>
      <c r="O20" s="317">
        <v>-187.5</v>
      </c>
      <c r="P20" s="317">
        <v>-187.5</v>
      </c>
      <c r="Q20" s="317">
        <v>-187.5</v>
      </c>
      <c r="R20" s="317">
        <v>-187.5</v>
      </c>
      <c r="S20" s="317">
        <v>-187.5</v>
      </c>
      <c r="T20" s="317">
        <v>-187.5</v>
      </c>
      <c r="U20" s="317">
        <v>-187.5</v>
      </c>
      <c r="V20" s="317">
        <v>-187.5</v>
      </c>
      <c r="W20" s="317">
        <v>-187.5</v>
      </c>
      <c r="X20" s="317">
        <v>-187.5</v>
      </c>
      <c r="Y20" s="317">
        <v>-187.5</v>
      </c>
      <c r="Z20" s="317">
        <v>-187.50001</v>
      </c>
      <c r="AA20" s="317">
        <v>-187.50001</v>
      </c>
      <c r="AB20" s="317">
        <v>-187.50001</v>
      </c>
      <c r="AC20" s="317">
        <v>-187.50001</v>
      </c>
      <c r="AD20" s="317">
        <v>-187.50001</v>
      </c>
    </row>
    <row r="21" spans="1:30">
      <c r="A21" s="318" t="s">
        <v>1872</v>
      </c>
      <c r="B21" s="317">
        <v>2884.0989300000001</v>
      </c>
      <c r="C21" s="317">
        <v>2944.62655</v>
      </c>
      <c r="D21" s="317">
        <v>3005.1541699999998</v>
      </c>
      <c r="E21" s="317">
        <v>3065.6817899999901</v>
      </c>
      <c r="F21" s="317">
        <v>3126.2094099999999</v>
      </c>
      <c r="G21" s="317">
        <v>3186.7370299999998</v>
      </c>
      <c r="H21" s="317">
        <v>3247.2646500000001</v>
      </c>
      <c r="I21" s="317">
        <v>3121.9904721861999</v>
      </c>
      <c r="J21" s="317">
        <v>3225.5480648069001</v>
      </c>
      <c r="K21" s="317">
        <v>3401.906454464</v>
      </c>
      <c r="L21" s="317">
        <v>3613.3627100281001</v>
      </c>
      <c r="M21" s="317">
        <v>969.11705724875901</v>
      </c>
      <c r="N21" s="317">
        <v>1183.4198995699501</v>
      </c>
      <c r="O21" s="317">
        <v>1399.8953502561501</v>
      </c>
      <c r="P21" s="317">
        <v>1616.45528424235</v>
      </c>
      <c r="Q21" s="317">
        <v>1833.5445143535501</v>
      </c>
      <c r="R21" s="317">
        <v>2051.4003359397502</v>
      </c>
      <c r="S21" s="317">
        <v>2337.9706619000499</v>
      </c>
      <c r="T21" s="317">
        <v>2624.6146795603499</v>
      </c>
      <c r="U21" s="317">
        <v>2911.3323888206501</v>
      </c>
      <c r="V21" s="317">
        <v>3198.1237897809501</v>
      </c>
      <c r="W21" s="317">
        <v>3484.9888824412501</v>
      </c>
      <c r="X21" s="317">
        <v>3771.9276667015502</v>
      </c>
      <c r="Y21" s="317">
        <v>4084.25824675285</v>
      </c>
      <c r="Z21" s="317">
        <v>4463.0123711541501</v>
      </c>
      <c r="AA21" s="317">
        <v>4883.3727902554601</v>
      </c>
      <c r="AB21" s="317">
        <v>5305.8574015567601</v>
      </c>
      <c r="AC21" s="317">
        <v>5729.99778495806</v>
      </c>
      <c r="AD21" s="317">
        <v>6154.3910104593597</v>
      </c>
    </row>
    <row r="22" spans="1:30">
      <c r="A22" s="353" t="s">
        <v>1726</v>
      </c>
    </row>
    <row r="23" spans="1:30">
      <c r="A23" s="808" t="s">
        <v>691</v>
      </c>
      <c r="B23" s="317">
        <v>59055.147850000001</v>
      </c>
      <c r="C23" s="317">
        <v>61264.620929999997</v>
      </c>
      <c r="D23" s="317">
        <v>63474.094010000001</v>
      </c>
      <c r="E23" s="317">
        <v>65683.567089999997</v>
      </c>
      <c r="F23" s="317">
        <v>67893.040169999993</v>
      </c>
      <c r="G23" s="317">
        <v>70102.513249999902</v>
      </c>
      <c r="H23" s="317">
        <v>72322.786859999993</v>
      </c>
      <c r="I23" s="317">
        <v>74557.259924569997</v>
      </c>
      <c r="J23" s="317">
        <v>76796.325458683001</v>
      </c>
      <c r="K23" s="317">
        <v>79036.640365430008</v>
      </c>
      <c r="L23" s="317">
        <v>81277.011094714006</v>
      </c>
      <c r="M23" s="317">
        <v>83517.381823998003</v>
      </c>
      <c r="N23" s="317">
        <v>85757.752553282</v>
      </c>
      <c r="O23" s="317">
        <v>87998.123282565997</v>
      </c>
      <c r="P23" s="317">
        <v>90238.494011850009</v>
      </c>
      <c r="Q23" s="317">
        <v>92478.864741134006</v>
      </c>
      <c r="R23" s="317">
        <v>94719.235470418003</v>
      </c>
      <c r="S23" s="317">
        <v>98964.741093542005</v>
      </c>
      <c r="T23" s="317">
        <v>103210.24671666601</v>
      </c>
      <c r="U23" s="317">
        <v>107455.75233979001</v>
      </c>
      <c r="V23" s="317">
        <v>111701.25796291401</v>
      </c>
      <c r="W23" s="317">
        <v>115946.76358603801</v>
      </c>
      <c r="X23" s="317">
        <v>120192.269209162</v>
      </c>
      <c r="Y23" s="317">
        <v>124437.774832286</v>
      </c>
      <c r="Z23" s="317">
        <v>128683.28045541</v>
      </c>
      <c r="AA23" s="317">
        <v>132928.786078534</v>
      </c>
      <c r="AB23" s="317">
        <v>137174.29170165799</v>
      </c>
      <c r="AC23" s="317">
        <v>141419.797324782</v>
      </c>
      <c r="AD23" s="317">
        <v>145665.30294790599</v>
      </c>
    </row>
    <row r="24" spans="1:30">
      <c r="A24" s="318" t="s">
        <v>1721</v>
      </c>
      <c r="B24" s="317">
        <v>0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-11442.57386</v>
      </c>
      <c r="J24" s="317">
        <v>-11442.57386</v>
      </c>
      <c r="K24" s="317">
        <v>-11442.57386</v>
      </c>
      <c r="L24" s="317">
        <v>-11442.57386</v>
      </c>
      <c r="M24" s="317">
        <v>-11442.57386</v>
      </c>
      <c r="N24" s="317">
        <v>-11442.57386</v>
      </c>
      <c r="O24" s="317">
        <v>-11442.57386</v>
      </c>
      <c r="P24" s="317">
        <v>-11442.57386</v>
      </c>
      <c r="Q24" s="317">
        <v>-11442.57386</v>
      </c>
      <c r="R24" s="317">
        <v>-11442.57386</v>
      </c>
      <c r="S24" s="317">
        <v>-11442.57386</v>
      </c>
      <c r="T24" s="317">
        <v>-11442.57386</v>
      </c>
      <c r="U24" s="317">
        <v>-11442.57386</v>
      </c>
      <c r="V24" s="317">
        <v>-11442.57386</v>
      </c>
      <c r="W24" s="317">
        <v>-11442.57386</v>
      </c>
      <c r="X24" s="317">
        <v>-11442.57386</v>
      </c>
      <c r="Y24" s="317">
        <v>-11442.57386</v>
      </c>
      <c r="Z24" s="317">
        <v>-11442.57386</v>
      </c>
      <c r="AA24" s="317">
        <v>-11442.57386</v>
      </c>
      <c r="AB24" s="317">
        <v>-11442.57386</v>
      </c>
      <c r="AC24" s="317">
        <v>-11442.57386</v>
      </c>
      <c r="AD24" s="317">
        <v>-11442.57386</v>
      </c>
    </row>
    <row r="25" spans="1:30">
      <c r="A25" s="318" t="s">
        <v>1872</v>
      </c>
      <c r="B25" s="317">
        <v>59055.147850000001</v>
      </c>
      <c r="C25" s="317">
        <v>61264.620929999997</v>
      </c>
      <c r="D25" s="317">
        <v>63474.094010000001</v>
      </c>
      <c r="E25" s="317">
        <v>65683.567089999997</v>
      </c>
      <c r="F25" s="317">
        <v>67893.040169999993</v>
      </c>
      <c r="G25" s="317">
        <v>70102.513249999902</v>
      </c>
      <c r="H25" s="317">
        <v>72322.786859999993</v>
      </c>
      <c r="I25" s="317">
        <v>63114.68606457</v>
      </c>
      <c r="J25" s="317">
        <v>65353.751598682997</v>
      </c>
      <c r="K25" s="317">
        <v>67594.066505430004</v>
      </c>
      <c r="L25" s="317">
        <v>69834.437234714002</v>
      </c>
      <c r="M25" s="317">
        <v>72074.807963997999</v>
      </c>
      <c r="N25" s="317">
        <v>74315.178693281996</v>
      </c>
      <c r="O25" s="317">
        <v>76555.549422565993</v>
      </c>
      <c r="P25" s="317">
        <v>78795.920151850005</v>
      </c>
      <c r="Q25" s="317">
        <v>81036.290881134002</v>
      </c>
      <c r="R25" s="317">
        <v>83276.661610417999</v>
      </c>
      <c r="S25" s="317">
        <v>87522.167233542001</v>
      </c>
      <c r="T25" s="317">
        <v>91767.672856666002</v>
      </c>
      <c r="U25" s="317">
        <v>96013.178479790004</v>
      </c>
      <c r="V25" s="317">
        <v>100258.68410291401</v>
      </c>
      <c r="W25" s="317">
        <v>104504.18972603801</v>
      </c>
      <c r="X25" s="317">
        <v>108749.69534916199</v>
      </c>
      <c r="Y25" s="317">
        <v>112995.20097228599</v>
      </c>
      <c r="Z25" s="317">
        <v>117240.70659541</v>
      </c>
      <c r="AA25" s="317">
        <v>121486.212218534</v>
      </c>
      <c r="AB25" s="317">
        <v>125731.717841658</v>
      </c>
      <c r="AC25" s="317">
        <v>129977.223464782</v>
      </c>
      <c r="AD25" s="317">
        <v>134222.72908790599</v>
      </c>
    </row>
    <row r="26" spans="1:30">
      <c r="A26" s="353" t="s">
        <v>1727</v>
      </c>
    </row>
    <row r="27" spans="1:30">
      <c r="A27" s="808" t="s">
        <v>691</v>
      </c>
      <c r="B27" s="317">
        <v>180.55253999999999</v>
      </c>
      <c r="C27" s="317">
        <v>201.33993999999899</v>
      </c>
      <c r="D27" s="317">
        <v>222.12734</v>
      </c>
      <c r="E27" s="317">
        <v>242.91473999999999</v>
      </c>
      <c r="F27" s="317">
        <v>263.70213999999999</v>
      </c>
      <c r="G27" s="317">
        <v>284.48953999999998</v>
      </c>
      <c r="H27" s="317">
        <v>305.276939999999</v>
      </c>
      <c r="I27" s="317">
        <v>328.35194458879602</v>
      </c>
      <c r="J27" s="317">
        <v>353.99162867478901</v>
      </c>
      <c r="K27" s="317">
        <v>380.11712946251203</v>
      </c>
      <c r="L27" s="317">
        <v>406.57515528593501</v>
      </c>
      <c r="M27" s="317">
        <v>433.38905468212897</v>
      </c>
      <c r="N27" s="317">
        <v>461.64578196382098</v>
      </c>
      <c r="O27" s="317">
        <v>683.18471160901402</v>
      </c>
      <c r="P27" s="317">
        <v>1099.8538356742069</v>
      </c>
      <c r="Q27" s="317">
        <v>1521.2549568774</v>
      </c>
      <c r="R27" s="317">
        <v>1995.2033419278901</v>
      </c>
      <c r="S27" s="317">
        <v>2654.0745851625898</v>
      </c>
      <c r="T27" s="317">
        <v>3317.1456457122899</v>
      </c>
      <c r="U27" s="317">
        <v>3984.04180404199</v>
      </c>
      <c r="V27" s="317">
        <v>4658.1218645716899</v>
      </c>
      <c r="W27" s="317">
        <v>5339.8086367813903</v>
      </c>
      <c r="X27" s="317">
        <v>6026.4113054610898</v>
      </c>
      <c r="Y27" s="317">
        <v>6717.4049163007903</v>
      </c>
      <c r="Z27" s="317">
        <v>7415.4828144184903</v>
      </c>
      <c r="AA27" s="317">
        <v>8119.3601171741902</v>
      </c>
      <c r="AB27" s="317">
        <v>8824.1022699498917</v>
      </c>
      <c r="AC27" s="317">
        <v>9529.3711585955916</v>
      </c>
      <c r="AD27" s="317">
        <v>10235.26004151129</v>
      </c>
    </row>
    <row r="28" spans="1:30">
      <c r="A28" s="318" t="s">
        <v>1721</v>
      </c>
      <c r="B28" s="317">
        <v>0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7">
        <v>0</v>
      </c>
      <c r="O28" s="317">
        <v>-435.78028</v>
      </c>
      <c r="P28" s="317">
        <v>-435.78028</v>
      </c>
      <c r="Q28" s="317">
        <v>-435.78028</v>
      </c>
      <c r="R28" s="317">
        <v>-435.78028</v>
      </c>
      <c r="S28" s="317">
        <v>-435.78028</v>
      </c>
      <c r="T28" s="317">
        <v>-435.78028</v>
      </c>
      <c r="U28" s="317">
        <v>-435.78028</v>
      </c>
      <c r="V28" s="317">
        <v>-435.78028</v>
      </c>
      <c r="W28" s="317">
        <v>-435.78028</v>
      </c>
      <c r="X28" s="317">
        <v>-435.78028</v>
      </c>
      <c r="Y28" s="317">
        <v>-435.78028</v>
      </c>
      <c r="Z28" s="317">
        <v>-435.78028</v>
      </c>
      <c r="AA28" s="317">
        <v>-435.78028</v>
      </c>
      <c r="AB28" s="317">
        <v>-435.78028</v>
      </c>
      <c r="AC28" s="317">
        <v>-435.78028</v>
      </c>
      <c r="AD28" s="317">
        <v>-435.78028</v>
      </c>
    </row>
    <row r="29" spans="1:30">
      <c r="A29" s="318" t="s">
        <v>1872</v>
      </c>
      <c r="B29" s="317">
        <v>180.55253999999999</v>
      </c>
      <c r="C29" s="317">
        <v>201.33993999999899</v>
      </c>
      <c r="D29" s="317">
        <v>222.12734</v>
      </c>
      <c r="E29" s="317">
        <v>242.91473999999999</v>
      </c>
      <c r="F29" s="317">
        <v>263.70213999999999</v>
      </c>
      <c r="G29" s="317">
        <v>284.48953999999998</v>
      </c>
      <c r="H29" s="317">
        <v>305.276939999999</v>
      </c>
      <c r="I29" s="317">
        <v>328.35194458879602</v>
      </c>
      <c r="J29" s="317">
        <v>353.99162867478901</v>
      </c>
      <c r="K29" s="317">
        <v>380.11712946251203</v>
      </c>
      <c r="L29" s="317">
        <v>406.57515528593501</v>
      </c>
      <c r="M29" s="317">
        <v>433.38905468212897</v>
      </c>
      <c r="N29" s="317">
        <v>461.64578196382098</v>
      </c>
      <c r="O29" s="317">
        <v>247.40443160901401</v>
      </c>
      <c r="P29" s="317">
        <v>664.073555674207</v>
      </c>
      <c r="Q29" s="317">
        <v>1085.4746768774</v>
      </c>
      <c r="R29" s="317">
        <v>1559.4230619278901</v>
      </c>
      <c r="S29" s="317">
        <v>2218.2943051625898</v>
      </c>
      <c r="T29" s="317">
        <v>2881.36536571229</v>
      </c>
      <c r="U29" s="317">
        <v>3548.26152404199</v>
      </c>
      <c r="V29" s="317">
        <v>4222.34158457169</v>
      </c>
      <c r="W29" s="317">
        <v>4904.0283567813904</v>
      </c>
      <c r="X29" s="317">
        <v>5590.6310254610898</v>
      </c>
      <c r="Y29" s="317">
        <v>6281.6246363007904</v>
      </c>
      <c r="Z29" s="317">
        <v>6979.7025344184904</v>
      </c>
      <c r="AA29" s="317">
        <v>7683.5798371741903</v>
      </c>
      <c r="AB29" s="317">
        <v>8388.3219899498908</v>
      </c>
      <c r="AC29" s="317">
        <v>9093.5908785955908</v>
      </c>
      <c r="AD29" s="317">
        <v>9799.4797615112893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E32"/>
  <sheetViews>
    <sheetView workbookViewId="0">
      <pane xSplit="1" ySplit="3" topLeftCell="B4" activePane="bottomRight" state="frozen"/>
      <selection activeCell="A32" sqref="A32"/>
      <selection pane="topRight" activeCell="A32" sqref="A32"/>
      <selection pane="bottomLeft" activeCell="A32" sqref="A32"/>
      <selection pane="bottomRight" activeCell="A12" sqref="A12"/>
    </sheetView>
  </sheetViews>
  <sheetFormatPr defaultRowHeight="15"/>
  <cols>
    <col min="1" max="1" width="21" style="503" customWidth="1"/>
    <col min="2" max="2" width="8.33203125" style="503" bestFit="1" customWidth="1"/>
    <col min="3" max="8" width="7.5546875" style="503" bestFit="1" customWidth="1"/>
    <col min="9" max="9" width="7.44140625" style="503" customWidth="1"/>
    <col min="10" max="11" width="7.5546875" style="503" bestFit="1" customWidth="1"/>
    <col min="12" max="14" width="8.33203125" style="503" bestFit="1" customWidth="1"/>
    <col min="15" max="23" width="7.5546875" style="503" bestFit="1" customWidth="1"/>
    <col min="24" max="26" width="8.33203125" style="503" bestFit="1" customWidth="1"/>
    <col min="27" max="30" width="7.5546875" style="503" bestFit="1" customWidth="1"/>
    <col min="31" max="16384" width="8.88671875" style="503"/>
  </cols>
  <sheetData>
    <row r="1" spans="1:31">
      <c r="A1" s="502" t="s">
        <v>1850</v>
      </c>
    </row>
    <row r="2" spans="1:31">
      <c r="A2" s="503" t="s">
        <v>1851</v>
      </c>
      <c r="B2" s="851" t="s">
        <v>1852</v>
      </c>
      <c r="C2" s="851"/>
      <c r="D2" s="851"/>
      <c r="E2" s="851"/>
      <c r="F2" s="851"/>
      <c r="G2" s="851"/>
      <c r="H2" s="851"/>
    </row>
    <row r="3" spans="1:31">
      <c r="B3" s="504">
        <v>43100</v>
      </c>
      <c r="C3" s="504">
        <f>EOMONTH(B3,1)</f>
        <v>43131</v>
      </c>
      <c r="D3" s="504">
        <f t="shared" ref="D3:AD3" si="0">EOMONTH(C3,1)</f>
        <v>43159</v>
      </c>
      <c r="E3" s="504">
        <f t="shared" si="0"/>
        <v>43190</v>
      </c>
      <c r="F3" s="504">
        <f t="shared" si="0"/>
        <v>43220</v>
      </c>
      <c r="G3" s="504">
        <f t="shared" si="0"/>
        <v>43251</v>
      </c>
      <c r="H3" s="504">
        <f t="shared" si="0"/>
        <v>43281</v>
      </c>
      <c r="I3" s="504">
        <f t="shared" si="0"/>
        <v>43312</v>
      </c>
      <c r="J3" s="504">
        <f t="shared" si="0"/>
        <v>43343</v>
      </c>
      <c r="K3" s="504">
        <f t="shared" si="0"/>
        <v>43373</v>
      </c>
      <c r="L3" s="504">
        <f t="shared" si="0"/>
        <v>43404</v>
      </c>
      <c r="M3" s="504">
        <f t="shared" si="0"/>
        <v>43434</v>
      </c>
      <c r="N3" s="504">
        <f t="shared" si="0"/>
        <v>43465</v>
      </c>
      <c r="O3" s="504">
        <f t="shared" si="0"/>
        <v>43496</v>
      </c>
      <c r="P3" s="504">
        <f t="shared" si="0"/>
        <v>43524</v>
      </c>
      <c r="Q3" s="504">
        <f t="shared" si="0"/>
        <v>43555</v>
      </c>
      <c r="R3" s="504">
        <f t="shared" si="0"/>
        <v>43585</v>
      </c>
      <c r="S3" s="504">
        <f t="shared" si="0"/>
        <v>43616</v>
      </c>
      <c r="T3" s="504">
        <f t="shared" si="0"/>
        <v>43646</v>
      </c>
      <c r="U3" s="504">
        <f t="shared" si="0"/>
        <v>43677</v>
      </c>
      <c r="V3" s="504">
        <f t="shared" si="0"/>
        <v>43708</v>
      </c>
      <c r="W3" s="504">
        <f t="shared" si="0"/>
        <v>43738</v>
      </c>
      <c r="X3" s="504">
        <f t="shared" si="0"/>
        <v>43769</v>
      </c>
      <c r="Y3" s="504">
        <f t="shared" si="0"/>
        <v>43799</v>
      </c>
      <c r="Z3" s="504">
        <f t="shared" si="0"/>
        <v>43830</v>
      </c>
      <c r="AA3" s="504">
        <f t="shared" si="0"/>
        <v>43861</v>
      </c>
      <c r="AB3" s="504">
        <f t="shared" si="0"/>
        <v>43890</v>
      </c>
      <c r="AC3" s="504">
        <f t="shared" si="0"/>
        <v>43921</v>
      </c>
      <c r="AD3" s="504">
        <f t="shared" si="0"/>
        <v>43951</v>
      </c>
      <c r="AE3" s="399" t="s">
        <v>1600</v>
      </c>
    </row>
    <row r="4" spans="1:31">
      <c r="A4" s="505" t="s">
        <v>1853</v>
      </c>
      <c r="B4" s="505">
        <v>0.2495</v>
      </c>
      <c r="C4" s="504"/>
      <c r="D4" s="504"/>
      <c r="E4" s="504"/>
      <c r="F4" s="504"/>
      <c r="G4" s="504"/>
      <c r="H4" s="505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</row>
    <row r="5" spans="1:31">
      <c r="A5" s="502" t="s">
        <v>1854</v>
      </c>
    </row>
    <row r="6" spans="1:31">
      <c r="A6" s="502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</row>
    <row r="7" spans="1:31">
      <c r="A7" s="503" t="s">
        <v>1855</v>
      </c>
      <c r="B7" s="506">
        <v>162.53407999999999</v>
      </c>
      <c r="C7" s="506">
        <v>458.01772999999997</v>
      </c>
      <c r="D7" s="506">
        <v>601.32782999999995</v>
      </c>
      <c r="E7" s="506">
        <v>1150.7075400000001</v>
      </c>
      <c r="F7" s="506">
        <v>625.77625</v>
      </c>
      <c r="G7" s="506">
        <v>280.33715999999998</v>
      </c>
      <c r="H7" s="506">
        <v>502.75875000000002</v>
      </c>
      <c r="I7" s="506">
        <v>424.26</v>
      </c>
      <c r="J7" s="506">
        <v>584.18003999999996</v>
      </c>
      <c r="K7" s="506">
        <v>1066.31999</v>
      </c>
      <c r="L7" s="506">
        <v>1130.52001</v>
      </c>
      <c r="M7" s="506">
        <v>1103.59393</v>
      </c>
      <c r="N7" s="506">
        <v>1863.1039699999999</v>
      </c>
      <c r="O7" s="506">
        <v>657.04918999999995</v>
      </c>
      <c r="P7" s="506">
        <v>938.04918999999995</v>
      </c>
      <c r="Q7" s="506">
        <v>1169.5991899999999</v>
      </c>
      <c r="R7" s="506">
        <v>1724.6791900000001</v>
      </c>
      <c r="S7" s="506">
        <v>1713.6791900000001</v>
      </c>
      <c r="T7" s="506">
        <v>2272.6791899999998</v>
      </c>
      <c r="U7" s="506">
        <v>1904.6791900000001</v>
      </c>
      <c r="V7" s="506">
        <v>2994.6791899999998</v>
      </c>
      <c r="W7" s="506">
        <v>2661.4071899999999</v>
      </c>
      <c r="X7" s="506">
        <v>1893.49919</v>
      </c>
      <c r="Y7" s="506">
        <v>772.04918999999995</v>
      </c>
      <c r="Z7" s="506">
        <v>777.53119000000004</v>
      </c>
      <c r="AA7" s="506">
        <v>608.85073</v>
      </c>
      <c r="AB7" s="506">
        <v>608.85109</v>
      </c>
      <c r="AC7" s="506">
        <v>807.95077000000003</v>
      </c>
      <c r="AD7" s="506">
        <v>1382.5108700000001</v>
      </c>
    </row>
    <row r="8" spans="1:31">
      <c r="A8" s="503" t="s">
        <v>1856</v>
      </c>
      <c r="B8" s="506">
        <v>9331.2225918387012</v>
      </c>
      <c r="C8" s="506">
        <v>9789.2422326747928</v>
      </c>
      <c r="D8" s="506">
        <v>10390.57007</v>
      </c>
      <c r="E8" s="506">
        <v>11431.79255486924</v>
      </c>
      <c r="F8" s="506">
        <v>12009.12981</v>
      </c>
      <c r="G8" s="506">
        <v>12251.163</v>
      </c>
      <c r="H8" s="506">
        <v>12711.468096111737</v>
      </c>
      <c r="I8" s="506">
        <v>13135.728096111738</v>
      </c>
      <c r="J8" s="506">
        <v>13719.908136111737</v>
      </c>
      <c r="K8" s="506">
        <v>14786.228126111737</v>
      </c>
      <c r="L8" s="506">
        <v>15916.748136111737</v>
      </c>
      <c r="M8" s="506">
        <v>17020.342066111738</v>
      </c>
      <c r="N8" s="506">
        <v>18883.446036111738</v>
      </c>
      <c r="O8" s="506">
        <v>19540.49522611174</v>
      </c>
      <c r="P8" s="506">
        <v>20478.544416111741</v>
      </c>
      <c r="Q8" s="506">
        <v>21648.143606111742</v>
      </c>
      <c r="R8" s="506">
        <v>23372.822796111741</v>
      </c>
      <c r="S8" s="506">
        <v>25086.50198611174</v>
      </c>
      <c r="T8" s="506">
        <v>27359.181176111739</v>
      </c>
      <c r="U8" s="506">
        <v>29263.860366111738</v>
      </c>
      <c r="V8" s="506">
        <v>32258.539556111737</v>
      </c>
      <c r="W8" s="506">
        <v>34919.946746111738</v>
      </c>
      <c r="X8" s="506">
        <v>36813.445936111741</v>
      </c>
      <c r="Y8" s="506">
        <v>37585.495126111739</v>
      </c>
      <c r="Z8" s="506">
        <v>38363.02631611174</v>
      </c>
      <c r="AA8" s="506">
        <v>38971.877046111738</v>
      </c>
      <c r="AB8" s="506">
        <v>39580.728136111735</v>
      </c>
      <c r="AC8" s="506">
        <v>40388.678906111738</v>
      </c>
      <c r="AD8" s="506">
        <v>41771.189776111736</v>
      </c>
    </row>
    <row r="9" spans="1:31"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  <c r="R9" s="506"/>
      <c r="S9" s="506"/>
      <c r="T9" s="506"/>
      <c r="U9" s="506"/>
      <c r="V9" s="506"/>
      <c r="W9" s="506"/>
      <c r="X9" s="506"/>
      <c r="Y9" s="506"/>
      <c r="Z9" s="506"/>
      <c r="AA9" s="506"/>
      <c r="AB9" s="506"/>
      <c r="AC9" s="506"/>
      <c r="AD9" s="506"/>
    </row>
    <row r="10" spans="1:31">
      <c r="A10" s="503" t="s">
        <v>1599</v>
      </c>
      <c r="B10" s="506">
        <v>31.591396887505201</v>
      </c>
      <c r="C10" s="506">
        <v>33.215573235023001</v>
      </c>
      <c r="D10" s="506">
        <v>35.355529925414402</v>
      </c>
      <c r="E10" s="506">
        <v>39.465199711128697</v>
      </c>
      <c r="F10" s="506">
        <v>41.708125338368902</v>
      </c>
      <c r="G10" s="506">
        <v>42.716532388728602</v>
      </c>
      <c r="H10" s="506">
        <v>44.531545926634699</v>
      </c>
      <c r="I10" s="506">
        <v>46.068719839678202</v>
      </c>
      <c r="J10" s="506">
        <v>48.193010894223598</v>
      </c>
      <c r="K10" s="506">
        <v>52.084689689844097</v>
      </c>
      <c r="L10" s="506">
        <v>56.225788627573003</v>
      </c>
      <c r="M10" s="506">
        <v>60.283119252573002</v>
      </c>
      <c r="N10" s="506">
        <v>67.158041651096994</v>
      </c>
      <c r="O10" s="506">
        <v>69.591557169615498</v>
      </c>
      <c r="P10" s="506">
        <v>73.078728879652701</v>
      </c>
      <c r="Q10" s="506">
        <v>77.4429049617423</v>
      </c>
      <c r="R10" s="506">
        <v>83.902377583465096</v>
      </c>
      <c r="S10" s="506">
        <v>90.344780553389896</v>
      </c>
      <c r="T10" s="506">
        <v>98.920928440182394</v>
      </c>
      <c r="U10" s="506">
        <v>106.135622341697</v>
      </c>
      <c r="V10" s="506">
        <v>117.522235231431</v>
      </c>
      <c r="W10" s="506">
        <v>127.680277941355</v>
      </c>
      <c r="X10" s="506">
        <v>134.935064109937</v>
      </c>
      <c r="Y10" s="506">
        <v>137.904484071475</v>
      </c>
      <c r="Z10" s="506">
        <v>140.906534998116</v>
      </c>
      <c r="AA10" s="506">
        <v>143.26642154850401</v>
      </c>
      <c r="AB10" s="506">
        <v>145.635491937609</v>
      </c>
      <c r="AC10" s="506">
        <v>148.791549632921</v>
      </c>
      <c r="AD10" s="506">
        <v>154.21316088782299</v>
      </c>
    </row>
    <row r="11" spans="1:31">
      <c r="A11" s="503" t="s">
        <v>1857</v>
      </c>
      <c r="B11" s="506">
        <v>422.44867686162081</v>
      </c>
      <c r="C11" s="506">
        <v>455.66425997402416</v>
      </c>
      <c r="D11" s="506">
        <v>491.0197966903915</v>
      </c>
      <c r="E11" s="506">
        <v>530.09398841024722</v>
      </c>
      <c r="F11" s="506">
        <v>571.23747759856633</v>
      </c>
      <c r="G11" s="506">
        <v>613.25160057553956</v>
      </c>
      <c r="H11" s="506">
        <v>656.92747182711821</v>
      </c>
      <c r="I11" s="506">
        <v>702.99619166679645</v>
      </c>
      <c r="J11" s="506">
        <v>751.18920256102001</v>
      </c>
      <c r="K11" s="506">
        <v>803.27389225086415</v>
      </c>
      <c r="L11" s="506">
        <v>859.49968087843718</v>
      </c>
      <c r="M11" s="506">
        <v>919.78280013101016</v>
      </c>
      <c r="N11" s="506">
        <v>986.9408417821071</v>
      </c>
      <c r="O11" s="506">
        <v>1056.5323989517226</v>
      </c>
      <c r="P11" s="506">
        <v>1129.6111278313754</v>
      </c>
      <c r="Q11" s="506">
        <v>1207.0540327931176</v>
      </c>
      <c r="R11" s="506">
        <v>1290.9564103765827</v>
      </c>
      <c r="S11" s="506">
        <v>1381.3011909299726</v>
      </c>
      <c r="T11" s="506">
        <v>1480.222119370155</v>
      </c>
      <c r="U11" s="506">
        <v>1586.357741711852</v>
      </c>
      <c r="V11" s="506">
        <v>1703.8799769432831</v>
      </c>
      <c r="W11" s="506">
        <v>1831.560254884638</v>
      </c>
      <c r="X11" s="506">
        <v>1966.495318994575</v>
      </c>
      <c r="Y11" s="506">
        <v>2104.39980306605</v>
      </c>
      <c r="Z11" s="506">
        <v>2245.3063380641661</v>
      </c>
      <c r="AA11" s="506">
        <v>2388.5727596126699</v>
      </c>
      <c r="AB11" s="506">
        <v>2534.2082515502789</v>
      </c>
      <c r="AC11" s="506">
        <v>2682.9998011831999</v>
      </c>
      <c r="AD11" s="506">
        <v>2837.212962071023</v>
      </c>
    </row>
    <row r="12" spans="1:31"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</row>
    <row r="13" spans="1:31">
      <c r="A13" s="503" t="s">
        <v>1858</v>
      </c>
      <c r="B13" s="506">
        <v>8908.7739149770805</v>
      </c>
      <c r="C13" s="506">
        <v>9333.5779727007684</v>
      </c>
      <c r="D13" s="506">
        <v>9899.5502733096091</v>
      </c>
      <c r="E13" s="506">
        <v>10901.698566458992</v>
      </c>
      <c r="F13" s="506">
        <v>11437.892332401434</v>
      </c>
      <c r="G13" s="506">
        <v>11637.911399424462</v>
      </c>
      <c r="H13" s="506">
        <v>12054.540624284618</v>
      </c>
      <c r="I13" s="506">
        <v>12432.731904444941</v>
      </c>
      <c r="J13" s="506">
        <v>12968.718933550717</v>
      </c>
      <c r="K13" s="506">
        <v>13982.954233860874</v>
      </c>
      <c r="L13" s="506">
        <v>15057.248455233301</v>
      </c>
      <c r="M13" s="506">
        <v>16100.559265980728</v>
      </c>
      <c r="N13" s="506">
        <v>17896.505194329631</v>
      </c>
      <c r="O13" s="506">
        <v>18483.962827160016</v>
      </c>
      <c r="P13" s="506">
        <v>19348.933288280365</v>
      </c>
      <c r="Q13" s="506">
        <v>20441.089573318626</v>
      </c>
      <c r="R13" s="506">
        <v>22081.866385735157</v>
      </c>
      <c r="S13" s="506">
        <v>23705.200795181769</v>
      </c>
      <c r="T13" s="506">
        <v>25878.959056741583</v>
      </c>
      <c r="U13" s="506">
        <v>27677.502624399887</v>
      </c>
      <c r="V13" s="506">
        <v>30554.659579168452</v>
      </c>
      <c r="W13" s="506">
        <v>33088.386491227102</v>
      </c>
      <c r="X13" s="506">
        <v>34846.950617117167</v>
      </c>
      <c r="Y13" s="506">
        <v>35481.095323045687</v>
      </c>
      <c r="Z13" s="506">
        <v>36117.719978047571</v>
      </c>
      <c r="AA13" s="506">
        <v>36583.304286499071</v>
      </c>
      <c r="AB13" s="506">
        <v>37046.519884561458</v>
      </c>
      <c r="AC13" s="506">
        <v>37705.679104928538</v>
      </c>
      <c r="AD13" s="506">
        <v>38933.97681404071</v>
      </c>
      <c r="AE13" s="509">
        <f>SUM(R13:AD13)/13</f>
        <v>32284.755456976476</v>
      </c>
    </row>
    <row r="14" spans="1:31"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</row>
    <row r="15" spans="1:31">
      <c r="A15" s="503" t="s">
        <v>1859</v>
      </c>
      <c r="B15" s="506"/>
      <c r="C15" s="506"/>
      <c r="D15" s="506"/>
      <c r="E15" s="506"/>
      <c r="F15" s="506"/>
      <c r="G15" s="506"/>
      <c r="H15" s="506"/>
      <c r="I15" s="506">
        <v>3101.9666101590128</v>
      </c>
      <c r="J15" s="506">
        <v>3235.6953739209039</v>
      </c>
      <c r="K15" s="506">
        <v>3488.7470813482878</v>
      </c>
      <c r="L15" s="506">
        <v>3756.7834895807086</v>
      </c>
      <c r="M15" s="506">
        <v>4017.0895368621918</v>
      </c>
      <c r="N15" s="506">
        <v>4465.1780459852425</v>
      </c>
      <c r="O15" s="506">
        <v>4611.7487253764239</v>
      </c>
      <c r="P15" s="506">
        <v>4827.5588554259512</v>
      </c>
      <c r="Q15" s="506">
        <v>5100.0518485429975</v>
      </c>
      <c r="R15" s="506">
        <v>5509.4256632409215</v>
      </c>
      <c r="S15" s="506">
        <v>5914.4475983978509</v>
      </c>
      <c r="T15" s="506">
        <v>6456.8002846570253</v>
      </c>
      <c r="U15" s="506">
        <v>6905.5369047877721</v>
      </c>
      <c r="V15" s="506">
        <v>7623.3875650025284</v>
      </c>
      <c r="W15" s="506">
        <v>8255.5524295611613</v>
      </c>
      <c r="X15" s="506">
        <v>8694.3141789707333</v>
      </c>
      <c r="Y15" s="506">
        <v>8852.5332830998996</v>
      </c>
      <c r="Z15" s="506">
        <v>9011.3711345228694</v>
      </c>
      <c r="AA15" s="506">
        <v>9127.5344194815189</v>
      </c>
      <c r="AB15" s="506">
        <v>9243.1067111980828</v>
      </c>
      <c r="AC15" s="506">
        <v>9407.5669366796701</v>
      </c>
      <c r="AD15" s="506">
        <v>9714.0272151031568</v>
      </c>
    </row>
    <row r="16" spans="1:31">
      <c r="A16" s="503" t="s">
        <v>1860</v>
      </c>
      <c r="B16" s="507"/>
      <c r="C16" s="507"/>
      <c r="D16" s="507"/>
      <c r="E16" s="507"/>
      <c r="F16" s="507"/>
      <c r="G16" s="507"/>
      <c r="H16" s="507"/>
      <c r="I16" s="507">
        <v>1185.5759879631471</v>
      </c>
      <c r="J16" s="507">
        <v>1207.517962560011</v>
      </c>
      <c r="K16" s="507">
        <v>1203.1109626966534</v>
      </c>
      <c r="L16" s="507">
        <v>1198.7039628332955</v>
      </c>
      <c r="M16" s="507">
        <v>1194.2969629699378</v>
      </c>
      <c r="N16" s="507">
        <v>1189.8899631065801</v>
      </c>
      <c r="O16" s="507">
        <v>1185.4829632432222</v>
      </c>
      <c r="P16" s="507">
        <v>1181.0759633798646</v>
      </c>
      <c r="Q16" s="507">
        <v>1176.6689635165069</v>
      </c>
      <c r="R16" s="507">
        <v>1172.261963653149</v>
      </c>
      <c r="S16" s="507">
        <v>1167.8549637897913</v>
      </c>
      <c r="T16" s="507">
        <v>1163.4479639264337</v>
      </c>
      <c r="U16" s="507">
        <v>1159.0409640630758</v>
      </c>
      <c r="V16" s="507">
        <v>1154.6339641997181</v>
      </c>
      <c r="W16" s="507">
        <v>1150.2269643363604</v>
      </c>
      <c r="X16" s="507">
        <v>1145.8199644730025</v>
      </c>
      <c r="Y16" s="507">
        <v>1141.4129646096449</v>
      </c>
      <c r="Z16" s="507">
        <v>1137.0059647462872</v>
      </c>
      <c r="AA16" s="507">
        <v>1132.5989648829293</v>
      </c>
      <c r="AB16" s="507">
        <v>1128.1919650195716</v>
      </c>
      <c r="AC16" s="507">
        <v>1123.784965156214</v>
      </c>
      <c r="AD16" s="507">
        <v>1119.3779652928561</v>
      </c>
    </row>
    <row r="17" spans="1:30">
      <c r="A17" s="503" t="s">
        <v>1861</v>
      </c>
      <c r="B17" s="506">
        <v>3465.5130529260841</v>
      </c>
      <c r="C17" s="506">
        <v>3570.6996994214392</v>
      </c>
      <c r="D17" s="506">
        <v>3712.2240300000003</v>
      </c>
      <c r="E17" s="506">
        <v>3966.0195778517359</v>
      </c>
      <c r="F17" s="506">
        <v>4099.87842</v>
      </c>
      <c r="G17" s="506">
        <v>4124.3978985734248</v>
      </c>
      <c r="H17" s="506">
        <v>4250.2888378800671</v>
      </c>
      <c r="I17" s="506">
        <v>4287.5425981221597</v>
      </c>
      <c r="J17" s="506">
        <v>4443.2133364809151</v>
      </c>
      <c r="K17" s="506">
        <v>4691.8580440449414</v>
      </c>
      <c r="L17" s="506">
        <v>4955.4874524140041</v>
      </c>
      <c r="M17" s="506">
        <v>5211.3864998321296</v>
      </c>
      <c r="N17" s="506">
        <v>5655.0680090918231</v>
      </c>
      <c r="O17" s="506">
        <v>5797.2316886196459</v>
      </c>
      <c r="P17" s="506">
        <v>6008.6348188058155</v>
      </c>
      <c r="Q17" s="506">
        <v>6276.7208120595042</v>
      </c>
      <c r="R17" s="506">
        <v>6681.6876268940705</v>
      </c>
      <c r="S17" s="506">
        <v>7082.3025621876423</v>
      </c>
      <c r="T17" s="506">
        <v>7620.2482485834589</v>
      </c>
      <c r="U17" s="506">
        <v>8064.5778688508481</v>
      </c>
      <c r="V17" s="506">
        <v>8778.0215292022458</v>
      </c>
      <c r="W17" s="506">
        <v>9405.779393897521</v>
      </c>
      <c r="X17" s="506">
        <v>9840.1341434437363</v>
      </c>
      <c r="Y17" s="506">
        <v>9993.946247709544</v>
      </c>
      <c r="Z17" s="506">
        <v>10148.377099269157</v>
      </c>
      <c r="AA17" s="506">
        <v>10260.133384364448</v>
      </c>
      <c r="AB17" s="506">
        <v>10371.298676217655</v>
      </c>
      <c r="AC17" s="506">
        <v>10531.351901835884</v>
      </c>
      <c r="AD17" s="506">
        <v>10833.405180396014</v>
      </c>
    </row>
    <row r="18" spans="1:30"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</row>
    <row r="19" spans="1:30">
      <c r="A19" s="503" t="s">
        <v>1862</v>
      </c>
      <c r="B19" s="506">
        <v>5443.2608620509964</v>
      </c>
      <c r="C19" s="506">
        <v>5762.8782732793297</v>
      </c>
      <c r="D19" s="506">
        <v>6187.3262433096088</v>
      </c>
      <c r="E19" s="506">
        <v>6935.6789886072565</v>
      </c>
      <c r="F19" s="506">
        <v>7338.013912401434</v>
      </c>
      <c r="G19" s="506">
        <v>7513.513500851037</v>
      </c>
      <c r="H19" s="506">
        <v>7804.2517864045512</v>
      </c>
      <c r="I19" s="506">
        <v>8145.1893063227817</v>
      </c>
      <c r="J19" s="506">
        <v>8525.5055970698013</v>
      </c>
      <c r="K19" s="506">
        <v>9291.096189815933</v>
      </c>
      <c r="L19" s="506">
        <v>10101.761002819298</v>
      </c>
      <c r="M19" s="506">
        <v>10889.172766148598</v>
      </c>
      <c r="N19" s="506">
        <v>12241.437185237808</v>
      </c>
      <c r="O19" s="506">
        <v>12686.73113854037</v>
      </c>
      <c r="P19" s="506">
        <v>13340.29846947455</v>
      </c>
      <c r="Q19" s="506">
        <v>14164.368761259122</v>
      </c>
      <c r="R19" s="506">
        <v>15400.178758841086</v>
      </c>
      <c r="S19" s="506">
        <v>16622.898232994128</v>
      </c>
      <c r="T19" s="506">
        <v>18258.710808158125</v>
      </c>
      <c r="U19" s="506">
        <v>19612.92475554904</v>
      </c>
      <c r="V19" s="506">
        <v>21776.638049966205</v>
      </c>
      <c r="W19" s="506">
        <v>23682.607097329579</v>
      </c>
      <c r="X19" s="506">
        <v>25006.816473673432</v>
      </c>
      <c r="Y19" s="506">
        <v>25487.149075336143</v>
      </c>
      <c r="Z19" s="506">
        <v>25969.342878778414</v>
      </c>
      <c r="AA19" s="506">
        <v>26323.170902134625</v>
      </c>
      <c r="AB19" s="506">
        <v>26675.221208343803</v>
      </c>
      <c r="AC19" s="506">
        <v>27174.327203092653</v>
      </c>
      <c r="AD19" s="506">
        <v>28100.571633644697</v>
      </c>
    </row>
    <row r="20" spans="1:30">
      <c r="B20" s="506"/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06"/>
      <c r="AD20" s="506"/>
    </row>
    <row r="21" spans="1:30"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</row>
    <row r="22" spans="1:30"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</row>
    <row r="23" spans="1:30"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506"/>
      <c r="AC23" s="506"/>
      <c r="AD23" s="506"/>
    </row>
    <row r="24" spans="1:30"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  <c r="AB24" s="506"/>
      <c r="AC24" s="506"/>
      <c r="AD24" s="506"/>
    </row>
    <row r="32" spans="1:30"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76"/>
  <sheetViews>
    <sheetView zoomScaleNormal="10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F28" sqref="F28"/>
    </sheetView>
  </sheetViews>
  <sheetFormatPr defaultColWidth="9" defaultRowHeight="15"/>
  <cols>
    <col min="1" max="1" width="9" style="137"/>
    <col min="2" max="2" width="45" style="134" customWidth="1"/>
    <col min="3" max="15" width="9.33203125" style="137" customWidth="1"/>
    <col min="16" max="16384" width="9" style="137"/>
  </cols>
  <sheetData>
    <row r="1" spans="2:15" s="136" customFormat="1">
      <c r="B1" s="180"/>
    </row>
    <row r="2" spans="2:15" s="136" customFormat="1">
      <c r="B2" s="181" t="s">
        <v>557</v>
      </c>
      <c r="C2" s="136" t="s">
        <v>1820</v>
      </c>
      <c r="D2" s="136" t="s">
        <v>1821</v>
      </c>
      <c r="E2" s="136" t="s">
        <v>1822</v>
      </c>
      <c r="F2" s="136" t="s">
        <v>1823</v>
      </c>
      <c r="G2" s="136" t="s">
        <v>1824</v>
      </c>
      <c r="H2" s="136" t="s">
        <v>1825</v>
      </c>
      <c r="I2" s="136" t="s">
        <v>1715</v>
      </c>
      <c r="J2" s="136" t="s">
        <v>1716</v>
      </c>
      <c r="K2" s="136" t="s">
        <v>1717</v>
      </c>
      <c r="L2" s="136" t="s">
        <v>1718</v>
      </c>
      <c r="M2" s="136" t="s">
        <v>1719</v>
      </c>
      <c r="N2" s="136" t="s">
        <v>1720</v>
      </c>
      <c r="O2" s="136" t="s">
        <v>1864</v>
      </c>
    </row>
    <row r="3" spans="2:15" s="136" customFormat="1">
      <c r="B3" s="224" t="s">
        <v>1035</v>
      </c>
    </row>
    <row r="4" spans="2:15">
      <c r="B4" s="181"/>
    </row>
    <row r="5" spans="2:15">
      <c r="B5" s="134" t="s">
        <v>1788</v>
      </c>
      <c r="C5" s="336">
        <f t="shared" ref="C5:H5" si="0">C64/1000</f>
        <v>2354.9609999999998</v>
      </c>
      <c r="D5" s="336">
        <f t="shared" si="0"/>
        <v>2355.58</v>
      </c>
      <c r="E5" s="336">
        <f t="shared" si="0"/>
        <v>2355.58</v>
      </c>
      <c r="F5" s="336">
        <f t="shared" si="0"/>
        <v>2355.58</v>
      </c>
      <c r="G5" s="336">
        <f t="shared" si="0"/>
        <v>2355.58</v>
      </c>
      <c r="H5" s="336">
        <f t="shared" si="0"/>
        <v>2366.6979999999999</v>
      </c>
      <c r="I5" s="336">
        <v>2400.8366348284571</v>
      </c>
      <c r="J5" s="336">
        <v>2449.3255543031532</v>
      </c>
      <c r="K5" s="336">
        <v>2523.8615406752833</v>
      </c>
      <c r="L5" s="336">
        <v>2559.3477541549832</v>
      </c>
      <c r="M5" s="336">
        <v>2561.0270493843132</v>
      </c>
      <c r="N5" s="336">
        <v>2563.9930423703531</v>
      </c>
      <c r="O5" s="336">
        <f>SUM(C5:N5)</f>
        <v>29202.370575716541</v>
      </c>
    </row>
    <row r="6" spans="2:15">
      <c r="B6" s="134" t="s">
        <v>1787</v>
      </c>
      <c r="C6" s="336">
        <f t="shared" ref="C6:H7" ca="1" si="1">C65/1000</f>
        <v>33.215579974024088</v>
      </c>
      <c r="D6" s="336">
        <f t="shared" ca="1" si="1"/>
        <v>35.355536690391453</v>
      </c>
      <c r="E6" s="336">
        <f t="shared" ca="1" si="1"/>
        <v>39.074188410247288</v>
      </c>
      <c r="F6" s="336">
        <f t="shared" ca="1" si="1"/>
        <v>41.143497598566313</v>
      </c>
      <c r="G6" s="336">
        <f t="shared" ca="1" si="1"/>
        <v>42.014120575539572</v>
      </c>
      <c r="H6" s="336">
        <f t="shared" ca="1" si="1"/>
        <v>43.675871827118186</v>
      </c>
      <c r="I6" s="336">
        <v>46.068719839678202</v>
      </c>
      <c r="J6" s="336">
        <v>48.193010894223598</v>
      </c>
      <c r="K6" s="336">
        <v>52.084689689844097</v>
      </c>
      <c r="L6" s="336">
        <v>56.225788627573003</v>
      </c>
      <c r="M6" s="336">
        <v>60.283119252573002</v>
      </c>
      <c r="N6" s="336">
        <v>67.158041651096994</v>
      </c>
      <c r="O6" s="336">
        <f ca="1">SUM(C6:N6)</f>
        <v>564.49216503087587</v>
      </c>
    </row>
    <row r="7" spans="2:15">
      <c r="B7" s="134" t="s">
        <v>1781</v>
      </c>
      <c r="C7" s="336">
        <f t="shared" ca="1" si="1"/>
        <v>139.28800000000001</v>
      </c>
      <c r="D7" s="336">
        <f t="shared" ca="1" si="1"/>
        <v>139.28800000000001</v>
      </c>
      <c r="E7" s="336">
        <f t="shared" ca="1" si="1"/>
        <v>139.268</v>
      </c>
      <c r="F7" s="336">
        <f t="shared" ca="1" si="1"/>
        <v>139.268</v>
      </c>
      <c r="G7" s="336">
        <f t="shared" ca="1" si="1"/>
        <v>139.268</v>
      </c>
      <c r="H7" s="336">
        <f t="shared" ca="1" si="1"/>
        <v>139.268</v>
      </c>
      <c r="I7" s="336">
        <v>136.98136202047999</v>
      </c>
      <c r="J7" s="336">
        <v>136.98136202047999</v>
      </c>
      <c r="K7" s="336">
        <v>136.98136202047999</v>
      </c>
      <c r="L7" s="336">
        <v>136.98136202047999</v>
      </c>
      <c r="M7" s="336">
        <v>132.80114120089738</v>
      </c>
      <c r="N7" s="336">
        <v>132.80114120089738</v>
      </c>
      <c r="O7" s="336">
        <f ca="1">SUM(C7:N7)</f>
        <v>1649.1757304837147</v>
      </c>
    </row>
    <row r="8" spans="2:15" s="809" customFormat="1">
      <c r="B8" s="134" t="s">
        <v>1867</v>
      </c>
      <c r="C8" s="336">
        <f t="shared" ref="C8:H14" ca="1" si="2">C67/1000</f>
        <v>0</v>
      </c>
      <c r="D8" s="336">
        <f t="shared" ca="1" si="2"/>
        <v>0</v>
      </c>
      <c r="E8" s="336">
        <f t="shared" ca="1" si="2"/>
        <v>0</v>
      </c>
      <c r="F8" s="336">
        <f t="shared" ca="1" si="2"/>
        <v>0</v>
      </c>
      <c r="G8" s="336">
        <f t="shared" ca="1" si="2"/>
        <v>0</v>
      </c>
      <c r="H8" s="336">
        <f t="shared" ca="1" si="2"/>
        <v>-33.590852386714921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v>-5.8720850976773997</v>
      </c>
      <c r="O8" s="336">
        <f ca="1">SUM(C8:N8)</f>
        <v>-68.823362972779321</v>
      </c>
    </row>
    <row r="9" spans="2:15">
      <c r="B9" s="134" t="s">
        <v>1868</v>
      </c>
      <c r="C9" s="336">
        <f t="shared" ca="1" si="2"/>
        <v>0</v>
      </c>
      <c r="D9" s="336">
        <f t="shared" ca="1" si="2"/>
        <v>0</v>
      </c>
      <c r="E9" s="336">
        <f t="shared" ca="1" si="2"/>
        <v>0</v>
      </c>
      <c r="F9" s="336">
        <f t="shared" ca="1" si="2"/>
        <v>0</v>
      </c>
      <c r="G9" s="336">
        <f t="shared" ca="1" si="2"/>
        <v>0</v>
      </c>
      <c r="H9" s="336">
        <f t="shared" ca="1" si="2"/>
        <v>0</v>
      </c>
      <c r="I9" s="336"/>
      <c r="J9" s="336"/>
      <c r="K9" s="336"/>
      <c r="L9" s="336"/>
      <c r="M9" s="336"/>
      <c r="N9" s="336"/>
      <c r="O9" s="336">
        <f t="shared" ref="O9:O16" ca="1" si="3">SUM(C9:N9)</f>
        <v>0</v>
      </c>
    </row>
    <row r="10" spans="2:15">
      <c r="B10" s="134" t="s">
        <v>1782</v>
      </c>
      <c r="C10" s="336">
        <f t="shared" ca="1" si="2"/>
        <v>28.822190000000003</v>
      </c>
      <c r="D10" s="336">
        <f t="shared" ca="1" si="2"/>
        <v>34.340900000000005</v>
      </c>
      <c r="E10" s="336">
        <f t="shared" ca="1" si="2"/>
        <v>17.018360000000001</v>
      </c>
      <c r="F10" s="336">
        <f t="shared" ca="1" si="2"/>
        <v>-318.40123</v>
      </c>
      <c r="G10" s="336">
        <f t="shared" ca="1" si="2"/>
        <v>-374.06303000000003</v>
      </c>
      <c r="H10" s="336">
        <f t="shared" ca="1" si="2"/>
        <v>-223.73417999999998</v>
      </c>
      <c r="I10" s="336">
        <v>-249.58600000000001</v>
      </c>
      <c r="J10" s="336">
        <v>-248.58600000000001</v>
      </c>
      <c r="K10" s="336">
        <v>-248.58600000000001</v>
      </c>
      <c r="L10" s="336">
        <v>-248.58600000000001</v>
      </c>
      <c r="M10" s="336">
        <v>-248.58600000000001</v>
      </c>
      <c r="N10" s="336">
        <v>-248.68799999999999</v>
      </c>
      <c r="O10" s="336">
        <f t="shared" ca="1" si="3"/>
        <v>-2328.6349900000005</v>
      </c>
    </row>
    <row r="11" spans="2:15">
      <c r="B11" s="134" t="s">
        <v>1783</v>
      </c>
      <c r="C11" s="336">
        <f t="shared" ca="1" si="2"/>
        <v>33.748129999999996</v>
      </c>
      <c r="D11" s="336">
        <f t="shared" ca="1" si="2"/>
        <v>30.272559999999999</v>
      </c>
      <c r="E11" s="336">
        <f t="shared" ca="1" si="2"/>
        <v>20.000489999999999</v>
      </c>
      <c r="F11" s="336">
        <f t="shared" ca="1" si="2"/>
        <v>13.384249999999998</v>
      </c>
      <c r="G11" s="336">
        <f t="shared" ca="1" si="2"/>
        <v>25.399949999999997</v>
      </c>
      <c r="H11" s="336">
        <f t="shared" ca="1" si="2"/>
        <v>-2.8218200000000015</v>
      </c>
      <c r="I11" s="336">
        <v>10.747999999999999</v>
      </c>
      <c r="J11" s="336">
        <v>42.747999999999998</v>
      </c>
      <c r="K11" s="336">
        <v>42.44</v>
      </c>
      <c r="L11" s="336">
        <v>42.44</v>
      </c>
      <c r="M11" s="336">
        <v>42.44</v>
      </c>
      <c r="N11" s="336">
        <v>41.929000000000002</v>
      </c>
      <c r="O11" s="336">
        <f t="shared" ca="1" si="3"/>
        <v>342.72856000000002</v>
      </c>
    </row>
    <row r="12" spans="2:15">
      <c r="B12" s="134" t="s">
        <v>1784</v>
      </c>
      <c r="C12" s="336">
        <f t="shared" ca="1" si="2"/>
        <v>448.32646999999997</v>
      </c>
      <c r="D12" s="336">
        <f t="shared" ca="1" si="2"/>
        <v>486.72296999999998</v>
      </c>
      <c r="E12" s="336">
        <f t="shared" ca="1" si="2"/>
        <v>271.06880000000001</v>
      </c>
      <c r="F12" s="336">
        <f t="shared" ca="1" si="2"/>
        <v>349.43129000000005</v>
      </c>
      <c r="G12" s="336">
        <f t="shared" ca="1" si="2"/>
        <v>329.09467000000001</v>
      </c>
      <c r="H12" s="336">
        <f t="shared" ca="1" si="2"/>
        <v>420.83603999999997</v>
      </c>
      <c r="I12" s="336">
        <v>452.13299999999998</v>
      </c>
      <c r="J12" s="336">
        <v>521.96399999999903</v>
      </c>
      <c r="K12" s="336">
        <v>475.23200000000003</v>
      </c>
      <c r="L12" s="336">
        <v>440.28899999999999</v>
      </c>
      <c r="M12" s="336">
        <v>414.464</v>
      </c>
      <c r="N12" s="336">
        <v>523.92099999999903</v>
      </c>
      <c r="O12" s="336">
        <f t="shared" ca="1" si="3"/>
        <v>5133.4832399999977</v>
      </c>
    </row>
    <row r="13" spans="2:15">
      <c r="B13" s="134" t="s">
        <v>1785</v>
      </c>
      <c r="C13" s="449">
        <f t="shared" ca="1" si="2"/>
        <v>0</v>
      </c>
      <c r="D13" s="449">
        <f t="shared" ca="1" si="2"/>
        <v>0</v>
      </c>
      <c r="E13" s="449">
        <f t="shared" ca="1" si="2"/>
        <v>0</v>
      </c>
      <c r="F13" s="449">
        <f t="shared" ca="1" si="2"/>
        <v>0</v>
      </c>
      <c r="G13" s="449">
        <f t="shared" ca="1" si="2"/>
        <v>0</v>
      </c>
      <c r="H13" s="449">
        <f t="shared" ca="1" si="2"/>
        <v>0</v>
      </c>
      <c r="I13" s="449">
        <v>0</v>
      </c>
      <c r="J13" s="449">
        <v>1</v>
      </c>
      <c r="K13" s="449">
        <v>0</v>
      </c>
      <c r="L13" s="449">
        <v>0</v>
      </c>
      <c r="M13" s="449">
        <v>0</v>
      </c>
      <c r="N13" s="449">
        <v>1</v>
      </c>
      <c r="O13" s="449">
        <f t="shared" ca="1" si="3"/>
        <v>2</v>
      </c>
    </row>
    <row r="14" spans="2:15">
      <c r="B14" s="134" t="s">
        <v>1786</v>
      </c>
      <c r="C14" s="449">
        <f t="shared" ca="1" si="2"/>
        <v>193.35073</v>
      </c>
      <c r="D14" s="449">
        <f t="shared" ca="1" si="2"/>
        <v>135.44979999999998</v>
      </c>
      <c r="E14" s="449">
        <f t="shared" ca="1" si="2"/>
        <v>404.35611999999998</v>
      </c>
      <c r="F14" s="449">
        <f t="shared" ca="1" si="2"/>
        <v>335.54644999999999</v>
      </c>
      <c r="G14" s="449">
        <f t="shared" ca="1" si="2"/>
        <v>157.14478999999997</v>
      </c>
      <c r="H14" s="449">
        <f t="shared" ca="1" si="2"/>
        <v>202.19220000000001</v>
      </c>
      <c r="I14" s="449">
        <v>312.68099999999998</v>
      </c>
      <c r="J14" s="449">
        <v>337.07</v>
      </c>
      <c r="K14" s="449">
        <v>269.59100000000001</v>
      </c>
      <c r="L14" s="449">
        <v>382.15600000000001</v>
      </c>
      <c r="M14" s="449">
        <v>392.54300000000001</v>
      </c>
      <c r="N14" s="449">
        <v>268.892</v>
      </c>
      <c r="O14" s="449">
        <f t="shared" ca="1" si="3"/>
        <v>3390.97309</v>
      </c>
    </row>
    <row r="15" spans="2:15">
      <c r="B15" s="134" t="s">
        <v>1791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137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v>0</v>
      </c>
      <c r="O15" s="336">
        <f t="shared" si="3"/>
        <v>0</v>
      </c>
    </row>
    <row r="16" spans="2:15">
      <c r="B16" s="134" t="s">
        <v>1789</v>
      </c>
      <c r="C16" s="137">
        <f t="shared" ref="C16:H16" ca="1" si="4">C74/1000</f>
        <v>0</v>
      </c>
      <c r="D16" s="137">
        <f t="shared" ca="1" si="4"/>
        <v>0</v>
      </c>
      <c r="E16" s="336">
        <f t="shared" ca="1" si="4"/>
        <v>0</v>
      </c>
      <c r="F16" s="137">
        <f t="shared" ca="1" si="4"/>
        <v>0</v>
      </c>
      <c r="G16" s="137">
        <f t="shared" ca="1" si="4"/>
        <v>0</v>
      </c>
      <c r="H16" s="137">
        <f t="shared" ca="1" si="4"/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f t="shared" ca="1" si="3"/>
        <v>0</v>
      </c>
    </row>
    <row r="17" spans="1:15">
      <c r="B17" s="181" t="s">
        <v>1277</v>
      </c>
      <c r="C17" s="361">
        <f t="shared" ref="C17:O17" ca="1" si="5">SUM(C4:C16)</f>
        <v>3231.7120999740237</v>
      </c>
      <c r="D17" s="361">
        <f t="shared" ca="1" si="5"/>
        <v>3217.0097666903912</v>
      </c>
      <c r="E17" s="361">
        <f t="shared" ca="1" si="5"/>
        <v>3246.365958410247</v>
      </c>
      <c r="F17" s="361">
        <f t="shared" ca="1" si="5"/>
        <v>2915.9522575985661</v>
      </c>
      <c r="G17" s="361">
        <f t="shared" ca="1" si="5"/>
        <v>2674.4385005755394</v>
      </c>
      <c r="H17" s="361">
        <f t="shared" ca="1" si="5"/>
        <v>2912.5232594404029</v>
      </c>
      <c r="I17" s="361">
        <f t="shared" si="5"/>
        <v>3103.9906315909375</v>
      </c>
      <c r="J17" s="361">
        <f t="shared" si="5"/>
        <v>3282.8238421201786</v>
      </c>
      <c r="K17" s="361">
        <f t="shared" si="5"/>
        <v>3245.7325072879303</v>
      </c>
      <c r="L17" s="361">
        <f t="shared" si="5"/>
        <v>3362.9818197053592</v>
      </c>
      <c r="M17" s="361">
        <f t="shared" si="5"/>
        <v>3349.1002247401066</v>
      </c>
      <c r="N17" s="361">
        <f t="shared" si="5"/>
        <v>3345.1341401246686</v>
      </c>
      <c r="O17" s="361">
        <f t="shared" ca="1" si="5"/>
        <v>37887.76500825835</v>
      </c>
    </row>
    <row r="18" spans="1:15">
      <c r="B18" s="137"/>
    </row>
    <row r="19" spans="1:15">
      <c r="B19" s="181" t="s">
        <v>1278</v>
      </c>
      <c r="C19" s="137">
        <f t="shared" ref="C19:H19" ca="1" si="6">C17*1000-C18</f>
        <v>3231712.0999740236</v>
      </c>
      <c r="D19" s="137">
        <f t="shared" ca="1" si="6"/>
        <v>3217009.7666903911</v>
      </c>
      <c r="E19" s="137">
        <f t="shared" ca="1" si="6"/>
        <v>3246365.9584102472</v>
      </c>
      <c r="F19" s="137">
        <f t="shared" ca="1" si="6"/>
        <v>2915952.2575985659</v>
      </c>
      <c r="G19" s="137">
        <f t="shared" ca="1" si="6"/>
        <v>2674438.5005755392</v>
      </c>
      <c r="H19" s="137">
        <f t="shared" ca="1" si="6"/>
        <v>2912523.259440403</v>
      </c>
    </row>
    <row r="20" spans="1:15">
      <c r="B20" s="134" t="s">
        <v>1782</v>
      </c>
      <c r="C20" s="336">
        <f ca="1">C10</f>
        <v>28.822190000000003</v>
      </c>
      <c r="D20" s="336">
        <f t="shared" ref="D20:N20" ca="1" si="7">D10</f>
        <v>34.340900000000005</v>
      </c>
      <c r="E20" s="336">
        <f t="shared" ca="1" si="7"/>
        <v>17.018360000000001</v>
      </c>
      <c r="F20" s="336">
        <f t="shared" ca="1" si="7"/>
        <v>-318.40123</v>
      </c>
      <c r="G20" s="336">
        <f t="shared" ca="1" si="7"/>
        <v>-374.06303000000003</v>
      </c>
      <c r="H20" s="336">
        <f t="shared" ca="1" si="7"/>
        <v>-223.73417999999998</v>
      </c>
      <c r="I20" s="336">
        <f t="shared" si="7"/>
        <v>-249.58600000000001</v>
      </c>
      <c r="J20" s="336">
        <f t="shared" si="7"/>
        <v>-248.58600000000001</v>
      </c>
      <c r="K20" s="336">
        <f t="shared" si="7"/>
        <v>-248.58600000000001</v>
      </c>
      <c r="L20" s="336">
        <f t="shared" si="7"/>
        <v>-248.58600000000001</v>
      </c>
      <c r="M20" s="336">
        <f t="shared" si="7"/>
        <v>-248.58600000000001</v>
      </c>
      <c r="N20" s="336">
        <f t="shared" si="7"/>
        <v>-248.68799999999999</v>
      </c>
      <c r="O20" s="336">
        <f ca="1">SUM(C20:N20)</f>
        <v>-2328.6349900000005</v>
      </c>
    </row>
    <row r="21" spans="1:15">
      <c r="B21" s="134" t="s">
        <v>1783</v>
      </c>
      <c r="C21" s="336">
        <f ca="1">C11</f>
        <v>33.748129999999996</v>
      </c>
      <c r="D21" s="336">
        <f t="shared" ref="D21:N21" ca="1" si="8">D11</f>
        <v>30.272559999999999</v>
      </c>
      <c r="E21" s="336">
        <f t="shared" ca="1" si="8"/>
        <v>20.000489999999999</v>
      </c>
      <c r="F21" s="336">
        <f t="shared" ca="1" si="8"/>
        <v>13.384249999999998</v>
      </c>
      <c r="G21" s="336">
        <f t="shared" ca="1" si="8"/>
        <v>25.399949999999997</v>
      </c>
      <c r="H21" s="336">
        <f t="shared" ca="1" si="8"/>
        <v>-2.8218200000000015</v>
      </c>
      <c r="I21" s="336">
        <f t="shared" si="8"/>
        <v>10.747999999999999</v>
      </c>
      <c r="J21" s="336">
        <f t="shared" si="8"/>
        <v>42.747999999999998</v>
      </c>
      <c r="K21" s="336">
        <f t="shared" si="8"/>
        <v>42.44</v>
      </c>
      <c r="L21" s="336">
        <f t="shared" si="8"/>
        <v>42.44</v>
      </c>
      <c r="M21" s="336">
        <f t="shared" si="8"/>
        <v>42.44</v>
      </c>
      <c r="N21" s="336">
        <f t="shared" si="8"/>
        <v>41.929000000000002</v>
      </c>
      <c r="O21" s="336">
        <f ca="1">SUM(C21:N21)</f>
        <v>342.72856000000002</v>
      </c>
    </row>
    <row r="22" spans="1:15">
      <c r="B22" s="134" t="s">
        <v>1784</v>
      </c>
      <c r="C22" s="336">
        <f ca="1">C12</f>
        <v>448.32646999999997</v>
      </c>
      <c r="D22" s="336">
        <f t="shared" ref="D22:N22" ca="1" si="9">D12</f>
        <v>486.72296999999998</v>
      </c>
      <c r="E22" s="336">
        <f t="shared" ca="1" si="9"/>
        <v>271.06880000000001</v>
      </c>
      <c r="F22" s="336">
        <f t="shared" ca="1" si="9"/>
        <v>349.43129000000005</v>
      </c>
      <c r="G22" s="336">
        <f t="shared" ca="1" si="9"/>
        <v>329.09467000000001</v>
      </c>
      <c r="H22" s="336">
        <f t="shared" ca="1" si="9"/>
        <v>420.83603999999997</v>
      </c>
      <c r="I22" s="336">
        <f t="shared" si="9"/>
        <v>452.13299999999998</v>
      </c>
      <c r="J22" s="336">
        <f t="shared" si="9"/>
        <v>521.96399999999903</v>
      </c>
      <c r="K22" s="336">
        <f t="shared" si="9"/>
        <v>475.23200000000003</v>
      </c>
      <c r="L22" s="336">
        <f t="shared" si="9"/>
        <v>440.28899999999999</v>
      </c>
      <c r="M22" s="336">
        <f t="shared" si="9"/>
        <v>414.464</v>
      </c>
      <c r="N22" s="336">
        <f t="shared" si="9"/>
        <v>523.92099999999903</v>
      </c>
      <c r="O22" s="336">
        <f ca="1">SUM(C22:N22)</f>
        <v>5133.4832399999977</v>
      </c>
    </row>
    <row r="23" spans="1:15">
      <c r="B23" s="134" t="s">
        <v>1786</v>
      </c>
      <c r="C23" s="449">
        <f ca="1">C14</f>
        <v>193.35073</v>
      </c>
      <c r="D23" s="449">
        <f t="shared" ref="D23:N23" ca="1" si="10">D14</f>
        <v>135.44979999999998</v>
      </c>
      <c r="E23" s="449">
        <f t="shared" ca="1" si="10"/>
        <v>404.35611999999998</v>
      </c>
      <c r="F23" s="449">
        <f t="shared" ca="1" si="10"/>
        <v>335.54644999999999</v>
      </c>
      <c r="G23" s="449">
        <f t="shared" ca="1" si="10"/>
        <v>157.14478999999997</v>
      </c>
      <c r="H23" s="449">
        <f t="shared" ca="1" si="10"/>
        <v>202.19220000000001</v>
      </c>
      <c r="I23" s="449">
        <f t="shared" si="10"/>
        <v>312.68099999999998</v>
      </c>
      <c r="J23" s="449">
        <f t="shared" si="10"/>
        <v>337.07</v>
      </c>
      <c r="K23" s="449">
        <f t="shared" si="10"/>
        <v>269.59100000000001</v>
      </c>
      <c r="L23" s="449">
        <f t="shared" si="10"/>
        <v>382.15600000000001</v>
      </c>
      <c r="M23" s="449">
        <f t="shared" si="10"/>
        <v>392.54300000000001</v>
      </c>
      <c r="N23" s="449">
        <f t="shared" si="10"/>
        <v>268.892</v>
      </c>
      <c r="O23" s="336">
        <f ca="1">SUM(C23:N23)</f>
        <v>3390.97309</v>
      </c>
    </row>
    <row r="24" spans="1:15">
      <c r="H24" s="336"/>
    </row>
    <row r="25" spans="1:15">
      <c r="B25" s="134" t="s">
        <v>1280</v>
      </c>
      <c r="C25" s="361">
        <f t="shared" ref="C25:H25" ca="1" si="11">SUM(C20:C24)</f>
        <v>704.24751999999989</v>
      </c>
      <c r="D25" s="361">
        <f t="shared" ca="1" si="11"/>
        <v>686.78622999999993</v>
      </c>
      <c r="E25" s="361">
        <f t="shared" ca="1" si="11"/>
        <v>712.44376999999997</v>
      </c>
      <c r="F25" s="361">
        <f t="shared" ca="1" si="11"/>
        <v>379.96076000000005</v>
      </c>
      <c r="G25" s="361">
        <f t="shared" ca="1" si="11"/>
        <v>137.57637999999994</v>
      </c>
      <c r="H25" s="361">
        <f t="shared" ca="1" si="11"/>
        <v>396.47224</v>
      </c>
      <c r="I25" s="361">
        <f t="shared" ref="I25:N25" si="12">SUM(I20:I24)</f>
        <v>525.97599999999989</v>
      </c>
      <c r="J25" s="361">
        <f t="shared" si="12"/>
        <v>653.195999999999</v>
      </c>
      <c r="K25" s="361">
        <f t="shared" si="12"/>
        <v>538.67700000000002</v>
      </c>
      <c r="L25" s="361">
        <f t="shared" si="12"/>
        <v>616.29899999999998</v>
      </c>
      <c r="M25" s="361">
        <f t="shared" si="12"/>
        <v>600.86099999999999</v>
      </c>
      <c r="N25" s="361">
        <f t="shared" si="12"/>
        <v>586.05399999999895</v>
      </c>
      <c r="O25" s="361">
        <f ca="1">SUM(C25:N25)</f>
        <v>6538.5498999999973</v>
      </c>
    </row>
    <row r="26" spans="1:15">
      <c r="O26" s="336">
        <f ca="1">O25*0.125</f>
        <v>817.31873749999966</v>
      </c>
    </row>
    <row r="29" spans="1:15">
      <c r="A29" s="134" t="s">
        <v>1790</v>
      </c>
    </row>
    <row r="30" spans="1:15">
      <c r="A30" s="448">
        <v>407.3</v>
      </c>
      <c r="B30" s="134" t="s">
        <v>1767</v>
      </c>
      <c r="C30" s="137">
        <v>33215.579974024091</v>
      </c>
      <c r="D30" s="137">
        <v>35355.536690391455</v>
      </c>
      <c r="E30" s="137">
        <v>39074.18841024729</v>
      </c>
      <c r="F30" s="137">
        <v>41143.497598566311</v>
      </c>
      <c r="G30" s="137">
        <v>42014.120575539571</v>
      </c>
      <c r="H30" s="137">
        <v>43675.871827118186</v>
      </c>
    </row>
    <row r="31" spans="1:15">
      <c r="A31" s="137" t="str">
        <f>MID($B31,1,3)</f>
        <v>408</v>
      </c>
      <c r="B31" s="134" t="s">
        <v>1274</v>
      </c>
      <c r="C31" s="137">
        <v>139288</v>
      </c>
      <c r="D31" s="137">
        <v>139288</v>
      </c>
      <c r="E31" s="137">
        <v>139268</v>
      </c>
      <c r="F31" s="137">
        <v>139268</v>
      </c>
      <c r="G31" s="137">
        <v>139268</v>
      </c>
      <c r="H31" s="137">
        <v>139268</v>
      </c>
    </row>
    <row r="32" spans="1:15">
      <c r="A32" s="448">
        <v>411.8</v>
      </c>
      <c r="B32" s="134" t="s">
        <v>1275</v>
      </c>
    </row>
    <row r="33" spans="1:8">
      <c r="A33" s="137" t="str">
        <f t="shared" ref="A33:A38" si="13">MID($B33,1,3)</f>
        <v>502</v>
      </c>
      <c r="B33" s="134" t="s">
        <v>1757</v>
      </c>
      <c r="C33" s="137">
        <v>-113324</v>
      </c>
      <c r="D33" s="137">
        <v>13600</v>
      </c>
      <c r="F33" s="137">
        <v>-1400</v>
      </c>
      <c r="G33" s="137">
        <v>8578.26</v>
      </c>
      <c r="H33" s="137">
        <v>4839.3999999999996</v>
      </c>
    </row>
    <row r="34" spans="1:8">
      <c r="A34" s="137" t="str">
        <f t="shared" si="13"/>
        <v>502</v>
      </c>
      <c r="B34" s="134" t="s">
        <v>1757</v>
      </c>
      <c r="C34" s="137">
        <v>125928</v>
      </c>
      <c r="D34" s="137">
        <v>-2518.56</v>
      </c>
      <c r="F34" s="137">
        <v>3934.84</v>
      </c>
    </row>
    <row r="35" spans="1:8">
      <c r="A35" s="137" t="str">
        <f t="shared" si="13"/>
        <v>502</v>
      </c>
      <c r="B35" s="134" t="s">
        <v>1757</v>
      </c>
      <c r="C35" s="137">
        <v>1989.3</v>
      </c>
      <c r="D35" s="137">
        <v>1351.3</v>
      </c>
      <c r="E35" s="137">
        <v>2231.8000000000002</v>
      </c>
      <c r="G35" s="137">
        <v>6133.66</v>
      </c>
      <c r="H35" s="137">
        <v>-18449.88</v>
      </c>
    </row>
    <row r="36" spans="1:8">
      <c r="A36" s="137" t="str">
        <f t="shared" si="13"/>
        <v>502</v>
      </c>
      <c r="B36" s="134" t="s">
        <v>1757</v>
      </c>
      <c r="C36" s="137">
        <v>10833</v>
      </c>
      <c r="D36" s="137">
        <v>10833</v>
      </c>
      <c r="E36" s="137">
        <v>10833</v>
      </c>
      <c r="G36" s="137">
        <v>10833</v>
      </c>
      <c r="H36" s="137">
        <v>10833.02</v>
      </c>
    </row>
    <row r="37" spans="1:8">
      <c r="A37" s="137" t="str">
        <f t="shared" si="13"/>
        <v>502</v>
      </c>
      <c r="B37" s="134" t="s">
        <v>1757</v>
      </c>
      <c r="C37" s="137">
        <v>8522.43</v>
      </c>
      <c r="D37" s="137">
        <v>7176.42</v>
      </c>
      <c r="E37" s="137">
        <v>7084.83</v>
      </c>
      <c r="F37" s="137">
        <v>10994.38</v>
      </c>
    </row>
    <row r="38" spans="1:8">
      <c r="A38" s="137" t="str">
        <f t="shared" si="13"/>
        <v>501</v>
      </c>
      <c r="B38" s="134" t="s">
        <v>1756</v>
      </c>
      <c r="C38" s="137">
        <v>17512.79</v>
      </c>
      <c r="D38" s="137">
        <v>25315.82</v>
      </c>
      <c r="E38" s="137">
        <v>8526.0300000000007</v>
      </c>
      <c r="F38" s="137">
        <v>1006.51</v>
      </c>
      <c r="G38" s="137">
        <v>3833.85</v>
      </c>
      <c r="H38" s="137">
        <v>25455.13</v>
      </c>
    </row>
    <row r="39" spans="1:8">
      <c r="A39" s="137" t="str">
        <f t="shared" ref="A39:A58" si="14">MID($B39,1,3)</f>
        <v>501</v>
      </c>
      <c r="B39" s="134" t="s">
        <v>1756</v>
      </c>
      <c r="C39" s="137">
        <v>11306.300000000001</v>
      </c>
      <c r="D39" s="137">
        <v>5750.73</v>
      </c>
      <c r="E39" s="137">
        <v>8492.33</v>
      </c>
      <c r="F39" s="137">
        <v>8280.01</v>
      </c>
      <c r="G39" s="137">
        <v>8858.8799999999992</v>
      </c>
      <c r="H39" s="137">
        <v>8778.67</v>
      </c>
    </row>
    <row r="40" spans="1:8">
      <c r="A40" s="137" t="str">
        <f t="shared" si="14"/>
        <v>501</v>
      </c>
      <c r="B40" s="134" t="s">
        <v>1756</v>
      </c>
      <c r="C40" s="137">
        <v>3.1</v>
      </c>
      <c r="D40" s="137">
        <v>3274.35</v>
      </c>
      <c r="F40" s="137">
        <v>-327687.75</v>
      </c>
      <c r="G40" s="137">
        <v>-386755.76</v>
      </c>
      <c r="H40" s="137">
        <v>-257967.98</v>
      </c>
    </row>
    <row r="41" spans="1:8">
      <c r="A41" s="137" t="str">
        <f t="shared" si="14"/>
        <v>512</v>
      </c>
      <c r="B41" s="134" t="s">
        <v>1869</v>
      </c>
      <c r="C41" s="137">
        <v>1205.44</v>
      </c>
      <c r="D41" s="137">
        <v>234.11</v>
      </c>
      <c r="E41" s="137">
        <v>2185.3199999999997</v>
      </c>
      <c r="F41" s="137">
        <v>3681.98</v>
      </c>
      <c r="G41" s="137">
        <v>1015.75</v>
      </c>
      <c r="H41" s="137">
        <v>276.74</v>
      </c>
    </row>
    <row r="42" spans="1:8">
      <c r="A42" s="137" t="str">
        <f t="shared" si="14"/>
        <v>512</v>
      </c>
      <c r="B42" s="134" t="s">
        <v>1869</v>
      </c>
      <c r="C42" s="137">
        <v>1706.7</v>
      </c>
      <c r="D42" s="137">
        <v>72.040000000000006</v>
      </c>
      <c r="E42" s="137">
        <v>151.28</v>
      </c>
      <c r="F42" s="137">
        <v>2530.15</v>
      </c>
      <c r="G42" s="137">
        <v>110.98</v>
      </c>
      <c r="H42" s="137">
        <v>187.91</v>
      </c>
    </row>
    <row r="43" spans="1:8">
      <c r="A43" s="137" t="str">
        <f t="shared" si="14"/>
        <v>512</v>
      </c>
      <c r="B43" s="134" t="s">
        <v>1869</v>
      </c>
      <c r="C43" s="137">
        <v>574.91</v>
      </c>
      <c r="D43" s="137">
        <v>0.32</v>
      </c>
      <c r="E43" s="137">
        <v>790.55</v>
      </c>
      <c r="F43" s="137">
        <v>174.88</v>
      </c>
      <c r="G43" s="137">
        <v>441.17</v>
      </c>
      <c r="H43" s="137">
        <v>849.76</v>
      </c>
    </row>
    <row r="44" spans="1:8">
      <c r="A44" s="137" t="str">
        <f t="shared" si="14"/>
        <v>512</v>
      </c>
      <c r="B44" s="134" t="s">
        <v>1869</v>
      </c>
      <c r="C44" s="137">
        <v>0.9</v>
      </c>
      <c r="D44" s="137">
        <v>1117.5899999999999</v>
      </c>
      <c r="E44" s="137">
        <v>8.65</v>
      </c>
      <c r="F44" s="137">
        <v>298.63</v>
      </c>
      <c r="G44" s="137">
        <v>96.84</v>
      </c>
    </row>
    <row r="45" spans="1:8">
      <c r="A45" s="137" t="str">
        <f t="shared" si="14"/>
        <v>512</v>
      </c>
      <c r="B45" s="134" t="s">
        <v>1869</v>
      </c>
      <c r="C45" s="137">
        <v>94.13</v>
      </c>
      <c r="D45" s="137">
        <v>46.5</v>
      </c>
      <c r="E45" s="137">
        <v>1691.27</v>
      </c>
      <c r="F45" s="137">
        <v>48.89</v>
      </c>
    </row>
    <row r="46" spans="1:8">
      <c r="A46" s="137" t="str">
        <f t="shared" si="14"/>
        <v>512</v>
      </c>
      <c r="B46" s="134" t="s">
        <v>1869</v>
      </c>
      <c r="E46" s="137">
        <v>1686.58</v>
      </c>
      <c r="F46" s="137">
        <v>2289.62</v>
      </c>
    </row>
    <row r="47" spans="1:8">
      <c r="A47" s="137">
        <v>502</v>
      </c>
      <c r="B47" s="134" t="s">
        <v>1279</v>
      </c>
      <c r="C47" s="137">
        <v>-200.59999999999854</v>
      </c>
      <c r="D47" s="137">
        <v>-169.59999999999854</v>
      </c>
      <c r="E47" s="137">
        <v>-149.13999999999942</v>
      </c>
      <c r="F47" s="137">
        <v>-144.97000000000116</v>
      </c>
      <c r="G47" s="137">
        <v>-144.97000000000116</v>
      </c>
      <c r="H47" s="137">
        <v>-44.360000000000582</v>
      </c>
    </row>
    <row r="48" spans="1:8">
      <c r="A48" s="137" t="str">
        <f>MID($B48,2,3)</f>
        <v>502</v>
      </c>
      <c r="B48" s="134" t="s">
        <v>1758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</row>
    <row r="49" spans="1:17">
      <c r="A49" s="137" t="str">
        <f t="shared" ref="A49:A55" si="15">MID($B49,2,3)</f>
        <v>512</v>
      </c>
      <c r="B49" s="134" t="s">
        <v>1759</v>
      </c>
      <c r="C49" s="137">
        <v>103586.68</v>
      </c>
      <c r="D49" s="137">
        <v>78590.070000000007</v>
      </c>
      <c r="E49" s="137">
        <v>260277.87</v>
      </c>
      <c r="F49" s="137">
        <v>219405.18000000002</v>
      </c>
      <c r="G49" s="137">
        <v>67845.359999999986</v>
      </c>
      <c r="H49" s="137">
        <v>116010.72</v>
      </c>
    </row>
    <row r="50" spans="1:17">
      <c r="A50" s="137" t="str">
        <f t="shared" si="15"/>
        <v>506</v>
      </c>
      <c r="B50" s="134" t="s">
        <v>1760</v>
      </c>
      <c r="C50" s="137">
        <v>13142.72</v>
      </c>
      <c r="D50" s="137">
        <v>4657.4399999999996</v>
      </c>
      <c r="E50" s="137">
        <v>13976.22</v>
      </c>
      <c r="F50" s="137">
        <v>10155.130000000001</v>
      </c>
      <c r="G50" s="137">
        <v>15392.680000000002</v>
      </c>
      <c r="H50" s="137">
        <v>12903.749999999998</v>
      </c>
    </row>
    <row r="51" spans="1:17">
      <c r="A51" s="137" t="str">
        <f t="shared" si="15"/>
        <v>506</v>
      </c>
      <c r="B51" s="134" t="s">
        <v>1761</v>
      </c>
      <c r="C51" s="137">
        <v>259084.65000000002</v>
      </c>
      <c r="D51" s="137">
        <v>230547.48</v>
      </c>
      <c r="E51" s="137">
        <v>164232.68</v>
      </c>
      <c r="F51" s="137">
        <v>226634.44</v>
      </c>
      <c r="G51" s="137">
        <v>252657.25</v>
      </c>
      <c r="H51" s="137">
        <v>313977.21999999997</v>
      </c>
    </row>
    <row r="52" spans="1:17">
      <c r="A52" s="137" t="str">
        <f t="shared" si="15"/>
        <v>512</v>
      </c>
      <c r="B52" s="134" t="s">
        <v>1762</v>
      </c>
      <c r="C52" s="137">
        <v>49170.65</v>
      </c>
      <c r="D52" s="137">
        <v>28842.68</v>
      </c>
      <c r="E52" s="137">
        <v>80658.209999999992</v>
      </c>
      <c r="F52" s="137">
        <v>72668.37999999999</v>
      </c>
      <c r="G52" s="137">
        <v>61670.349999999991</v>
      </c>
      <c r="H52" s="137">
        <v>63305.94</v>
      </c>
    </row>
    <row r="53" spans="1:17">
      <c r="A53" s="137" t="str">
        <f t="shared" si="15"/>
        <v>506</v>
      </c>
      <c r="B53" s="134" t="s">
        <v>1763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</row>
    <row r="54" spans="1:17">
      <c r="A54" s="137" t="str">
        <f t="shared" si="15"/>
        <v>512</v>
      </c>
      <c r="B54" s="134" t="s">
        <v>1764</v>
      </c>
      <c r="C54" s="137">
        <v>37011.32</v>
      </c>
      <c r="D54" s="137">
        <v>26546.49</v>
      </c>
      <c r="E54" s="137">
        <v>56906.39</v>
      </c>
      <c r="F54" s="137">
        <v>34448.74</v>
      </c>
      <c r="G54" s="137">
        <v>25964.34</v>
      </c>
      <c r="H54" s="137">
        <v>21561.13</v>
      </c>
    </row>
    <row r="55" spans="1:17">
      <c r="A55" s="137" t="str">
        <f t="shared" si="15"/>
        <v>506</v>
      </c>
      <c r="B55" s="134" t="s">
        <v>1765</v>
      </c>
      <c r="C55" s="137">
        <v>68177.7</v>
      </c>
      <c r="D55" s="137">
        <v>134334.45000000001</v>
      </c>
      <c r="E55" s="137">
        <v>34319.699999999997</v>
      </c>
      <c r="F55" s="137">
        <v>51111</v>
      </c>
      <c r="G55" s="137">
        <v>0</v>
      </c>
      <c r="H55" s="137">
        <v>33720.300000000003</v>
      </c>
    </row>
    <row r="56" spans="1:17">
      <c r="A56" s="137" t="str">
        <f>MID($B56,1,3)</f>
        <v>509</v>
      </c>
      <c r="B56" s="134" t="s">
        <v>1276</v>
      </c>
    </row>
    <row r="57" spans="1:17">
      <c r="A57" s="137" t="str">
        <f t="shared" si="14"/>
        <v>506</v>
      </c>
      <c r="B57" s="134" t="s">
        <v>1766</v>
      </c>
      <c r="C57" s="137">
        <v>107921.4</v>
      </c>
      <c r="D57" s="137">
        <v>117183.6</v>
      </c>
      <c r="E57" s="137">
        <v>58540.2</v>
      </c>
      <c r="F57" s="137">
        <v>61530.720000000001</v>
      </c>
      <c r="G57" s="137">
        <v>61044.74</v>
      </c>
      <c r="H57" s="137">
        <v>60234.77</v>
      </c>
    </row>
    <row r="58" spans="1:17" s="809" customFormat="1">
      <c r="A58" s="137" t="str">
        <f t="shared" si="14"/>
        <v>411</v>
      </c>
      <c r="B58" s="134" t="s">
        <v>1865</v>
      </c>
      <c r="H58" s="809">
        <v>-33590.85238671492</v>
      </c>
      <c r="P58" s="137"/>
      <c r="Q58" s="137"/>
    </row>
    <row r="59" spans="1:17">
      <c r="A59" s="137">
        <v>923</v>
      </c>
      <c r="B59" s="134" t="s">
        <v>1778</v>
      </c>
    </row>
    <row r="60" spans="1:17">
      <c r="B60" s="134" t="s">
        <v>967</v>
      </c>
      <c r="C60" s="137">
        <f t="shared" ref="C60:H60" si="16">SUM(C30:C59)</f>
        <v>876751.09997402399</v>
      </c>
      <c r="D60" s="137">
        <f t="shared" si="16"/>
        <v>861429.76669039147</v>
      </c>
      <c r="E60" s="137">
        <f t="shared" si="16"/>
        <v>890785.95841024711</v>
      </c>
      <c r="F60" s="137">
        <f t="shared" si="16"/>
        <v>560372.25759856636</v>
      </c>
      <c r="G60" s="137">
        <f t="shared" si="16"/>
        <v>318858.5005755396</v>
      </c>
      <c r="H60" s="137">
        <f t="shared" si="16"/>
        <v>545825.2594404032</v>
      </c>
    </row>
    <row r="62" spans="1:17">
      <c r="B62" s="137"/>
    </row>
    <row r="63" spans="1:17">
      <c r="A63" s="134" t="s">
        <v>1792</v>
      </c>
      <c r="B63" s="137"/>
    </row>
    <row r="64" spans="1:17">
      <c r="A64" s="137" t="s">
        <v>1776</v>
      </c>
      <c r="B64" s="134" t="s">
        <v>1777</v>
      </c>
      <c r="C64" s="137">
        <v>2354961</v>
      </c>
      <c r="D64" s="137">
        <v>2355580</v>
      </c>
      <c r="E64" s="137">
        <v>2355580</v>
      </c>
      <c r="F64" s="137">
        <v>2355580</v>
      </c>
      <c r="G64" s="137">
        <v>2355580</v>
      </c>
      <c r="H64" s="137">
        <v>2366698</v>
      </c>
    </row>
    <row r="65" spans="1:9">
      <c r="A65" s="448">
        <v>407.3</v>
      </c>
      <c r="B65" s="134" t="s">
        <v>1773</v>
      </c>
      <c r="C65" s="137">
        <f t="shared" ref="C65:H66" ca="1" si="17">SUMIF($A$30:$H$59,$A65,C$30:C$59)</f>
        <v>33215.579974024091</v>
      </c>
      <c r="D65" s="137">
        <f t="shared" ca="1" si="17"/>
        <v>35355.536690391455</v>
      </c>
      <c r="E65" s="137">
        <f t="shared" ca="1" si="17"/>
        <v>39074.18841024729</v>
      </c>
      <c r="F65" s="137">
        <f t="shared" ca="1" si="17"/>
        <v>41143.497598566311</v>
      </c>
      <c r="G65" s="137">
        <f t="shared" ca="1" si="17"/>
        <v>42014.120575539571</v>
      </c>
      <c r="H65" s="137">
        <f t="shared" ca="1" si="17"/>
        <v>43675.871827118186</v>
      </c>
    </row>
    <row r="66" spans="1:9">
      <c r="A66" s="137">
        <v>408</v>
      </c>
      <c r="B66" s="134" t="s">
        <v>1772</v>
      </c>
      <c r="C66" s="137">
        <f t="shared" ca="1" si="17"/>
        <v>139288</v>
      </c>
      <c r="D66" s="137">
        <f t="shared" ca="1" si="17"/>
        <v>139288</v>
      </c>
      <c r="E66" s="137">
        <f t="shared" ca="1" si="17"/>
        <v>139268</v>
      </c>
      <c r="F66" s="137">
        <f t="shared" ca="1" si="17"/>
        <v>139268</v>
      </c>
      <c r="G66" s="137">
        <f t="shared" ca="1" si="17"/>
        <v>139268</v>
      </c>
      <c r="H66" s="137">
        <f t="shared" ca="1" si="17"/>
        <v>139268</v>
      </c>
    </row>
    <row r="67" spans="1:9" s="809" customFormat="1">
      <c r="A67" s="137">
        <v>411</v>
      </c>
      <c r="B67" s="134" t="s">
        <v>1866</v>
      </c>
      <c r="C67" s="137">
        <f t="shared" ref="C67:C74" ca="1" si="18">SUMIF($A$30:$H$59,$A67,C$30:C$59)</f>
        <v>0</v>
      </c>
      <c r="D67" s="137">
        <f ca="1">SUMIF($A$30:$H$59,$A67,D$30:D$59)</f>
        <v>0</v>
      </c>
      <c r="E67" s="137">
        <f ca="1">SUMIF($A$30:$H$59,$A67,E$30:E$59)</f>
        <v>0</v>
      </c>
      <c r="F67" s="137">
        <f ca="1">SUMIF($A$30:$H$59,$A67,F$30:F$59)</f>
        <v>0</v>
      </c>
      <c r="G67" s="137">
        <f ca="1">SUMIF($A$30:$H$59,$A67,G$30:G$59)</f>
        <v>0</v>
      </c>
      <c r="H67" s="137">
        <f ca="1">SUMIF($A$30:$H$59,$A67,H$30:H$59)</f>
        <v>-33590.85238671492</v>
      </c>
      <c r="I67" s="137"/>
    </row>
    <row r="68" spans="1:9">
      <c r="A68" s="448">
        <v>411.8</v>
      </c>
      <c r="B68" s="134" t="s">
        <v>1780</v>
      </c>
      <c r="C68" s="137">
        <f t="shared" ca="1" si="18"/>
        <v>0</v>
      </c>
      <c r="D68" s="137">
        <f t="shared" ref="D68:H71" ca="1" si="19">SUMIF($A$30:$H$59,$A68,D$30:D$59)</f>
        <v>0</v>
      </c>
      <c r="E68" s="137">
        <f t="shared" ca="1" si="19"/>
        <v>0</v>
      </c>
      <c r="F68" s="137">
        <f t="shared" ca="1" si="19"/>
        <v>0</v>
      </c>
      <c r="G68" s="137">
        <f t="shared" ca="1" si="19"/>
        <v>0</v>
      </c>
      <c r="H68" s="137">
        <f t="shared" ca="1" si="19"/>
        <v>0</v>
      </c>
    </row>
    <row r="69" spans="1:9">
      <c r="A69" s="137">
        <v>501</v>
      </c>
      <c r="B69" s="134" t="s">
        <v>1768</v>
      </c>
      <c r="C69" s="137">
        <f t="shared" ca="1" si="18"/>
        <v>28822.190000000002</v>
      </c>
      <c r="D69" s="137">
        <f t="shared" ca="1" si="19"/>
        <v>34340.9</v>
      </c>
      <c r="E69" s="137">
        <f t="shared" ca="1" si="19"/>
        <v>17018.36</v>
      </c>
      <c r="F69" s="137">
        <f t="shared" ca="1" si="19"/>
        <v>-318401.23</v>
      </c>
      <c r="G69" s="137">
        <f t="shared" ca="1" si="19"/>
        <v>-374063.03</v>
      </c>
      <c r="H69" s="137">
        <f t="shared" ca="1" si="19"/>
        <v>-223734.18</v>
      </c>
    </row>
    <row r="70" spans="1:9">
      <c r="A70" s="137">
        <v>502</v>
      </c>
      <c r="B70" s="134" t="s">
        <v>1769</v>
      </c>
      <c r="C70" s="137">
        <f t="shared" ca="1" si="18"/>
        <v>33748.129999999997</v>
      </c>
      <c r="D70" s="137">
        <f t="shared" ca="1" si="19"/>
        <v>30272.559999999998</v>
      </c>
      <c r="E70" s="137">
        <f t="shared" ca="1" si="19"/>
        <v>20000.489999999998</v>
      </c>
      <c r="F70" s="137">
        <f t="shared" ca="1" si="19"/>
        <v>13384.249999999998</v>
      </c>
      <c r="G70" s="137">
        <f t="shared" ca="1" si="19"/>
        <v>25399.949999999997</v>
      </c>
      <c r="H70" s="137">
        <f t="shared" ca="1" si="19"/>
        <v>-2821.8200000000015</v>
      </c>
    </row>
    <row r="71" spans="1:9">
      <c r="A71" s="137">
        <v>506</v>
      </c>
      <c r="B71" s="134" t="s">
        <v>1770</v>
      </c>
      <c r="C71" s="137">
        <f t="shared" ca="1" si="18"/>
        <v>448326.47</v>
      </c>
      <c r="D71" s="137">
        <f t="shared" ca="1" si="19"/>
        <v>486722.97</v>
      </c>
      <c r="E71" s="137">
        <f t="shared" ca="1" si="19"/>
        <v>271068.79999999999</v>
      </c>
      <c r="F71" s="137">
        <f t="shared" ca="1" si="19"/>
        <v>349431.29000000004</v>
      </c>
      <c r="G71" s="137">
        <f t="shared" ca="1" si="19"/>
        <v>329094.67</v>
      </c>
      <c r="H71" s="137">
        <f t="shared" ca="1" si="19"/>
        <v>420836.04</v>
      </c>
    </row>
    <row r="72" spans="1:9">
      <c r="A72" s="137">
        <v>509</v>
      </c>
      <c r="B72" s="134" t="s">
        <v>1779</v>
      </c>
      <c r="C72" s="137">
        <f t="shared" ca="1" si="18"/>
        <v>0</v>
      </c>
      <c r="D72" s="137">
        <f ca="1">SUMIF($A$30:$H$59,$A72,D$30:D$59)</f>
        <v>0</v>
      </c>
      <c r="E72" s="137">
        <f ca="1">SUMIF($A$30:$H$59,$A72,E$30:E$59)</f>
        <v>0</v>
      </c>
      <c r="F72" s="137">
        <f ca="1">SUMIF($A$30:$H$59,$A72,F$30:F$59)</f>
        <v>0</v>
      </c>
      <c r="G72" s="137">
        <f ca="1">SUMIF($A$30:$H$59,$A72,G$30:G$59)</f>
        <v>0</v>
      </c>
      <c r="H72" s="137">
        <f ca="1">SUMIF($A$30:$H$59,$A72,H$30:H$59)</f>
        <v>0</v>
      </c>
    </row>
    <row r="73" spans="1:9">
      <c r="A73" s="137">
        <v>512</v>
      </c>
      <c r="B73" s="134" t="s">
        <v>1771</v>
      </c>
      <c r="C73" s="137">
        <f t="shared" ca="1" si="18"/>
        <v>193350.73</v>
      </c>
      <c r="D73" s="137">
        <f ca="1">SUMIF($A$30:$H$59,$A73,D$30:D$59)</f>
        <v>135449.79999999999</v>
      </c>
      <c r="E73" s="137">
        <f t="shared" ref="E73:H74" ca="1" si="20">SUMIF($A$30:$H$59,$A73,E$30:E$59)</f>
        <v>404356.12</v>
      </c>
      <c r="F73" s="137">
        <f t="shared" ca="1" si="20"/>
        <v>335546.45</v>
      </c>
      <c r="G73" s="137">
        <f t="shared" ca="1" si="20"/>
        <v>157144.78999999998</v>
      </c>
      <c r="H73" s="137">
        <f t="shared" ca="1" si="20"/>
        <v>202192.2</v>
      </c>
    </row>
    <row r="74" spans="1:9">
      <c r="A74" s="137">
        <v>923</v>
      </c>
      <c r="B74" s="134" t="s">
        <v>1778</v>
      </c>
      <c r="C74" s="137">
        <f t="shared" ca="1" si="18"/>
        <v>0</v>
      </c>
      <c r="D74" s="137">
        <f ca="1">SUMIF($A$30:$H$59,$A74,D$30:D$59)</f>
        <v>0</v>
      </c>
      <c r="E74" s="137">
        <f t="shared" ca="1" si="20"/>
        <v>0</v>
      </c>
      <c r="F74" s="137">
        <f t="shared" ca="1" si="20"/>
        <v>0</v>
      </c>
      <c r="G74" s="137">
        <f t="shared" ca="1" si="20"/>
        <v>0</v>
      </c>
      <c r="H74" s="137">
        <f t="shared" ca="1" si="20"/>
        <v>0</v>
      </c>
    </row>
    <row r="75" spans="1:9">
      <c r="B75" s="134" t="s">
        <v>1774</v>
      </c>
      <c r="C75" s="137">
        <f t="shared" ref="C75:H75" ca="1" si="21">SUM(C64:C74)</f>
        <v>3231712.0999740236</v>
      </c>
      <c r="D75" s="137">
        <f t="shared" ca="1" si="21"/>
        <v>3217009.7666903911</v>
      </c>
      <c r="E75" s="137">
        <f t="shared" ca="1" si="21"/>
        <v>3246365.9584102472</v>
      </c>
      <c r="F75" s="137">
        <f t="shared" ca="1" si="21"/>
        <v>2915952.2575985664</v>
      </c>
      <c r="G75" s="137">
        <f t="shared" ca="1" si="21"/>
        <v>2674438.5005755397</v>
      </c>
      <c r="H75" s="137">
        <f t="shared" ca="1" si="21"/>
        <v>2912523.2594404034</v>
      </c>
    </row>
    <row r="76" spans="1:9">
      <c r="B76" s="134" t="s">
        <v>1775</v>
      </c>
      <c r="C76" s="137">
        <f t="shared" ref="C76:H76" ca="1" si="22">SUM(C69:C73)-C72</f>
        <v>704247.52</v>
      </c>
      <c r="D76" s="137">
        <f t="shared" ca="1" si="22"/>
        <v>686786.23</v>
      </c>
      <c r="E76" s="137">
        <f t="shared" ca="1" si="22"/>
        <v>712443.77</v>
      </c>
      <c r="F76" s="137">
        <f t="shared" ca="1" si="22"/>
        <v>379960.76000000007</v>
      </c>
      <c r="G76" s="137">
        <f t="shared" ca="1" si="22"/>
        <v>137576.37999999995</v>
      </c>
      <c r="H76" s="137">
        <f t="shared" ca="1" si="22"/>
        <v>396472.24</v>
      </c>
    </row>
  </sheetData>
  <pageMargins left="0.75" right="0.75" top="1" bottom="1" header="0.5" footer="0.5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25"/>
  <sheetViews>
    <sheetView zoomScaleNormal="10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C43" sqref="C43"/>
    </sheetView>
  </sheetViews>
  <sheetFormatPr defaultColWidth="9" defaultRowHeight="15"/>
  <cols>
    <col min="1" max="1" width="40" style="134" customWidth="1"/>
    <col min="2" max="14" width="9.33203125" style="137" customWidth="1"/>
    <col min="15" max="16384" width="9" style="137"/>
  </cols>
  <sheetData>
    <row r="1" spans="1:14" s="136" customFormat="1">
      <c r="A1" s="180"/>
    </row>
    <row r="2" spans="1:14" s="136" customFormat="1">
      <c r="A2" s="181" t="s">
        <v>557</v>
      </c>
      <c r="B2" s="136" t="s">
        <v>1832</v>
      </c>
      <c r="C2" s="136" t="s">
        <v>1833</v>
      </c>
      <c r="D2" s="136" t="s">
        <v>1834</v>
      </c>
      <c r="E2" s="136" t="s">
        <v>1835</v>
      </c>
      <c r="F2" s="136" t="s">
        <v>1836</v>
      </c>
      <c r="G2" s="136" t="s">
        <v>1837</v>
      </c>
      <c r="H2" s="136" t="s">
        <v>1838</v>
      </c>
      <c r="I2" s="136" t="s">
        <v>1839</v>
      </c>
      <c r="J2" s="136" t="s">
        <v>1840</v>
      </c>
      <c r="K2" s="136" t="s">
        <v>1841</v>
      </c>
      <c r="L2" s="136" t="s">
        <v>1842</v>
      </c>
      <c r="M2" s="136" t="s">
        <v>1843</v>
      </c>
      <c r="N2" s="136" t="s">
        <v>1870</v>
      </c>
    </row>
    <row r="3" spans="1:14" s="136" customFormat="1">
      <c r="A3" s="224" t="s">
        <v>1035</v>
      </c>
    </row>
    <row r="4" spans="1:14">
      <c r="A4" s="181"/>
    </row>
    <row r="5" spans="1:14">
      <c r="A5" s="134" t="s">
        <v>1788</v>
      </c>
      <c r="B5" s="336">
        <v>5308.5597181149305</v>
      </c>
      <c r="C5" s="336">
        <v>5312.8332271299296</v>
      </c>
      <c r="D5" s="336">
        <v>5316.7320165099309</v>
      </c>
      <c r="E5" s="336">
        <v>5323.9896104099307</v>
      </c>
      <c r="F5" s="336">
        <v>5331.6700137899288</v>
      </c>
      <c r="G5" s="336">
        <v>5336.6596018599312</v>
      </c>
      <c r="H5" s="336">
        <v>5366.4423398109302</v>
      </c>
      <c r="I5" s="336">
        <v>5439.9501814389305</v>
      </c>
      <c r="J5" s="336">
        <v>5487.3558707769307</v>
      </c>
      <c r="K5" s="336">
        <v>5490.3449129969304</v>
      </c>
      <c r="L5" s="336">
        <v>5492.5274209669305</v>
      </c>
      <c r="M5" s="336">
        <v>5493.4002573369307</v>
      </c>
      <c r="N5" s="336">
        <f t="shared" ref="N5:N15" si="0">SUM(B5:M5)</f>
        <v>64700.465171142161</v>
      </c>
    </row>
    <row r="6" spans="1:14">
      <c r="A6" s="134" t="s">
        <v>1787</v>
      </c>
      <c r="B6" s="336">
        <v>90.344780553389896</v>
      </c>
      <c r="C6" s="336">
        <v>98.920928440182394</v>
      </c>
      <c r="D6" s="336">
        <v>106.135622341697</v>
      </c>
      <c r="E6" s="336">
        <v>117.522235231431</v>
      </c>
      <c r="F6" s="336">
        <v>127.680277941355</v>
      </c>
      <c r="G6" s="336">
        <v>134.935064109937</v>
      </c>
      <c r="H6" s="336">
        <v>137.904484071475</v>
      </c>
      <c r="I6" s="336">
        <v>140.906534998116</v>
      </c>
      <c r="J6" s="336">
        <v>143.26642154850401</v>
      </c>
      <c r="K6" s="336">
        <v>145.635491937609</v>
      </c>
      <c r="L6" s="336">
        <v>148.791549632921</v>
      </c>
      <c r="M6" s="336">
        <v>154.21316088782299</v>
      </c>
      <c r="N6" s="336">
        <f t="shared" si="0"/>
        <v>1546.2565516944405</v>
      </c>
    </row>
    <row r="7" spans="1:14">
      <c r="A7" s="134" t="s">
        <v>1781</v>
      </c>
      <c r="B7" s="336">
        <v>143.37987114595239</v>
      </c>
      <c r="C7" s="336">
        <v>143.37987114595239</v>
      </c>
      <c r="D7" s="336">
        <v>143.37987114595239</v>
      </c>
      <c r="E7" s="336">
        <v>143.37987114595239</v>
      </c>
      <c r="F7" s="336">
        <v>143.37987114595239</v>
      </c>
      <c r="G7" s="336">
        <v>143.37987114595239</v>
      </c>
      <c r="H7" s="336">
        <v>143.37987114595239</v>
      </c>
      <c r="I7" s="336">
        <v>143.37987114595239</v>
      </c>
      <c r="J7" s="336">
        <v>173.48238087568637</v>
      </c>
      <c r="K7" s="336">
        <v>173.48238087568637</v>
      </c>
      <c r="L7" s="336">
        <v>173.48238087568637</v>
      </c>
      <c r="M7" s="336">
        <v>173.48238087568637</v>
      </c>
      <c r="N7" s="336">
        <f t="shared" si="0"/>
        <v>1840.9684926703649</v>
      </c>
    </row>
    <row r="8" spans="1:14">
      <c r="A8" s="134" t="s">
        <v>1867</v>
      </c>
      <c r="B8" s="336">
        <v>-5.8720850976773997</v>
      </c>
      <c r="C8" s="336">
        <v>-5.8720850976773997</v>
      </c>
      <c r="D8" s="336">
        <v>-5.8720850976773997</v>
      </c>
      <c r="E8" s="336">
        <v>-5.8720850976773997</v>
      </c>
      <c r="F8" s="336">
        <v>-5.8720850976773997</v>
      </c>
      <c r="G8" s="336">
        <v>-5.8720850976773997</v>
      </c>
      <c r="H8" s="336">
        <v>-5.8720850976773997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f>SUM(B8:M8)</f>
        <v>-70.4650211721288</v>
      </c>
    </row>
    <row r="9" spans="1:14">
      <c r="A9" s="134" t="s">
        <v>1868</v>
      </c>
      <c r="B9" s="336">
        <v>0</v>
      </c>
      <c r="C9" s="336">
        <v>0</v>
      </c>
      <c r="D9" s="336">
        <v>0</v>
      </c>
      <c r="E9" s="336">
        <v>0</v>
      </c>
      <c r="F9" s="336">
        <v>0</v>
      </c>
      <c r="G9" s="336">
        <v>0</v>
      </c>
      <c r="H9" s="336">
        <v>0</v>
      </c>
      <c r="I9" s="336">
        <v>0</v>
      </c>
      <c r="J9" s="336">
        <v>0</v>
      </c>
      <c r="K9" s="336">
        <v>0</v>
      </c>
      <c r="L9" s="336">
        <v>0</v>
      </c>
      <c r="M9" s="336">
        <v>0</v>
      </c>
      <c r="N9" s="336">
        <f t="shared" si="0"/>
        <v>0</v>
      </c>
    </row>
    <row r="10" spans="1:14">
      <c r="A10" s="134" t="s">
        <v>1782</v>
      </c>
      <c r="B10" s="336">
        <v>-302.166</v>
      </c>
      <c r="C10" s="336">
        <v>-302.166</v>
      </c>
      <c r="D10" s="336">
        <v>-302.166</v>
      </c>
      <c r="E10" s="336">
        <v>-340.166</v>
      </c>
      <c r="F10" s="336">
        <v>-340.166</v>
      </c>
      <c r="G10" s="336">
        <v>-302.166</v>
      </c>
      <c r="H10" s="336">
        <v>-226.166</v>
      </c>
      <c r="I10" s="336">
        <v>-326.166</v>
      </c>
      <c r="J10" s="336">
        <v>-187.624</v>
      </c>
      <c r="K10" s="336">
        <v>-263.62400000000002</v>
      </c>
      <c r="L10" s="336">
        <v>-225.624</v>
      </c>
      <c r="M10" s="336">
        <v>-263.62400000000002</v>
      </c>
      <c r="N10" s="336">
        <f t="shared" si="0"/>
        <v>-3381.8239999999996</v>
      </c>
    </row>
    <row r="11" spans="1:14">
      <c r="A11" s="134" t="s">
        <v>1783</v>
      </c>
      <c r="B11" s="336">
        <v>0</v>
      </c>
      <c r="C11" s="336">
        <v>0</v>
      </c>
      <c r="D11" s="336">
        <v>0</v>
      </c>
      <c r="E11" s="336">
        <v>32</v>
      </c>
      <c r="F11" s="336">
        <v>32</v>
      </c>
      <c r="G11" s="336">
        <v>32</v>
      </c>
      <c r="H11" s="336">
        <v>32</v>
      </c>
      <c r="I11" s="336">
        <v>55.213999999999999</v>
      </c>
      <c r="J11" s="336">
        <v>55.677999999999997</v>
      </c>
      <c r="K11" s="336">
        <v>31.678000000000001</v>
      </c>
      <c r="L11" s="336">
        <v>23.678000000000001</v>
      </c>
      <c r="M11" s="336">
        <v>23.678000000000001</v>
      </c>
      <c r="N11" s="336">
        <f t="shared" si="0"/>
        <v>317.92599999999999</v>
      </c>
    </row>
    <row r="12" spans="1:14">
      <c r="A12" s="134" t="s">
        <v>1784</v>
      </c>
      <c r="B12" s="336">
        <v>440.34599999999898</v>
      </c>
      <c r="C12" s="336">
        <v>470.72199999999998</v>
      </c>
      <c r="D12" s="336">
        <v>522.803</v>
      </c>
      <c r="E12" s="336">
        <v>507.45899999999898</v>
      </c>
      <c r="F12" s="336">
        <v>446.99099999999999</v>
      </c>
      <c r="G12" s="336">
        <v>325.77099999999899</v>
      </c>
      <c r="H12" s="336">
        <v>374.17399999999998</v>
      </c>
      <c r="I12" s="336">
        <v>516.86900000000003</v>
      </c>
      <c r="J12" s="336">
        <v>554.30999999999995</v>
      </c>
      <c r="K12" s="336">
        <v>495.16399999999999</v>
      </c>
      <c r="L12" s="336">
        <v>607.15</v>
      </c>
      <c r="M12" s="336">
        <v>418.534999999999</v>
      </c>
      <c r="N12" s="336">
        <f t="shared" si="0"/>
        <v>5680.2939999999953</v>
      </c>
    </row>
    <row r="13" spans="1:14">
      <c r="A13" s="134" t="s">
        <v>1785</v>
      </c>
      <c r="B13" s="449">
        <v>0</v>
      </c>
      <c r="C13" s="449">
        <v>0</v>
      </c>
      <c r="D13" s="449">
        <v>0</v>
      </c>
      <c r="E13" s="449">
        <v>0</v>
      </c>
      <c r="F13" s="449">
        <v>0</v>
      </c>
      <c r="G13" s="449">
        <v>0</v>
      </c>
      <c r="H13" s="449">
        <v>0</v>
      </c>
      <c r="I13" s="449">
        <v>0</v>
      </c>
      <c r="J13" s="449">
        <v>0</v>
      </c>
      <c r="K13" s="449">
        <v>0</v>
      </c>
      <c r="L13" s="449">
        <v>0</v>
      </c>
      <c r="M13" s="449">
        <v>0</v>
      </c>
      <c r="N13" s="449">
        <f t="shared" si="0"/>
        <v>0</v>
      </c>
    </row>
    <row r="14" spans="1:14">
      <c r="A14" s="134" t="s">
        <v>1786</v>
      </c>
      <c r="B14" s="449">
        <v>276.575999999999</v>
      </c>
      <c r="C14" s="449">
        <v>265.95499999999998</v>
      </c>
      <c r="D14" s="449">
        <v>312.89800000000002</v>
      </c>
      <c r="E14" s="449">
        <v>276.50299999999999</v>
      </c>
      <c r="F14" s="449">
        <v>420.471</v>
      </c>
      <c r="G14" s="449">
        <v>432.3</v>
      </c>
      <c r="H14" s="449">
        <v>268.498999999999</v>
      </c>
      <c r="I14" s="449">
        <v>346.70699999999999</v>
      </c>
      <c r="J14" s="449">
        <v>362.548</v>
      </c>
      <c r="K14" s="449">
        <v>355.09100000000001</v>
      </c>
      <c r="L14" s="449">
        <v>359.351</v>
      </c>
      <c r="M14" s="449">
        <v>610.74900000000002</v>
      </c>
      <c r="N14" s="449">
        <f t="shared" si="0"/>
        <v>4287.6479999999974</v>
      </c>
    </row>
    <row r="15" spans="1:14">
      <c r="A15" s="134" t="s">
        <v>1791</v>
      </c>
      <c r="B15" s="137">
        <v>0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336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f t="shared" si="0"/>
        <v>0</v>
      </c>
    </row>
    <row r="16" spans="1:14">
      <c r="A16" s="181" t="s">
        <v>1277</v>
      </c>
      <c r="B16" s="361">
        <f>SUM(B5:B15)</f>
        <v>5951.168284716593</v>
      </c>
      <c r="C16" s="361">
        <f t="shared" ref="C16:N16" si="1">SUM(C5:C15)</f>
        <v>5983.7729416183865</v>
      </c>
      <c r="D16" s="361">
        <f t="shared" si="1"/>
        <v>6093.9104248999029</v>
      </c>
      <c r="E16" s="361">
        <f t="shared" si="1"/>
        <v>6054.8156316896357</v>
      </c>
      <c r="F16" s="361">
        <f t="shared" si="1"/>
        <v>6156.1540777795581</v>
      </c>
      <c r="G16" s="361">
        <f t="shared" si="1"/>
        <v>6097.0074520181424</v>
      </c>
      <c r="H16" s="361">
        <f t="shared" si="1"/>
        <v>6090.3616099306792</v>
      </c>
      <c r="I16" s="361">
        <f t="shared" si="1"/>
        <v>6310.9885024853211</v>
      </c>
      <c r="J16" s="361">
        <f t="shared" si="1"/>
        <v>6583.1445881034442</v>
      </c>
      <c r="K16" s="361">
        <f t="shared" si="1"/>
        <v>6421.899700712549</v>
      </c>
      <c r="L16" s="361">
        <f t="shared" si="1"/>
        <v>6573.48426637786</v>
      </c>
      <c r="M16" s="361">
        <f t="shared" si="1"/>
        <v>6604.5617140027616</v>
      </c>
      <c r="N16" s="361">
        <f t="shared" si="1"/>
        <v>74921.269194334833</v>
      </c>
    </row>
    <row r="18" spans="1:14">
      <c r="A18" s="181" t="s">
        <v>1278</v>
      </c>
    </row>
    <row r="19" spans="1:14">
      <c r="A19" s="134" t="s">
        <v>1782</v>
      </c>
      <c r="B19" s="336">
        <f>B10</f>
        <v>-302.166</v>
      </c>
      <c r="C19" s="336">
        <f t="shared" ref="C19:M21" si="2">C10</f>
        <v>-302.166</v>
      </c>
      <c r="D19" s="336">
        <f t="shared" si="2"/>
        <v>-302.166</v>
      </c>
      <c r="E19" s="336">
        <f t="shared" si="2"/>
        <v>-340.166</v>
      </c>
      <c r="F19" s="336">
        <f t="shared" si="2"/>
        <v>-340.166</v>
      </c>
      <c r="G19" s="336">
        <f t="shared" si="2"/>
        <v>-302.166</v>
      </c>
      <c r="H19" s="336">
        <f t="shared" si="2"/>
        <v>-226.166</v>
      </c>
      <c r="I19" s="336">
        <f t="shared" si="2"/>
        <v>-326.166</v>
      </c>
      <c r="J19" s="336">
        <f t="shared" si="2"/>
        <v>-187.624</v>
      </c>
      <c r="K19" s="336">
        <f t="shared" si="2"/>
        <v>-263.62400000000002</v>
      </c>
      <c r="L19" s="336">
        <f t="shared" si="2"/>
        <v>-225.624</v>
      </c>
      <c r="M19" s="336">
        <f t="shared" si="2"/>
        <v>-263.62400000000002</v>
      </c>
      <c r="N19" s="336">
        <f>SUM(B19:M19)</f>
        <v>-3381.8239999999996</v>
      </c>
    </row>
    <row r="20" spans="1:14">
      <c r="A20" s="134" t="s">
        <v>1783</v>
      </c>
      <c r="B20" s="336">
        <f>B11</f>
        <v>0</v>
      </c>
      <c r="C20" s="336">
        <f t="shared" si="2"/>
        <v>0</v>
      </c>
      <c r="D20" s="336">
        <f t="shared" si="2"/>
        <v>0</v>
      </c>
      <c r="E20" s="336">
        <f t="shared" si="2"/>
        <v>32</v>
      </c>
      <c r="F20" s="336">
        <f t="shared" si="2"/>
        <v>32</v>
      </c>
      <c r="G20" s="336">
        <f t="shared" si="2"/>
        <v>32</v>
      </c>
      <c r="H20" s="336">
        <f t="shared" si="2"/>
        <v>32</v>
      </c>
      <c r="I20" s="336">
        <f t="shared" si="2"/>
        <v>55.213999999999999</v>
      </c>
      <c r="J20" s="336">
        <f t="shared" si="2"/>
        <v>55.677999999999997</v>
      </c>
      <c r="K20" s="336">
        <f t="shared" si="2"/>
        <v>31.678000000000001</v>
      </c>
      <c r="L20" s="336">
        <f t="shared" si="2"/>
        <v>23.678000000000001</v>
      </c>
      <c r="M20" s="336">
        <f t="shared" si="2"/>
        <v>23.678000000000001</v>
      </c>
      <c r="N20" s="336">
        <f>SUM(B20:M20)</f>
        <v>317.92599999999999</v>
      </c>
    </row>
    <row r="21" spans="1:14">
      <c r="A21" s="134" t="s">
        <v>1784</v>
      </c>
      <c r="B21" s="336">
        <f>B12</f>
        <v>440.34599999999898</v>
      </c>
      <c r="C21" s="336">
        <f t="shared" si="2"/>
        <v>470.72199999999998</v>
      </c>
      <c r="D21" s="336">
        <f t="shared" si="2"/>
        <v>522.803</v>
      </c>
      <c r="E21" s="336">
        <f t="shared" si="2"/>
        <v>507.45899999999898</v>
      </c>
      <c r="F21" s="336">
        <f t="shared" si="2"/>
        <v>446.99099999999999</v>
      </c>
      <c r="G21" s="336">
        <f t="shared" si="2"/>
        <v>325.77099999999899</v>
      </c>
      <c r="H21" s="336">
        <f t="shared" si="2"/>
        <v>374.17399999999998</v>
      </c>
      <c r="I21" s="336">
        <f t="shared" si="2"/>
        <v>516.86900000000003</v>
      </c>
      <c r="J21" s="336">
        <f t="shared" si="2"/>
        <v>554.30999999999995</v>
      </c>
      <c r="K21" s="336">
        <f t="shared" si="2"/>
        <v>495.16399999999999</v>
      </c>
      <c r="L21" s="336">
        <f t="shared" si="2"/>
        <v>607.15</v>
      </c>
      <c r="M21" s="336">
        <f t="shared" si="2"/>
        <v>418.534999999999</v>
      </c>
      <c r="N21" s="336">
        <f>SUM(B21:M21)</f>
        <v>5680.2939999999953</v>
      </c>
    </row>
    <row r="22" spans="1:14">
      <c r="A22" s="134" t="s">
        <v>1786</v>
      </c>
      <c r="B22" s="449">
        <f>B14</f>
        <v>276.575999999999</v>
      </c>
      <c r="C22" s="449">
        <f t="shared" ref="C22:M22" si="3">C14</f>
        <v>265.95499999999998</v>
      </c>
      <c r="D22" s="449">
        <f t="shared" si="3"/>
        <v>312.89800000000002</v>
      </c>
      <c r="E22" s="449">
        <f t="shared" si="3"/>
        <v>276.50299999999999</v>
      </c>
      <c r="F22" s="449">
        <f t="shared" si="3"/>
        <v>420.471</v>
      </c>
      <c r="G22" s="449">
        <f t="shared" si="3"/>
        <v>432.3</v>
      </c>
      <c r="H22" s="449">
        <f t="shared" si="3"/>
        <v>268.498999999999</v>
      </c>
      <c r="I22" s="449">
        <f t="shared" si="3"/>
        <v>346.70699999999999</v>
      </c>
      <c r="J22" s="449">
        <f t="shared" si="3"/>
        <v>362.548</v>
      </c>
      <c r="K22" s="449">
        <f t="shared" si="3"/>
        <v>355.09100000000001</v>
      </c>
      <c r="L22" s="449">
        <f t="shared" si="3"/>
        <v>359.351</v>
      </c>
      <c r="M22" s="449">
        <f t="shared" si="3"/>
        <v>610.74900000000002</v>
      </c>
      <c r="N22" s="336">
        <f>SUM(B22:M22)</f>
        <v>4287.6479999999974</v>
      </c>
    </row>
    <row r="24" spans="1:14">
      <c r="A24" s="134" t="s">
        <v>1280</v>
      </c>
      <c r="B24" s="361">
        <f t="shared" ref="B24:G24" si="4">SUM(B19:B23)</f>
        <v>414.75599999999798</v>
      </c>
      <c r="C24" s="361">
        <f t="shared" si="4"/>
        <v>434.51099999999997</v>
      </c>
      <c r="D24" s="361">
        <f t="shared" si="4"/>
        <v>533.53500000000008</v>
      </c>
      <c r="E24" s="361">
        <f t="shared" si="4"/>
        <v>475.79599999999897</v>
      </c>
      <c r="F24" s="361">
        <f t="shared" si="4"/>
        <v>559.29600000000005</v>
      </c>
      <c r="G24" s="361">
        <f t="shared" si="4"/>
        <v>487.90499999999901</v>
      </c>
      <c r="H24" s="361">
        <f t="shared" ref="H24:M24" si="5">SUM(H19:H23)</f>
        <v>448.50699999999898</v>
      </c>
      <c r="I24" s="361">
        <f t="shared" si="5"/>
        <v>592.62400000000002</v>
      </c>
      <c r="J24" s="361">
        <f t="shared" si="5"/>
        <v>784.91199999999992</v>
      </c>
      <c r="K24" s="361">
        <f t="shared" si="5"/>
        <v>618.30899999999997</v>
      </c>
      <c r="L24" s="361">
        <f t="shared" si="5"/>
        <v>764.55499999999995</v>
      </c>
      <c r="M24" s="361">
        <f t="shared" si="5"/>
        <v>789.33799999999906</v>
      </c>
      <c r="N24" s="361">
        <f>SUM(B24:M24)</f>
        <v>6904.0439999999944</v>
      </c>
    </row>
    <row r="25" spans="1:14">
      <c r="N25" s="336">
        <f>N24*0.125</f>
        <v>863.0054999999993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280"/>
  <sheetViews>
    <sheetView workbookViewId="0">
      <pane xSplit="2" ySplit="3" topLeftCell="U4" activePane="bottomRight" state="frozen"/>
      <selection activeCell="O36" sqref="O36"/>
      <selection pane="topRight" activeCell="O36" sqref="O36"/>
      <selection pane="bottomLeft" activeCell="O36" sqref="O36"/>
      <selection pane="bottomRight" activeCell="B17" sqref="B17"/>
    </sheetView>
  </sheetViews>
  <sheetFormatPr defaultColWidth="9" defaultRowHeight="15"/>
  <cols>
    <col min="1" max="1" width="7.33203125" style="713" customWidth="1"/>
    <col min="2" max="2" width="49.33203125" style="818" bestFit="1" customWidth="1"/>
    <col min="3" max="15" width="8.33203125" style="815" customWidth="1"/>
    <col min="16" max="16" width="13.109375" style="816" customWidth="1"/>
    <col min="17" max="32" width="8.33203125" style="815" customWidth="1"/>
    <col min="33" max="33" width="13.109375" style="816" customWidth="1"/>
    <col min="34" max="16384" width="9" style="816"/>
  </cols>
  <sheetData>
    <row r="1" spans="1:33" s="813" customFormat="1">
      <c r="A1" s="810"/>
      <c r="B1" s="811" t="s">
        <v>1916</v>
      </c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</row>
    <row r="2" spans="1:33" s="813" customFormat="1" ht="30">
      <c r="A2" s="810"/>
      <c r="B2" s="811"/>
      <c r="C2" s="812" t="s">
        <v>1819</v>
      </c>
      <c r="D2" s="812" t="s">
        <v>1820</v>
      </c>
      <c r="E2" s="812" t="s">
        <v>1821</v>
      </c>
      <c r="F2" s="812" t="s">
        <v>1822</v>
      </c>
      <c r="G2" s="812" t="s">
        <v>1823</v>
      </c>
      <c r="H2" s="812" t="s">
        <v>1824</v>
      </c>
      <c r="I2" s="812" t="s">
        <v>1825</v>
      </c>
      <c r="J2" s="812" t="s">
        <v>1715</v>
      </c>
      <c r="K2" s="812" t="s">
        <v>1716</v>
      </c>
      <c r="L2" s="812" t="s">
        <v>1717</v>
      </c>
      <c r="M2" s="812" t="s">
        <v>1718</v>
      </c>
      <c r="N2" s="812" t="s">
        <v>1719</v>
      </c>
      <c r="O2" s="812" t="s">
        <v>1720</v>
      </c>
      <c r="P2" s="813" t="s">
        <v>1735</v>
      </c>
      <c r="Q2" s="812" t="s">
        <v>1844</v>
      </c>
      <c r="R2" s="812" t="s">
        <v>1845</v>
      </c>
      <c r="S2" s="812" t="s">
        <v>1846</v>
      </c>
      <c r="T2" s="812" t="s">
        <v>1831</v>
      </c>
      <c r="U2" s="812" t="s">
        <v>1832</v>
      </c>
      <c r="V2" s="812" t="s">
        <v>1833</v>
      </c>
      <c r="W2" s="812" t="s">
        <v>1834</v>
      </c>
      <c r="X2" s="812" t="s">
        <v>1835</v>
      </c>
      <c r="Y2" s="812" t="s">
        <v>1836</v>
      </c>
      <c r="Z2" s="812" t="s">
        <v>1837</v>
      </c>
      <c r="AA2" s="812" t="s">
        <v>1838</v>
      </c>
      <c r="AB2" s="812" t="s">
        <v>1839</v>
      </c>
      <c r="AC2" s="812" t="s">
        <v>1840</v>
      </c>
      <c r="AD2" s="812" t="s">
        <v>1841</v>
      </c>
      <c r="AE2" s="812" t="s">
        <v>1842</v>
      </c>
      <c r="AF2" s="812" t="s">
        <v>1843</v>
      </c>
      <c r="AG2" s="813" t="s">
        <v>1735</v>
      </c>
    </row>
    <row r="3" spans="1:33" s="813" customFormat="1" ht="30">
      <c r="A3" s="810" t="s">
        <v>2518</v>
      </c>
      <c r="B3" s="811" t="s">
        <v>1851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3">
      <c r="B4" s="814" t="s">
        <v>557</v>
      </c>
    </row>
    <row r="6" spans="1:33">
      <c r="B6" s="814" t="s">
        <v>388</v>
      </c>
    </row>
    <row r="8" spans="1:33">
      <c r="B8" s="814" t="s">
        <v>389</v>
      </c>
      <c r="C8" s="817"/>
      <c r="D8" s="817"/>
      <c r="E8" s="817"/>
      <c r="F8" s="817"/>
      <c r="G8" s="817"/>
      <c r="H8" s="817"/>
      <c r="I8" s="817"/>
      <c r="J8" s="817"/>
      <c r="K8" s="817"/>
      <c r="L8" s="817"/>
      <c r="M8" s="817"/>
      <c r="N8" s="817"/>
      <c r="O8" s="817"/>
      <c r="Q8" s="817"/>
      <c r="R8" s="817"/>
      <c r="S8" s="817"/>
      <c r="T8" s="817"/>
      <c r="U8" s="817"/>
      <c r="V8" s="817"/>
      <c r="W8" s="817"/>
      <c r="X8" s="817"/>
      <c r="Y8" s="817"/>
      <c r="Z8" s="817"/>
      <c r="AA8" s="817"/>
      <c r="AB8" s="817"/>
      <c r="AC8" s="817"/>
      <c r="AD8" s="817"/>
      <c r="AE8" s="817"/>
      <c r="AF8" s="817"/>
    </row>
    <row r="9" spans="1:33">
      <c r="B9" s="818" t="s">
        <v>390</v>
      </c>
      <c r="C9" s="817"/>
      <c r="D9" s="817"/>
      <c r="E9" s="817"/>
      <c r="F9" s="817"/>
      <c r="G9" s="817"/>
      <c r="H9" s="817"/>
      <c r="I9" s="817"/>
      <c r="J9" s="817"/>
      <c r="K9" s="817"/>
      <c r="L9" s="817"/>
      <c r="M9" s="817"/>
      <c r="N9" s="817"/>
      <c r="O9" s="817"/>
      <c r="Q9" s="817"/>
      <c r="R9" s="817"/>
      <c r="S9" s="817"/>
      <c r="T9" s="817"/>
      <c r="U9" s="817"/>
      <c r="V9" s="817"/>
      <c r="W9" s="817"/>
      <c r="X9" s="817"/>
      <c r="Y9" s="817"/>
      <c r="Z9" s="817"/>
      <c r="AA9" s="817"/>
      <c r="AB9" s="817"/>
      <c r="AC9" s="817"/>
      <c r="AD9" s="817"/>
      <c r="AE9" s="817"/>
      <c r="AF9" s="817"/>
    </row>
    <row r="10" spans="1:33">
      <c r="B10" s="818" t="s">
        <v>391</v>
      </c>
      <c r="C10" s="815">
        <v>5526516.1533599999</v>
      </c>
      <c r="D10" s="815">
        <v>5527301.3746999996</v>
      </c>
      <c r="E10" s="815">
        <v>5523466.11625</v>
      </c>
      <c r="F10" s="815">
        <v>5541596.1244000001</v>
      </c>
      <c r="G10" s="815">
        <v>5550354.2570199901</v>
      </c>
      <c r="H10" s="815">
        <v>5560949.98590999</v>
      </c>
      <c r="I10" s="815">
        <v>5583276.8791500004</v>
      </c>
      <c r="J10" s="815">
        <v>5648508.3573500002</v>
      </c>
      <c r="K10" s="815">
        <v>5701640.2799699996</v>
      </c>
      <c r="L10" s="815">
        <v>5751171.8144100001</v>
      </c>
      <c r="M10" s="815">
        <v>5851895.1919999998</v>
      </c>
      <c r="N10" s="815">
        <v>5884919.5429999996</v>
      </c>
      <c r="O10" s="815">
        <v>5982142.6004599901</v>
      </c>
      <c r="P10" s="816">
        <f>SUM(C10:O10)/13</f>
        <v>5664133.7444599979</v>
      </c>
      <c r="Q10" s="815">
        <v>6154571.7608899996</v>
      </c>
      <c r="R10" s="815">
        <v>6157412.1047499999</v>
      </c>
      <c r="S10" s="815">
        <v>6170634.0758499997</v>
      </c>
      <c r="T10" s="815">
        <v>6189655.1629399899</v>
      </c>
      <c r="U10" s="815">
        <v>6230903.8387099896</v>
      </c>
      <c r="V10" s="815">
        <v>6255691.3701299904</v>
      </c>
      <c r="W10" s="815">
        <v>6281339.33754999</v>
      </c>
      <c r="X10" s="815">
        <v>6295320.5472599901</v>
      </c>
      <c r="Y10" s="815">
        <v>6311860.4511399902</v>
      </c>
      <c r="Z10" s="815">
        <v>6329958.9882199904</v>
      </c>
      <c r="AA10" s="815">
        <v>6390403.5744199902</v>
      </c>
      <c r="AB10" s="815">
        <v>6544844.0058199903</v>
      </c>
      <c r="AC10" s="815">
        <v>6540229.4701499902</v>
      </c>
      <c r="AD10" s="815">
        <v>6539476.4385099905</v>
      </c>
      <c r="AE10" s="815">
        <v>6584583.75663999</v>
      </c>
      <c r="AF10" s="815">
        <v>6602250.5070199901</v>
      </c>
      <c r="AG10" s="819">
        <f>SUM(T10:AF10)/13</f>
        <v>6392039.803731529</v>
      </c>
    </row>
    <row r="11" spans="1:33">
      <c r="B11" s="818" t="s">
        <v>392</v>
      </c>
      <c r="C11" s="815">
        <v>9532.1709899999896</v>
      </c>
      <c r="D11" s="815">
        <v>9532.1709899999896</v>
      </c>
      <c r="E11" s="815">
        <v>9532.1709899999896</v>
      </c>
      <c r="F11" s="815">
        <v>9532.1709899999896</v>
      </c>
      <c r="G11" s="815">
        <v>9532.1709899999896</v>
      </c>
      <c r="H11" s="815">
        <v>9532.1709899999896</v>
      </c>
      <c r="I11" s="815">
        <v>9532.1709899999896</v>
      </c>
      <c r="J11" s="815">
        <v>9532.1709899999896</v>
      </c>
      <c r="K11" s="815">
        <v>9532.1709899999896</v>
      </c>
      <c r="L11" s="815">
        <v>9532.1709899999896</v>
      </c>
      <c r="M11" s="815">
        <v>9532.1709899999896</v>
      </c>
      <c r="N11" s="815">
        <v>9532.1709899999896</v>
      </c>
      <c r="O11" s="815">
        <v>9532.1709899999896</v>
      </c>
      <c r="P11" s="816">
        <f t="shared" ref="P11:P74" si="0">SUM(C11:O11)/13</f>
        <v>9532.1709899999878</v>
      </c>
      <c r="Q11" s="815">
        <v>9532.1709899999896</v>
      </c>
      <c r="R11" s="815">
        <v>9532.1709899999896</v>
      </c>
      <c r="S11" s="815">
        <v>9532.1709899999896</v>
      </c>
      <c r="T11" s="815">
        <v>9532.1709899999896</v>
      </c>
      <c r="U11" s="815">
        <v>9532.1709899999896</v>
      </c>
      <c r="V11" s="815">
        <v>9532.1709899999896</v>
      </c>
      <c r="W11" s="815">
        <v>9532.1709899999896</v>
      </c>
      <c r="X11" s="815">
        <v>9532.1709899999896</v>
      </c>
      <c r="Y11" s="815">
        <v>9532.1709899999896</v>
      </c>
      <c r="Z11" s="815">
        <v>9532.1709899999896</v>
      </c>
      <c r="AA11" s="815">
        <v>9532.1709899999896</v>
      </c>
      <c r="AB11" s="815">
        <v>9532.1709899999896</v>
      </c>
      <c r="AC11" s="815">
        <v>9532.1709899999896</v>
      </c>
      <c r="AD11" s="815">
        <v>9532.1709899999896</v>
      </c>
      <c r="AE11" s="815">
        <v>9532.1709899999896</v>
      </c>
      <c r="AF11" s="815">
        <v>9532.1709899999896</v>
      </c>
      <c r="AG11" s="819">
        <f t="shared" ref="AG11:AG74" si="1">SUM(T11:AF11)/13</f>
        <v>9532.1709899999878</v>
      </c>
    </row>
    <row r="12" spans="1:33">
      <c r="B12" s="818" t="s">
        <v>1917</v>
      </c>
      <c r="C12" s="815">
        <v>0</v>
      </c>
      <c r="D12" s="815">
        <v>0</v>
      </c>
      <c r="E12" s="815">
        <v>0</v>
      </c>
      <c r="F12" s="815">
        <v>0</v>
      </c>
      <c r="G12" s="815">
        <v>0</v>
      </c>
      <c r="H12" s="815">
        <v>0</v>
      </c>
      <c r="I12" s="815">
        <v>0</v>
      </c>
      <c r="J12" s="815">
        <v>0</v>
      </c>
      <c r="K12" s="815">
        <v>0</v>
      </c>
      <c r="L12" s="815">
        <v>0</v>
      </c>
      <c r="M12" s="815">
        <v>0</v>
      </c>
      <c r="N12" s="815">
        <v>0</v>
      </c>
      <c r="O12" s="815">
        <v>0</v>
      </c>
      <c r="P12" s="816">
        <f t="shared" si="0"/>
        <v>0</v>
      </c>
      <c r="Q12" s="815">
        <v>22859.540959999998</v>
      </c>
      <c r="R12" s="815">
        <v>22857.463839999898</v>
      </c>
      <c r="S12" s="815">
        <v>22836.3471299999</v>
      </c>
      <c r="T12" s="815">
        <v>20094.488459999899</v>
      </c>
      <c r="U12" s="815">
        <v>20052.450599999898</v>
      </c>
      <c r="V12" s="815">
        <v>20002.682989999899</v>
      </c>
      <c r="W12" s="815">
        <v>19968.677399999899</v>
      </c>
      <c r="X12" s="815">
        <v>19871.118129999901</v>
      </c>
      <c r="Y12" s="815">
        <v>19839.662489999901</v>
      </c>
      <c r="Z12" s="815">
        <v>19807.3488799999</v>
      </c>
      <c r="AA12" s="815">
        <v>19729.604799999899</v>
      </c>
      <c r="AB12" s="815">
        <v>19625.523239999999</v>
      </c>
      <c r="AC12" s="815">
        <v>19580.81712</v>
      </c>
      <c r="AD12" s="815">
        <v>19549.28169</v>
      </c>
      <c r="AE12" s="815">
        <v>19510.500499999998</v>
      </c>
      <c r="AF12" s="815">
        <v>19469.874319999999</v>
      </c>
      <c r="AG12" s="819">
        <f t="shared" si="1"/>
        <v>19777.079278461475</v>
      </c>
    </row>
    <row r="13" spans="1:33">
      <c r="B13" s="818" t="s">
        <v>1918</v>
      </c>
      <c r="C13" s="815">
        <v>0</v>
      </c>
      <c r="D13" s="815">
        <v>0</v>
      </c>
      <c r="E13" s="815">
        <v>0</v>
      </c>
      <c r="F13" s="815">
        <v>0</v>
      </c>
      <c r="G13" s="815">
        <v>0</v>
      </c>
      <c r="H13" s="815">
        <v>0</v>
      </c>
      <c r="I13" s="815">
        <v>0</v>
      </c>
      <c r="J13" s="815">
        <v>0</v>
      </c>
      <c r="K13" s="815">
        <v>0</v>
      </c>
      <c r="L13" s="815">
        <v>0</v>
      </c>
      <c r="M13" s="815">
        <v>0</v>
      </c>
      <c r="N13" s="815">
        <v>0</v>
      </c>
      <c r="O13" s="815">
        <v>0</v>
      </c>
      <c r="P13" s="816">
        <f t="shared" si="0"/>
        <v>0</v>
      </c>
      <c r="Q13" s="815">
        <v>0</v>
      </c>
      <c r="R13" s="815">
        <v>0</v>
      </c>
      <c r="S13" s="815">
        <v>0</v>
      </c>
      <c r="T13" s="815">
        <v>0</v>
      </c>
      <c r="U13" s="815">
        <v>0</v>
      </c>
      <c r="V13" s="815">
        <v>0</v>
      </c>
      <c r="W13" s="815">
        <v>0</v>
      </c>
      <c r="X13" s="815">
        <v>0</v>
      </c>
      <c r="Y13" s="815">
        <v>0</v>
      </c>
      <c r="Z13" s="815">
        <v>0</v>
      </c>
      <c r="AA13" s="815">
        <v>0</v>
      </c>
      <c r="AB13" s="815">
        <v>0</v>
      </c>
      <c r="AC13" s="815">
        <v>0</v>
      </c>
      <c r="AD13" s="815">
        <v>0</v>
      </c>
      <c r="AE13" s="815">
        <v>0</v>
      </c>
      <c r="AF13" s="815">
        <v>0</v>
      </c>
      <c r="AG13" s="819">
        <f t="shared" si="1"/>
        <v>0</v>
      </c>
    </row>
    <row r="14" spans="1:33">
      <c r="B14" s="818" t="s">
        <v>393</v>
      </c>
      <c r="C14" s="815">
        <v>2607.7407899999998</v>
      </c>
      <c r="D14" s="815">
        <v>2607.7407899999998</v>
      </c>
      <c r="E14" s="815">
        <v>2607.7407899999998</v>
      </c>
      <c r="F14" s="815">
        <v>2607.7407899999998</v>
      </c>
      <c r="G14" s="815">
        <v>2607.7407899999998</v>
      </c>
      <c r="H14" s="815">
        <v>2601.1412</v>
      </c>
      <c r="I14" s="815">
        <v>2601.1412</v>
      </c>
      <c r="J14" s="815">
        <v>2601.1412</v>
      </c>
      <c r="K14" s="815">
        <v>2601.1412</v>
      </c>
      <c r="L14" s="815">
        <v>2601.1412</v>
      </c>
      <c r="M14" s="815">
        <v>2601.1412</v>
      </c>
      <c r="N14" s="815">
        <v>2601.1412</v>
      </c>
      <c r="O14" s="815">
        <v>2601.1412</v>
      </c>
      <c r="P14" s="816">
        <f t="shared" si="0"/>
        <v>2603.6795038461528</v>
      </c>
      <c r="Q14" s="815">
        <v>2601.1412</v>
      </c>
      <c r="R14" s="815">
        <v>2601.1412</v>
      </c>
      <c r="S14" s="815">
        <v>2601.1412</v>
      </c>
      <c r="T14" s="815">
        <v>2601.1412</v>
      </c>
      <c r="U14" s="815">
        <v>2601.1412</v>
      </c>
      <c r="V14" s="815">
        <v>2601.1412</v>
      </c>
      <c r="W14" s="815">
        <v>2601.1412</v>
      </c>
      <c r="X14" s="815">
        <v>2601.1412</v>
      </c>
      <c r="Y14" s="815">
        <v>2601.1412</v>
      </c>
      <c r="Z14" s="815">
        <v>2601.1412</v>
      </c>
      <c r="AA14" s="815">
        <v>2601.1412</v>
      </c>
      <c r="AB14" s="815">
        <v>2601.1412</v>
      </c>
      <c r="AC14" s="815">
        <v>2601.1412</v>
      </c>
      <c r="AD14" s="815">
        <v>2601.1412</v>
      </c>
      <c r="AE14" s="815">
        <v>2601.1412</v>
      </c>
      <c r="AF14" s="815">
        <v>2601.1412</v>
      </c>
      <c r="AG14" s="819">
        <f t="shared" si="1"/>
        <v>2601.1411999999991</v>
      </c>
    </row>
    <row r="15" spans="1:33">
      <c r="B15" s="818" t="s">
        <v>558</v>
      </c>
      <c r="C15" s="815">
        <v>519.00910999999996</v>
      </c>
      <c r="D15" s="815">
        <v>519.00910999999996</v>
      </c>
      <c r="E15" s="815">
        <v>519.00910999999996</v>
      </c>
      <c r="F15" s="815">
        <v>519.00910999999996</v>
      </c>
      <c r="G15" s="815">
        <v>519.00910999999996</v>
      </c>
      <c r="H15" s="815">
        <v>519.00910999999996</v>
      </c>
      <c r="I15" s="815">
        <v>519.00910999999996</v>
      </c>
      <c r="J15" s="815">
        <v>519.00910999999996</v>
      </c>
      <c r="K15" s="815">
        <v>519.00910999999996</v>
      </c>
      <c r="L15" s="815">
        <v>519.00910999999996</v>
      </c>
      <c r="M15" s="815">
        <v>519.00910999999996</v>
      </c>
      <c r="N15" s="815">
        <v>519.00910999999996</v>
      </c>
      <c r="O15" s="815">
        <v>519.00910999999996</v>
      </c>
      <c r="P15" s="816">
        <f t="shared" si="0"/>
        <v>519.00910999999996</v>
      </c>
      <c r="Q15" s="815">
        <v>519.00910999999996</v>
      </c>
      <c r="R15" s="815">
        <v>519.00910999999996</v>
      </c>
      <c r="S15" s="815">
        <v>519.00910999999996</v>
      </c>
      <c r="T15" s="815">
        <v>519.00910999999996</v>
      </c>
      <c r="U15" s="815">
        <v>519.00910999999996</v>
      </c>
      <c r="V15" s="815">
        <v>519.00910999999996</v>
      </c>
      <c r="W15" s="815">
        <v>519.00910999999996</v>
      </c>
      <c r="X15" s="815">
        <v>519.00910999999996</v>
      </c>
      <c r="Y15" s="815">
        <v>519.00910999999996</v>
      </c>
      <c r="Z15" s="815">
        <v>519.00910999999996</v>
      </c>
      <c r="AA15" s="815">
        <v>519.00910999999996</v>
      </c>
      <c r="AB15" s="815">
        <v>519.00910999999996</v>
      </c>
      <c r="AC15" s="815">
        <v>519.00910999999996</v>
      </c>
      <c r="AD15" s="815">
        <v>519.00910999999996</v>
      </c>
      <c r="AE15" s="815">
        <v>519.00910999999996</v>
      </c>
      <c r="AF15" s="815">
        <v>519.00910999999996</v>
      </c>
      <c r="AG15" s="819">
        <f t="shared" si="1"/>
        <v>519.00910999999996</v>
      </c>
    </row>
    <row r="16" spans="1:33">
      <c r="B16" s="818" t="s">
        <v>394</v>
      </c>
      <c r="C16" s="815">
        <v>1309242.4101199999</v>
      </c>
      <c r="D16" s="815">
        <v>1324144.74608999</v>
      </c>
      <c r="E16" s="815">
        <v>1322445.6710900001</v>
      </c>
      <c r="F16" s="815">
        <v>1299767.16607</v>
      </c>
      <c r="G16" s="815">
        <v>1307289.6878899899</v>
      </c>
      <c r="H16" s="815">
        <v>1315895.5129499901</v>
      </c>
      <c r="I16" s="815">
        <v>1312213.0158200001</v>
      </c>
      <c r="J16" s="815">
        <v>1312213.0158200001</v>
      </c>
      <c r="K16" s="815">
        <v>1312213.0158200001</v>
      </c>
      <c r="L16" s="815">
        <v>1312213.0158200001</v>
      </c>
      <c r="M16" s="815">
        <v>1312213.0158200001</v>
      </c>
      <c r="N16" s="815">
        <v>1312213.0158200001</v>
      </c>
      <c r="O16" s="815">
        <v>1312213.0158200001</v>
      </c>
      <c r="P16" s="816">
        <f t="shared" si="0"/>
        <v>1312636.6388423056</v>
      </c>
      <c r="Q16" s="815">
        <v>1312213.0158200001</v>
      </c>
      <c r="R16" s="815">
        <v>1312213.0158200001</v>
      </c>
      <c r="S16" s="815">
        <v>1312213.0158200001</v>
      </c>
      <c r="T16" s="815">
        <v>1312213.0158200001</v>
      </c>
      <c r="U16" s="815">
        <v>1312213.0158200001</v>
      </c>
      <c r="V16" s="815">
        <v>1312213.0158200001</v>
      </c>
      <c r="W16" s="815">
        <v>1312213.0158200001</v>
      </c>
      <c r="X16" s="815">
        <v>1312213.0158200001</v>
      </c>
      <c r="Y16" s="815">
        <v>1312213.0158200001</v>
      </c>
      <c r="Z16" s="815">
        <v>1312213.0158200001</v>
      </c>
      <c r="AA16" s="815">
        <v>1312213.0158200001</v>
      </c>
      <c r="AB16" s="815">
        <v>1312213.0158200001</v>
      </c>
      <c r="AC16" s="815">
        <v>1312213.0158200001</v>
      </c>
      <c r="AD16" s="815">
        <v>1312213.0158200001</v>
      </c>
      <c r="AE16" s="815">
        <v>1312213.0158200001</v>
      </c>
      <c r="AF16" s="815">
        <v>1312213.0158200001</v>
      </c>
      <c r="AG16" s="819">
        <f t="shared" si="1"/>
        <v>1312213.0158200001</v>
      </c>
    </row>
    <row r="17" spans="2:33">
      <c r="B17" s="818" t="s">
        <v>395</v>
      </c>
      <c r="C17" s="815">
        <v>304939.29139000003</v>
      </c>
      <c r="D17" s="815">
        <v>330617.56764999998</v>
      </c>
      <c r="E17" s="815">
        <v>364833.77286000003</v>
      </c>
      <c r="F17" s="815">
        <v>400987.41829</v>
      </c>
      <c r="G17" s="815">
        <v>427589.77295000001</v>
      </c>
      <c r="H17" s="815">
        <v>437015.03980000003</v>
      </c>
      <c r="I17" s="815">
        <v>455211.62822999997</v>
      </c>
      <c r="J17" s="815">
        <v>425832.63468000002</v>
      </c>
      <c r="K17" s="815">
        <v>424734.41424000001</v>
      </c>
      <c r="L17" s="815">
        <v>420671.40435999999</v>
      </c>
      <c r="M17" s="815">
        <v>368634.05550000002</v>
      </c>
      <c r="N17" s="815">
        <v>377102.08458000002</v>
      </c>
      <c r="O17" s="815">
        <v>331318.34203</v>
      </c>
      <c r="P17" s="816">
        <f t="shared" si="0"/>
        <v>389960.57127384614</v>
      </c>
      <c r="Q17" s="815">
        <v>187095.86648</v>
      </c>
      <c r="R17" s="815">
        <v>208028.52411</v>
      </c>
      <c r="S17" s="815">
        <v>238525.70425000001</v>
      </c>
      <c r="T17" s="815">
        <v>225885.33048</v>
      </c>
      <c r="U17" s="815">
        <v>221869.67821000001</v>
      </c>
      <c r="V17" s="815">
        <v>238163.12404</v>
      </c>
      <c r="W17" s="815">
        <v>252745.4969</v>
      </c>
      <c r="X17" s="815">
        <v>277292.34282000002</v>
      </c>
      <c r="Y17" s="815">
        <v>301740.43969999999</v>
      </c>
      <c r="Z17" s="815">
        <v>337071.83007000003</v>
      </c>
      <c r="AA17" s="815">
        <v>313976.85119000002</v>
      </c>
      <c r="AB17" s="815">
        <v>148348.54657000001</v>
      </c>
      <c r="AC17" s="815">
        <v>160794.73250000001</v>
      </c>
      <c r="AD17" s="815">
        <v>174382.76444</v>
      </c>
      <c r="AE17" s="815">
        <v>159528.99411</v>
      </c>
      <c r="AF17" s="815">
        <v>176679.30153999999</v>
      </c>
      <c r="AG17" s="819">
        <f t="shared" si="1"/>
        <v>229883.03327461539</v>
      </c>
    </row>
    <row r="18" spans="2:33" ht="15.75" thickBot="1">
      <c r="B18" s="818" t="s">
        <v>559</v>
      </c>
      <c r="C18" s="820">
        <v>2139.9899999999998</v>
      </c>
      <c r="D18" s="820">
        <v>2139.9899999999998</v>
      </c>
      <c r="E18" s="820">
        <v>2139.9899999999998</v>
      </c>
      <c r="F18" s="820">
        <v>2139.9899999999998</v>
      </c>
      <c r="G18" s="820">
        <v>2139.9899999999998</v>
      </c>
      <c r="H18" s="820">
        <v>2139.9899999999998</v>
      </c>
      <c r="I18" s="820">
        <v>2139.9899999999998</v>
      </c>
      <c r="J18" s="820">
        <v>2139.9899999999998</v>
      </c>
      <c r="K18" s="820">
        <v>2139.9899999999998</v>
      </c>
      <c r="L18" s="820">
        <v>2139.9899999999998</v>
      </c>
      <c r="M18" s="820">
        <v>2139.9899999999998</v>
      </c>
      <c r="N18" s="820">
        <v>2139.9899999999998</v>
      </c>
      <c r="O18" s="820">
        <v>2139.9899999999998</v>
      </c>
      <c r="P18" s="816">
        <f t="shared" si="0"/>
        <v>2139.9899999999989</v>
      </c>
      <c r="Q18" s="820">
        <v>2139.9899999999998</v>
      </c>
      <c r="R18" s="820">
        <v>2139.9899999999998</v>
      </c>
      <c r="S18" s="820">
        <v>2139.9899999999998</v>
      </c>
      <c r="T18" s="820">
        <v>2139.9899999999998</v>
      </c>
      <c r="U18" s="820">
        <v>2139.9899999999998</v>
      </c>
      <c r="V18" s="820">
        <v>2139.9899999999998</v>
      </c>
      <c r="W18" s="820">
        <v>2139.9899999999998</v>
      </c>
      <c r="X18" s="820">
        <v>2139.9899999999998</v>
      </c>
      <c r="Y18" s="820">
        <v>2139.9899999999998</v>
      </c>
      <c r="Z18" s="820">
        <v>2139.9899999999998</v>
      </c>
      <c r="AA18" s="820">
        <v>2139.9899999999998</v>
      </c>
      <c r="AB18" s="820">
        <v>2139.9899999999998</v>
      </c>
      <c r="AC18" s="820">
        <v>2139.9899999999998</v>
      </c>
      <c r="AD18" s="820">
        <v>2139.9899999999998</v>
      </c>
      <c r="AE18" s="820">
        <v>2139.9899999999998</v>
      </c>
      <c r="AF18" s="820">
        <v>2139.9899999999998</v>
      </c>
      <c r="AG18" s="816">
        <f t="shared" si="1"/>
        <v>2139.9899999999989</v>
      </c>
    </row>
    <row r="19" spans="2:33">
      <c r="B19" s="818" t="s">
        <v>396</v>
      </c>
      <c r="C19" s="815">
        <v>7155496.7657599999</v>
      </c>
      <c r="D19" s="815">
        <v>7196862.5993299996</v>
      </c>
      <c r="E19" s="815">
        <v>7225544.4710900001</v>
      </c>
      <c r="F19" s="815">
        <v>7257149.6196499998</v>
      </c>
      <c r="G19" s="815">
        <v>7300032.6287499899</v>
      </c>
      <c r="H19" s="815">
        <v>7328652.84995999</v>
      </c>
      <c r="I19" s="815">
        <v>7365493.8344999999</v>
      </c>
      <c r="J19" s="815">
        <v>7401346.3191499999</v>
      </c>
      <c r="K19" s="815">
        <v>7453380.0213299999</v>
      </c>
      <c r="L19" s="815">
        <v>7498848.5458899997</v>
      </c>
      <c r="M19" s="815">
        <v>7547534.5746200001</v>
      </c>
      <c r="N19" s="815">
        <v>7589026.9546999997</v>
      </c>
      <c r="O19" s="815">
        <v>7640466.2696099998</v>
      </c>
      <c r="P19" s="816">
        <f t="shared" si="0"/>
        <v>7381525.8041799972</v>
      </c>
      <c r="Q19" s="815">
        <v>7691532.4954500003</v>
      </c>
      <c r="R19" s="815">
        <v>7715303.4198200004</v>
      </c>
      <c r="S19" s="815">
        <v>7759001.4543500002</v>
      </c>
      <c r="T19" s="815">
        <v>7762640.3089999901</v>
      </c>
      <c r="U19" s="815">
        <v>7799831.2946399897</v>
      </c>
      <c r="V19" s="815">
        <v>7840862.5042799897</v>
      </c>
      <c r="W19" s="815">
        <v>7881058.8389699897</v>
      </c>
      <c r="X19" s="815">
        <v>7919489.3353299899</v>
      </c>
      <c r="Y19" s="815">
        <v>7960445.8804499898</v>
      </c>
      <c r="Z19" s="815">
        <v>8013843.4942899998</v>
      </c>
      <c r="AA19" s="815">
        <v>8051115.3575299904</v>
      </c>
      <c r="AB19" s="815">
        <v>8039823.4027499901</v>
      </c>
      <c r="AC19" s="815">
        <v>8047610.3468899904</v>
      </c>
      <c r="AD19" s="815">
        <v>8060413.8117599897</v>
      </c>
      <c r="AE19" s="815">
        <v>8090628.57836999</v>
      </c>
      <c r="AF19" s="815">
        <v>8125405.0099999998</v>
      </c>
      <c r="AG19" s="816">
        <f t="shared" si="1"/>
        <v>7968705.2434046073</v>
      </c>
    </row>
    <row r="20" spans="2:33">
      <c r="C20" s="817"/>
      <c r="D20" s="817"/>
      <c r="E20" s="817"/>
      <c r="F20" s="817"/>
      <c r="G20" s="817"/>
      <c r="H20" s="817"/>
      <c r="I20" s="817"/>
      <c r="J20" s="817"/>
      <c r="K20" s="817"/>
      <c r="L20" s="817"/>
      <c r="M20" s="817"/>
      <c r="N20" s="817"/>
      <c r="O20" s="817"/>
      <c r="P20" s="816">
        <f t="shared" si="0"/>
        <v>0</v>
      </c>
      <c r="Q20" s="817"/>
      <c r="R20" s="817"/>
      <c r="S20" s="817"/>
      <c r="T20" s="817"/>
      <c r="U20" s="817"/>
      <c r="V20" s="817"/>
      <c r="W20" s="817"/>
      <c r="X20" s="817"/>
      <c r="Y20" s="817"/>
      <c r="Z20" s="817"/>
      <c r="AA20" s="817"/>
      <c r="AB20" s="817"/>
      <c r="AC20" s="817"/>
      <c r="AD20" s="817"/>
      <c r="AE20" s="817"/>
      <c r="AF20" s="817"/>
      <c r="AG20" s="819">
        <f t="shared" si="1"/>
        <v>0</v>
      </c>
    </row>
    <row r="21" spans="2:33">
      <c r="B21" s="818" t="s">
        <v>397</v>
      </c>
      <c r="C21" s="817"/>
      <c r="D21" s="817"/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6">
        <f t="shared" si="0"/>
        <v>0</v>
      </c>
      <c r="Q21" s="817"/>
      <c r="R21" s="817"/>
      <c r="S21" s="817"/>
      <c r="T21" s="817"/>
      <c r="U21" s="817"/>
      <c r="V21" s="817"/>
      <c r="W21" s="817"/>
      <c r="X21" s="817"/>
      <c r="Y21" s="817"/>
      <c r="Z21" s="817"/>
      <c r="AA21" s="817"/>
      <c r="AB21" s="817"/>
      <c r="AC21" s="817"/>
      <c r="AD21" s="817"/>
      <c r="AE21" s="817"/>
      <c r="AF21" s="817"/>
      <c r="AG21" s="819">
        <f t="shared" si="1"/>
        <v>0</v>
      </c>
    </row>
    <row r="22" spans="2:33">
      <c r="B22" s="818" t="s">
        <v>398</v>
      </c>
      <c r="C22" s="815">
        <v>-1809482.5393999999</v>
      </c>
      <c r="D22" s="815">
        <v>-1822344.81703</v>
      </c>
      <c r="E22" s="815">
        <v>-1823076.7216</v>
      </c>
      <c r="F22" s="815">
        <v>-1834561.7452400001</v>
      </c>
      <c r="G22" s="815">
        <v>-1846338.25593</v>
      </c>
      <c r="H22" s="815">
        <v>-1850602.71679999</v>
      </c>
      <c r="I22" s="815">
        <v>-1860804.61209</v>
      </c>
      <c r="J22" s="815">
        <v>-1873093.19978423</v>
      </c>
      <c r="K22" s="815">
        <v>-1886619.8729664001</v>
      </c>
      <c r="L22" s="815">
        <v>-1900285.3057534101</v>
      </c>
      <c r="M22" s="815">
        <v>-1913664.6238011301</v>
      </c>
      <c r="N22" s="815">
        <v>-1924900.19573299</v>
      </c>
      <c r="O22" s="815">
        <v>-1939051.9706572001</v>
      </c>
      <c r="P22" s="816">
        <f t="shared" si="0"/>
        <v>-1868063.5828296421</v>
      </c>
      <c r="Q22" s="815">
        <v>-1953276.63465188</v>
      </c>
      <c r="R22" s="815">
        <v>-1960946.1540989899</v>
      </c>
      <c r="S22" s="815">
        <v>-1974553.9696450999</v>
      </c>
      <c r="T22" s="815">
        <v>-1988262.19556926</v>
      </c>
      <c r="U22" s="815">
        <v>-2002620.6187829401</v>
      </c>
      <c r="V22" s="815">
        <v>-2018590.7659102599</v>
      </c>
      <c r="W22" s="815">
        <v>-2034630.81905253</v>
      </c>
      <c r="X22" s="815">
        <v>-2049008.27657958</v>
      </c>
      <c r="Y22" s="815">
        <v>-2064723.11434014</v>
      </c>
      <c r="Z22" s="815">
        <v>-2081413.2262704801</v>
      </c>
      <c r="AA22" s="815">
        <v>-2098424.0581667102</v>
      </c>
      <c r="AB22" s="815">
        <v>-2081701.8524998201</v>
      </c>
      <c r="AC22" s="815">
        <v>-2086580.1714920299</v>
      </c>
      <c r="AD22" s="815">
        <v>-2096231.6963573799</v>
      </c>
      <c r="AE22" s="815">
        <v>-2113160.0083557898</v>
      </c>
      <c r="AF22" s="815">
        <v>-2129336.5471192002</v>
      </c>
      <c r="AG22" s="819">
        <f t="shared" si="1"/>
        <v>-2064975.6423458552</v>
      </c>
    </row>
    <row r="23" spans="2:33">
      <c r="B23" s="818" t="s">
        <v>399</v>
      </c>
      <c r="C23" s="815">
        <v>-4135.72559</v>
      </c>
      <c r="D23" s="815">
        <v>-4143.9575199999999</v>
      </c>
      <c r="E23" s="815">
        <v>-4152.1894499999999</v>
      </c>
      <c r="F23" s="815">
        <v>-4160.4213799999998</v>
      </c>
      <c r="G23" s="815">
        <v>-4168.6533099999997</v>
      </c>
      <c r="H23" s="815">
        <v>-4107.1972399999904</v>
      </c>
      <c r="I23" s="815">
        <v>-4115.4291699999903</v>
      </c>
      <c r="J23" s="815">
        <v>-4115.4291699999903</v>
      </c>
      <c r="K23" s="815">
        <v>-4115.4291699999903</v>
      </c>
      <c r="L23" s="815">
        <v>-4115.4291699999903</v>
      </c>
      <c r="M23" s="815">
        <v>-4115.4291699999903</v>
      </c>
      <c r="N23" s="815">
        <v>-4115.4291699999903</v>
      </c>
      <c r="O23" s="815">
        <v>-4115.4291699999903</v>
      </c>
      <c r="P23" s="816">
        <f t="shared" si="0"/>
        <v>-4128.9345138461467</v>
      </c>
      <c r="Q23" s="815">
        <v>-4115.4291699999903</v>
      </c>
      <c r="R23" s="815">
        <v>-4115.4291699999903</v>
      </c>
      <c r="S23" s="815">
        <v>-4115.4291699999903</v>
      </c>
      <c r="T23" s="815">
        <v>-4115.4291699999903</v>
      </c>
      <c r="U23" s="815">
        <v>-4115.4291699999903</v>
      </c>
      <c r="V23" s="815">
        <v>-4115.4291699999903</v>
      </c>
      <c r="W23" s="815">
        <v>-4115.4291699999903</v>
      </c>
      <c r="X23" s="815">
        <v>-4115.4291699999903</v>
      </c>
      <c r="Y23" s="815">
        <v>-4115.4291699999903</v>
      </c>
      <c r="Z23" s="815">
        <v>-4115.4291699999903</v>
      </c>
      <c r="AA23" s="815">
        <v>-4115.4291699999903</v>
      </c>
      <c r="AB23" s="815">
        <v>-4115.4291699999903</v>
      </c>
      <c r="AC23" s="815">
        <v>-4115.4291699999903</v>
      </c>
      <c r="AD23" s="815">
        <v>-4115.4291699999903</v>
      </c>
      <c r="AE23" s="815">
        <v>-4115.4291699999903</v>
      </c>
      <c r="AF23" s="815">
        <v>-4115.4291699999903</v>
      </c>
      <c r="AG23" s="819">
        <f t="shared" si="1"/>
        <v>-4115.4291699999894</v>
      </c>
    </row>
    <row r="24" spans="2:33">
      <c r="B24" s="818" t="s">
        <v>400</v>
      </c>
      <c r="C24" s="815">
        <v>8985.2660699999997</v>
      </c>
      <c r="D24" s="815">
        <v>10467.122799999999</v>
      </c>
      <c r="E24" s="815">
        <v>11015.91193</v>
      </c>
      <c r="F24" s="815">
        <v>12168.00462</v>
      </c>
      <c r="G24" s="815">
        <v>12316.25014</v>
      </c>
      <c r="H24" s="815">
        <v>12885.9612</v>
      </c>
      <c r="I24" s="815">
        <v>14659.82532</v>
      </c>
      <c r="J24" s="815">
        <v>14659.82532</v>
      </c>
      <c r="K24" s="815">
        <v>14659.82532</v>
      </c>
      <c r="L24" s="815">
        <v>14659.82532</v>
      </c>
      <c r="M24" s="815">
        <v>14659.82532</v>
      </c>
      <c r="N24" s="815">
        <v>14659.82532</v>
      </c>
      <c r="O24" s="815">
        <v>14659.82532</v>
      </c>
      <c r="P24" s="816">
        <f t="shared" si="0"/>
        <v>13112.09953846154</v>
      </c>
      <c r="Q24" s="815">
        <v>14659.82532</v>
      </c>
      <c r="R24" s="815">
        <v>14659.82532</v>
      </c>
      <c r="S24" s="815">
        <v>14659.82532</v>
      </c>
      <c r="T24" s="815">
        <v>14659.82532</v>
      </c>
      <c r="U24" s="815">
        <v>14659.82532</v>
      </c>
      <c r="V24" s="815">
        <v>14659.82532</v>
      </c>
      <c r="W24" s="815">
        <v>14659.82532</v>
      </c>
      <c r="X24" s="815">
        <v>14659.82532</v>
      </c>
      <c r="Y24" s="815">
        <v>14659.82532</v>
      </c>
      <c r="Z24" s="815">
        <v>14659.82532</v>
      </c>
      <c r="AA24" s="815">
        <v>14659.82532</v>
      </c>
      <c r="AB24" s="815">
        <v>14659.82532</v>
      </c>
      <c r="AC24" s="815">
        <v>14659.82532</v>
      </c>
      <c r="AD24" s="815">
        <v>14659.82532</v>
      </c>
      <c r="AE24" s="815">
        <v>14659.82532</v>
      </c>
      <c r="AF24" s="815">
        <v>14659.82532</v>
      </c>
      <c r="AG24" s="819">
        <f t="shared" si="1"/>
        <v>14659.825320000002</v>
      </c>
    </row>
    <row r="25" spans="2:33">
      <c r="B25" s="818" t="s">
        <v>401</v>
      </c>
      <c r="C25" s="815">
        <v>-58310.749759999999</v>
      </c>
      <c r="D25" s="815">
        <v>-59610.491049999997</v>
      </c>
      <c r="E25" s="815">
        <v>-60298.4624799999</v>
      </c>
      <c r="F25" s="815">
        <v>-61810.017800000001</v>
      </c>
      <c r="G25" s="815">
        <v>-62562.459089999997</v>
      </c>
      <c r="H25" s="815">
        <v>-63959.831870000002</v>
      </c>
      <c r="I25" s="815">
        <v>-64355.325250000002</v>
      </c>
      <c r="J25" s="815">
        <v>-64696.818222834198</v>
      </c>
      <c r="K25" s="815">
        <v>-65901.211332668405</v>
      </c>
      <c r="L25" s="815">
        <v>-66318.185887302694</v>
      </c>
      <c r="M25" s="815">
        <v>-66673.919575836902</v>
      </c>
      <c r="N25" s="815">
        <v>-68311.774938771196</v>
      </c>
      <c r="O25" s="815">
        <v>-70001.599026105396</v>
      </c>
      <c r="P25" s="816">
        <f t="shared" si="0"/>
        <v>-64062.372791039888</v>
      </c>
      <c r="Q25" s="815">
        <v>-71725.556395539694</v>
      </c>
      <c r="R25" s="815">
        <v>-71010.492522973902</v>
      </c>
      <c r="S25" s="815">
        <v>-72294.700384408206</v>
      </c>
      <c r="T25" s="815">
        <v>-32049.3784380424</v>
      </c>
      <c r="U25" s="815">
        <v>-33166.703497576702</v>
      </c>
      <c r="V25" s="815">
        <v>-34343.0388008109</v>
      </c>
      <c r="W25" s="815">
        <v>-35505.278056045201</v>
      </c>
      <c r="X25" s="815">
        <v>-35742.464033279401</v>
      </c>
      <c r="Y25" s="815">
        <v>-36754.772249513699</v>
      </c>
      <c r="Z25" s="815">
        <v>-36801.148781747899</v>
      </c>
      <c r="AA25" s="815">
        <v>-34565.727944982202</v>
      </c>
      <c r="AB25" s="815">
        <v>-35898.328431616399</v>
      </c>
      <c r="AC25" s="815">
        <v>-36639.936486750703</v>
      </c>
      <c r="AD25" s="815">
        <v>-35532.285998884901</v>
      </c>
      <c r="AE25" s="815">
        <v>-36706.727812019199</v>
      </c>
      <c r="AF25" s="815">
        <v>-38197.110922153399</v>
      </c>
      <c r="AG25" s="819">
        <f t="shared" si="1"/>
        <v>-35530.992419494076</v>
      </c>
    </row>
    <row r="26" spans="2:33">
      <c r="B26" s="818" t="s">
        <v>402</v>
      </c>
      <c r="C26" s="815">
        <v>-0.20868</v>
      </c>
      <c r="D26" s="815">
        <v>-0.21268000000000001</v>
      </c>
      <c r="E26" s="815">
        <v>-0.21668000000000001</v>
      </c>
      <c r="F26" s="815">
        <v>-0.22067999999999999</v>
      </c>
      <c r="G26" s="815">
        <v>-0.22467999999999999</v>
      </c>
      <c r="H26" s="815">
        <v>-0.22867999999999999</v>
      </c>
      <c r="I26" s="815">
        <v>-0.23268</v>
      </c>
      <c r="J26" s="815">
        <v>-0.23268</v>
      </c>
      <c r="K26" s="815">
        <v>-0.23268</v>
      </c>
      <c r="L26" s="815">
        <v>-0.23268</v>
      </c>
      <c r="M26" s="815">
        <v>-0.23268</v>
      </c>
      <c r="N26" s="815">
        <v>-0.23268</v>
      </c>
      <c r="O26" s="815">
        <v>-0.23268</v>
      </c>
      <c r="P26" s="816">
        <f t="shared" si="0"/>
        <v>-0.22621846153846159</v>
      </c>
      <c r="Q26" s="815">
        <v>-0.23268</v>
      </c>
      <c r="R26" s="815">
        <v>-0.23268</v>
      </c>
      <c r="S26" s="815">
        <v>-0.23268</v>
      </c>
      <c r="T26" s="815">
        <v>-0.23268</v>
      </c>
      <c r="U26" s="815">
        <v>-0.23268</v>
      </c>
      <c r="V26" s="815">
        <v>-0.23268</v>
      </c>
      <c r="W26" s="815">
        <v>-0.23268</v>
      </c>
      <c r="X26" s="815">
        <v>-0.23268</v>
      </c>
      <c r="Y26" s="815">
        <v>-0.23268</v>
      </c>
      <c r="Z26" s="815">
        <v>-0.23268</v>
      </c>
      <c r="AA26" s="815">
        <v>-0.23268</v>
      </c>
      <c r="AB26" s="815">
        <v>-0.23268</v>
      </c>
      <c r="AC26" s="815">
        <v>-0.23268</v>
      </c>
      <c r="AD26" s="815">
        <v>-0.23268</v>
      </c>
      <c r="AE26" s="815">
        <v>-0.23268</v>
      </c>
      <c r="AF26" s="815">
        <v>-0.23268</v>
      </c>
      <c r="AG26" s="819">
        <f t="shared" si="1"/>
        <v>-0.23268000000000008</v>
      </c>
    </row>
    <row r="27" spans="2:33">
      <c r="B27" s="818" t="s">
        <v>1919</v>
      </c>
      <c r="C27" s="815">
        <v>0</v>
      </c>
      <c r="D27" s="815">
        <v>0</v>
      </c>
      <c r="E27" s="815">
        <v>0</v>
      </c>
      <c r="F27" s="815">
        <v>0</v>
      </c>
      <c r="G27" s="815">
        <v>0</v>
      </c>
      <c r="H27" s="815">
        <v>0</v>
      </c>
      <c r="I27" s="815">
        <v>0</v>
      </c>
      <c r="J27" s="815">
        <v>0</v>
      </c>
      <c r="K27" s="815">
        <v>0</v>
      </c>
      <c r="L27" s="815">
        <v>0</v>
      </c>
      <c r="M27" s="815">
        <v>0</v>
      </c>
      <c r="N27" s="815">
        <v>0</v>
      </c>
      <c r="O27" s="815">
        <v>0</v>
      </c>
      <c r="P27" s="816">
        <f t="shared" si="0"/>
        <v>0</v>
      </c>
      <c r="Q27" s="815">
        <v>-1084.0659499999999</v>
      </c>
      <c r="R27" s="815">
        <v>-2165.6930299999899</v>
      </c>
      <c r="S27" s="815">
        <v>-3232.9286899999902</v>
      </c>
      <c r="T27" s="815">
        <v>-1578.33006999999</v>
      </c>
      <c r="U27" s="815">
        <v>-1934.6060199999899</v>
      </c>
      <c r="V27" s="815">
        <v>-2276.6332299999899</v>
      </c>
      <c r="W27" s="815">
        <v>-2627.9617699999899</v>
      </c>
      <c r="X27" s="815">
        <v>-2912.7298299999902</v>
      </c>
      <c r="Y27" s="815">
        <v>-3253.0466799999899</v>
      </c>
      <c r="Z27" s="815">
        <v>-3590.7983899999899</v>
      </c>
      <c r="AA27" s="815">
        <v>-3881.6865899999898</v>
      </c>
      <c r="AB27" s="815">
        <v>-4140.8057399999898</v>
      </c>
      <c r="AC27" s="815">
        <v>-4452.1584999999905</v>
      </c>
      <c r="AD27" s="815">
        <v>-4774.9245299999902</v>
      </c>
      <c r="AE27" s="815">
        <v>-5089.9033300000001</v>
      </c>
      <c r="AF27" s="815">
        <v>-5402.4173999999903</v>
      </c>
      <c r="AG27" s="819">
        <f t="shared" si="1"/>
        <v>-3532.000159999991</v>
      </c>
    </row>
    <row r="28" spans="2:33">
      <c r="B28" s="818" t="s">
        <v>403</v>
      </c>
      <c r="C28" s="815">
        <v>63554.278749999998</v>
      </c>
      <c r="D28" s="815">
        <v>63825.929660000002</v>
      </c>
      <c r="E28" s="815">
        <v>64082.289039999901</v>
      </c>
      <c r="F28" s="815">
        <v>64268.981679999997</v>
      </c>
      <c r="G28" s="815">
        <v>64463.494630000001</v>
      </c>
      <c r="H28" s="815">
        <v>64731.838369999998</v>
      </c>
      <c r="I28" s="815">
        <v>64685.50174</v>
      </c>
      <c r="J28" s="815">
        <v>64961.789456932602</v>
      </c>
      <c r="K28" s="815">
        <v>65240.2489526793</v>
      </c>
      <c r="L28" s="815">
        <v>65520.227116479902</v>
      </c>
      <c r="M28" s="815">
        <v>65802.507312602203</v>
      </c>
      <c r="N28" s="815">
        <v>66086.942076346604</v>
      </c>
      <c r="O28" s="815">
        <v>66373.831347954605</v>
      </c>
      <c r="P28" s="816">
        <f t="shared" si="0"/>
        <v>64892.143087153476</v>
      </c>
      <c r="Q28" s="815">
        <v>66665.572193112603</v>
      </c>
      <c r="R28" s="815">
        <v>66960.469330422304</v>
      </c>
      <c r="S28" s="815">
        <v>67255.929804946296</v>
      </c>
      <c r="T28" s="815">
        <v>67552.7940794967</v>
      </c>
      <c r="U28" s="815">
        <v>68008.657277207298</v>
      </c>
      <c r="V28" s="815">
        <v>68466.756609111195</v>
      </c>
      <c r="W28" s="815">
        <v>68926.099057952495</v>
      </c>
      <c r="X28" s="815">
        <v>69386.535053482294</v>
      </c>
      <c r="Y28" s="815">
        <v>69847.815798655705</v>
      </c>
      <c r="Z28" s="815">
        <v>70309.959264412799</v>
      </c>
      <c r="AA28" s="815">
        <v>70773.947016539503</v>
      </c>
      <c r="AB28" s="815">
        <v>71242.899410821105</v>
      </c>
      <c r="AC28" s="815">
        <v>71715.661310751806</v>
      </c>
      <c r="AD28" s="815">
        <v>72188.698884455502</v>
      </c>
      <c r="AE28" s="815">
        <v>72662.358959245204</v>
      </c>
      <c r="AF28" s="815">
        <v>73137.1015089008</v>
      </c>
      <c r="AG28" s="819">
        <f t="shared" si="1"/>
        <v>70324.56032546403</v>
      </c>
    </row>
    <row r="29" spans="2:33">
      <c r="B29" s="818" t="s">
        <v>404</v>
      </c>
      <c r="C29" s="815">
        <v>43793.158770000002</v>
      </c>
      <c r="D29" s="815">
        <v>45270.170339999997</v>
      </c>
      <c r="E29" s="815">
        <v>47321.071640000002</v>
      </c>
      <c r="F29" s="815">
        <v>51020.683960000002</v>
      </c>
      <c r="G29" s="815">
        <v>53217.389089999997</v>
      </c>
      <c r="H29" s="815">
        <v>54176.177629999998</v>
      </c>
      <c r="I29" s="815">
        <v>54020.968939999999</v>
      </c>
      <c r="J29" s="815">
        <v>4547.7430800000002</v>
      </c>
      <c r="K29" s="815">
        <v>6832.5181499999999</v>
      </c>
      <c r="L29" s="815">
        <v>9626.1897599999993</v>
      </c>
      <c r="M29" s="815">
        <v>12668.21478</v>
      </c>
      <c r="N29" s="815">
        <v>12992.264660000001</v>
      </c>
      <c r="O29" s="815">
        <v>12256.493769999999</v>
      </c>
      <c r="P29" s="816">
        <f t="shared" si="0"/>
        <v>31364.849582307685</v>
      </c>
      <c r="Q29" s="815">
        <v>14047.21451</v>
      </c>
      <c r="R29" s="815">
        <v>15770.790279999999</v>
      </c>
      <c r="S29" s="815">
        <v>18859.732749999999</v>
      </c>
      <c r="T29" s="815">
        <v>21277.05156</v>
      </c>
      <c r="U29" s="815">
        <v>21096.071520000001</v>
      </c>
      <c r="V29" s="815">
        <v>22330.120709999999</v>
      </c>
      <c r="W29" s="815">
        <v>24168.550780000001</v>
      </c>
      <c r="X29" s="815">
        <v>26499.610100000002</v>
      </c>
      <c r="Y29" s="815">
        <v>-8810.39508999998</v>
      </c>
      <c r="Z29" s="815">
        <v>-6114.6473699999797</v>
      </c>
      <c r="AA29" s="815">
        <v>-5841.8916999999801</v>
      </c>
      <c r="AB29" s="815">
        <v>-10840.3461799999</v>
      </c>
      <c r="AC29" s="815">
        <v>-10469.5790499999</v>
      </c>
      <c r="AD29" s="815">
        <v>-10103.306039999899</v>
      </c>
      <c r="AE29" s="815">
        <v>-9306.5467199999803</v>
      </c>
      <c r="AF29" s="815">
        <v>-9156.9216199999792</v>
      </c>
      <c r="AG29" s="816">
        <f t="shared" si="1"/>
        <v>3440.5977615384941</v>
      </c>
    </row>
    <row r="30" spans="2:33" ht="15.75" thickBot="1">
      <c r="B30" s="818" t="s">
        <v>405</v>
      </c>
      <c r="C30" s="820">
        <v>-388869.00069999998</v>
      </c>
      <c r="D30" s="820">
        <v>-391251.037929999</v>
      </c>
      <c r="E30" s="820">
        <v>-393246.18718999898</v>
      </c>
      <c r="F30" s="820">
        <v>-395283.27533999999</v>
      </c>
      <c r="G30" s="820">
        <v>-396736.00355000002</v>
      </c>
      <c r="H30" s="820">
        <v>-398213.31631999899</v>
      </c>
      <c r="I30" s="820">
        <v>-398599.88815999997</v>
      </c>
      <c r="J30" s="820">
        <v>-349065.68404392799</v>
      </c>
      <c r="K30" s="820">
        <v>-350518.29175410903</v>
      </c>
      <c r="L30" s="820">
        <v>-352235.02289766201</v>
      </c>
      <c r="M30" s="820">
        <v>-353563.64147857699</v>
      </c>
      <c r="N30" s="820">
        <v>-357042.29708235298</v>
      </c>
      <c r="O30" s="820">
        <v>-357483.01635590399</v>
      </c>
      <c r="P30" s="816">
        <f t="shared" si="0"/>
        <v>-375546.66636942542</v>
      </c>
      <c r="Q30" s="820">
        <v>-358918.82730684202</v>
      </c>
      <c r="R30" s="820">
        <v>-360809.21335538401</v>
      </c>
      <c r="S30" s="820">
        <v>-362549.83858217503</v>
      </c>
      <c r="T30" s="820">
        <v>-364195.66142908001</v>
      </c>
      <c r="U30" s="820">
        <v>-364726.91540494497</v>
      </c>
      <c r="V30" s="820">
        <v>-366798.047626719</v>
      </c>
      <c r="W30" s="820">
        <v>-369322.876200584</v>
      </c>
      <c r="X30" s="820">
        <v>-371388.82011498301</v>
      </c>
      <c r="Y30" s="820">
        <v>-337743.65427473403</v>
      </c>
      <c r="Z30" s="820">
        <v>-340393.17978980101</v>
      </c>
      <c r="AA30" s="820">
        <v>-342184.11188854399</v>
      </c>
      <c r="AB30" s="820">
        <v>-336104.87362287001</v>
      </c>
      <c r="AC30" s="820">
        <v>-339124.76622698299</v>
      </c>
      <c r="AD30" s="820">
        <v>-342158.79542687</v>
      </c>
      <c r="AE30" s="820">
        <v>-344567.51247345301</v>
      </c>
      <c r="AF30" s="820">
        <v>-346505.48388061399</v>
      </c>
      <c r="AG30" s="816">
        <f t="shared" si="1"/>
        <v>-351170.36141232157</v>
      </c>
    </row>
    <row r="31" spans="2:33">
      <c r="B31" s="818" t="s">
        <v>406</v>
      </c>
      <c r="C31" s="815">
        <v>-2144465.5205399999</v>
      </c>
      <c r="D31" s="815">
        <v>-2157787.2934099999</v>
      </c>
      <c r="E31" s="815">
        <v>-2158354.5047900002</v>
      </c>
      <c r="F31" s="815">
        <v>-2168358.0101800002</v>
      </c>
      <c r="G31" s="815">
        <v>-2179808.4627</v>
      </c>
      <c r="H31" s="815">
        <v>-2185089.3137099901</v>
      </c>
      <c r="I31" s="815">
        <v>-2194509.1913499902</v>
      </c>
      <c r="J31" s="815">
        <v>-2206802.00604406</v>
      </c>
      <c r="K31" s="815">
        <v>-2220422.4454804999</v>
      </c>
      <c r="L31" s="815">
        <v>-2233147.9341918998</v>
      </c>
      <c r="M31" s="815">
        <v>-2244887.2992929402</v>
      </c>
      <c r="N31" s="815">
        <v>-2260630.8975477698</v>
      </c>
      <c r="O31" s="815">
        <v>-2277362.0974512598</v>
      </c>
      <c r="P31" s="816">
        <f t="shared" si="0"/>
        <v>-2202432.6905144933</v>
      </c>
      <c r="Q31" s="815">
        <v>-2293748.1341311499</v>
      </c>
      <c r="R31" s="815">
        <v>-2301656.1299269302</v>
      </c>
      <c r="S31" s="815">
        <v>-2315971.6112767402</v>
      </c>
      <c r="T31" s="815">
        <v>-2286711.5563968802</v>
      </c>
      <c r="U31" s="815">
        <v>-2302799.95143825</v>
      </c>
      <c r="V31" s="815">
        <v>-2320667.4447786799</v>
      </c>
      <c r="W31" s="815">
        <v>-2338448.1217712099</v>
      </c>
      <c r="X31" s="815">
        <v>-2352621.9819343602</v>
      </c>
      <c r="Y31" s="815">
        <v>-2370893.0033657299</v>
      </c>
      <c r="Z31" s="815">
        <v>-2387458.8778676102</v>
      </c>
      <c r="AA31" s="815">
        <v>-2403579.3658036999</v>
      </c>
      <c r="AB31" s="815">
        <v>-2386899.1435934901</v>
      </c>
      <c r="AC31" s="815">
        <v>-2395006.7869750098</v>
      </c>
      <c r="AD31" s="815">
        <v>-2406068.14599868</v>
      </c>
      <c r="AE31" s="815">
        <v>-2425624.1762620099</v>
      </c>
      <c r="AF31" s="815">
        <v>-2444917.2159630698</v>
      </c>
      <c r="AG31" s="816">
        <f t="shared" si="1"/>
        <v>-2370899.6747806678</v>
      </c>
    </row>
    <row r="32" spans="2:33">
      <c r="C32" s="817"/>
      <c r="D32" s="817"/>
      <c r="E32" s="817"/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6">
        <f t="shared" si="0"/>
        <v>0</v>
      </c>
      <c r="Q32" s="817"/>
      <c r="R32" s="817"/>
      <c r="S32" s="817"/>
      <c r="T32" s="817"/>
      <c r="U32" s="817"/>
      <c r="V32" s="817"/>
      <c r="W32" s="817"/>
      <c r="X32" s="817"/>
      <c r="Y32" s="817"/>
      <c r="Z32" s="817"/>
      <c r="AA32" s="817"/>
      <c r="AB32" s="817"/>
      <c r="AC32" s="817"/>
      <c r="AD32" s="817"/>
      <c r="AE32" s="817"/>
      <c r="AF32" s="817"/>
      <c r="AG32" s="816">
        <f t="shared" si="1"/>
        <v>0</v>
      </c>
    </row>
    <row r="33" spans="1:33" ht="15.75" thickBot="1">
      <c r="B33" s="814" t="s">
        <v>407</v>
      </c>
      <c r="C33" s="821">
        <v>5011031.2452199999</v>
      </c>
      <c r="D33" s="821">
        <v>5039075.3059199899</v>
      </c>
      <c r="E33" s="821">
        <v>5067189.9662999902</v>
      </c>
      <c r="F33" s="821">
        <v>5088791.6094699996</v>
      </c>
      <c r="G33" s="821">
        <v>5120224.1660499899</v>
      </c>
      <c r="H33" s="821">
        <v>5143563.5362499999</v>
      </c>
      <c r="I33" s="821">
        <v>5170984.6431499999</v>
      </c>
      <c r="J33" s="821">
        <v>5194544.3131059296</v>
      </c>
      <c r="K33" s="821">
        <v>5232957.5758494902</v>
      </c>
      <c r="L33" s="821">
        <v>5265700.6116980901</v>
      </c>
      <c r="M33" s="821">
        <v>5302647.2753270501</v>
      </c>
      <c r="N33" s="821">
        <v>5328396.05715222</v>
      </c>
      <c r="O33" s="821">
        <v>5363104.1721587302</v>
      </c>
      <c r="P33" s="816">
        <f t="shared" si="0"/>
        <v>5179093.1136654979</v>
      </c>
      <c r="Q33" s="821">
        <v>5397784.3613188397</v>
      </c>
      <c r="R33" s="821">
        <v>5413647.28989306</v>
      </c>
      <c r="S33" s="821">
        <v>5443029.8430732498</v>
      </c>
      <c r="T33" s="821">
        <v>5475928.7526031099</v>
      </c>
      <c r="U33" s="821">
        <v>5497031.3432017397</v>
      </c>
      <c r="V33" s="821">
        <v>5520195.0595013099</v>
      </c>
      <c r="W33" s="821">
        <v>5542610.7171987798</v>
      </c>
      <c r="X33" s="821">
        <v>5566867.3533956297</v>
      </c>
      <c r="Y33" s="821">
        <v>5589552.8770842599</v>
      </c>
      <c r="Z33" s="821">
        <v>5626384.6164223803</v>
      </c>
      <c r="AA33" s="821">
        <v>5647535.9917262904</v>
      </c>
      <c r="AB33" s="821">
        <v>5652924.2591565</v>
      </c>
      <c r="AC33" s="821">
        <v>5652603.5599149801</v>
      </c>
      <c r="AD33" s="821">
        <v>5654345.6657613097</v>
      </c>
      <c r="AE33" s="821">
        <v>5665004.4021079801</v>
      </c>
      <c r="AF33" s="821">
        <v>5680487.7940369202</v>
      </c>
      <c r="AG33" s="816">
        <f t="shared" si="1"/>
        <v>5597805.5686239386</v>
      </c>
    </row>
    <row r="34" spans="1:33">
      <c r="P34" s="816">
        <f t="shared" si="0"/>
        <v>0</v>
      </c>
      <c r="AG34" s="816">
        <f t="shared" si="1"/>
        <v>0</v>
      </c>
    </row>
    <row r="35" spans="1:33">
      <c r="B35" s="814" t="s">
        <v>408</v>
      </c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6">
        <f t="shared" si="0"/>
        <v>0</v>
      </c>
      <c r="Q35" s="817"/>
      <c r="R35" s="817"/>
      <c r="S35" s="817"/>
      <c r="T35" s="817"/>
      <c r="U35" s="817"/>
      <c r="V35" s="817"/>
      <c r="W35" s="817"/>
      <c r="X35" s="817"/>
      <c r="Y35" s="817"/>
      <c r="Z35" s="817"/>
      <c r="AA35" s="817"/>
      <c r="AB35" s="817"/>
      <c r="AC35" s="817"/>
      <c r="AD35" s="817"/>
      <c r="AE35" s="817"/>
      <c r="AF35" s="817"/>
      <c r="AG35" s="816">
        <f t="shared" si="1"/>
        <v>0</v>
      </c>
    </row>
    <row r="36" spans="1:33">
      <c r="B36" s="818" t="s">
        <v>409</v>
      </c>
      <c r="C36" s="817"/>
      <c r="D36" s="817"/>
      <c r="E36" s="817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6">
        <f t="shared" si="0"/>
        <v>0</v>
      </c>
      <c r="Q36" s="817"/>
      <c r="R36" s="817"/>
      <c r="S36" s="817"/>
      <c r="T36" s="817"/>
      <c r="U36" s="817"/>
      <c r="V36" s="817"/>
      <c r="W36" s="817"/>
      <c r="X36" s="817"/>
      <c r="Y36" s="817"/>
      <c r="Z36" s="817"/>
      <c r="AA36" s="817"/>
      <c r="AB36" s="817"/>
      <c r="AC36" s="817"/>
      <c r="AD36" s="817"/>
      <c r="AE36" s="817"/>
      <c r="AF36" s="817"/>
      <c r="AG36" s="816">
        <f t="shared" si="1"/>
        <v>0</v>
      </c>
    </row>
    <row r="37" spans="1:33" ht="15.75" thickBot="1">
      <c r="B37" s="818" t="s">
        <v>410</v>
      </c>
      <c r="C37" s="820">
        <v>594.28599999999994</v>
      </c>
      <c r="D37" s="820">
        <v>594.28599999999994</v>
      </c>
      <c r="E37" s="820">
        <v>594.28599999999994</v>
      </c>
      <c r="F37" s="820">
        <v>594.28599999999994</v>
      </c>
      <c r="G37" s="820">
        <v>594.28599999999994</v>
      </c>
      <c r="H37" s="820">
        <v>594.28599999999994</v>
      </c>
      <c r="I37" s="820">
        <v>594.28599999999994</v>
      </c>
      <c r="J37" s="820">
        <v>594.28599999999994</v>
      </c>
      <c r="K37" s="820">
        <v>594.28599999999994</v>
      </c>
      <c r="L37" s="820">
        <v>594.28599999999994</v>
      </c>
      <c r="M37" s="820">
        <v>594.28599999999994</v>
      </c>
      <c r="N37" s="820">
        <v>594.28599999999994</v>
      </c>
      <c r="O37" s="820">
        <v>594.28599999999994</v>
      </c>
      <c r="P37" s="816">
        <f t="shared" si="0"/>
        <v>594.28599999999994</v>
      </c>
      <c r="Q37" s="820">
        <v>594.28599999999994</v>
      </c>
      <c r="R37" s="820">
        <v>594.28599999999994</v>
      </c>
      <c r="S37" s="820">
        <v>594.28599999999994</v>
      </c>
      <c r="T37" s="820">
        <v>594.28599999999994</v>
      </c>
      <c r="U37" s="820">
        <v>594.28599999999994</v>
      </c>
      <c r="V37" s="820">
        <v>594.28599999999994</v>
      </c>
      <c r="W37" s="820">
        <v>594.28599999999994</v>
      </c>
      <c r="X37" s="820">
        <v>594.28599999999994</v>
      </c>
      <c r="Y37" s="820">
        <v>594.28599999999994</v>
      </c>
      <c r="Z37" s="820">
        <v>594.28599999999994</v>
      </c>
      <c r="AA37" s="820">
        <v>594.28599999999994</v>
      </c>
      <c r="AB37" s="820">
        <v>594.28599999999994</v>
      </c>
      <c r="AC37" s="820">
        <v>594.28599999999994</v>
      </c>
      <c r="AD37" s="820">
        <v>594.28599999999994</v>
      </c>
      <c r="AE37" s="820">
        <v>594.28599999999994</v>
      </c>
      <c r="AF37" s="820">
        <v>594.28599999999994</v>
      </c>
      <c r="AG37" s="816">
        <f t="shared" si="1"/>
        <v>594.28599999999994</v>
      </c>
    </row>
    <row r="38" spans="1:33">
      <c r="B38" s="818" t="s">
        <v>411</v>
      </c>
      <c r="C38" s="815">
        <v>594.28599999999994</v>
      </c>
      <c r="D38" s="815">
        <v>594.28599999999994</v>
      </c>
      <c r="E38" s="815">
        <v>594.28599999999994</v>
      </c>
      <c r="F38" s="815">
        <v>594.28599999999994</v>
      </c>
      <c r="G38" s="815">
        <v>594.28599999999994</v>
      </c>
      <c r="H38" s="815">
        <v>594.28599999999994</v>
      </c>
      <c r="I38" s="815">
        <v>594.28599999999994</v>
      </c>
      <c r="J38" s="815">
        <v>594.28599999999994</v>
      </c>
      <c r="K38" s="815">
        <v>594.28599999999994</v>
      </c>
      <c r="L38" s="815">
        <v>594.28599999999994</v>
      </c>
      <c r="M38" s="815">
        <v>594.28599999999994</v>
      </c>
      <c r="N38" s="815">
        <v>594.28599999999994</v>
      </c>
      <c r="O38" s="815">
        <v>594.28599999999994</v>
      </c>
      <c r="P38" s="816">
        <f t="shared" si="0"/>
        <v>594.28599999999994</v>
      </c>
      <c r="Q38" s="815">
        <v>594.28599999999994</v>
      </c>
      <c r="R38" s="815">
        <v>594.28599999999994</v>
      </c>
      <c r="S38" s="815">
        <v>594.28599999999994</v>
      </c>
      <c r="T38" s="815">
        <v>594.28599999999994</v>
      </c>
      <c r="U38" s="815">
        <v>594.28599999999994</v>
      </c>
      <c r="V38" s="815">
        <v>594.28599999999994</v>
      </c>
      <c r="W38" s="815">
        <v>594.28599999999994</v>
      </c>
      <c r="X38" s="815">
        <v>594.28599999999994</v>
      </c>
      <c r="Y38" s="815">
        <v>594.28599999999994</v>
      </c>
      <c r="Z38" s="815">
        <v>594.28599999999994</v>
      </c>
      <c r="AA38" s="815">
        <v>594.28599999999994</v>
      </c>
      <c r="AB38" s="815">
        <v>594.28599999999994</v>
      </c>
      <c r="AC38" s="815">
        <v>594.28599999999994</v>
      </c>
      <c r="AD38" s="815">
        <v>594.28599999999994</v>
      </c>
      <c r="AE38" s="815">
        <v>594.28599999999994</v>
      </c>
      <c r="AF38" s="815">
        <v>594.28599999999994</v>
      </c>
      <c r="AG38" s="816">
        <f t="shared" si="1"/>
        <v>594.28599999999994</v>
      </c>
    </row>
    <row r="39" spans="1:33">
      <c r="C39" s="817"/>
      <c r="D39" s="817"/>
      <c r="E39" s="817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6">
        <f t="shared" si="0"/>
        <v>0</v>
      </c>
      <c r="Q39" s="817"/>
      <c r="R39" s="817"/>
      <c r="S39" s="817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  <c r="AD39" s="817"/>
      <c r="AE39" s="817"/>
      <c r="AF39" s="817"/>
      <c r="AG39" s="816">
        <f t="shared" si="1"/>
        <v>0</v>
      </c>
    </row>
    <row r="40" spans="1:33">
      <c r="B40" s="818" t="s">
        <v>412</v>
      </c>
      <c r="C40" s="817"/>
      <c r="D40" s="817"/>
      <c r="E40" s="817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6">
        <f t="shared" si="0"/>
        <v>0</v>
      </c>
      <c r="Q40" s="817"/>
      <c r="R40" s="817"/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6">
        <f t="shared" si="1"/>
        <v>0</v>
      </c>
    </row>
    <row r="41" spans="1:33">
      <c r="B41" s="818" t="s">
        <v>413</v>
      </c>
      <c r="C41" s="815">
        <v>630.89697999999999</v>
      </c>
      <c r="D41" s="815">
        <v>630.89697999999999</v>
      </c>
      <c r="E41" s="815">
        <v>630.89697999999999</v>
      </c>
      <c r="F41" s="815">
        <v>630.89697999999999</v>
      </c>
      <c r="G41" s="815">
        <v>630.89697999999999</v>
      </c>
      <c r="H41" s="815">
        <v>630.89697999999999</v>
      </c>
      <c r="I41" s="815">
        <v>630.89697999999999</v>
      </c>
      <c r="J41" s="815">
        <v>630.89697999999999</v>
      </c>
      <c r="K41" s="815">
        <v>630.89697999999999</v>
      </c>
      <c r="L41" s="815">
        <v>630.89697999999999</v>
      </c>
      <c r="M41" s="815">
        <v>630.89697999999999</v>
      </c>
      <c r="N41" s="815">
        <v>630.89697999999999</v>
      </c>
      <c r="O41" s="815">
        <v>630.89697999999999</v>
      </c>
      <c r="P41" s="816">
        <f t="shared" si="0"/>
        <v>630.89697999999976</v>
      </c>
      <c r="Q41" s="815">
        <v>630.89697999999999</v>
      </c>
      <c r="R41" s="815">
        <v>630.89697999999999</v>
      </c>
      <c r="S41" s="815">
        <v>630.89697999999999</v>
      </c>
      <c r="T41" s="815">
        <v>630.89697999999999</v>
      </c>
      <c r="U41" s="815">
        <v>630.89697999999999</v>
      </c>
      <c r="V41" s="815">
        <v>630.89697999999999</v>
      </c>
      <c r="W41" s="815">
        <v>630.89697999999999</v>
      </c>
      <c r="X41" s="815">
        <v>630.89697999999999</v>
      </c>
      <c r="Y41" s="815">
        <v>630.89697999999999</v>
      </c>
      <c r="Z41" s="815">
        <v>630.89697999999999</v>
      </c>
      <c r="AA41" s="815">
        <v>630.89697999999999</v>
      </c>
      <c r="AB41" s="815">
        <v>630.89697999999999</v>
      </c>
      <c r="AC41" s="815">
        <v>630.89697999999999</v>
      </c>
      <c r="AD41" s="815">
        <v>630.89697999999999</v>
      </c>
      <c r="AE41" s="815">
        <v>630.89697999999999</v>
      </c>
      <c r="AF41" s="815">
        <v>630.89697999999999</v>
      </c>
      <c r="AG41" s="816">
        <f t="shared" si="1"/>
        <v>630.89697999999976</v>
      </c>
    </row>
    <row r="42" spans="1:33" ht="15.75" thickBot="1">
      <c r="B42" s="818" t="s">
        <v>560</v>
      </c>
      <c r="C42" s="820">
        <v>-63.36036</v>
      </c>
      <c r="D42" s="820">
        <v>-63.36036</v>
      </c>
      <c r="E42" s="820">
        <v>-63.36036</v>
      </c>
      <c r="F42" s="820">
        <v>-63.36036</v>
      </c>
      <c r="G42" s="820">
        <v>-63.36036</v>
      </c>
      <c r="H42" s="820">
        <v>-63.36036</v>
      </c>
      <c r="I42" s="820">
        <v>-63.36036</v>
      </c>
      <c r="J42" s="820">
        <v>-63.36036</v>
      </c>
      <c r="K42" s="820">
        <v>-63.36036</v>
      </c>
      <c r="L42" s="820">
        <v>-63.36036</v>
      </c>
      <c r="M42" s="820">
        <v>-63.36036</v>
      </c>
      <c r="N42" s="820">
        <v>-63.36036</v>
      </c>
      <c r="O42" s="820">
        <v>-63.36036</v>
      </c>
      <c r="P42" s="816">
        <f t="shared" si="0"/>
        <v>-63.360360000000007</v>
      </c>
      <c r="Q42" s="820">
        <v>-63.36036</v>
      </c>
      <c r="R42" s="820">
        <v>-63.36036</v>
      </c>
      <c r="S42" s="820">
        <v>-63.36036</v>
      </c>
      <c r="T42" s="820">
        <v>-63.36036</v>
      </c>
      <c r="U42" s="820">
        <v>-63.36036</v>
      </c>
      <c r="V42" s="820">
        <v>-63.36036</v>
      </c>
      <c r="W42" s="820">
        <v>-63.36036</v>
      </c>
      <c r="X42" s="820">
        <v>-63.36036</v>
      </c>
      <c r="Y42" s="820">
        <v>-63.36036</v>
      </c>
      <c r="Z42" s="820">
        <v>-63.36036</v>
      </c>
      <c r="AA42" s="820">
        <v>-63.36036</v>
      </c>
      <c r="AB42" s="820">
        <v>-63.36036</v>
      </c>
      <c r="AC42" s="820">
        <v>-63.36036</v>
      </c>
      <c r="AD42" s="820">
        <v>-63.36036</v>
      </c>
      <c r="AE42" s="820">
        <v>-63.36036</v>
      </c>
      <c r="AF42" s="820">
        <v>-63.36036</v>
      </c>
      <c r="AG42" s="816">
        <f t="shared" si="1"/>
        <v>-63.360360000000007</v>
      </c>
    </row>
    <row r="43" spans="1:33">
      <c r="B43" s="818" t="s">
        <v>414</v>
      </c>
      <c r="C43" s="815">
        <v>567.53661999999997</v>
      </c>
      <c r="D43" s="815">
        <v>567.53661999999997</v>
      </c>
      <c r="E43" s="815">
        <v>567.53661999999997</v>
      </c>
      <c r="F43" s="815">
        <v>567.53661999999997</v>
      </c>
      <c r="G43" s="815">
        <v>567.53661999999997</v>
      </c>
      <c r="H43" s="815">
        <v>567.53661999999997</v>
      </c>
      <c r="I43" s="815">
        <v>567.53661999999997</v>
      </c>
      <c r="J43" s="815">
        <v>567.53661999999997</v>
      </c>
      <c r="K43" s="815">
        <v>567.53661999999997</v>
      </c>
      <c r="L43" s="815">
        <v>567.53661999999997</v>
      </c>
      <c r="M43" s="815">
        <v>567.53661999999997</v>
      </c>
      <c r="N43" s="815">
        <v>567.53661999999997</v>
      </c>
      <c r="O43" s="815">
        <v>567.53661999999997</v>
      </c>
      <c r="P43" s="816">
        <f t="shared" si="0"/>
        <v>567.53661999999997</v>
      </c>
      <c r="Q43" s="815">
        <v>567.53661999999997</v>
      </c>
      <c r="R43" s="815">
        <v>567.53661999999997</v>
      </c>
      <c r="S43" s="815">
        <v>567.53661999999997</v>
      </c>
      <c r="T43" s="815">
        <v>567.53661999999997</v>
      </c>
      <c r="U43" s="815">
        <v>567.53661999999997</v>
      </c>
      <c r="V43" s="815">
        <v>567.53661999999997</v>
      </c>
      <c r="W43" s="815">
        <v>567.53661999999997</v>
      </c>
      <c r="X43" s="815">
        <v>567.53661999999997</v>
      </c>
      <c r="Y43" s="815">
        <v>567.53661999999997</v>
      </c>
      <c r="Z43" s="815">
        <v>567.53661999999997</v>
      </c>
      <c r="AA43" s="815">
        <v>567.53661999999997</v>
      </c>
      <c r="AB43" s="815">
        <v>567.53661999999997</v>
      </c>
      <c r="AC43" s="815">
        <v>567.53661999999997</v>
      </c>
      <c r="AD43" s="815">
        <v>567.53661999999997</v>
      </c>
      <c r="AE43" s="815">
        <v>567.53661999999997</v>
      </c>
      <c r="AF43" s="815">
        <v>567.53661999999997</v>
      </c>
      <c r="AG43" s="816">
        <f t="shared" si="1"/>
        <v>567.53661999999997</v>
      </c>
    </row>
    <row r="44" spans="1:33"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6">
        <f t="shared" si="0"/>
        <v>0</v>
      </c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  <c r="AD44" s="817"/>
      <c r="AE44" s="817"/>
      <c r="AF44" s="817"/>
      <c r="AG44" s="816">
        <f t="shared" si="1"/>
        <v>0</v>
      </c>
    </row>
    <row r="45" spans="1:33">
      <c r="B45" s="818" t="s">
        <v>415</v>
      </c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6">
        <f t="shared" si="0"/>
        <v>0</v>
      </c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  <c r="AF45" s="817"/>
      <c r="AG45" s="816">
        <f t="shared" si="1"/>
        <v>0</v>
      </c>
    </row>
    <row r="46" spans="1:33" ht="15.75" thickBot="1">
      <c r="B46" s="818" t="s">
        <v>1920</v>
      </c>
      <c r="C46" s="820">
        <v>0</v>
      </c>
      <c r="D46" s="820">
        <v>0</v>
      </c>
      <c r="E46" s="820">
        <v>9171.2919999999995</v>
      </c>
      <c r="F46" s="820">
        <v>9171.2919999999995</v>
      </c>
      <c r="G46" s="820">
        <v>9171.2919999999995</v>
      </c>
      <c r="H46" s="820">
        <v>9171.2919999999995</v>
      </c>
      <c r="I46" s="820">
        <v>1944.5476799999999</v>
      </c>
      <c r="J46" s="820">
        <v>3254.2069299999998</v>
      </c>
      <c r="K46" s="820">
        <v>4563.86618</v>
      </c>
      <c r="L46" s="820">
        <v>5873.5254299999997</v>
      </c>
      <c r="M46" s="820">
        <v>7183.1846800000003</v>
      </c>
      <c r="N46" s="820">
        <v>8492.8439299999991</v>
      </c>
      <c r="O46" s="820">
        <v>9802.5031799999997</v>
      </c>
      <c r="P46" s="816">
        <f t="shared" si="0"/>
        <v>5984.6035392307685</v>
      </c>
      <c r="Q46" s="820">
        <v>11714.93543</v>
      </c>
      <c r="R46" s="820">
        <v>12977.00468</v>
      </c>
      <c r="S46" s="820">
        <v>14239.07393</v>
      </c>
      <c r="T46" s="820">
        <v>15501.143179999999</v>
      </c>
      <c r="U46" s="820">
        <v>16763.21243</v>
      </c>
      <c r="V46" s="820">
        <v>18025.28168</v>
      </c>
      <c r="W46" s="820">
        <v>19287.350930000001</v>
      </c>
      <c r="X46" s="820">
        <v>20549.420180000001</v>
      </c>
      <c r="Y46" s="820">
        <v>21811.489430000001</v>
      </c>
      <c r="Z46" s="820">
        <v>23073.558679999998</v>
      </c>
      <c r="AA46" s="820">
        <v>24335.627929999999</v>
      </c>
      <c r="AB46" s="820">
        <v>25597.697179999999</v>
      </c>
      <c r="AC46" s="820">
        <v>26926.600513333298</v>
      </c>
      <c r="AD46" s="820">
        <v>28255.503846666601</v>
      </c>
      <c r="AE46" s="820">
        <v>29584.407179999998</v>
      </c>
      <c r="AF46" s="820">
        <v>30913.310513333301</v>
      </c>
      <c r="AG46" s="816">
        <f t="shared" si="1"/>
        <v>23124.969513333323</v>
      </c>
    </row>
    <row r="47" spans="1:33" ht="15.75" thickBot="1">
      <c r="B47" s="818" t="s">
        <v>561</v>
      </c>
      <c r="C47" s="820">
        <v>0</v>
      </c>
      <c r="D47" s="820">
        <v>0</v>
      </c>
      <c r="E47" s="820">
        <v>0</v>
      </c>
      <c r="F47" s="820">
        <v>0</v>
      </c>
      <c r="G47" s="820">
        <v>0</v>
      </c>
      <c r="H47" s="820">
        <v>0</v>
      </c>
      <c r="I47" s="820">
        <v>0</v>
      </c>
      <c r="J47" s="820">
        <v>0</v>
      </c>
      <c r="K47" s="820">
        <v>0</v>
      </c>
      <c r="L47" s="820">
        <v>0</v>
      </c>
      <c r="M47" s="820">
        <v>0</v>
      </c>
      <c r="N47" s="820">
        <v>0</v>
      </c>
      <c r="O47" s="820">
        <v>0</v>
      </c>
      <c r="P47" s="816">
        <f t="shared" si="0"/>
        <v>0</v>
      </c>
      <c r="Q47" s="820">
        <v>0</v>
      </c>
      <c r="R47" s="820">
        <v>0</v>
      </c>
      <c r="S47" s="820">
        <v>0</v>
      </c>
      <c r="T47" s="820">
        <v>0</v>
      </c>
      <c r="U47" s="820">
        <v>0</v>
      </c>
      <c r="V47" s="820">
        <v>0</v>
      </c>
      <c r="W47" s="820">
        <v>0</v>
      </c>
      <c r="X47" s="820">
        <v>0</v>
      </c>
      <c r="Y47" s="820">
        <v>0</v>
      </c>
      <c r="Z47" s="820">
        <v>0</v>
      </c>
      <c r="AA47" s="820">
        <v>0</v>
      </c>
      <c r="AB47" s="820">
        <v>0</v>
      </c>
      <c r="AC47" s="820">
        <v>0</v>
      </c>
      <c r="AD47" s="820">
        <v>0</v>
      </c>
      <c r="AE47" s="820">
        <v>0</v>
      </c>
      <c r="AF47" s="820">
        <v>0</v>
      </c>
      <c r="AG47" s="816">
        <f t="shared" si="1"/>
        <v>0</v>
      </c>
    </row>
    <row r="48" spans="1:33">
      <c r="A48" s="713">
        <v>128</v>
      </c>
      <c r="B48" s="818" t="s">
        <v>562</v>
      </c>
      <c r="C48" s="815">
        <v>0</v>
      </c>
      <c r="D48" s="815">
        <v>0</v>
      </c>
      <c r="E48" s="815">
        <v>9171.2919999999995</v>
      </c>
      <c r="F48" s="815">
        <v>9171.2919999999995</v>
      </c>
      <c r="G48" s="815">
        <v>9171.2919999999995</v>
      </c>
      <c r="H48" s="815">
        <v>9171.2919999999995</v>
      </c>
      <c r="I48" s="815">
        <v>1944.5476799999999</v>
      </c>
      <c r="J48" s="815">
        <v>3254.2069299999998</v>
      </c>
      <c r="K48" s="815">
        <v>4563.86618</v>
      </c>
      <c r="L48" s="815">
        <v>5873.5254299999997</v>
      </c>
      <c r="M48" s="815">
        <v>7183.1846800000003</v>
      </c>
      <c r="N48" s="815">
        <v>8492.8439299999991</v>
      </c>
      <c r="O48" s="815">
        <v>9802.5031799999997</v>
      </c>
      <c r="P48" s="816">
        <f t="shared" si="0"/>
        <v>5984.6035392307685</v>
      </c>
      <c r="Q48" s="815">
        <v>11714.93543</v>
      </c>
      <c r="R48" s="815">
        <v>12977.00468</v>
      </c>
      <c r="S48" s="815">
        <v>14239.07393</v>
      </c>
      <c r="T48" s="815">
        <v>15501.143179999999</v>
      </c>
      <c r="U48" s="815">
        <v>16763.21243</v>
      </c>
      <c r="V48" s="815">
        <v>18025.28168</v>
      </c>
      <c r="W48" s="815">
        <v>19287.350930000001</v>
      </c>
      <c r="X48" s="815">
        <v>20549.420180000001</v>
      </c>
      <c r="Y48" s="815">
        <v>21811.489430000001</v>
      </c>
      <c r="Z48" s="815">
        <v>23073.558679999998</v>
      </c>
      <c r="AA48" s="815">
        <v>24335.627929999999</v>
      </c>
      <c r="AB48" s="815">
        <v>25597.697179999999</v>
      </c>
      <c r="AC48" s="815">
        <v>26926.600513333298</v>
      </c>
      <c r="AD48" s="815">
        <v>28255.503846666601</v>
      </c>
      <c r="AE48" s="815">
        <v>29584.407179999998</v>
      </c>
      <c r="AF48" s="815">
        <v>30913.310513333301</v>
      </c>
      <c r="AG48" s="816">
        <f t="shared" si="1"/>
        <v>23124.969513333323</v>
      </c>
    </row>
    <row r="49" spans="2:33"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6">
        <f t="shared" si="0"/>
        <v>0</v>
      </c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6">
        <f t="shared" si="1"/>
        <v>0</v>
      </c>
    </row>
    <row r="50" spans="2:33" ht="15.75" thickBot="1">
      <c r="B50" s="814" t="s">
        <v>416</v>
      </c>
      <c r="C50" s="821">
        <v>1161.8226199999999</v>
      </c>
      <c r="D50" s="821">
        <v>1161.8226199999999</v>
      </c>
      <c r="E50" s="821">
        <v>10333.11462</v>
      </c>
      <c r="F50" s="821">
        <v>10333.11462</v>
      </c>
      <c r="G50" s="821">
        <v>10333.11462</v>
      </c>
      <c r="H50" s="821">
        <v>10333.11462</v>
      </c>
      <c r="I50" s="821">
        <v>3106.37029999999</v>
      </c>
      <c r="J50" s="821">
        <v>4416.0295500000002</v>
      </c>
      <c r="K50" s="821">
        <v>5725.6887999999999</v>
      </c>
      <c r="L50" s="821">
        <v>7035.3480499999996</v>
      </c>
      <c r="M50" s="821">
        <v>8345.0072999999993</v>
      </c>
      <c r="N50" s="821">
        <v>9654.6665499999999</v>
      </c>
      <c r="O50" s="821">
        <v>10964.325800000001</v>
      </c>
      <c r="P50" s="816">
        <f t="shared" si="0"/>
        <v>7146.4261592307685</v>
      </c>
      <c r="Q50" s="821">
        <v>12876.75805</v>
      </c>
      <c r="R50" s="821">
        <v>14138.827300000001</v>
      </c>
      <c r="S50" s="821">
        <v>15400.896549999999</v>
      </c>
      <c r="T50" s="821">
        <v>16662.965800000002</v>
      </c>
      <c r="U50" s="821">
        <v>17925.035049999999</v>
      </c>
      <c r="V50" s="821">
        <v>19187.104299999999</v>
      </c>
      <c r="W50" s="821">
        <v>20449.17355</v>
      </c>
      <c r="X50" s="821">
        <v>21711.2428</v>
      </c>
      <c r="Y50" s="821">
        <v>22973.31205</v>
      </c>
      <c r="Z50" s="821">
        <v>24235.381300000001</v>
      </c>
      <c r="AA50" s="821">
        <v>25497.450550000001</v>
      </c>
      <c r="AB50" s="821">
        <v>26759.519799999998</v>
      </c>
      <c r="AC50" s="821">
        <v>28088.423133333301</v>
      </c>
      <c r="AD50" s="821">
        <v>29417.3264666666</v>
      </c>
      <c r="AE50" s="821">
        <v>30746.229800000001</v>
      </c>
      <c r="AF50" s="821">
        <v>32075.1331333333</v>
      </c>
      <c r="AG50" s="816">
        <f t="shared" si="1"/>
        <v>24286.792133333322</v>
      </c>
    </row>
    <row r="51" spans="2:33">
      <c r="P51" s="816">
        <f t="shared" si="0"/>
        <v>0</v>
      </c>
      <c r="AG51" s="816">
        <f t="shared" si="1"/>
        <v>0</v>
      </c>
    </row>
    <row r="52" spans="2:33">
      <c r="B52" s="814" t="s">
        <v>417</v>
      </c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6">
        <f t="shared" si="0"/>
        <v>0</v>
      </c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  <c r="AF52" s="817"/>
      <c r="AG52" s="816">
        <f t="shared" si="1"/>
        <v>0</v>
      </c>
    </row>
    <row r="53" spans="2:33">
      <c r="B53" s="818" t="s">
        <v>418</v>
      </c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6">
        <f t="shared" si="0"/>
        <v>0</v>
      </c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816">
        <f t="shared" si="1"/>
        <v>0</v>
      </c>
    </row>
    <row r="54" spans="2:33">
      <c r="B54" s="818" t="s">
        <v>419</v>
      </c>
      <c r="C54" s="815">
        <v>7984.3791099999999</v>
      </c>
      <c r="D54" s="815">
        <v>7732.3554999999997</v>
      </c>
      <c r="E54" s="815">
        <v>7755.6940699999996</v>
      </c>
      <c r="F54" s="815">
        <v>13810.909889999901</v>
      </c>
      <c r="G54" s="815">
        <v>7766.9841299999998</v>
      </c>
      <c r="H54" s="815">
        <v>5189.8386799999998</v>
      </c>
      <c r="I54" s="815">
        <v>8722.3387499999899</v>
      </c>
      <c r="J54" s="815">
        <v>5000</v>
      </c>
      <c r="K54" s="815">
        <v>5000</v>
      </c>
      <c r="L54" s="815">
        <v>5000</v>
      </c>
      <c r="M54" s="815">
        <v>5000</v>
      </c>
      <c r="N54" s="815">
        <v>5000</v>
      </c>
      <c r="O54" s="815">
        <v>5000</v>
      </c>
      <c r="P54" s="816">
        <f t="shared" si="0"/>
        <v>6843.2692407692221</v>
      </c>
      <c r="Q54" s="815">
        <v>5000</v>
      </c>
      <c r="R54" s="815">
        <v>5000</v>
      </c>
      <c r="S54" s="815">
        <v>5000</v>
      </c>
      <c r="T54" s="815">
        <v>5000</v>
      </c>
      <c r="U54" s="815">
        <v>5000</v>
      </c>
      <c r="V54" s="815">
        <v>5000</v>
      </c>
      <c r="W54" s="815">
        <v>5000</v>
      </c>
      <c r="X54" s="815">
        <v>5000</v>
      </c>
      <c r="Y54" s="815">
        <v>5000</v>
      </c>
      <c r="Z54" s="815">
        <v>5000</v>
      </c>
      <c r="AA54" s="815">
        <v>5000</v>
      </c>
      <c r="AB54" s="815">
        <v>5000</v>
      </c>
      <c r="AC54" s="815">
        <v>5000</v>
      </c>
      <c r="AD54" s="815">
        <v>5000</v>
      </c>
      <c r="AE54" s="815">
        <v>5000</v>
      </c>
      <c r="AF54" s="815">
        <v>5000</v>
      </c>
      <c r="AG54" s="816">
        <f t="shared" si="1"/>
        <v>5000</v>
      </c>
    </row>
    <row r="55" spans="2:33" ht="15.75" thickBot="1">
      <c r="B55" s="818" t="s">
        <v>423</v>
      </c>
      <c r="C55" s="820">
        <v>19.79</v>
      </c>
      <c r="D55" s="820">
        <v>19.79</v>
      </c>
      <c r="E55" s="820">
        <v>19.79</v>
      </c>
      <c r="F55" s="820">
        <v>19.79</v>
      </c>
      <c r="G55" s="820">
        <v>19.79</v>
      </c>
      <c r="H55" s="820">
        <v>19.79</v>
      </c>
      <c r="I55" s="820">
        <v>19.79</v>
      </c>
      <c r="J55" s="820">
        <v>19.79</v>
      </c>
      <c r="K55" s="820">
        <v>19.79</v>
      </c>
      <c r="L55" s="820">
        <v>19.79</v>
      </c>
      <c r="M55" s="820">
        <v>19.79</v>
      </c>
      <c r="N55" s="820">
        <v>19.79</v>
      </c>
      <c r="O55" s="820">
        <v>19.79</v>
      </c>
      <c r="P55" s="816">
        <f t="shared" si="0"/>
        <v>19.789999999999996</v>
      </c>
      <c r="Q55" s="820">
        <v>19.79</v>
      </c>
      <c r="R55" s="820">
        <v>19.79</v>
      </c>
      <c r="S55" s="820">
        <v>19.79</v>
      </c>
      <c r="T55" s="820">
        <v>19.79</v>
      </c>
      <c r="U55" s="820">
        <v>19.79</v>
      </c>
      <c r="V55" s="820">
        <v>19.79</v>
      </c>
      <c r="W55" s="820">
        <v>19.79</v>
      </c>
      <c r="X55" s="820">
        <v>19.79</v>
      </c>
      <c r="Y55" s="820">
        <v>19.79</v>
      </c>
      <c r="Z55" s="820">
        <v>19.79</v>
      </c>
      <c r="AA55" s="820">
        <v>19.79</v>
      </c>
      <c r="AB55" s="820">
        <v>19.79</v>
      </c>
      <c r="AC55" s="820">
        <v>19.79</v>
      </c>
      <c r="AD55" s="820">
        <v>19.79</v>
      </c>
      <c r="AE55" s="820">
        <v>19.79</v>
      </c>
      <c r="AF55" s="820">
        <v>19.79</v>
      </c>
      <c r="AG55" s="816">
        <f t="shared" si="1"/>
        <v>19.789999999999996</v>
      </c>
    </row>
    <row r="56" spans="2:33">
      <c r="B56" s="818" t="s">
        <v>418</v>
      </c>
      <c r="C56" s="815">
        <v>8004.1691099999998</v>
      </c>
      <c r="D56" s="815">
        <v>7752.1454999999996</v>
      </c>
      <c r="E56" s="815">
        <v>7775.4840700000004</v>
      </c>
      <c r="F56" s="815">
        <v>13830.6998899999</v>
      </c>
      <c r="G56" s="815">
        <v>7786.7741299999998</v>
      </c>
      <c r="H56" s="815">
        <v>5209.6286799999998</v>
      </c>
      <c r="I56" s="815">
        <v>8742.1287499999999</v>
      </c>
      <c r="J56" s="815">
        <v>5019.79</v>
      </c>
      <c r="K56" s="815">
        <v>5019.79</v>
      </c>
      <c r="L56" s="815">
        <v>5019.79</v>
      </c>
      <c r="M56" s="815">
        <v>5019.79</v>
      </c>
      <c r="N56" s="815">
        <v>5019.79</v>
      </c>
      <c r="O56" s="815">
        <v>5019.79</v>
      </c>
      <c r="P56" s="816">
        <f t="shared" si="0"/>
        <v>6863.0592407692211</v>
      </c>
      <c r="Q56" s="815">
        <v>5019.79</v>
      </c>
      <c r="R56" s="815">
        <v>5019.79</v>
      </c>
      <c r="S56" s="815">
        <v>5019.79</v>
      </c>
      <c r="T56" s="815">
        <v>5019.79</v>
      </c>
      <c r="U56" s="815">
        <v>5019.79</v>
      </c>
      <c r="V56" s="815">
        <v>5019.79</v>
      </c>
      <c r="W56" s="815">
        <v>5019.79</v>
      </c>
      <c r="X56" s="815">
        <v>5019.79</v>
      </c>
      <c r="Y56" s="815">
        <v>5019.79</v>
      </c>
      <c r="Z56" s="815">
        <v>5019.79</v>
      </c>
      <c r="AA56" s="815">
        <v>5019.79</v>
      </c>
      <c r="AB56" s="815">
        <v>5019.79</v>
      </c>
      <c r="AC56" s="815">
        <v>5019.79</v>
      </c>
      <c r="AD56" s="815">
        <v>5019.79</v>
      </c>
      <c r="AE56" s="815">
        <v>5019.79</v>
      </c>
      <c r="AF56" s="815">
        <v>5019.79</v>
      </c>
      <c r="AG56" s="816">
        <f t="shared" si="1"/>
        <v>5019.79</v>
      </c>
    </row>
    <row r="57" spans="2:33">
      <c r="C57" s="817"/>
      <c r="D57" s="817"/>
      <c r="E57" s="817"/>
      <c r="F57" s="817"/>
      <c r="G57" s="817"/>
      <c r="H57" s="817"/>
      <c r="I57" s="817"/>
      <c r="J57" s="817"/>
      <c r="K57" s="817"/>
      <c r="L57" s="817"/>
      <c r="M57" s="817"/>
      <c r="N57" s="817"/>
      <c r="O57" s="817"/>
      <c r="P57" s="816">
        <f t="shared" si="0"/>
        <v>0</v>
      </c>
      <c r="Q57" s="817"/>
      <c r="R57" s="817"/>
      <c r="S57" s="817"/>
      <c r="T57" s="817"/>
      <c r="U57" s="817"/>
      <c r="V57" s="817"/>
      <c r="W57" s="817"/>
      <c r="X57" s="817"/>
      <c r="Y57" s="817"/>
      <c r="Z57" s="817"/>
      <c r="AA57" s="817"/>
      <c r="AB57" s="817"/>
      <c r="AC57" s="817"/>
      <c r="AD57" s="817"/>
      <c r="AE57" s="817"/>
      <c r="AF57" s="817"/>
      <c r="AG57" s="816">
        <f t="shared" si="1"/>
        <v>0</v>
      </c>
    </row>
    <row r="58" spans="2:33">
      <c r="B58" s="818" t="s">
        <v>420</v>
      </c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6">
        <f t="shared" si="0"/>
        <v>0</v>
      </c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7"/>
      <c r="AD58" s="817"/>
      <c r="AE58" s="817"/>
      <c r="AF58" s="817"/>
      <c r="AG58" s="816">
        <f t="shared" si="1"/>
        <v>0</v>
      </c>
    </row>
    <row r="59" spans="2:33" ht="15.75" thickBot="1">
      <c r="B59" s="818" t="s">
        <v>421</v>
      </c>
      <c r="C59" s="820">
        <v>6665.3076700000001</v>
      </c>
      <c r="D59" s="820">
        <v>593.73292000000004</v>
      </c>
      <c r="E59" s="820">
        <v>225.44899000000001</v>
      </c>
      <c r="F59" s="820">
        <v>129.97792000000001</v>
      </c>
      <c r="G59" s="820">
        <v>89.828119999999998</v>
      </c>
      <c r="H59" s="820">
        <v>754.63238000000001</v>
      </c>
      <c r="I59" s="820">
        <v>10259.93225</v>
      </c>
      <c r="J59" s="820">
        <v>-1.27329258248209E-11</v>
      </c>
      <c r="K59" s="820">
        <v>-6.28119778411928E-12</v>
      </c>
      <c r="L59" s="820">
        <v>-5.1443294069031197E-12</v>
      </c>
      <c r="M59" s="820">
        <v>-1.08002495835535E-11</v>
      </c>
      <c r="N59" s="820">
        <v>2.46416220761602E-11</v>
      </c>
      <c r="O59" s="820">
        <v>1.9639401216409101E-11</v>
      </c>
      <c r="P59" s="816">
        <f t="shared" si="0"/>
        <v>1439.9123269230772</v>
      </c>
      <c r="Q59" s="820">
        <v>-1.5575096767861299E-11</v>
      </c>
      <c r="R59" s="820">
        <v>-1.05160324892494E-12</v>
      </c>
      <c r="S59" s="820">
        <v>-8.3275608631083693E-12</v>
      </c>
      <c r="T59" s="820">
        <v>1.89004367712186E-11</v>
      </c>
      <c r="U59" s="820">
        <v>-1.1056044968427101E-11</v>
      </c>
      <c r="V59" s="820">
        <v>-1.4210854715202001E-13</v>
      </c>
      <c r="W59" s="820">
        <v>3.4390268410788801E-12</v>
      </c>
      <c r="X59" s="820">
        <v>-2.7569058147491798E-12</v>
      </c>
      <c r="Y59" s="820">
        <v>-3.32534000335726E-12</v>
      </c>
      <c r="Z59" s="820">
        <v>9.3791641120333204E-13</v>
      </c>
      <c r="AA59" s="820">
        <v>-1.2875034371972999E-11</v>
      </c>
      <c r="AB59" s="820">
        <v>-1.05160324892494E-12</v>
      </c>
      <c r="AC59" s="820">
        <v>3.97903932025656E-13</v>
      </c>
      <c r="AD59" s="820">
        <v>-1.3642420526593899E-12</v>
      </c>
      <c r="AE59" s="820">
        <v>6.3664629124104904E-12</v>
      </c>
      <c r="AF59" s="820">
        <v>2.9842794901924198E-13</v>
      </c>
      <c r="AG59" s="816">
        <f t="shared" si="1"/>
        <v>-1.7162339925282228E-13</v>
      </c>
    </row>
    <row r="60" spans="2:33">
      <c r="B60" s="818" t="s">
        <v>420</v>
      </c>
      <c r="C60" s="815">
        <v>6665.3076700000001</v>
      </c>
      <c r="D60" s="815">
        <v>593.73292000000004</v>
      </c>
      <c r="E60" s="815">
        <v>225.44899000000001</v>
      </c>
      <c r="F60" s="815">
        <v>129.97792000000001</v>
      </c>
      <c r="G60" s="815">
        <v>89.828119999999998</v>
      </c>
      <c r="H60" s="815">
        <v>754.63238000000001</v>
      </c>
      <c r="I60" s="815">
        <v>10259.93225</v>
      </c>
      <c r="J60" s="815">
        <v>-1.27329258248209E-11</v>
      </c>
      <c r="K60" s="815">
        <v>-6.28119778411928E-12</v>
      </c>
      <c r="L60" s="815">
        <v>-5.1443294069031197E-12</v>
      </c>
      <c r="M60" s="815">
        <v>-1.08002495835535E-11</v>
      </c>
      <c r="N60" s="815">
        <v>2.46416220761602E-11</v>
      </c>
      <c r="O60" s="815">
        <v>1.9639401216409101E-11</v>
      </c>
      <c r="P60" s="816">
        <f t="shared" si="0"/>
        <v>1439.9123269230772</v>
      </c>
      <c r="Q60" s="815">
        <v>-1.5575096767861299E-11</v>
      </c>
      <c r="R60" s="815">
        <v>-1.05160324892494E-12</v>
      </c>
      <c r="S60" s="815">
        <v>-8.3275608631083693E-12</v>
      </c>
      <c r="T60" s="815">
        <v>1.89004367712186E-11</v>
      </c>
      <c r="U60" s="815">
        <v>-1.1056044968427101E-11</v>
      </c>
      <c r="V60" s="815">
        <v>-1.4210854715202001E-13</v>
      </c>
      <c r="W60" s="815">
        <v>3.4390268410788801E-12</v>
      </c>
      <c r="X60" s="815">
        <v>-2.7569058147491798E-12</v>
      </c>
      <c r="Y60" s="815">
        <v>-3.32534000335726E-12</v>
      </c>
      <c r="Z60" s="815">
        <v>9.3791641120333204E-13</v>
      </c>
      <c r="AA60" s="815">
        <v>-1.2875034371972999E-11</v>
      </c>
      <c r="AB60" s="815">
        <v>-1.05160324892494E-12</v>
      </c>
      <c r="AC60" s="815">
        <v>3.97903932025656E-13</v>
      </c>
      <c r="AD60" s="815">
        <v>-1.3642420526593899E-12</v>
      </c>
      <c r="AE60" s="815">
        <v>6.3664629124104904E-12</v>
      </c>
      <c r="AF60" s="815">
        <v>2.9842794901924198E-13</v>
      </c>
      <c r="AG60" s="816">
        <f t="shared" si="1"/>
        <v>-1.7162339925282228E-13</v>
      </c>
    </row>
    <row r="61" spans="2:33"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6">
        <f t="shared" si="0"/>
        <v>0</v>
      </c>
      <c r="Q61" s="817"/>
      <c r="R61" s="817"/>
      <c r="S61" s="817"/>
      <c r="T61" s="817"/>
      <c r="U61" s="817"/>
      <c r="V61" s="817"/>
      <c r="W61" s="817"/>
      <c r="X61" s="817"/>
      <c r="Y61" s="817"/>
      <c r="Z61" s="817"/>
      <c r="AA61" s="817"/>
      <c r="AB61" s="817"/>
      <c r="AC61" s="817"/>
      <c r="AD61" s="817"/>
      <c r="AE61" s="817"/>
      <c r="AF61" s="817"/>
      <c r="AG61" s="816">
        <f t="shared" si="1"/>
        <v>0</v>
      </c>
    </row>
    <row r="62" spans="2:33">
      <c r="B62" s="818" t="s">
        <v>422</v>
      </c>
      <c r="C62" s="817"/>
      <c r="D62" s="817"/>
      <c r="E62" s="817"/>
      <c r="F62" s="817"/>
      <c r="G62" s="817"/>
      <c r="H62" s="817"/>
      <c r="I62" s="817"/>
      <c r="J62" s="817"/>
      <c r="K62" s="817"/>
      <c r="L62" s="817"/>
      <c r="M62" s="817"/>
      <c r="N62" s="817"/>
      <c r="O62" s="817"/>
      <c r="P62" s="816">
        <f t="shared" si="0"/>
        <v>0</v>
      </c>
      <c r="Q62" s="817"/>
      <c r="R62" s="817"/>
      <c r="S62" s="817"/>
      <c r="T62" s="817"/>
      <c r="U62" s="817"/>
      <c r="V62" s="817"/>
      <c r="W62" s="817"/>
      <c r="X62" s="817"/>
      <c r="Y62" s="817"/>
      <c r="Z62" s="817"/>
      <c r="AA62" s="817"/>
      <c r="AB62" s="817"/>
      <c r="AC62" s="817"/>
      <c r="AD62" s="817"/>
      <c r="AE62" s="817"/>
      <c r="AF62" s="817"/>
      <c r="AG62" s="816">
        <f t="shared" si="1"/>
        <v>0</v>
      </c>
    </row>
    <row r="63" spans="2:33">
      <c r="B63" s="818" t="s">
        <v>424</v>
      </c>
      <c r="C63" s="815">
        <v>117088.62789</v>
      </c>
      <c r="D63" s="815">
        <v>146071.64305000001</v>
      </c>
      <c r="E63" s="815">
        <v>140304.64910000001</v>
      </c>
      <c r="F63" s="815">
        <v>112456.74744000001</v>
      </c>
      <c r="G63" s="815">
        <v>107704.44798</v>
      </c>
      <c r="H63" s="815">
        <v>98405.940019999995</v>
      </c>
      <c r="I63" s="815">
        <v>104664.05979</v>
      </c>
      <c r="J63" s="815">
        <v>124313.834167995</v>
      </c>
      <c r="K63" s="815">
        <v>128593.228431449</v>
      </c>
      <c r="L63" s="815">
        <v>120964.354351581</v>
      </c>
      <c r="M63" s="815">
        <v>107068.429833816</v>
      </c>
      <c r="N63" s="815">
        <v>106009.6738601</v>
      </c>
      <c r="O63" s="815">
        <v>119552.608756295</v>
      </c>
      <c r="P63" s="816">
        <f t="shared" si="0"/>
        <v>117938.326513172</v>
      </c>
      <c r="Q63" s="815">
        <v>132267.171987457</v>
      </c>
      <c r="R63" s="815">
        <v>142514.07171010601</v>
      </c>
      <c r="S63" s="815">
        <v>124266.498997153</v>
      </c>
      <c r="T63" s="815">
        <v>112195.500847883</v>
      </c>
      <c r="U63" s="815">
        <v>103051.0810037</v>
      </c>
      <c r="V63" s="815">
        <v>112436.96012984699</v>
      </c>
      <c r="W63" s="815">
        <v>125756.609835307</v>
      </c>
      <c r="X63" s="815">
        <v>128658.14738589</v>
      </c>
      <c r="Y63" s="815">
        <v>120443.705836236</v>
      </c>
      <c r="Z63" s="815">
        <v>106255.162140752</v>
      </c>
      <c r="AA63" s="815">
        <v>105212.751519335</v>
      </c>
      <c r="AB63" s="815">
        <v>117888.74475396</v>
      </c>
      <c r="AC63" s="815">
        <v>131491.45760483801</v>
      </c>
      <c r="AD63" s="815">
        <v>143014.22488248299</v>
      </c>
      <c r="AE63" s="815">
        <v>124041.149832372</v>
      </c>
      <c r="AF63" s="815">
        <v>114003.57077537201</v>
      </c>
      <c r="AG63" s="816">
        <f t="shared" si="1"/>
        <v>118803.77434984424</v>
      </c>
    </row>
    <row r="64" spans="2:33">
      <c r="B64" s="818" t="s">
        <v>425</v>
      </c>
      <c r="C64" s="815">
        <v>12290.441629999999</v>
      </c>
      <c r="D64" s="815">
        <v>12402.4770899999</v>
      </c>
      <c r="E64" s="815">
        <v>11104.7375999999</v>
      </c>
      <c r="F64" s="815">
        <v>12551.09051</v>
      </c>
      <c r="G64" s="815">
        <v>14525.75051</v>
      </c>
      <c r="H64" s="815">
        <v>13299.389719999999</v>
      </c>
      <c r="I64" s="815">
        <v>8556.3566800000008</v>
      </c>
      <c r="J64" s="815">
        <v>8556.3566800000008</v>
      </c>
      <c r="K64" s="815">
        <v>8556.3566800000008</v>
      </c>
      <c r="L64" s="815">
        <v>8556.3566800000008</v>
      </c>
      <c r="M64" s="815">
        <v>8556.3566800000008</v>
      </c>
      <c r="N64" s="815">
        <v>8556.3566800000008</v>
      </c>
      <c r="O64" s="815">
        <v>8556.3566800000008</v>
      </c>
      <c r="P64" s="816">
        <f t="shared" si="0"/>
        <v>10466.7987553846</v>
      </c>
      <c r="Q64" s="815">
        <v>8556.3566800000008</v>
      </c>
      <c r="R64" s="815">
        <v>8556.3566800000008</v>
      </c>
      <c r="S64" s="815">
        <v>8556.3566800000008</v>
      </c>
      <c r="T64" s="815">
        <v>8556.3566800000008</v>
      </c>
      <c r="U64" s="815">
        <v>8556.3566800000008</v>
      </c>
      <c r="V64" s="815">
        <v>8556.3566800000008</v>
      </c>
      <c r="W64" s="815">
        <v>8556.3566800000008</v>
      </c>
      <c r="X64" s="815">
        <v>8556.3566800000008</v>
      </c>
      <c r="Y64" s="815">
        <v>8556.3566800000008</v>
      </c>
      <c r="Z64" s="815">
        <v>8556.3566800000008</v>
      </c>
      <c r="AA64" s="815">
        <v>8556.3566800000008</v>
      </c>
      <c r="AB64" s="815">
        <v>8556.3566800000008</v>
      </c>
      <c r="AC64" s="815">
        <v>8556.3566800000008</v>
      </c>
      <c r="AD64" s="815">
        <v>8556.3566800000008</v>
      </c>
      <c r="AE64" s="815">
        <v>8556.3566800000008</v>
      </c>
      <c r="AF64" s="815">
        <v>8556.3566800000008</v>
      </c>
      <c r="AG64" s="816">
        <f t="shared" si="1"/>
        <v>8556.356679999999</v>
      </c>
    </row>
    <row r="65" spans="2:33">
      <c r="B65" s="818" t="s">
        <v>1921</v>
      </c>
      <c r="C65" s="815">
        <v>0</v>
      </c>
      <c r="D65" s="815">
        <v>0</v>
      </c>
      <c r="E65" s="815">
        <v>0</v>
      </c>
      <c r="F65" s="815">
        <v>0</v>
      </c>
      <c r="G65" s="815">
        <v>0</v>
      </c>
      <c r="H65" s="815">
        <v>0</v>
      </c>
      <c r="I65" s="815">
        <v>0</v>
      </c>
      <c r="J65" s="815">
        <v>0</v>
      </c>
      <c r="K65" s="815">
        <v>0</v>
      </c>
      <c r="L65" s="815">
        <v>0</v>
      </c>
      <c r="M65" s="815">
        <v>0</v>
      </c>
      <c r="N65" s="815">
        <v>0</v>
      </c>
      <c r="O65" s="815">
        <v>0</v>
      </c>
      <c r="P65" s="816">
        <f t="shared" si="0"/>
        <v>0</v>
      </c>
      <c r="Q65" s="815">
        <v>0</v>
      </c>
      <c r="R65" s="815">
        <v>0</v>
      </c>
      <c r="S65" s="815">
        <v>0</v>
      </c>
      <c r="T65" s="815">
        <v>0</v>
      </c>
      <c r="U65" s="815">
        <v>0</v>
      </c>
      <c r="V65" s="815">
        <v>0</v>
      </c>
      <c r="W65" s="815">
        <v>0</v>
      </c>
      <c r="X65" s="815">
        <v>0</v>
      </c>
      <c r="Y65" s="815">
        <v>0</v>
      </c>
      <c r="Z65" s="815">
        <v>0</v>
      </c>
      <c r="AA65" s="815">
        <v>0</v>
      </c>
      <c r="AB65" s="815">
        <v>0</v>
      </c>
      <c r="AC65" s="815">
        <v>0</v>
      </c>
      <c r="AD65" s="815">
        <v>0</v>
      </c>
      <c r="AE65" s="815">
        <v>0</v>
      </c>
      <c r="AF65" s="815">
        <v>0</v>
      </c>
      <c r="AG65" s="816">
        <f t="shared" si="1"/>
        <v>0</v>
      </c>
    </row>
    <row r="66" spans="2:33">
      <c r="B66" s="818" t="s">
        <v>426</v>
      </c>
      <c r="C66" s="815">
        <v>923.37220000000002</v>
      </c>
      <c r="D66" s="815">
        <v>882.52395000000001</v>
      </c>
      <c r="E66" s="815">
        <v>1177.46596</v>
      </c>
      <c r="F66" s="815">
        <v>1841.00776</v>
      </c>
      <c r="G66" s="815">
        <v>942.12978999999996</v>
      </c>
      <c r="H66" s="815">
        <v>942.85419999999999</v>
      </c>
      <c r="I66" s="815">
        <v>4243.5968800000001</v>
      </c>
      <c r="J66" s="815">
        <v>4243.5968800000001</v>
      </c>
      <c r="K66" s="815">
        <v>4243.5968800000001</v>
      </c>
      <c r="L66" s="815">
        <v>4243.5968800000001</v>
      </c>
      <c r="M66" s="815">
        <v>4243.5968800000001</v>
      </c>
      <c r="N66" s="815">
        <v>4243.5968800000001</v>
      </c>
      <c r="O66" s="815">
        <v>4243.5968800000001</v>
      </c>
      <c r="P66" s="816">
        <f t="shared" si="0"/>
        <v>2801.1178476923083</v>
      </c>
      <c r="Q66" s="815">
        <v>4243.5968800000001</v>
      </c>
      <c r="R66" s="815">
        <v>4243.5968800000001</v>
      </c>
      <c r="S66" s="815">
        <v>4243.5968800000001</v>
      </c>
      <c r="T66" s="815">
        <v>4243.5968800000001</v>
      </c>
      <c r="U66" s="815">
        <v>4243.5968800000001</v>
      </c>
      <c r="V66" s="815">
        <v>4243.5968800000001</v>
      </c>
      <c r="W66" s="815">
        <v>4243.5968800000001</v>
      </c>
      <c r="X66" s="815">
        <v>4243.5968800000001</v>
      </c>
      <c r="Y66" s="815">
        <v>4243.5968800000001</v>
      </c>
      <c r="Z66" s="815">
        <v>4243.5968800000001</v>
      </c>
      <c r="AA66" s="815">
        <v>4243.5968800000001</v>
      </c>
      <c r="AB66" s="815">
        <v>4243.5968800000001</v>
      </c>
      <c r="AC66" s="815">
        <v>4243.5968800000001</v>
      </c>
      <c r="AD66" s="815">
        <v>4243.5968800000001</v>
      </c>
      <c r="AE66" s="815">
        <v>4243.5968800000001</v>
      </c>
      <c r="AF66" s="815">
        <v>4243.5968800000001</v>
      </c>
      <c r="AG66" s="816">
        <f t="shared" si="1"/>
        <v>4243.5968799999991</v>
      </c>
    </row>
    <row r="67" spans="2:33">
      <c r="B67" s="818" t="s">
        <v>427</v>
      </c>
      <c r="C67" s="815">
        <v>0</v>
      </c>
      <c r="D67" s="815">
        <v>0</v>
      </c>
      <c r="E67" s="815">
        <v>0</v>
      </c>
      <c r="F67" s="815">
        <v>0</v>
      </c>
      <c r="G67" s="815">
        <v>0</v>
      </c>
      <c r="H67" s="815">
        <v>0</v>
      </c>
      <c r="I67" s="815">
        <v>0</v>
      </c>
      <c r="J67" s="815">
        <v>0</v>
      </c>
      <c r="K67" s="815">
        <v>0</v>
      </c>
      <c r="L67" s="815">
        <v>0</v>
      </c>
      <c r="M67" s="815">
        <v>0</v>
      </c>
      <c r="N67" s="815">
        <v>0</v>
      </c>
      <c r="O67" s="815">
        <v>0</v>
      </c>
      <c r="P67" s="816">
        <f t="shared" si="0"/>
        <v>0</v>
      </c>
      <c r="Q67" s="815">
        <v>0</v>
      </c>
      <c r="R67" s="815">
        <v>0</v>
      </c>
      <c r="S67" s="815">
        <v>0</v>
      </c>
      <c r="T67" s="815">
        <v>0</v>
      </c>
      <c r="U67" s="815">
        <v>0</v>
      </c>
      <c r="V67" s="815">
        <v>0</v>
      </c>
      <c r="W67" s="815">
        <v>0</v>
      </c>
      <c r="X67" s="815">
        <v>0</v>
      </c>
      <c r="Y67" s="815">
        <v>0</v>
      </c>
      <c r="Z67" s="815">
        <v>0</v>
      </c>
      <c r="AA67" s="815">
        <v>0</v>
      </c>
      <c r="AB67" s="815">
        <v>0</v>
      </c>
      <c r="AC67" s="815">
        <v>0</v>
      </c>
      <c r="AD67" s="815">
        <v>0</v>
      </c>
      <c r="AE67" s="815">
        <v>0</v>
      </c>
      <c r="AF67" s="815">
        <v>0</v>
      </c>
      <c r="AG67" s="816">
        <f t="shared" si="1"/>
        <v>0</v>
      </c>
    </row>
    <row r="68" spans="2:33">
      <c r="B68" s="818" t="s">
        <v>428</v>
      </c>
      <c r="C68" s="815">
        <v>-799.19484</v>
      </c>
      <c r="D68" s="815">
        <v>-900.921549999999</v>
      </c>
      <c r="E68" s="815">
        <v>-977.64361999999903</v>
      </c>
      <c r="F68" s="815">
        <v>-1061.51163</v>
      </c>
      <c r="G68" s="815">
        <v>-1037.1833899999999</v>
      </c>
      <c r="H68" s="815">
        <v>-969.52458000000001</v>
      </c>
      <c r="I68" s="815">
        <v>-815.59128999999996</v>
      </c>
      <c r="J68" s="815">
        <v>-815.59128999999996</v>
      </c>
      <c r="K68" s="815">
        <v>-815.59128999999996</v>
      </c>
      <c r="L68" s="815">
        <v>-815.59128999999996</v>
      </c>
      <c r="M68" s="815">
        <v>-815.59128999999996</v>
      </c>
      <c r="N68" s="815">
        <v>-815.59128999999996</v>
      </c>
      <c r="O68" s="815">
        <v>-815.59128999999996</v>
      </c>
      <c r="P68" s="816">
        <f t="shared" si="0"/>
        <v>-881.16297230769237</v>
      </c>
      <c r="Q68" s="815">
        <v>-815.59128999999996</v>
      </c>
      <c r="R68" s="815">
        <v>-815.59128999999996</v>
      </c>
      <c r="S68" s="815">
        <v>-815.59128999999996</v>
      </c>
      <c r="T68" s="815">
        <v>-815.59128999999996</v>
      </c>
      <c r="U68" s="815">
        <v>-815.59128999999996</v>
      </c>
      <c r="V68" s="815">
        <v>-815.59128999999996</v>
      </c>
      <c r="W68" s="815">
        <v>-815.59128999999996</v>
      </c>
      <c r="X68" s="815">
        <v>-815.59128999999996</v>
      </c>
      <c r="Y68" s="815">
        <v>-815.59128999999996</v>
      </c>
      <c r="Z68" s="815">
        <v>-815.59128999999996</v>
      </c>
      <c r="AA68" s="815">
        <v>-815.59128999999996</v>
      </c>
      <c r="AB68" s="815">
        <v>-815.59128999999996</v>
      </c>
      <c r="AC68" s="815">
        <v>-815.59128999999996</v>
      </c>
      <c r="AD68" s="815">
        <v>-815.59128999999996</v>
      </c>
      <c r="AE68" s="815">
        <v>-815.59128999999996</v>
      </c>
      <c r="AF68" s="815">
        <v>-815.59128999999996</v>
      </c>
      <c r="AG68" s="816">
        <f t="shared" si="1"/>
        <v>-815.59129000000019</v>
      </c>
    </row>
    <row r="69" spans="2:33">
      <c r="B69" s="818" t="s">
        <v>429</v>
      </c>
      <c r="C69" s="815">
        <v>-327.49910999999997</v>
      </c>
      <c r="D69" s="815">
        <v>-327.49910999999997</v>
      </c>
      <c r="E69" s="815">
        <v>-327.49910999999997</v>
      </c>
      <c r="F69" s="815">
        <v>-313.86914000000002</v>
      </c>
      <c r="G69" s="815">
        <v>-313.86914000000002</v>
      </c>
      <c r="H69" s="815">
        <v>-313.86914000000002</v>
      </c>
      <c r="I69" s="815">
        <v>-379.15150999999997</v>
      </c>
      <c r="J69" s="815">
        <v>-379.15150999999997</v>
      </c>
      <c r="K69" s="815">
        <v>-379.15150999999997</v>
      </c>
      <c r="L69" s="815">
        <v>-379.15150999999997</v>
      </c>
      <c r="M69" s="815">
        <v>-379.15150999999997</v>
      </c>
      <c r="N69" s="815">
        <v>-379.15150999999997</v>
      </c>
      <c r="O69" s="815">
        <v>-379.15150999999997</v>
      </c>
      <c r="P69" s="816">
        <f t="shared" si="0"/>
        <v>-352.16656307692307</v>
      </c>
      <c r="Q69" s="815">
        <v>-379.15150999999997</v>
      </c>
      <c r="R69" s="815">
        <v>-379.15150999999997</v>
      </c>
      <c r="S69" s="815">
        <v>-379.15150999999997</v>
      </c>
      <c r="T69" s="815">
        <v>-379.15150999999997</v>
      </c>
      <c r="U69" s="815">
        <v>-379.15150999999997</v>
      </c>
      <c r="V69" s="815">
        <v>-379.15150999999997</v>
      </c>
      <c r="W69" s="815">
        <v>-379.15150999999997</v>
      </c>
      <c r="X69" s="815">
        <v>-379.15150999999997</v>
      </c>
      <c r="Y69" s="815">
        <v>-379.15150999999997</v>
      </c>
      <c r="Z69" s="815">
        <v>-379.15150999999997</v>
      </c>
      <c r="AA69" s="815">
        <v>-379.15150999999997</v>
      </c>
      <c r="AB69" s="815">
        <v>-379.15150999999997</v>
      </c>
      <c r="AC69" s="815">
        <v>-379.15150999999997</v>
      </c>
      <c r="AD69" s="815">
        <v>-379.15150999999997</v>
      </c>
      <c r="AE69" s="815">
        <v>-379.15150999999997</v>
      </c>
      <c r="AF69" s="815">
        <v>-379.15150999999997</v>
      </c>
      <c r="AG69" s="816">
        <f t="shared" si="1"/>
        <v>-379.15150999999997</v>
      </c>
    </row>
    <row r="70" spans="2:33">
      <c r="B70" s="818" t="s">
        <v>430</v>
      </c>
      <c r="C70" s="815">
        <v>0.73204000000000002</v>
      </c>
      <c r="D70" s="815">
        <v>0.60665999999999998</v>
      </c>
      <c r="E70" s="815">
        <v>0.60665999999999998</v>
      </c>
      <c r="F70" s="815">
        <v>0</v>
      </c>
      <c r="G70" s="815">
        <v>0</v>
      </c>
      <c r="H70" s="815">
        <v>0</v>
      </c>
      <c r="I70" s="815">
        <v>0</v>
      </c>
      <c r="J70" s="815">
        <v>0</v>
      </c>
      <c r="K70" s="815">
        <v>0</v>
      </c>
      <c r="L70" s="815">
        <v>0</v>
      </c>
      <c r="M70" s="815">
        <v>0</v>
      </c>
      <c r="N70" s="815">
        <v>0</v>
      </c>
      <c r="O70" s="815">
        <v>0</v>
      </c>
      <c r="P70" s="816">
        <f t="shared" si="0"/>
        <v>0.14964307692307693</v>
      </c>
      <c r="Q70" s="815">
        <v>0</v>
      </c>
      <c r="R70" s="815">
        <v>0</v>
      </c>
      <c r="S70" s="815">
        <v>0</v>
      </c>
      <c r="T70" s="815">
        <v>0</v>
      </c>
      <c r="U70" s="815">
        <v>0</v>
      </c>
      <c r="V70" s="815">
        <v>0</v>
      </c>
      <c r="W70" s="815">
        <v>0</v>
      </c>
      <c r="X70" s="815">
        <v>0</v>
      </c>
      <c r="Y70" s="815">
        <v>0</v>
      </c>
      <c r="Z70" s="815">
        <v>0</v>
      </c>
      <c r="AA70" s="815">
        <v>0</v>
      </c>
      <c r="AB70" s="815">
        <v>0</v>
      </c>
      <c r="AC70" s="815">
        <v>0</v>
      </c>
      <c r="AD70" s="815">
        <v>0</v>
      </c>
      <c r="AE70" s="815">
        <v>0</v>
      </c>
      <c r="AF70" s="815">
        <v>0</v>
      </c>
      <c r="AG70" s="816">
        <f t="shared" si="1"/>
        <v>0</v>
      </c>
    </row>
    <row r="71" spans="2:33">
      <c r="B71" s="818" t="s">
        <v>431</v>
      </c>
      <c r="C71" s="815">
        <v>535.53575999999998</v>
      </c>
      <c r="D71" s="815">
        <v>427.83159000000001</v>
      </c>
      <c r="E71" s="815">
        <v>599.897189999999</v>
      </c>
      <c r="F71" s="815">
        <v>340.11568999999997</v>
      </c>
      <c r="G71" s="815">
        <v>363.44767999999999</v>
      </c>
      <c r="H71" s="815">
        <v>413.28316000000001</v>
      </c>
      <c r="I71" s="815">
        <v>1344.23658</v>
      </c>
      <c r="J71" s="815">
        <v>1344.23658</v>
      </c>
      <c r="K71" s="815">
        <v>1344.23658</v>
      </c>
      <c r="L71" s="815">
        <v>1344.23658</v>
      </c>
      <c r="M71" s="815">
        <v>1344.23658</v>
      </c>
      <c r="N71" s="815">
        <v>1344.23658</v>
      </c>
      <c r="O71" s="815">
        <v>1344.23658</v>
      </c>
      <c r="P71" s="816">
        <f t="shared" si="0"/>
        <v>929.98208692307696</v>
      </c>
      <c r="Q71" s="815">
        <v>1344.23658</v>
      </c>
      <c r="R71" s="815">
        <v>1344.23658</v>
      </c>
      <c r="S71" s="815">
        <v>1344.23658</v>
      </c>
      <c r="T71" s="815">
        <v>1344.23658</v>
      </c>
      <c r="U71" s="815">
        <v>1344.23658</v>
      </c>
      <c r="V71" s="815">
        <v>1344.23658</v>
      </c>
      <c r="W71" s="815">
        <v>1344.23658</v>
      </c>
      <c r="X71" s="815">
        <v>1344.23658</v>
      </c>
      <c r="Y71" s="815">
        <v>1344.23658</v>
      </c>
      <c r="Z71" s="815">
        <v>1344.23658</v>
      </c>
      <c r="AA71" s="815">
        <v>1344.23658</v>
      </c>
      <c r="AB71" s="815">
        <v>1344.23658</v>
      </c>
      <c r="AC71" s="815">
        <v>1344.23658</v>
      </c>
      <c r="AD71" s="815">
        <v>1344.23658</v>
      </c>
      <c r="AE71" s="815">
        <v>1344.23658</v>
      </c>
      <c r="AF71" s="815">
        <v>1344.23658</v>
      </c>
      <c r="AG71" s="816">
        <f t="shared" si="1"/>
        <v>1344.2365800000002</v>
      </c>
    </row>
    <row r="72" spans="2:33" ht="15.75" thickBot="1">
      <c r="B72" s="818" t="s">
        <v>432</v>
      </c>
      <c r="C72" s="820">
        <v>90773.245620000002</v>
      </c>
      <c r="D72" s="820">
        <v>92135.568749999904</v>
      </c>
      <c r="E72" s="820">
        <v>66660.765899999999</v>
      </c>
      <c r="F72" s="820">
        <v>74808.112899999993</v>
      </c>
      <c r="G72" s="820">
        <v>61071.194510000001</v>
      </c>
      <c r="H72" s="820">
        <v>67920.933829999994</v>
      </c>
      <c r="I72" s="820">
        <v>66688.627280000001</v>
      </c>
      <c r="J72" s="820">
        <v>64605.383475699302</v>
      </c>
      <c r="K72" s="820">
        <v>67791.1115348444</v>
      </c>
      <c r="L72" s="820">
        <v>60288.391491090602</v>
      </c>
      <c r="M72" s="820">
        <v>58056.571317588103</v>
      </c>
      <c r="N72" s="820">
        <v>66309.405917231794</v>
      </c>
      <c r="O72" s="820">
        <v>82617.129879275904</v>
      </c>
      <c r="P72" s="816">
        <f t="shared" si="0"/>
        <v>70748.18787736386</v>
      </c>
      <c r="Q72" s="820">
        <v>92930.696523820705</v>
      </c>
      <c r="R72" s="820">
        <v>74748.825624840305</v>
      </c>
      <c r="S72" s="820">
        <v>76188.3220147963</v>
      </c>
      <c r="T72" s="820">
        <v>60597.023352103999</v>
      </c>
      <c r="U72" s="820">
        <v>68093.325067285899</v>
      </c>
      <c r="V72" s="820">
        <v>67005.822266773597</v>
      </c>
      <c r="W72" s="820">
        <v>69014.909072026494</v>
      </c>
      <c r="X72" s="820">
        <v>72403.052944741707</v>
      </c>
      <c r="Y72" s="820">
        <v>65083.778513044599</v>
      </c>
      <c r="Z72" s="820">
        <v>62376.546604133597</v>
      </c>
      <c r="AA72" s="820">
        <v>71418.737039522006</v>
      </c>
      <c r="AB72" s="820">
        <v>87366.030255424397</v>
      </c>
      <c r="AC72" s="820">
        <v>97873.606625867105</v>
      </c>
      <c r="AD72" s="820">
        <v>78600.028060478799</v>
      </c>
      <c r="AE72" s="820">
        <v>81762.454906461993</v>
      </c>
      <c r="AF72" s="820">
        <v>64625.039365654397</v>
      </c>
      <c r="AG72" s="816">
        <f t="shared" si="1"/>
        <v>72786.181082578347</v>
      </c>
    </row>
    <row r="73" spans="2:33">
      <c r="B73" s="818" t="s">
        <v>422</v>
      </c>
      <c r="C73" s="815">
        <v>220485.26118999999</v>
      </c>
      <c r="D73" s="815">
        <v>250692.23043</v>
      </c>
      <c r="E73" s="815">
        <v>218542.97967999999</v>
      </c>
      <c r="F73" s="815">
        <v>200621.69352999999</v>
      </c>
      <c r="G73" s="815">
        <v>183255.91794000001</v>
      </c>
      <c r="H73" s="815">
        <v>179699.00721000001</v>
      </c>
      <c r="I73" s="815">
        <v>184302.13441</v>
      </c>
      <c r="J73" s="815">
        <v>201868.66498369401</v>
      </c>
      <c r="K73" s="815">
        <v>209333.787306293</v>
      </c>
      <c r="L73" s="815">
        <v>194202.193182672</v>
      </c>
      <c r="M73" s="815">
        <v>178074.44849140401</v>
      </c>
      <c r="N73" s="815">
        <v>185268.52711733201</v>
      </c>
      <c r="O73" s="815">
        <v>215119.18597557099</v>
      </c>
      <c r="P73" s="816">
        <f t="shared" si="0"/>
        <v>201651.23318822816</v>
      </c>
      <c r="Q73" s="815">
        <v>238147.31585127799</v>
      </c>
      <c r="R73" s="815">
        <v>230212.34467494601</v>
      </c>
      <c r="S73" s="815">
        <v>213404.26835194899</v>
      </c>
      <c r="T73" s="815">
        <v>185741.97153998699</v>
      </c>
      <c r="U73" s="815">
        <v>184093.85341098599</v>
      </c>
      <c r="V73" s="815">
        <v>192392.229736621</v>
      </c>
      <c r="W73" s="815">
        <v>207720.966247334</v>
      </c>
      <c r="X73" s="815">
        <v>214010.647670632</v>
      </c>
      <c r="Y73" s="815">
        <v>198476.93168928</v>
      </c>
      <c r="Z73" s="815">
        <v>181581.156084886</v>
      </c>
      <c r="AA73" s="815">
        <v>189580.93589885699</v>
      </c>
      <c r="AB73" s="815">
        <v>218204.222349385</v>
      </c>
      <c r="AC73" s="815">
        <v>242314.51157070501</v>
      </c>
      <c r="AD73" s="815">
        <v>234563.700282962</v>
      </c>
      <c r="AE73" s="815">
        <v>218753.05207883401</v>
      </c>
      <c r="AF73" s="815">
        <v>191578.057481027</v>
      </c>
      <c r="AG73" s="816">
        <f t="shared" si="1"/>
        <v>204539.40277242276</v>
      </c>
    </row>
    <row r="74" spans="2:33">
      <c r="C74" s="817"/>
      <c r="D74" s="817"/>
      <c r="E74" s="817"/>
      <c r="F74" s="817"/>
      <c r="G74" s="817"/>
      <c r="H74" s="817"/>
      <c r="I74" s="817"/>
      <c r="J74" s="817"/>
      <c r="K74" s="817"/>
      <c r="L74" s="817"/>
      <c r="M74" s="817"/>
      <c r="N74" s="817"/>
      <c r="O74" s="817"/>
      <c r="P74" s="816">
        <f t="shared" si="0"/>
        <v>0</v>
      </c>
      <c r="Q74" s="817"/>
      <c r="R74" s="817"/>
      <c r="S74" s="817"/>
      <c r="T74" s="817"/>
      <c r="U74" s="817"/>
      <c r="V74" s="817"/>
      <c r="W74" s="817"/>
      <c r="X74" s="817"/>
      <c r="Y74" s="817"/>
      <c r="Z74" s="817"/>
      <c r="AA74" s="817"/>
      <c r="AB74" s="817"/>
      <c r="AC74" s="817"/>
      <c r="AD74" s="817"/>
      <c r="AE74" s="817"/>
      <c r="AF74" s="817"/>
      <c r="AG74" s="816">
        <f t="shared" si="1"/>
        <v>0</v>
      </c>
    </row>
    <row r="75" spans="2:33">
      <c r="B75" s="818" t="s">
        <v>433</v>
      </c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17"/>
      <c r="O75" s="817"/>
      <c r="P75" s="816">
        <f t="shared" ref="P75:P138" si="2">SUM(C75:O75)/13</f>
        <v>0</v>
      </c>
      <c r="Q75" s="817"/>
      <c r="R75" s="817"/>
      <c r="S75" s="817"/>
      <c r="T75" s="817"/>
      <c r="U75" s="817"/>
      <c r="V75" s="817"/>
      <c r="W75" s="817"/>
      <c r="X75" s="817"/>
      <c r="Y75" s="817"/>
      <c r="Z75" s="817"/>
      <c r="AA75" s="817"/>
      <c r="AB75" s="817"/>
      <c r="AC75" s="817"/>
      <c r="AD75" s="817"/>
      <c r="AE75" s="817"/>
      <c r="AF75" s="817"/>
      <c r="AG75" s="816">
        <f t="shared" ref="AG75:AG138" si="3">SUM(T75:AF75)/13</f>
        <v>0</v>
      </c>
    </row>
    <row r="76" spans="2:33">
      <c r="B76" s="818" t="s">
        <v>434</v>
      </c>
      <c r="C76" s="815">
        <v>24486.076559999899</v>
      </c>
      <c r="D76" s="815">
        <v>23172.796839999999</v>
      </c>
      <c r="E76" s="815">
        <v>16271.97229</v>
      </c>
      <c r="F76" s="815">
        <v>30762.62081</v>
      </c>
      <c r="G76" s="815">
        <v>27551.53197</v>
      </c>
      <c r="H76" s="815">
        <v>16097.52353</v>
      </c>
      <c r="I76" s="815">
        <v>18378.927350000002</v>
      </c>
      <c r="J76" s="815">
        <v>18517.25618</v>
      </c>
      <c r="K76" s="815">
        <v>19006.760579999998</v>
      </c>
      <c r="L76" s="815">
        <v>20444.941780000001</v>
      </c>
      <c r="M76" s="815">
        <v>19985.847180000001</v>
      </c>
      <c r="N76" s="815">
        <v>21131.962680000001</v>
      </c>
      <c r="O76" s="815">
        <v>24585.432580000001</v>
      </c>
      <c r="P76" s="816">
        <f t="shared" si="2"/>
        <v>21568.742333076916</v>
      </c>
      <c r="Q76" s="815">
        <v>24838.760679999999</v>
      </c>
      <c r="R76" s="815">
        <v>23310.2752799999</v>
      </c>
      <c r="S76" s="815">
        <v>22699.300079999899</v>
      </c>
      <c r="T76" s="815">
        <v>21151.566879999998</v>
      </c>
      <c r="U76" s="815">
        <v>20889.971679999999</v>
      </c>
      <c r="V76" s="815">
        <v>20213.682279999899</v>
      </c>
      <c r="W76" s="815">
        <v>20158.896779999999</v>
      </c>
      <c r="X76" s="815">
        <v>20320.534879999999</v>
      </c>
      <c r="Y76" s="815">
        <v>21131.341079999998</v>
      </c>
      <c r="Z76" s="815">
        <v>21696.990879999899</v>
      </c>
      <c r="AA76" s="815">
        <v>24227.116779999898</v>
      </c>
      <c r="AB76" s="815">
        <v>25480.166279999899</v>
      </c>
      <c r="AC76" s="815">
        <v>25807.515079999899</v>
      </c>
      <c r="AD76" s="815">
        <v>24124.5314799999</v>
      </c>
      <c r="AE76" s="815">
        <v>28314.498579999999</v>
      </c>
      <c r="AF76" s="815">
        <v>22286.044880000001</v>
      </c>
      <c r="AG76" s="816">
        <f t="shared" si="3"/>
        <v>22754.065964615336</v>
      </c>
    </row>
    <row r="77" spans="2:33" ht="15.75" thickBot="1">
      <c r="B77" s="818" t="s">
        <v>435</v>
      </c>
      <c r="C77" s="820">
        <v>0.86556</v>
      </c>
      <c r="D77" s="820">
        <v>0.86556</v>
      </c>
      <c r="E77" s="820">
        <v>0.86556</v>
      </c>
      <c r="F77" s="820">
        <v>0</v>
      </c>
      <c r="G77" s="820">
        <v>0</v>
      </c>
      <c r="H77" s="820">
        <v>0</v>
      </c>
      <c r="I77" s="820">
        <v>0</v>
      </c>
      <c r="J77" s="820">
        <v>0</v>
      </c>
      <c r="K77" s="820">
        <v>0</v>
      </c>
      <c r="L77" s="820">
        <v>0</v>
      </c>
      <c r="M77" s="820">
        <v>0</v>
      </c>
      <c r="N77" s="820">
        <v>0</v>
      </c>
      <c r="O77" s="820">
        <v>0</v>
      </c>
      <c r="P77" s="816">
        <f t="shared" si="2"/>
        <v>0.19974461538461538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0">
        <v>0</v>
      </c>
      <c r="Y77" s="820">
        <v>0</v>
      </c>
      <c r="Z77" s="820">
        <v>0</v>
      </c>
      <c r="AA77" s="820">
        <v>0</v>
      </c>
      <c r="AB77" s="820">
        <v>0</v>
      </c>
      <c r="AC77" s="820">
        <v>0</v>
      </c>
      <c r="AD77" s="820">
        <v>0</v>
      </c>
      <c r="AE77" s="820">
        <v>0</v>
      </c>
      <c r="AF77" s="820">
        <v>0</v>
      </c>
      <c r="AG77" s="816">
        <f t="shared" si="3"/>
        <v>0</v>
      </c>
    </row>
    <row r="78" spans="2:33">
      <c r="B78" s="818" t="s">
        <v>433</v>
      </c>
      <c r="C78" s="815">
        <v>24486.942119999901</v>
      </c>
      <c r="D78" s="815">
        <v>23173.662399999899</v>
      </c>
      <c r="E78" s="815">
        <v>16272.83785</v>
      </c>
      <c r="F78" s="815">
        <v>30762.62081</v>
      </c>
      <c r="G78" s="815">
        <v>27551.53197</v>
      </c>
      <c r="H78" s="815">
        <v>16097.52353</v>
      </c>
      <c r="I78" s="815">
        <v>18378.927350000002</v>
      </c>
      <c r="J78" s="815">
        <v>18517.25618</v>
      </c>
      <c r="K78" s="815">
        <v>19006.760579999998</v>
      </c>
      <c r="L78" s="815">
        <v>20444.941780000001</v>
      </c>
      <c r="M78" s="815">
        <v>19985.847180000001</v>
      </c>
      <c r="N78" s="815">
        <v>21131.962680000001</v>
      </c>
      <c r="O78" s="815">
        <v>24585.432580000001</v>
      </c>
      <c r="P78" s="816">
        <f t="shared" si="2"/>
        <v>21568.942077692293</v>
      </c>
      <c r="Q78" s="815">
        <v>24838.760679999999</v>
      </c>
      <c r="R78" s="815">
        <v>23310.2752799999</v>
      </c>
      <c r="S78" s="815">
        <v>22699.300079999899</v>
      </c>
      <c r="T78" s="815">
        <v>21151.566879999998</v>
      </c>
      <c r="U78" s="815">
        <v>20889.971679999999</v>
      </c>
      <c r="V78" s="815">
        <v>20213.682279999899</v>
      </c>
      <c r="W78" s="815">
        <v>20158.896779999999</v>
      </c>
      <c r="X78" s="815">
        <v>20320.534879999999</v>
      </c>
      <c r="Y78" s="815">
        <v>21131.341079999998</v>
      </c>
      <c r="Z78" s="815">
        <v>21696.990879999899</v>
      </c>
      <c r="AA78" s="815">
        <v>24227.116779999898</v>
      </c>
      <c r="AB78" s="815">
        <v>25480.166279999899</v>
      </c>
      <c r="AC78" s="815">
        <v>25807.515079999899</v>
      </c>
      <c r="AD78" s="815">
        <v>24124.5314799999</v>
      </c>
      <c r="AE78" s="815">
        <v>28314.498579999999</v>
      </c>
      <c r="AF78" s="815">
        <v>22286.044880000001</v>
      </c>
      <c r="AG78" s="816">
        <f t="shared" si="3"/>
        <v>22754.065964615336</v>
      </c>
    </row>
    <row r="79" spans="2:33">
      <c r="C79" s="817"/>
      <c r="D79" s="817"/>
      <c r="E79" s="817"/>
      <c r="F79" s="817"/>
      <c r="G79" s="817"/>
      <c r="H79" s="817"/>
      <c r="I79" s="817"/>
      <c r="J79" s="817"/>
      <c r="K79" s="817"/>
      <c r="L79" s="817"/>
      <c r="M79" s="817"/>
      <c r="N79" s="817"/>
      <c r="O79" s="817"/>
      <c r="P79" s="822">
        <f t="shared" si="2"/>
        <v>0</v>
      </c>
      <c r="Q79" s="817"/>
      <c r="R79" s="817"/>
      <c r="S79" s="817"/>
      <c r="T79" s="817"/>
      <c r="U79" s="817"/>
      <c r="V79" s="817"/>
      <c r="W79" s="817"/>
      <c r="X79" s="817"/>
      <c r="Y79" s="817"/>
      <c r="Z79" s="817"/>
      <c r="AA79" s="817"/>
      <c r="AB79" s="817"/>
      <c r="AC79" s="817"/>
      <c r="AD79" s="817"/>
      <c r="AE79" s="817"/>
      <c r="AF79" s="817"/>
      <c r="AG79" s="816">
        <f t="shared" si="3"/>
        <v>0</v>
      </c>
    </row>
    <row r="80" spans="2:33">
      <c r="B80" s="818" t="s">
        <v>436</v>
      </c>
      <c r="C80" s="817"/>
      <c r="D80" s="817"/>
      <c r="E80" s="817"/>
      <c r="F80" s="817"/>
      <c r="G80" s="817"/>
      <c r="H80" s="817"/>
      <c r="I80" s="817"/>
      <c r="J80" s="817"/>
      <c r="K80" s="817"/>
      <c r="L80" s="817"/>
      <c r="M80" s="817"/>
      <c r="N80" s="817"/>
      <c r="O80" s="817"/>
      <c r="P80" s="816">
        <f t="shared" si="2"/>
        <v>0</v>
      </c>
      <c r="Q80" s="817"/>
      <c r="R80" s="817"/>
      <c r="S80" s="817"/>
      <c r="T80" s="817"/>
      <c r="U80" s="817"/>
      <c r="V80" s="817"/>
      <c r="W80" s="817"/>
      <c r="X80" s="817"/>
      <c r="Y80" s="817"/>
      <c r="Z80" s="817"/>
      <c r="AA80" s="817"/>
      <c r="AB80" s="817"/>
      <c r="AC80" s="817"/>
      <c r="AD80" s="817"/>
      <c r="AE80" s="817"/>
      <c r="AF80" s="817"/>
      <c r="AG80" s="816">
        <f t="shared" si="3"/>
        <v>0</v>
      </c>
    </row>
    <row r="81" spans="2:33">
      <c r="B81" s="818" t="s">
        <v>437</v>
      </c>
      <c r="C81" s="815">
        <v>44674.354249999997</v>
      </c>
      <c r="D81" s="815">
        <v>36194.706979999901</v>
      </c>
      <c r="E81" s="815">
        <v>32536.419109999999</v>
      </c>
      <c r="F81" s="815">
        <v>36730.374849999898</v>
      </c>
      <c r="G81" s="815">
        <v>43950.165579999899</v>
      </c>
      <c r="H81" s="815">
        <v>46901.064250000003</v>
      </c>
      <c r="I81" s="815">
        <v>41206.230150000003</v>
      </c>
      <c r="J81" s="815">
        <v>37503.155004883301</v>
      </c>
      <c r="K81" s="815">
        <v>30747.461391899302</v>
      </c>
      <c r="L81" s="815">
        <v>39391.619584096799</v>
      </c>
      <c r="M81" s="815">
        <v>40522.766288974497</v>
      </c>
      <c r="N81" s="815">
        <v>41119.755209223898</v>
      </c>
      <c r="O81" s="815">
        <v>38121.0405845653</v>
      </c>
      <c r="P81" s="816">
        <f t="shared" si="2"/>
        <v>39199.931787203292</v>
      </c>
      <c r="Q81" s="815">
        <v>34702.972615425999</v>
      </c>
      <c r="R81" s="815">
        <v>33122.081266173598</v>
      </c>
      <c r="S81" s="815">
        <v>33631.574076286699</v>
      </c>
      <c r="T81" s="815">
        <v>38156.313696621102</v>
      </c>
      <c r="U81" s="815">
        <v>37513.084014191103</v>
      </c>
      <c r="V81" s="815">
        <v>36496.021667492401</v>
      </c>
      <c r="W81" s="815">
        <v>33358.826645398403</v>
      </c>
      <c r="X81" s="815">
        <v>30853.209203817099</v>
      </c>
      <c r="Y81" s="815">
        <v>30682.781866276298</v>
      </c>
      <c r="Z81" s="815">
        <v>34574.388003396598</v>
      </c>
      <c r="AA81" s="815">
        <v>38627.981848324198</v>
      </c>
      <c r="AB81" s="815">
        <v>37479.930749208601</v>
      </c>
      <c r="AC81" s="815">
        <v>34507.322255361498</v>
      </c>
      <c r="AD81" s="815">
        <v>33429.674094089998</v>
      </c>
      <c r="AE81" s="815">
        <v>31214.513367185002</v>
      </c>
      <c r="AF81" s="815">
        <v>36661.446817203701</v>
      </c>
      <c r="AG81" s="816">
        <f t="shared" si="3"/>
        <v>34888.884171428152</v>
      </c>
    </row>
    <row r="82" spans="2:33">
      <c r="B82" s="818" t="s">
        <v>438</v>
      </c>
      <c r="C82" s="815">
        <v>35480.555350000002</v>
      </c>
      <c r="D82" s="815">
        <v>36194.315219999997</v>
      </c>
      <c r="E82" s="815">
        <v>36515.321960000001</v>
      </c>
      <c r="F82" s="815">
        <v>37054.14632</v>
      </c>
      <c r="G82" s="815">
        <v>37141.834369999997</v>
      </c>
      <c r="H82" s="815">
        <v>37449.134079999902</v>
      </c>
      <c r="I82" s="815">
        <v>37341.22421</v>
      </c>
      <c r="J82" s="815">
        <v>37321.22421</v>
      </c>
      <c r="K82" s="815">
        <v>37301.22421</v>
      </c>
      <c r="L82" s="815">
        <v>37281.22421</v>
      </c>
      <c r="M82" s="815">
        <v>36886.22421</v>
      </c>
      <c r="N82" s="815">
        <v>36866.22421</v>
      </c>
      <c r="O82" s="815">
        <v>36846.22421</v>
      </c>
      <c r="P82" s="816">
        <f t="shared" si="2"/>
        <v>36898.375136153845</v>
      </c>
      <c r="Q82" s="815">
        <v>36826.224370000004</v>
      </c>
      <c r="R82" s="815">
        <v>36806.22453</v>
      </c>
      <c r="S82" s="815">
        <v>36786.224690000003</v>
      </c>
      <c r="T82" s="815">
        <v>36766.224849999999</v>
      </c>
      <c r="U82" s="815">
        <v>36746.225010000002</v>
      </c>
      <c r="V82" s="815">
        <v>36696.224849999999</v>
      </c>
      <c r="W82" s="815">
        <v>36646.224690000003</v>
      </c>
      <c r="X82" s="815">
        <v>36596.22453</v>
      </c>
      <c r="Y82" s="815">
        <v>36476.224370000004</v>
      </c>
      <c r="Z82" s="815">
        <v>36456.22453</v>
      </c>
      <c r="AA82" s="815">
        <v>36436.224690000003</v>
      </c>
      <c r="AB82" s="815">
        <v>36416.224849999999</v>
      </c>
      <c r="AC82" s="815">
        <v>36396.224649999996</v>
      </c>
      <c r="AD82" s="815">
        <v>36376.224450000002</v>
      </c>
      <c r="AE82" s="815">
        <v>36356.224249999999</v>
      </c>
      <c r="AF82" s="815">
        <v>36336.224049999997</v>
      </c>
      <c r="AG82" s="816">
        <f t="shared" si="3"/>
        <v>36515.455366923074</v>
      </c>
    </row>
    <row r="83" spans="2:33">
      <c r="B83" s="818" t="s">
        <v>439</v>
      </c>
      <c r="C83" s="815">
        <v>0.14692</v>
      </c>
      <c r="D83" s="815">
        <v>0.14646000000000001</v>
      </c>
      <c r="E83" s="815">
        <v>0.14618</v>
      </c>
      <c r="F83" s="815">
        <v>0.14588000000000001</v>
      </c>
      <c r="G83" s="815">
        <v>0.14562</v>
      </c>
      <c r="H83" s="815">
        <v>0.14532</v>
      </c>
      <c r="I83" s="815">
        <v>0.14491999999999999</v>
      </c>
      <c r="J83" s="815">
        <v>0.14491999999999999</v>
      </c>
      <c r="K83" s="815">
        <v>0.14491999999999999</v>
      </c>
      <c r="L83" s="815">
        <v>0.14491999999999999</v>
      </c>
      <c r="M83" s="815">
        <v>0.14491999999999999</v>
      </c>
      <c r="N83" s="815">
        <v>0.14491999999999999</v>
      </c>
      <c r="O83" s="815">
        <v>0.14491999999999999</v>
      </c>
      <c r="P83" s="816">
        <f t="shared" si="2"/>
        <v>0.14544769230769228</v>
      </c>
      <c r="Q83" s="815">
        <v>0.14491999999999999</v>
      </c>
      <c r="R83" s="815">
        <v>0.14491999999999999</v>
      </c>
      <c r="S83" s="815">
        <v>0.14491999999999999</v>
      </c>
      <c r="T83" s="815">
        <v>0.14491999999999999</v>
      </c>
      <c r="U83" s="815">
        <v>0.14491999999999999</v>
      </c>
      <c r="V83" s="815">
        <v>0.14491999999999999</v>
      </c>
      <c r="W83" s="815">
        <v>0.14491999999999999</v>
      </c>
      <c r="X83" s="815">
        <v>0.14491999999999999</v>
      </c>
      <c r="Y83" s="815">
        <v>0.14491999999999999</v>
      </c>
      <c r="Z83" s="815">
        <v>0.14491999999999999</v>
      </c>
      <c r="AA83" s="815">
        <v>0.14491999999999999</v>
      </c>
      <c r="AB83" s="815">
        <v>0.14491999999999999</v>
      </c>
      <c r="AC83" s="815">
        <v>0.14491999999999999</v>
      </c>
      <c r="AD83" s="815">
        <v>0.14491999999999999</v>
      </c>
      <c r="AE83" s="815">
        <v>0.14491999999999999</v>
      </c>
      <c r="AF83" s="815">
        <v>0.14491999999999999</v>
      </c>
      <c r="AG83" s="816">
        <f t="shared" si="3"/>
        <v>0.14491999999999997</v>
      </c>
    </row>
    <row r="84" spans="2:33">
      <c r="B84" s="818" t="s">
        <v>440</v>
      </c>
      <c r="C84" s="815">
        <v>7654.12014</v>
      </c>
      <c r="D84" s="815">
        <v>7671.0126600000003</v>
      </c>
      <c r="E84" s="815">
        <v>7604.4425499999998</v>
      </c>
      <c r="F84" s="815">
        <v>7744.2675399999898</v>
      </c>
      <c r="G84" s="815">
        <v>7751.8757400000004</v>
      </c>
      <c r="H84" s="815">
        <v>7731.1844199999896</v>
      </c>
      <c r="I84" s="815">
        <v>7888.2731299999996</v>
      </c>
      <c r="J84" s="815">
        <v>7888.2731299999996</v>
      </c>
      <c r="K84" s="815">
        <v>7888.2731299999996</v>
      </c>
      <c r="L84" s="815">
        <v>7888.2731299999996</v>
      </c>
      <c r="M84" s="815">
        <v>7888.2731299999996</v>
      </c>
      <c r="N84" s="815">
        <v>7888.2731299999996</v>
      </c>
      <c r="O84" s="815">
        <v>7888.2731299999996</v>
      </c>
      <c r="P84" s="816">
        <f t="shared" si="2"/>
        <v>7798.0626892307682</v>
      </c>
      <c r="Q84" s="815">
        <v>7888.2731299999996</v>
      </c>
      <c r="R84" s="815">
        <v>7888.2731299999996</v>
      </c>
      <c r="S84" s="815">
        <v>7888.2731299999996</v>
      </c>
      <c r="T84" s="815">
        <v>7888.2731299999996</v>
      </c>
      <c r="U84" s="815">
        <v>7888.2731299999996</v>
      </c>
      <c r="V84" s="815">
        <v>7888.2731299999996</v>
      </c>
      <c r="W84" s="815">
        <v>7888.2731299999996</v>
      </c>
      <c r="X84" s="815">
        <v>7888.2731299999996</v>
      </c>
      <c r="Y84" s="815">
        <v>7888.2731299999996</v>
      </c>
      <c r="Z84" s="815">
        <v>7888.2731299999996</v>
      </c>
      <c r="AA84" s="815">
        <v>7888.2731299999996</v>
      </c>
      <c r="AB84" s="815">
        <v>7888.2731299999996</v>
      </c>
      <c r="AC84" s="815">
        <v>7888.2731299999996</v>
      </c>
      <c r="AD84" s="815">
        <v>7888.2731299999996</v>
      </c>
      <c r="AE84" s="815">
        <v>7888.2731299999996</v>
      </c>
      <c r="AF84" s="815">
        <v>7888.2731299999996</v>
      </c>
      <c r="AG84" s="816">
        <f t="shared" si="3"/>
        <v>7888.2731300000005</v>
      </c>
    </row>
    <row r="85" spans="2:33" ht="15.75" thickBot="1">
      <c r="B85" s="818" t="s">
        <v>563</v>
      </c>
      <c r="C85" s="820">
        <v>42560.968240000002</v>
      </c>
      <c r="D85" s="820">
        <v>31655.78328</v>
      </c>
      <c r="E85" s="820">
        <v>22606.021110000001</v>
      </c>
      <c r="F85" s="820">
        <v>13637.12362</v>
      </c>
      <c r="G85" s="820">
        <v>9743.2515899999999</v>
      </c>
      <c r="H85" s="820">
        <v>9546.8440800000008</v>
      </c>
      <c r="I85" s="820">
        <v>14119.38737</v>
      </c>
      <c r="J85" s="820">
        <v>24056.222560744602</v>
      </c>
      <c r="K85" s="820">
        <v>33964.708437621099</v>
      </c>
      <c r="L85" s="820">
        <v>43372.441575286197</v>
      </c>
      <c r="M85" s="820">
        <v>51887.997875812303</v>
      </c>
      <c r="N85" s="820">
        <v>52676.173201116901</v>
      </c>
      <c r="O85" s="820">
        <v>43241.0854028381</v>
      </c>
      <c r="P85" s="816">
        <f t="shared" si="2"/>
        <v>30236.000641801475</v>
      </c>
      <c r="Q85" s="820">
        <v>28108.922150275801</v>
      </c>
      <c r="R85" s="820">
        <v>14716.5533339255</v>
      </c>
      <c r="S85" s="820">
        <v>6875.8725545012703</v>
      </c>
      <c r="T85" s="820">
        <v>3912.7906924416402</v>
      </c>
      <c r="U85" s="820">
        <v>3566.2754000780401</v>
      </c>
      <c r="V85" s="820">
        <v>8862.4667504618392</v>
      </c>
      <c r="W85" s="820">
        <v>18638.069244849801</v>
      </c>
      <c r="X85" s="820">
        <v>28227.0410244663</v>
      </c>
      <c r="Y85" s="820">
        <v>37309.380204516201</v>
      </c>
      <c r="Z85" s="820">
        <v>44946.585988098697</v>
      </c>
      <c r="AA85" s="820">
        <v>45962.747840366799</v>
      </c>
      <c r="AB85" s="820">
        <v>37636.091311037002</v>
      </c>
      <c r="AC85" s="820">
        <v>24124.3588800998</v>
      </c>
      <c r="AD85" s="820">
        <v>12271.075351181</v>
      </c>
      <c r="AE85" s="820">
        <v>5376.8255354809198</v>
      </c>
      <c r="AF85" s="820">
        <v>2804.3630397990501</v>
      </c>
      <c r="AG85" s="816">
        <f t="shared" si="3"/>
        <v>21049.082404836699</v>
      </c>
    </row>
    <row r="86" spans="2:33">
      <c r="B86" s="818" t="s">
        <v>436</v>
      </c>
      <c r="C86" s="815">
        <v>130370.1449</v>
      </c>
      <c r="D86" s="815">
        <v>111715.964599999</v>
      </c>
      <c r="E86" s="815">
        <v>99262.350909999994</v>
      </c>
      <c r="F86" s="815">
        <v>95166.058209999901</v>
      </c>
      <c r="G86" s="815">
        <v>98587.272899999996</v>
      </c>
      <c r="H86" s="815">
        <v>101628.37215</v>
      </c>
      <c r="I86" s="815">
        <v>100555.25977999999</v>
      </c>
      <c r="J86" s="815">
        <v>106769.019825628</v>
      </c>
      <c r="K86" s="815">
        <v>109901.81208952</v>
      </c>
      <c r="L86" s="815">
        <v>127933.703419383</v>
      </c>
      <c r="M86" s="815">
        <v>137185.40642478599</v>
      </c>
      <c r="N86" s="815">
        <v>138550.57067034001</v>
      </c>
      <c r="O86" s="815">
        <v>126096.768247403</v>
      </c>
      <c r="P86" s="816">
        <f t="shared" si="2"/>
        <v>114132.51570208145</v>
      </c>
      <c r="Q86" s="815">
        <v>107526.537185701</v>
      </c>
      <c r="R86" s="815">
        <v>92533.277180099103</v>
      </c>
      <c r="S86" s="815">
        <v>85182.0893707879</v>
      </c>
      <c r="T86" s="815">
        <v>86723.747289062696</v>
      </c>
      <c r="U86" s="815">
        <v>85714.002474269102</v>
      </c>
      <c r="V86" s="815">
        <v>89943.131317954205</v>
      </c>
      <c r="W86" s="815">
        <v>96531.538630248193</v>
      </c>
      <c r="X86" s="815">
        <v>103564.892808283</v>
      </c>
      <c r="Y86" s="815">
        <v>112356.804490792</v>
      </c>
      <c r="Z86" s="815">
        <v>123865.616571495</v>
      </c>
      <c r="AA86" s="815">
        <v>128915.372428691</v>
      </c>
      <c r="AB86" s="815">
        <v>119420.66496024501</v>
      </c>
      <c r="AC86" s="815">
        <v>102916.32383546099</v>
      </c>
      <c r="AD86" s="815">
        <v>89965.391945270996</v>
      </c>
      <c r="AE86" s="815">
        <v>80835.981202665906</v>
      </c>
      <c r="AF86" s="815">
        <v>83690.451957002704</v>
      </c>
      <c r="AG86" s="816">
        <f t="shared" si="3"/>
        <v>100341.83999318776</v>
      </c>
    </row>
    <row r="87" spans="2:33">
      <c r="C87" s="817"/>
      <c r="D87" s="817"/>
      <c r="E87" s="817"/>
      <c r="F87" s="817"/>
      <c r="G87" s="817"/>
      <c r="H87" s="817"/>
      <c r="I87" s="817"/>
      <c r="J87" s="817"/>
      <c r="K87" s="817"/>
      <c r="L87" s="817"/>
      <c r="M87" s="817"/>
      <c r="N87" s="817"/>
      <c r="O87" s="817"/>
      <c r="P87" s="816">
        <f t="shared" si="2"/>
        <v>0</v>
      </c>
      <c r="Q87" s="817"/>
      <c r="R87" s="817"/>
      <c r="S87" s="817"/>
      <c r="T87" s="817"/>
      <c r="U87" s="817"/>
      <c r="V87" s="817"/>
      <c r="W87" s="817"/>
      <c r="X87" s="817"/>
      <c r="Y87" s="817"/>
      <c r="Z87" s="817"/>
      <c r="AA87" s="817"/>
      <c r="AB87" s="817"/>
      <c r="AC87" s="817"/>
      <c r="AD87" s="817"/>
      <c r="AE87" s="817"/>
      <c r="AF87" s="817"/>
      <c r="AG87" s="816">
        <f t="shared" si="3"/>
        <v>0</v>
      </c>
    </row>
    <row r="88" spans="2:33">
      <c r="B88" s="818" t="s">
        <v>441</v>
      </c>
      <c r="C88" s="817"/>
      <c r="D88" s="817"/>
      <c r="E88" s="817"/>
      <c r="F88" s="817"/>
      <c r="G88" s="817"/>
      <c r="H88" s="817"/>
      <c r="I88" s="817"/>
      <c r="J88" s="817"/>
      <c r="K88" s="817"/>
      <c r="L88" s="817"/>
      <c r="M88" s="817"/>
      <c r="N88" s="817"/>
      <c r="O88" s="817"/>
      <c r="P88" s="816">
        <f t="shared" si="2"/>
        <v>0</v>
      </c>
      <c r="Q88" s="817"/>
      <c r="R88" s="817"/>
      <c r="S88" s="817"/>
      <c r="T88" s="817"/>
      <c r="U88" s="817"/>
      <c r="V88" s="817"/>
      <c r="W88" s="817"/>
      <c r="X88" s="817"/>
      <c r="Y88" s="817"/>
      <c r="Z88" s="817"/>
      <c r="AA88" s="817"/>
      <c r="AB88" s="817"/>
      <c r="AC88" s="817"/>
      <c r="AD88" s="817"/>
      <c r="AE88" s="817"/>
      <c r="AF88" s="817"/>
      <c r="AG88" s="816">
        <f t="shared" si="3"/>
        <v>0</v>
      </c>
    </row>
    <row r="89" spans="2:33">
      <c r="B89" s="818" t="s">
        <v>442</v>
      </c>
      <c r="C89" s="815">
        <v>9915.0336399999997</v>
      </c>
      <c r="D89" s="815">
        <v>12072.054239999999</v>
      </c>
      <c r="E89" s="815">
        <v>12225.01665</v>
      </c>
      <c r="F89" s="815">
        <v>11331.506890000001</v>
      </c>
      <c r="G89" s="815">
        <v>15065.509980000001</v>
      </c>
      <c r="H89" s="815">
        <v>16135.063700000001</v>
      </c>
      <c r="I89" s="815">
        <v>15249.45342</v>
      </c>
      <c r="J89" s="815">
        <v>14532.0788014471</v>
      </c>
      <c r="K89" s="815">
        <v>13233.3417912943</v>
      </c>
      <c r="L89" s="815">
        <v>12969.831521141399</v>
      </c>
      <c r="M89" s="815">
        <v>12265.2320053327</v>
      </c>
      <c r="N89" s="815">
        <v>11672.319800822401</v>
      </c>
      <c r="O89" s="815">
        <v>11319.4284609025</v>
      </c>
      <c r="P89" s="816">
        <f t="shared" si="2"/>
        <v>12921.99006930311</v>
      </c>
      <c r="Q89" s="815">
        <v>14531.9140051782</v>
      </c>
      <c r="R89" s="815">
        <v>13110.0017541631</v>
      </c>
      <c r="S89" s="815">
        <v>11613.487929548101</v>
      </c>
      <c r="T89" s="815">
        <v>15998.5638180931</v>
      </c>
      <c r="U89" s="815">
        <v>14598.910563331699</v>
      </c>
      <c r="V89" s="815">
        <v>14417.468478570299</v>
      </c>
      <c r="W89" s="815">
        <v>13050.5288838089</v>
      </c>
      <c r="X89" s="815">
        <v>11653.48344256</v>
      </c>
      <c r="Y89" s="815">
        <v>11234.109408661199</v>
      </c>
      <c r="Z89" s="815">
        <v>10721.251058016</v>
      </c>
      <c r="AA89" s="815">
        <v>10047.319463011399</v>
      </c>
      <c r="AB89" s="815">
        <v>10260.0166311713</v>
      </c>
      <c r="AC89" s="815">
        <v>14219.2976697213</v>
      </c>
      <c r="AD89" s="815">
        <v>13119.2516693119</v>
      </c>
      <c r="AE89" s="815">
        <v>11504.195808902499</v>
      </c>
      <c r="AF89" s="815">
        <v>16899.138558029201</v>
      </c>
      <c r="AG89" s="816">
        <f t="shared" si="3"/>
        <v>12901.81041947606</v>
      </c>
    </row>
    <row r="90" spans="2:33">
      <c r="B90" s="818" t="s">
        <v>1728</v>
      </c>
      <c r="C90" s="815">
        <v>3633.8854299999998</v>
      </c>
      <c r="D90" s="815">
        <v>4014.4542299999998</v>
      </c>
      <c r="E90" s="815">
        <v>4111.5017099999995</v>
      </c>
      <c r="F90" s="815">
        <v>4037.8407400000001</v>
      </c>
      <c r="G90" s="815">
        <v>3882.0910199999998</v>
      </c>
      <c r="H90" s="815">
        <v>3670.9225099999999</v>
      </c>
      <c r="I90" s="815">
        <v>3474.8056700000002</v>
      </c>
      <c r="J90" s="815">
        <v>3474.8056700000002</v>
      </c>
      <c r="K90" s="815">
        <v>3474.8056700000002</v>
      </c>
      <c r="L90" s="815">
        <v>3474.8056700000002</v>
      </c>
      <c r="M90" s="815">
        <v>3474.8056700000002</v>
      </c>
      <c r="N90" s="815">
        <v>3474.8056700000002</v>
      </c>
      <c r="O90" s="815">
        <v>3474.8056700000002</v>
      </c>
      <c r="P90" s="816">
        <f t="shared" si="2"/>
        <v>3667.2565638461547</v>
      </c>
      <c r="Q90" s="815">
        <v>3474.8056700000002</v>
      </c>
      <c r="R90" s="815">
        <v>3474.8056700000002</v>
      </c>
      <c r="S90" s="815">
        <v>3474.8056700000002</v>
      </c>
      <c r="T90" s="815">
        <v>3474.8056700000002</v>
      </c>
      <c r="U90" s="815">
        <v>3474.8056700000002</v>
      </c>
      <c r="V90" s="815">
        <v>3474.8056700000002</v>
      </c>
      <c r="W90" s="815">
        <v>3474.8056700000002</v>
      </c>
      <c r="X90" s="815">
        <v>3474.8056700000002</v>
      </c>
      <c r="Y90" s="815">
        <v>3474.8056700000002</v>
      </c>
      <c r="Z90" s="815">
        <v>3474.8056700000002</v>
      </c>
      <c r="AA90" s="815">
        <v>3474.8056700000002</v>
      </c>
      <c r="AB90" s="815">
        <v>3474.8056700000002</v>
      </c>
      <c r="AC90" s="815">
        <v>3474.8056700000002</v>
      </c>
      <c r="AD90" s="815">
        <v>3474.8056700000002</v>
      </c>
      <c r="AE90" s="815">
        <v>3474.8056700000002</v>
      </c>
      <c r="AF90" s="815">
        <v>3474.8056700000002</v>
      </c>
      <c r="AG90" s="816">
        <f t="shared" si="3"/>
        <v>3474.8056700000011</v>
      </c>
    </row>
    <row r="91" spans="2:33" ht="15.75" thickBot="1">
      <c r="B91" s="818" t="s">
        <v>443</v>
      </c>
      <c r="C91" s="820">
        <v>1398.8645200000001</v>
      </c>
      <c r="D91" s="820">
        <v>1165.7204400000001</v>
      </c>
      <c r="E91" s="820">
        <v>932.57636000000002</v>
      </c>
      <c r="F91" s="820">
        <v>699.43227999999999</v>
      </c>
      <c r="G91" s="820">
        <v>466.28820000000002</v>
      </c>
      <c r="H91" s="820">
        <v>233.14411999999999</v>
      </c>
      <c r="I91" s="820">
        <v>0</v>
      </c>
      <c r="J91" s="820">
        <v>2630.40715</v>
      </c>
      <c r="K91" s="820">
        <v>2391.2792300000001</v>
      </c>
      <c r="L91" s="820">
        <v>2152.1513100000002</v>
      </c>
      <c r="M91" s="820">
        <v>1913.0233900000001</v>
      </c>
      <c r="N91" s="820">
        <v>1673.8954699999999</v>
      </c>
      <c r="O91" s="820">
        <v>1434.76755</v>
      </c>
      <c r="P91" s="816">
        <f t="shared" si="2"/>
        <v>1314.7346169230768</v>
      </c>
      <c r="Q91" s="820">
        <v>1195.6396299999999</v>
      </c>
      <c r="R91" s="820">
        <v>956.51170999999999</v>
      </c>
      <c r="S91" s="820">
        <v>717.38378999999998</v>
      </c>
      <c r="T91" s="820">
        <v>478.25587000000002</v>
      </c>
      <c r="U91" s="820">
        <v>239.12795</v>
      </c>
      <c r="V91" s="820">
        <v>3.0000000549534801E-5</v>
      </c>
      <c r="W91" s="820">
        <v>2683.01532</v>
      </c>
      <c r="X91" s="820">
        <v>2439.10484</v>
      </c>
      <c r="Y91" s="820">
        <v>2195.19436</v>
      </c>
      <c r="Z91" s="820">
        <v>1951.28388</v>
      </c>
      <c r="AA91" s="820">
        <v>1707.3733999999999</v>
      </c>
      <c r="AB91" s="820">
        <v>1463.4629199999999</v>
      </c>
      <c r="AC91" s="820">
        <v>1219.5524399999999</v>
      </c>
      <c r="AD91" s="820">
        <v>975.64196000000004</v>
      </c>
      <c r="AE91" s="820">
        <v>731.73148000000003</v>
      </c>
      <c r="AF91" s="820">
        <v>487.82100000000003</v>
      </c>
      <c r="AG91" s="816">
        <f t="shared" si="3"/>
        <v>1274.7358038461539</v>
      </c>
    </row>
    <row r="92" spans="2:33">
      <c r="B92" s="818" t="s">
        <v>441</v>
      </c>
      <c r="C92" s="815">
        <v>14947.783589999999</v>
      </c>
      <c r="D92" s="815">
        <v>17252.228910000002</v>
      </c>
      <c r="E92" s="815">
        <v>17269.094720000001</v>
      </c>
      <c r="F92" s="815">
        <v>16068.779909999999</v>
      </c>
      <c r="G92" s="815">
        <v>19413.889200000001</v>
      </c>
      <c r="H92" s="815">
        <v>20039.13033</v>
      </c>
      <c r="I92" s="815">
        <v>18724.25909</v>
      </c>
      <c r="J92" s="815">
        <v>20637.291621447101</v>
      </c>
      <c r="K92" s="815">
        <v>19099.426691294299</v>
      </c>
      <c r="L92" s="815">
        <v>18596.7885011414</v>
      </c>
      <c r="M92" s="815">
        <v>17653.061065332698</v>
      </c>
      <c r="N92" s="815">
        <v>16821.0209408224</v>
      </c>
      <c r="O92" s="815">
        <v>16229.0016809025</v>
      </c>
      <c r="P92" s="816">
        <f t="shared" si="2"/>
        <v>17903.981250072338</v>
      </c>
      <c r="Q92" s="815">
        <v>19202.359305178201</v>
      </c>
      <c r="R92" s="815">
        <v>17541.319134163099</v>
      </c>
      <c r="S92" s="815">
        <v>15805.6773895481</v>
      </c>
      <c r="T92" s="815">
        <v>19951.625358093101</v>
      </c>
      <c r="U92" s="815">
        <v>18312.844183331701</v>
      </c>
      <c r="V92" s="815">
        <v>17892.2741785703</v>
      </c>
      <c r="W92" s="815">
        <v>19208.3498738089</v>
      </c>
      <c r="X92" s="815">
        <v>17567.39395256</v>
      </c>
      <c r="Y92" s="815">
        <v>16904.109438661199</v>
      </c>
      <c r="Z92" s="815">
        <v>16147.340608016</v>
      </c>
      <c r="AA92" s="815">
        <v>15229.4985330114</v>
      </c>
      <c r="AB92" s="815">
        <v>15198.2852211713</v>
      </c>
      <c r="AC92" s="815">
        <v>18913.655779721299</v>
      </c>
      <c r="AD92" s="815">
        <v>17569.699299311898</v>
      </c>
      <c r="AE92" s="815">
        <v>15710.732958902499</v>
      </c>
      <c r="AF92" s="815">
        <v>20861.765228029199</v>
      </c>
      <c r="AG92" s="816">
        <f t="shared" si="3"/>
        <v>17651.351893322215</v>
      </c>
    </row>
    <row r="93" spans="2:33">
      <c r="C93" s="817"/>
      <c r="D93" s="817"/>
      <c r="E93" s="817"/>
      <c r="F93" s="817"/>
      <c r="G93" s="817"/>
      <c r="H93" s="817"/>
      <c r="I93" s="817"/>
      <c r="J93" s="817"/>
      <c r="K93" s="817"/>
      <c r="L93" s="817"/>
      <c r="M93" s="817"/>
      <c r="N93" s="817"/>
      <c r="O93" s="817"/>
      <c r="P93" s="816">
        <f t="shared" si="2"/>
        <v>0</v>
      </c>
      <c r="Q93" s="817"/>
      <c r="R93" s="817"/>
      <c r="S93" s="817"/>
      <c r="T93" s="817"/>
      <c r="U93" s="817"/>
      <c r="V93" s="817"/>
      <c r="W93" s="817"/>
      <c r="X93" s="817"/>
      <c r="Y93" s="817"/>
      <c r="Z93" s="817"/>
      <c r="AA93" s="817"/>
      <c r="AB93" s="817"/>
      <c r="AC93" s="817"/>
      <c r="AD93" s="817"/>
      <c r="AE93" s="817"/>
      <c r="AF93" s="817"/>
      <c r="AG93" s="816">
        <f t="shared" si="3"/>
        <v>0</v>
      </c>
    </row>
    <row r="94" spans="2:33">
      <c r="B94" s="818" t="s">
        <v>444</v>
      </c>
      <c r="C94" s="817"/>
      <c r="D94" s="817"/>
      <c r="E94" s="817"/>
      <c r="F94" s="817"/>
      <c r="G94" s="817"/>
      <c r="H94" s="817"/>
      <c r="I94" s="817"/>
      <c r="J94" s="817"/>
      <c r="K94" s="817"/>
      <c r="L94" s="817"/>
      <c r="M94" s="817"/>
      <c r="N94" s="817"/>
      <c r="O94" s="817"/>
      <c r="P94" s="816">
        <f t="shared" si="2"/>
        <v>0</v>
      </c>
      <c r="Q94" s="817"/>
      <c r="R94" s="817"/>
      <c r="S94" s="817"/>
      <c r="T94" s="817"/>
      <c r="U94" s="817"/>
      <c r="V94" s="817"/>
      <c r="W94" s="817"/>
      <c r="X94" s="817"/>
      <c r="Y94" s="817"/>
      <c r="Z94" s="817"/>
      <c r="AA94" s="817"/>
      <c r="AB94" s="817"/>
      <c r="AC94" s="817"/>
      <c r="AD94" s="817"/>
      <c r="AE94" s="817"/>
      <c r="AF94" s="817"/>
      <c r="AG94" s="816">
        <f t="shared" si="3"/>
        <v>0</v>
      </c>
    </row>
    <row r="95" spans="2:33" ht="15.75" thickBot="1">
      <c r="B95" s="818" t="s">
        <v>445</v>
      </c>
      <c r="C95" s="820">
        <v>0</v>
      </c>
      <c r="D95" s="820">
        <v>0</v>
      </c>
      <c r="E95" s="820">
        <v>0</v>
      </c>
      <c r="F95" s="820">
        <v>6.9580000000000003E-2</v>
      </c>
      <c r="G95" s="820">
        <v>6.9580000000000003E-2</v>
      </c>
      <c r="H95" s="820">
        <v>0</v>
      </c>
      <c r="I95" s="820">
        <v>0</v>
      </c>
      <c r="J95" s="820">
        <v>0</v>
      </c>
      <c r="K95" s="820">
        <v>0</v>
      </c>
      <c r="L95" s="820">
        <v>0</v>
      </c>
      <c r="M95" s="820">
        <v>0</v>
      </c>
      <c r="N95" s="820">
        <v>0</v>
      </c>
      <c r="O95" s="820">
        <v>0</v>
      </c>
      <c r="P95" s="816">
        <f t="shared" si="2"/>
        <v>1.0704615384615385E-2</v>
      </c>
      <c r="Q95" s="820">
        <v>0</v>
      </c>
      <c r="R95" s="820">
        <v>0</v>
      </c>
      <c r="S95" s="820">
        <v>0</v>
      </c>
      <c r="T95" s="820">
        <v>0</v>
      </c>
      <c r="U95" s="820">
        <v>0</v>
      </c>
      <c r="V95" s="820">
        <v>0</v>
      </c>
      <c r="W95" s="820">
        <v>0</v>
      </c>
      <c r="X95" s="820">
        <v>0</v>
      </c>
      <c r="Y95" s="820">
        <v>0</v>
      </c>
      <c r="Z95" s="820">
        <v>0</v>
      </c>
      <c r="AA95" s="820">
        <v>0</v>
      </c>
      <c r="AB95" s="820">
        <v>0</v>
      </c>
      <c r="AC95" s="820">
        <v>0</v>
      </c>
      <c r="AD95" s="820">
        <v>0</v>
      </c>
      <c r="AE95" s="820">
        <v>0</v>
      </c>
      <c r="AF95" s="820">
        <v>0</v>
      </c>
      <c r="AG95" s="816">
        <f t="shared" si="3"/>
        <v>0</v>
      </c>
    </row>
    <row r="96" spans="2:33">
      <c r="B96" s="818" t="s">
        <v>444</v>
      </c>
      <c r="C96" s="815">
        <v>0</v>
      </c>
      <c r="D96" s="815">
        <v>0</v>
      </c>
      <c r="E96" s="815">
        <v>0</v>
      </c>
      <c r="F96" s="815">
        <v>6.9580000000000003E-2</v>
      </c>
      <c r="G96" s="815">
        <v>6.9580000000000003E-2</v>
      </c>
      <c r="H96" s="815">
        <v>0</v>
      </c>
      <c r="I96" s="815">
        <v>0</v>
      </c>
      <c r="J96" s="815">
        <v>0</v>
      </c>
      <c r="K96" s="815">
        <v>0</v>
      </c>
      <c r="L96" s="815">
        <v>0</v>
      </c>
      <c r="M96" s="815">
        <v>0</v>
      </c>
      <c r="N96" s="815">
        <v>0</v>
      </c>
      <c r="O96" s="815">
        <v>0</v>
      </c>
      <c r="P96" s="816">
        <f t="shared" si="2"/>
        <v>1.0704615384615385E-2</v>
      </c>
      <c r="Q96" s="815">
        <v>0</v>
      </c>
      <c r="R96" s="815">
        <v>0</v>
      </c>
      <c r="S96" s="815">
        <v>0</v>
      </c>
      <c r="T96" s="815">
        <v>0</v>
      </c>
      <c r="U96" s="815">
        <v>0</v>
      </c>
      <c r="V96" s="815">
        <v>0</v>
      </c>
      <c r="W96" s="815">
        <v>0</v>
      </c>
      <c r="X96" s="815">
        <v>0</v>
      </c>
      <c r="Y96" s="815">
        <v>0</v>
      </c>
      <c r="Z96" s="815">
        <v>0</v>
      </c>
      <c r="AA96" s="815">
        <v>0</v>
      </c>
      <c r="AB96" s="815">
        <v>0</v>
      </c>
      <c r="AC96" s="815">
        <v>0</v>
      </c>
      <c r="AD96" s="815">
        <v>0</v>
      </c>
      <c r="AE96" s="815">
        <v>0</v>
      </c>
      <c r="AF96" s="815">
        <v>0</v>
      </c>
      <c r="AG96" s="816">
        <f t="shared" si="3"/>
        <v>0</v>
      </c>
    </row>
    <row r="97" spans="2:33">
      <c r="C97" s="817"/>
      <c r="D97" s="817"/>
      <c r="E97" s="817"/>
      <c r="F97" s="817"/>
      <c r="G97" s="817"/>
      <c r="H97" s="817"/>
      <c r="I97" s="817"/>
      <c r="J97" s="817"/>
      <c r="K97" s="817"/>
      <c r="L97" s="817"/>
      <c r="M97" s="817"/>
      <c r="N97" s="817"/>
      <c r="O97" s="817"/>
      <c r="P97" s="816">
        <f t="shared" si="2"/>
        <v>0</v>
      </c>
      <c r="Q97" s="817"/>
      <c r="R97" s="817"/>
      <c r="S97" s="817"/>
      <c r="T97" s="817"/>
      <c r="U97" s="817"/>
      <c r="V97" s="817"/>
      <c r="W97" s="817"/>
      <c r="X97" s="817"/>
      <c r="Y97" s="817"/>
      <c r="Z97" s="817"/>
      <c r="AA97" s="817"/>
      <c r="AB97" s="817"/>
      <c r="AC97" s="817"/>
      <c r="AD97" s="817"/>
      <c r="AE97" s="817"/>
      <c r="AF97" s="817"/>
      <c r="AG97" s="816">
        <f t="shared" si="3"/>
        <v>0</v>
      </c>
    </row>
    <row r="98" spans="2:33" ht="15.75" thickBot="1">
      <c r="B98" s="814" t="s">
        <v>446</v>
      </c>
      <c r="C98" s="821">
        <v>404959.60858</v>
      </c>
      <c r="D98" s="821">
        <v>411179.96476</v>
      </c>
      <c r="E98" s="821">
        <v>359348.19621999998</v>
      </c>
      <c r="F98" s="821">
        <v>356579.89984999999</v>
      </c>
      <c r="G98" s="821">
        <v>336685.28383999999</v>
      </c>
      <c r="H98" s="821">
        <v>323428.29427999997</v>
      </c>
      <c r="I98" s="821">
        <v>340962.64163000003</v>
      </c>
      <c r="J98" s="821">
        <v>352812.02261076903</v>
      </c>
      <c r="K98" s="821">
        <v>362361.57666710799</v>
      </c>
      <c r="L98" s="821">
        <v>366197.41688319697</v>
      </c>
      <c r="M98" s="821">
        <v>357918.553161524</v>
      </c>
      <c r="N98" s="821">
        <v>366791.87140849599</v>
      </c>
      <c r="O98" s="821">
        <v>387050.17848387698</v>
      </c>
      <c r="P98" s="816">
        <f t="shared" si="2"/>
        <v>363559.65449038241</v>
      </c>
      <c r="Q98" s="821">
        <v>394734.763022158</v>
      </c>
      <c r="R98" s="821">
        <v>368617.00626920798</v>
      </c>
      <c r="S98" s="821">
        <v>342111.12519228499</v>
      </c>
      <c r="T98" s="821">
        <v>318588.701067143</v>
      </c>
      <c r="U98" s="821">
        <v>314030.46174858703</v>
      </c>
      <c r="V98" s="821">
        <v>325461.10751314502</v>
      </c>
      <c r="W98" s="821">
        <v>348639.54153139098</v>
      </c>
      <c r="X98" s="821">
        <v>360483.25931147602</v>
      </c>
      <c r="Y98" s="821">
        <v>353888.97669873398</v>
      </c>
      <c r="Z98" s="821">
        <v>348310.894144397</v>
      </c>
      <c r="AA98" s="821">
        <v>362972.71364055999</v>
      </c>
      <c r="AB98" s="821">
        <v>383323.12881080201</v>
      </c>
      <c r="AC98" s="821">
        <v>394971.79626588803</v>
      </c>
      <c r="AD98" s="821">
        <v>371243.11300754501</v>
      </c>
      <c r="AE98" s="821">
        <v>348634.054820402</v>
      </c>
      <c r="AF98" s="821">
        <v>323436.10954605899</v>
      </c>
      <c r="AG98" s="816">
        <f t="shared" si="3"/>
        <v>350306.45062354836</v>
      </c>
    </row>
    <row r="99" spans="2:33">
      <c r="P99" s="816">
        <f t="shared" si="2"/>
        <v>0</v>
      </c>
      <c r="AG99" s="816">
        <f t="shared" si="3"/>
        <v>0</v>
      </c>
    </row>
    <row r="100" spans="2:33">
      <c r="B100" s="814" t="s">
        <v>447</v>
      </c>
      <c r="C100" s="817"/>
      <c r="D100" s="817"/>
      <c r="E100" s="817"/>
      <c r="F100" s="817"/>
      <c r="G100" s="817"/>
      <c r="H100" s="817"/>
      <c r="I100" s="817"/>
      <c r="J100" s="817"/>
      <c r="K100" s="817"/>
      <c r="L100" s="817"/>
      <c r="M100" s="817"/>
      <c r="N100" s="817"/>
      <c r="O100" s="817"/>
      <c r="P100" s="816">
        <f t="shared" si="2"/>
        <v>0</v>
      </c>
      <c r="Q100" s="817"/>
      <c r="R100" s="817"/>
      <c r="S100" s="817"/>
      <c r="T100" s="817"/>
      <c r="U100" s="817"/>
      <c r="V100" s="817"/>
      <c r="W100" s="817"/>
      <c r="X100" s="817"/>
      <c r="Y100" s="817"/>
      <c r="Z100" s="817"/>
      <c r="AA100" s="817"/>
      <c r="AB100" s="817"/>
      <c r="AC100" s="817"/>
      <c r="AD100" s="817"/>
      <c r="AE100" s="817"/>
      <c r="AF100" s="817"/>
      <c r="AG100" s="816">
        <f t="shared" si="3"/>
        <v>0</v>
      </c>
    </row>
    <row r="101" spans="2:33">
      <c r="B101" s="818" t="s">
        <v>448</v>
      </c>
      <c r="C101" s="817"/>
      <c r="D101" s="817"/>
      <c r="E101" s="817"/>
      <c r="F101" s="817"/>
      <c r="G101" s="817"/>
      <c r="H101" s="817"/>
      <c r="I101" s="817"/>
      <c r="J101" s="817"/>
      <c r="K101" s="817"/>
      <c r="L101" s="817"/>
      <c r="M101" s="817"/>
      <c r="N101" s="817"/>
      <c r="O101" s="817"/>
      <c r="P101" s="816">
        <f t="shared" si="2"/>
        <v>0</v>
      </c>
      <c r="Q101" s="817"/>
      <c r="R101" s="817"/>
      <c r="S101" s="817"/>
      <c r="T101" s="817"/>
      <c r="U101" s="817"/>
      <c r="V101" s="817"/>
      <c r="W101" s="817"/>
      <c r="X101" s="817"/>
      <c r="Y101" s="817"/>
      <c r="Z101" s="817"/>
      <c r="AA101" s="817"/>
      <c r="AB101" s="817"/>
      <c r="AC101" s="817"/>
      <c r="AD101" s="817"/>
      <c r="AE101" s="817"/>
      <c r="AF101" s="817"/>
      <c r="AG101" s="816">
        <f t="shared" si="3"/>
        <v>0</v>
      </c>
    </row>
    <row r="102" spans="2:33">
      <c r="B102" s="818" t="s">
        <v>1729</v>
      </c>
      <c r="C102" s="815">
        <v>11895.4704</v>
      </c>
      <c r="D102" s="815">
        <v>11779.18266</v>
      </c>
      <c r="E102" s="815">
        <v>11673.26074</v>
      </c>
      <c r="F102" s="815">
        <v>11914.37449</v>
      </c>
      <c r="G102" s="815">
        <v>11832.889219999999</v>
      </c>
      <c r="H102" s="815">
        <v>12020.83332</v>
      </c>
      <c r="I102" s="815">
        <v>11975.783649999999</v>
      </c>
      <c r="J102" s="815">
        <v>11852.36393</v>
      </c>
      <c r="K102" s="815">
        <v>11727.33221</v>
      </c>
      <c r="L102" s="815">
        <v>11604.760539999999</v>
      </c>
      <c r="M102" s="815">
        <v>11476.436229999999</v>
      </c>
      <c r="N102" s="815">
        <v>11350.59778</v>
      </c>
      <c r="O102" s="815">
        <v>11218.81251</v>
      </c>
      <c r="P102" s="816">
        <f t="shared" si="2"/>
        <v>11717.084436923078</v>
      </c>
      <c r="Q102" s="815">
        <v>11085.273950000001</v>
      </c>
      <c r="R102" s="815">
        <v>10963.05133</v>
      </c>
      <c r="S102" s="815">
        <v>10825.90985</v>
      </c>
      <c r="T102" s="815">
        <v>11430.005386438301</v>
      </c>
      <c r="U102" s="815">
        <v>16114.2035234246</v>
      </c>
      <c r="V102" s="815">
        <v>16867.522452962901</v>
      </c>
      <c r="W102" s="815">
        <v>16706.582276199799</v>
      </c>
      <c r="X102" s="815">
        <v>17004.422785327199</v>
      </c>
      <c r="Y102" s="815">
        <v>16837.058066372301</v>
      </c>
      <c r="Z102" s="815">
        <v>16665.340915499601</v>
      </c>
      <c r="AA102" s="815">
        <v>16502.119746544799</v>
      </c>
      <c r="AB102" s="815">
        <v>16333.555285672101</v>
      </c>
      <c r="AC102" s="815">
        <v>15844.5821126914</v>
      </c>
      <c r="AD102" s="815">
        <v>15685.6709856544</v>
      </c>
      <c r="AE102" s="815">
        <v>15516.006634781699</v>
      </c>
      <c r="AF102" s="815">
        <v>15351.0068158268</v>
      </c>
      <c r="AG102" s="816">
        <f t="shared" si="3"/>
        <v>15912.159768261223</v>
      </c>
    </row>
    <row r="103" spans="2:33">
      <c r="B103" s="818" t="s">
        <v>1730</v>
      </c>
      <c r="C103" s="815">
        <v>2048.99874</v>
      </c>
      <c r="D103" s="815">
        <v>2386.88906</v>
      </c>
      <c r="E103" s="815">
        <v>2350.1677</v>
      </c>
      <c r="F103" s="815">
        <v>2317.4302200000002</v>
      </c>
      <c r="G103" s="815">
        <v>2277.951</v>
      </c>
      <c r="H103" s="815">
        <v>2237.1558100000002</v>
      </c>
      <c r="I103" s="815">
        <v>2197.67659</v>
      </c>
      <c r="J103" s="815">
        <v>2156.8814000000002</v>
      </c>
      <c r="K103" s="815">
        <v>2116.0862000000002</v>
      </c>
      <c r="L103" s="815">
        <v>2076.60698</v>
      </c>
      <c r="M103" s="815">
        <v>2035.81179</v>
      </c>
      <c r="N103" s="815">
        <v>1996.33257</v>
      </c>
      <c r="O103" s="815">
        <v>1955.53737</v>
      </c>
      <c r="P103" s="816">
        <f t="shared" si="2"/>
        <v>2165.6558023076923</v>
      </c>
      <c r="Q103" s="815">
        <v>2317.78878974808</v>
      </c>
      <c r="R103" s="815">
        <v>2278.5489643373398</v>
      </c>
      <c r="S103" s="815">
        <v>2235.1048647754601</v>
      </c>
      <c r="T103" s="815">
        <v>2193.0621932639601</v>
      </c>
      <c r="U103" s="815">
        <v>2149.6181037020801</v>
      </c>
      <c r="V103" s="815">
        <v>2107.5754321905802</v>
      </c>
      <c r="W103" s="815">
        <v>2064.1313426286902</v>
      </c>
      <c r="X103" s="815">
        <v>2020.68724306681</v>
      </c>
      <c r="Y103" s="815">
        <v>1978.64457155531</v>
      </c>
      <c r="Z103" s="815">
        <v>1935.20048199342</v>
      </c>
      <c r="AA103" s="815">
        <v>1893.15781048192</v>
      </c>
      <c r="AB103" s="815">
        <v>1849.71372092004</v>
      </c>
      <c r="AC103" s="815">
        <v>2213.6002893581599</v>
      </c>
      <c r="AD103" s="815">
        <v>2180.7661230089502</v>
      </c>
      <c r="AE103" s="815">
        <v>2144.6564003598</v>
      </c>
      <c r="AF103" s="815">
        <v>2109.7115118606198</v>
      </c>
      <c r="AG103" s="816">
        <f t="shared" si="3"/>
        <v>2064.6557864915649</v>
      </c>
    </row>
    <row r="104" spans="2:33" ht="15.75" thickBot="1">
      <c r="B104" s="818" t="s">
        <v>450</v>
      </c>
      <c r="C104" s="820">
        <v>15557.92733</v>
      </c>
      <c r="D104" s="820">
        <v>15477.336939999999</v>
      </c>
      <c r="E104" s="820">
        <v>15398.18036</v>
      </c>
      <c r="F104" s="820">
        <v>15310.542729999999</v>
      </c>
      <c r="G104" s="820">
        <v>15225.73214</v>
      </c>
      <c r="H104" s="820">
        <v>15140.20442</v>
      </c>
      <c r="I104" s="820">
        <v>15055.916939999999</v>
      </c>
      <c r="J104" s="820">
        <v>14968.819889999901</v>
      </c>
      <c r="K104" s="820">
        <v>14881.7228399999</v>
      </c>
      <c r="L104" s="820">
        <v>14797.4353399999</v>
      </c>
      <c r="M104" s="820">
        <v>14710.3382899999</v>
      </c>
      <c r="N104" s="820">
        <v>14626.0508399999</v>
      </c>
      <c r="O104" s="820">
        <v>14538.953739999901</v>
      </c>
      <c r="P104" s="816">
        <f t="shared" si="2"/>
        <v>15053.012446153802</v>
      </c>
      <c r="Q104" s="820">
        <v>14451.856679999901</v>
      </c>
      <c r="R104" s="820">
        <v>14373.188389999899</v>
      </c>
      <c r="S104" s="820">
        <v>14286.091319999899</v>
      </c>
      <c r="T104" s="820">
        <v>14201.803829999901</v>
      </c>
      <c r="U104" s="820">
        <v>14114.7067799999</v>
      </c>
      <c r="V104" s="820">
        <v>14030.4192999999</v>
      </c>
      <c r="W104" s="820">
        <v>13943.322249999899</v>
      </c>
      <c r="X104" s="820">
        <v>13856.2252099999</v>
      </c>
      <c r="Y104" s="820">
        <v>13771.937739999899</v>
      </c>
      <c r="Z104" s="820">
        <v>13684.840689999901</v>
      </c>
      <c r="AA104" s="820">
        <v>13600.5532199999</v>
      </c>
      <c r="AB104" s="820">
        <v>13513.4561599999</v>
      </c>
      <c r="AC104" s="820">
        <v>13745.740042108</v>
      </c>
      <c r="AD104" s="820">
        <v>13658.446055758801</v>
      </c>
      <c r="AE104" s="820">
        <v>13564.9946431096</v>
      </c>
      <c r="AF104" s="820">
        <v>13474.5577986104</v>
      </c>
      <c r="AG104" s="816">
        <f t="shared" si="3"/>
        <v>13781.615670737374</v>
      </c>
    </row>
    <row r="105" spans="2:33">
      <c r="B105" s="818" t="s">
        <v>448</v>
      </c>
      <c r="C105" s="815">
        <v>29502.39647</v>
      </c>
      <c r="D105" s="815">
        <v>29643.408660000001</v>
      </c>
      <c r="E105" s="815">
        <v>29421.608800000002</v>
      </c>
      <c r="F105" s="815">
        <v>29542.347440000001</v>
      </c>
      <c r="G105" s="815">
        <v>29336.572359999998</v>
      </c>
      <c r="H105" s="815">
        <v>29398.19355</v>
      </c>
      <c r="I105" s="815">
        <v>29229.377179999999</v>
      </c>
      <c r="J105" s="815">
        <v>28978.06522</v>
      </c>
      <c r="K105" s="815">
        <v>28725.141250000001</v>
      </c>
      <c r="L105" s="815">
        <v>28478.80286</v>
      </c>
      <c r="M105" s="815">
        <v>28222.586309999999</v>
      </c>
      <c r="N105" s="815">
        <v>27972.981189999999</v>
      </c>
      <c r="O105" s="815">
        <v>27713.303619999999</v>
      </c>
      <c r="P105" s="816">
        <f t="shared" si="2"/>
        <v>28935.752685384618</v>
      </c>
      <c r="Q105" s="815">
        <v>27854.919419747999</v>
      </c>
      <c r="R105" s="815">
        <v>27614.788684337302</v>
      </c>
      <c r="S105" s="815">
        <v>27347.106034775399</v>
      </c>
      <c r="T105" s="815">
        <v>27824.8714097023</v>
      </c>
      <c r="U105" s="815">
        <v>32378.528407126701</v>
      </c>
      <c r="V105" s="815">
        <v>33005.517185153498</v>
      </c>
      <c r="W105" s="815">
        <v>32714.035868828501</v>
      </c>
      <c r="X105" s="815">
        <v>32881.335238394</v>
      </c>
      <c r="Y105" s="815">
        <v>32587.640377927601</v>
      </c>
      <c r="Z105" s="815">
        <v>32285.382087492999</v>
      </c>
      <c r="AA105" s="815">
        <v>31995.830777026698</v>
      </c>
      <c r="AB105" s="815">
        <v>31696.725166592099</v>
      </c>
      <c r="AC105" s="815">
        <v>31803.922444157601</v>
      </c>
      <c r="AD105" s="815">
        <v>31524.883164422099</v>
      </c>
      <c r="AE105" s="815">
        <v>31225.657678251198</v>
      </c>
      <c r="AF105" s="815">
        <v>30935.2761262979</v>
      </c>
      <c r="AG105" s="816">
        <f t="shared" si="3"/>
        <v>31758.431225490247</v>
      </c>
    </row>
    <row r="106" spans="2:33">
      <c r="C106" s="817"/>
      <c r="D106" s="817"/>
      <c r="E106" s="817"/>
      <c r="F106" s="817"/>
      <c r="G106" s="817"/>
      <c r="H106" s="817"/>
      <c r="I106" s="817"/>
      <c r="J106" s="817"/>
      <c r="K106" s="817"/>
      <c r="L106" s="817"/>
      <c r="M106" s="817"/>
      <c r="N106" s="817"/>
      <c r="O106" s="817"/>
      <c r="P106" s="816">
        <f t="shared" si="2"/>
        <v>0</v>
      </c>
      <c r="Q106" s="817"/>
      <c r="R106" s="817"/>
      <c r="S106" s="817"/>
      <c r="T106" s="817"/>
      <c r="U106" s="817"/>
      <c r="V106" s="817"/>
      <c r="W106" s="817"/>
      <c r="X106" s="817"/>
      <c r="Y106" s="817"/>
      <c r="Z106" s="817"/>
      <c r="AA106" s="817"/>
      <c r="AB106" s="817"/>
      <c r="AC106" s="817"/>
      <c r="AD106" s="817"/>
      <c r="AE106" s="817"/>
      <c r="AF106" s="817"/>
      <c r="AG106" s="816">
        <f t="shared" si="3"/>
        <v>0</v>
      </c>
    </row>
    <row r="107" spans="2:33">
      <c r="B107" s="818" t="s">
        <v>451</v>
      </c>
      <c r="C107" s="817"/>
      <c r="D107" s="817"/>
      <c r="E107" s="817"/>
      <c r="F107" s="817"/>
      <c r="G107" s="817"/>
      <c r="H107" s="817"/>
      <c r="I107" s="817"/>
      <c r="J107" s="817"/>
      <c r="K107" s="817"/>
      <c r="L107" s="817"/>
      <c r="M107" s="817"/>
      <c r="N107" s="817"/>
      <c r="O107" s="817"/>
      <c r="P107" s="816">
        <f t="shared" si="2"/>
        <v>0</v>
      </c>
      <c r="Q107" s="817"/>
      <c r="R107" s="817"/>
      <c r="S107" s="817"/>
      <c r="T107" s="817"/>
      <c r="U107" s="817"/>
      <c r="V107" s="817"/>
      <c r="W107" s="817"/>
      <c r="X107" s="817"/>
      <c r="Y107" s="817"/>
      <c r="Z107" s="817"/>
      <c r="AA107" s="817"/>
      <c r="AB107" s="817"/>
      <c r="AC107" s="817"/>
      <c r="AD107" s="817"/>
      <c r="AE107" s="817"/>
      <c r="AF107" s="817"/>
      <c r="AG107" s="816">
        <f t="shared" si="3"/>
        <v>0</v>
      </c>
    </row>
    <row r="108" spans="2:33">
      <c r="B108" s="818" t="s">
        <v>452</v>
      </c>
      <c r="C108" s="815">
        <v>164500.18174</v>
      </c>
      <c r="D108" s="815">
        <v>164500.18174</v>
      </c>
      <c r="E108" s="815">
        <v>164500.18174</v>
      </c>
      <c r="F108" s="815">
        <v>158452.34995</v>
      </c>
      <c r="G108" s="815">
        <v>157711.66672999901</v>
      </c>
      <c r="H108" s="815">
        <v>157711.66672999901</v>
      </c>
      <c r="I108" s="815">
        <v>149434.14851999999</v>
      </c>
      <c r="J108" s="815">
        <v>149434.14851999999</v>
      </c>
      <c r="K108" s="815">
        <v>149434.14851999999</v>
      </c>
      <c r="L108" s="815">
        <v>149434.14851999999</v>
      </c>
      <c r="M108" s="815">
        <v>149434.14851999999</v>
      </c>
      <c r="N108" s="815">
        <v>149434.14851999999</v>
      </c>
      <c r="O108" s="815">
        <v>149434.14851999999</v>
      </c>
      <c r="P108" s="816">
        <f t="shared" si="2"/>
        <v>154878.09755923063</v>
      </c>
      <c r="Q108" s="815">
        <v>149434.14851999999</v>
      </c>
      <c r="R108" s="815">
        <v>149434.14851999999</v>
      </c>
      <c r="S108" s="815">
        <v>149434.14851999999</v>
      </c>
      <c r="T108" s="815">
        <v>149434.14851999999</v>
      </c>
      <c r="U108" s="815">
        <v>149434.14851999999</v>
      </c>
      <c r="V108" s="815">
        <v>149434.14851999999</v>
      </c>
      <c r="W108" s="815">
        <v>149434.14851999999</v>
      </c>
      <c r="X108" s="815">
        <v>149434.14851999999</v>
      </c>
      <c r="Y108" s="815">
        <v>149434.14851999999</v>
      </c>
      <c r="Z108" s="815">
        <v>149434.14851999999</v>
      </c>
      <c r="AA108" s="815">
        <v>149434.14851999999</v>
      </c>
      <c r="AB108" s="815">
        <v>149434.14851999999</v>
      </c>
      <c r="AC108" s="815">
        <v>149434.14851999999</v>
      </c>
      <c r="AD108" s="815">
        <v>149434.14851999999</v>
      </c>
      <c r="AE108" s="815">
        <v>149434.14851999999</v>
      </c>
      <c r="AF108" s="815">
        <v>149434.14851999999</v>
      </c>
      <c r="AG108" s="816">
        <f t="shared" si="3"/>
        <v>149434.14852000002</v>
      </c>
    </row>
    <row r="109" spans="2:33">
      <c r="B109" s="818" t="s">
        <v>453</v>
      </c>
      <c r="C109" s="815">
        <v>155375.72962</v>
      </c>
      <c r="D109" s="815">
        <v>155375.72963999899</v>
      </c>
      <c r="E109" s="815">
        <v>155375.72963999899</v>
      </c>
      <c r="F109" s="815">
        <v>154697.62471</v>
      </c>
      <c r="G109" s="815">
        <v>154268.24038</v>
      </c>
      <c r="H109" s="815">
        <v>154268.24038</v>
      </c>
      <c r="I109" s="815">
        <v>153564.91162999999</v>
      </c>
      <c r="J109" s="815">
        <v>153564.91162999999</v>
      </c>
      <c r="K109" s="815">
        <v>153564.91162999999</v>
      </c>
      <c r="L109" s="815">
        <v>153564.91162999999</v>
      </c>
      <c r="M109" s="815">
        <v>153564.91162999999</v>
      </c>
      <c r="N109" s="815">
        <v>153564.91162999999</v>
      </c>
      <c r="O109" s="815">
        <v>153564.91162999999</v>
      </c>
      <c r="P109" s="816">
        <f t="shared" si="2"/>
        <v>154178.12890615367</v>
      </c>
      <c r="Q109" s="815">
        <v>153564.91162999999</v>
      </c>
      <c r="R109" s="815">
        <v>153564.91162999999</v>
      </c>
      <c r="S109" s="815">
        <v>153564.91162999999</v>
      </c>
      <c r="T109" s="815">
        <v>153564.91162999999</v>
      </c>
      <c r="U109" s="815">
        <v>153564.91162999999</v>
      </c>
      <c r="V109" s="815">
        <v>153564.91162999999</v>
      </c>
      <c r="W109" s="815">
        <v>153564.91162999999</v>
      </c>
      <c r="X109" s="815">
        <v>153564.91162999999</v>
      </c>
      <c r="Y109" s="815">
        <v>153564.91162999999</v>
      </c>
      <c r="Z109" s="815">
        <v>153564.91162999999</v>
      </c>
      <c r="AA109" s="815">
        <v>153564.91162999999</v>
      </c>
      <c r="AB109" s="815">
        <v>153564.91162999999</v>
      </c>
      <c r="AC109" s="815">
        <v>153564.91162999999</v>
      </c>
      <c r="AD109" s="815">
        <v>153564.91162999999</v>
      </c>
      <c r="AE109" s="815">
        <v>153564.91162999999</v>
      </c>
      <c r="AF109" s="815">
        <v>153564.91162999999</v>
      </c>
      <c r="AG109" s="816">
        <f t="shared" si="3"/>
        <v>153564.91162999999</v>
      </c>
    </row>
    <row r="110" spans="2:33" ht="15.75" thickBot="1">
      <c r="B110" s="818" t="s">
        <v>454</v>
      </c>
      <c r="C110" s="820">
        <v>0</v>
      </c>
      <c r="D110" s="820">
        <v>0</v>
      </c>
      <c r="E110" s="820">
        <v>0</v>
      </c>
      <c r="F110" s="820">
        <v>0</v>
      </c>
      <c r="G110" s="820">
        <v>0</v>
      </c>
      <c r="H110" s="820">
        <v>0</v>
      </c>
      <c r="I110" s="820">
        <v>0</v>
      </c>
      <c r="J110" s="820">
        <v>0</v>
      </c>
      <c r="K110" s="820">
        <v>0</v>
      </c>
      <c r="L110" s="820">
        <v>0</v>
      </c>
      <c r="M110" s="820">
        <v>0</v>
      </c>
      <c r="N110" s="820">
        <v>0</v>
      </c>
      <c r="O110" s="820">
        <v>0</v>
      </c>
      <c r="P110" s="816">
        <f t="shared" si="2"/>
        <v>0</v>
      </c>
      <c r="Q110" s="820">
        <v>0</v>
      </c>
      <c r="R110" s="820">
        <v>0</v>
      </c>
      <c r="S110" s="820">
        <v>0</v>
      </c>
      <c r="T110" s="820">
        <v>0</v>
      </c>
      <c r="U110" s="820">
        <v>0</v>
      </c>
      <c r="V110" s="820">
        <v>0</v>
      </c>
      <c r="W110" s="820">
        <v>0</v>
      </c>
      <c r="X110" s="820">
        <v>0</v>
      </c>
      <c r="Y110" s="820">
        <v>0</v>
      </c>
      <c r="Z110" s="820">
        <v>0</v>
      </c>
      <c r="AA110" s="820">
        <v>0</v>
      </c>
      <c r="AB110" s="820">
        <v>0</v>
      </c>
      <c r="AC110" s="820">
        <v>0</v>
      </c>
      <c r="AD110" s="820">
        <v>0</v>
      </c>
      <c r="AE110" s="820">
        <v>0</v>
      </c>
      <c r="AF110" s="820">
        <v>0</v>
      </c>
      <c r="AG110" s="816">
        <f t="shared" si="3"/>
        <v>0</v>
      </c>
    </row>
    <row r="111" spans="2:33">
      <c r="B111" s="818" t="s">
        <v>451</v>
      </c>
      <c r="C111" s="815">
        <v>319875.91136000003</v>
      </c>
      <c r="D111" s="815">
        <v>319875.91138000001</v>
      </c>
      <c r="E111" s="815">
        <v>319875.91138000001</v>
      </c>
      <c r="F111" s="815">
        <v>313149.97466000001</v>
      </c>
      <c r="G111" s="815">
        <v>311979.90710999997</v>
      </c>
      <c r="H111" s="815">
        <v>311979.90710999997</v>
      </c>
      <c r="I111" s="815">
        <v>302999.06014999998</v>
      </c>
      <c r="J111" s="815">
        <v>302999.06014999998</v>
      </c>
      <c r="K111" s="815">
        <v>302999.06014999998</v>
      </c>
      <c r="L111" s="815">
        <v>302999.06014999998</v>
      </c>
      <c r="M111" s="815">
        <v>302999.06014999998</v>
      </c>
      <c r="N111" s="815">
        <v>302999.06014999998</v>
      </c>
      <c r="O111" s="815">
        <v>302999.06014999998</v>
      </c>
      <c r="P111" s="816">
        <f t="shared" si="2"/>
        <v>309056.22646538453</v>
      </c>
      <c r="Q111" s="815">
        <v>302999.06014999998</v>
      </c>
      <c r="R111" s="815">
        <v>302999.06014999998</v>
      </c>
      <c r="S111" s="815">
        <v>302999.06014999998</v>
      </c>
      <c r="T111" s="815">
        <v>302999.06014999998</v>
      </c>
      <c r="U111" s="815">
        <v>302999.06014999998</v>
      </c>
      <c r="V111" s="815">
        <v>302999.06014999998</v>
      </c>
      <c r="W111" s="815">
        <v>302999.06014999998</v>
      </c>
      <c r="X111" s="815">
        <v>302999.06014999998</v>
      </c>
      <c r="Y111" s="815">
        <v>302999.06014999998</v>
      </c>
      <c r="Z111" s="815">
        <v>302999.06014999998</v>
      </c>
      <c r="AA111" s="815">
        <v>302999.06014999998</v>
      </c>
      <c r="AB111" s="815">
        <v>302999.06014999998</v>
      </c>
      <c r="AC111" s="815">
        <v>302999.06014999998</v>
      </c>
      <c r="AD111" s="815">
        <v>302999.06014999998</v>
      </c>
      <c r="AE111" s="815">
        <v>302999.06014999998</v>
      </c>
      <c r="AF111" s="815">
        <v>302999.06014999998</v>
      </c>
      <c r="AG111" s="816">
        <f t="shared" si="3"/>
        <v>302999.06014999992</v>
      </c>
    </row>
    <row r="112" spans="2:33"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6">
        <f t="shared" si="2"/>
        <v>0</v>
      </c>
      <c r="Q112" s="817"/>
      <c r="R112" s="817"/>
      <c r="S112" s="817"/>
      <c r="T112" s="817"/>
      <c r="U112" s="817"/>
      <c r="V112" s="817"/>
      <c r="W112" s="817"/>
      <c r="X112" s="817"/>
      <c r="Y112" s="817"/>
      <c r="Z112" s="817"/>
      <c r="AA112" s="817"/>
      <c r="AB112" s="817"/>
      <c r="AC112" s="817"/>
      <c r="AD112" s="817"/>
      <c r="AE112" s="817"/>
      <c r="AF112" s="817"/>
      <c r="AG112" s="816">
        <f t="shared" si="3"/>
        <v>0</v>
      </c>
    </row>
    <row r="113" spans="1:33">
      <c r="B113" s="818" t="s">
        <v>455</v>
      </c>
      <c r="C113" s="817"/>
      <c r="D113" s="817"/>
      <c r="E113" s="817"/>
      <c r="F113" s="817"/>
      <c r="G113" s="817"/>
      <c r="H113" s="817"/>
      <c r="I113" s="817"/>
      <c r="J113" s="817"/>
      <c r="K113" s="817"/>
      <c r="L113" s="817"/>
      <c r="M113" s="817"/>
      <c r="N113" s="817"/>
      <c r="O113" s="817"/>
      <c r="P113" s="816">
        <f t="shared" si="2"/>
        <v>0</v>
      </c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6">
        <f t="shared" si="3"/>
        <v>0</v>
      </c>
    </row>
    <row r="114" spans="1:33">
      <c r="B114" s="818" t="s">
        <v>456</v>
      </c>
      <c r="C114" s="815">
        <v>7533.9618300000002</v>
      </c>
      <c r="D114" s="815">
        <v>7533.9618300000002</v>
      </c>
      <c r="E114" s="815">
        <v>7533.9618300000002</v>
      </c>
      <c r="F114" s="815">
        <v>7483.3820299999998</v>
      </c>
      <c r="G114" s="815">
        <v>7483.9144500000002</v>
      </c>
      <c r="H114" s="815">
        <v>7483.9144500000002</v>
      </c>
      <c r="I114" s="815">
        <v>7128.8410000000003</v>
      </c>
      <c r="J114" s="815">
        <v>7128.8410000000003</v>
      </c>
      <c r="K114" s="815">
        <v>7128.8410000000003</v>
      </c>
      <c r="L114" s="815">
        <v>7080.3296621297204</v>
      </c>
      <c r="M114" s="815">
        <v>7080.3296621297204</v>
      </c>
      <c r="N114" s="815">
        <v>7080.3296621297204</v>
      </c>
      <c r="O114" s="815">
        <v>7031.8183242594396</v>
      </c>
      <c r="P114" s="816">
        <f t="shared" si="2"/>
        <v>7285.5712869729696</v>
      </c>
      <c r="Q114" s="815">
        <v>7031.8183242594396</v>
      </c>
      <c r="R114" s="815">
        <v>7031.8183242594396</v>
      </c>
      <c r="S114" s="815">
        <v>6983.3069863891596</v>
      </c>
      <c r="T114" s="815">
        <v>6983.3069863891596</v>
      </c>
      <c r="U114" s="815">
        <v>6983.3069863891596</v>
      </c>
      <c r="V114" s="815">
        <v>6934.7956485188797</v>
      </c>
      <c r="W114" s="815">
        <v>6934.7956485188797</v>
      </c>
      <c r="X114" s="815">
        <v>6934.7956485188797</v>
      </c>
      <c r="Y114" s="815">
        <v>6886.2843106486098</v>
      </c>
      <c r="Z114" s="815">
        <v>6886.2843106486098</v>
      </c>
      <c r="AA114" s="815">
        <v>6886.2843106486098</v>
      </c>
      <c r="AB114" s="815">
        <v>6837.7729727783299</v>
      </c>
      <c r="AC114" s="815">
        <v>6837.7729727783299</v>
      </c>
      <c r="AD114" s="815">
        <v>6837.7729727783299</v>
      </c>
      <c r="AE114" s="815">
        <v>6789.2616349080499</v>
      </c>
      <c r="AF114" s="815">
        <v>6789.2616349080499</v>
      </c>
      <c r="AG114" s="816">
        <f t="shared" si="3"/>
        <v>6886.2843106486062</v>
      </c>
    </row>
    <row r="115" spans="1:33">
      <c r="A115" s="713">
        <v>182</v>
      </c>
      <c r="B115" s="818" t="s">
        <v>457</v>
      </c>
      <c r="C115" s="815">
        <v>233798.5325</v>
      </c>
      <c r="D115" s="815">
        <v>233798.5325</v>
      </c>
      <c r="E115" s="815">
        <v>233798.5325</v>
      </c>
      <c r="F115" s="815">
        <v>229628.67050000001</v>
      </c>
      <c r="G115" s="815">
        <v>229628.67050000001</v>
      </c>
      <c r="H115" s="815">
        <v>229628.67050000001</v>
      </c>
      <c r="I115" s="815">
        <v>230433.75349999999</v>
      </c>
      <c r="J115" s="815">
        <v>228944.03595806801</v>
      </c>
      <c r="K115" s="815">
        <v>227454.318416136</v>
      </c>
      <c r="L115" s="815">
        <v>226480.299158023</v>
      </c>
      <c r="M115" s="815">
        <v>224990.58161609201</v>
      </c>
      <c r="N115" s="815">
        <v>223500.86407416</v>
      </c>
      <c r="O115" s="815">
        <v>222526.844816047</v>
      </c>
      <c r="P115" s="816">
        <f t="shared" si="2"/>
        <v>228816.33127219431</v>
      </c>
      <c r="Q115" s="815">
        <v>221327.44441406601</v>
      </c>
      <c r="R115" s="815">
        <v>220128.04401208501</v>
      </c>
      <c r="S115" s="815">
        <v>219089.32889421401</v>
      </c>
      <c r="T115" s="815">
        <v>217889.92849223301</v>
      </c>
      <c r="U115" s="815">
        <v>216690.528090251</v>
      </c>
      <c r="V115" s="815">
        <v>215651.81297237999</v>
      </c>
      <c r="W115" s="815">
        <v>214452.412570399</v>
      </c>
      <c r="X115" s="815">
        <v>213253.012168418</v>
      </c>
      <c r="Y115" s="815">
        <v>212214.297050547</v>
      </c>
      <c r="Z115" s="815">
        <v>211014.89664856601</v>
      </c>
      <c r="AA115" s="815">
        <v>209815.49624658399</v>
      </c>
      <c r="AB115" s="815">
        <v>208776.78112871299</v>
      </c>
      <c r="AC115" s="815">
        <v>207604.19492590701</v>
      </c>
      <c r="AD115" s="815">
        <v>206431.608723101</v>
      </c>
      <c r="AE115" s="815">
        <v>205344.12448497899</v>
      </c>
      <c r="AF115" s="815">
        <v>204171.538282172</v>
      </c>
      <c r="AG115" s="816">
        <f t="shared" si="3"/>
        <v>211023.89475263463</v>
      </c>
    </row>
    <row r="116" spans="1:33">
      <c r="B116" s="818" t="s">
        <v>458</v>
      </c>
      <c r="C116" s="815">
        <v>17808.776989999998</v>
      </c>
      <c r="D116" s="815">
        <v>17180.186600000001</v>
      </c>
      <c r="E116" s="815">
        <v>16551.59621</v>
      </c>
      <c r="F116" s="815">
        <v>15923.00582</v>
      </c>
      <c r="G116" s="815">
        <v>15294.415429999999</v>
      </c>
      <c r="H116" s="815">
        <v>14665.82504</v>
      </c>
      <c r="I116" s="815">
        <v>14037.23465</v>
      </c>
      <c r="J116" s="815">
        <v>13475.745291336099</v>
      </c>
      <c r="K116" s="815">
        <v>12914.2559326723</v>
      </c>
      <c r="L116" s="815">
        <v>12352.766574008499</v>
      </c>
      <c r="M116" s="815">
        <v>11791.2772153447</v>
      </c>
      <c r="N116" s="815">
        <v>13620.259856680899</v>
      </c>
      <c r="O116" s="815">
        <v>13058.7704980171</v>
      </c>
      <c r="P116" s="816">
        <f t="shared" si="2"/>
        <v>14513.393546773819</v>
      </c>
      <c r="Q116" s="815">
        <v>12497.281139353299</v>
      </c>
      <c r="R116" s="815">
        <v>11935.7917806895</v>
      </c>
      <c r="S116" s="815">
        <v>11374.302422025699</v>
      </c>
      <c r="T116" s="815">
        <v>10812.8130633618</v>
      </c>
      <c r="U116" s="815">
        <v>10449.035669119499</v>
      </c>
      <c r="V116" s="815">
        <v>10085.2582748772</v>
      </c>
      <c r="W116" s="815">
        <v>9721.4808806349793</v>
      </c>
      <c r="X116" s="815">
        <v>9357.7034863926692</v>
      </c>
      <c r="Y116" s="815">
        <v>8993.9260921503592</v>
      </c>
      <c r="Z116" s="815">
        <v>8630.1486979080601</v>
      </c>
      <c r="AA116" s="815">
        <v>8266.37130366575</v>
      </c>
      <c r="AB116" s="815">
        <v>7902.59390942345</v>
      </c>
      <c r="AC116" s="815">
        <v>7538.8165151811399</v>
      </c>
      <c r="AD116" s="815">
        <v>7175.0391209388299</v>
      </c>
      <c r="AE116" s="815">
        <v>6811.2617266965299</v>
      </c>
      <c r="AF116" s="815">
        <v>6447.4843324542198</v>
      </c>
      <c r="AG116" s="816">
        <f t="shared" si="3"/>
        <v>8630.1486979080364</v>
      </c>
    </row>
    <row r="117" spans="1:33">
      <c r="B117" s="818" t="s">
        <v>459</v>
      </c>
      <c r="C117" s="815">
        <v>8831.7721600000004</v>
      </c>
      <c r="D117" s="815">
        <v>4243.4727999999996</v>
      </c>
      <c r="E117" s="815">
        <v>5783.2493299999996</v>
      </c>
      <c r="F117" s="815">
        <v>4470.3224099999998</v>
      </c>
      <c r="G117" s="815">
        <v>4270.9191499999997</v>
      </c>
      <c r="H117" s="815">
        <v>4558.2115599999997</v>
      </c>
      <c r="I117" s="815">
        <v>4842.7302600000003</v>
      </c>
      <c r="J117" s="815">
        <v>4418.5724499999997</v>
      </c>
      <c r="K117" s="815">
        <v>4192.8390710562599</v>
      </c>
      <c r="L117" s="815">
        <v>3898.7403899999999</v>
      </c>
      <c r="M117" s="815">
        <v>3638.8243600000001</v>
      </c>
      <c r="N117" s="815">
        <v>3406.5167203239598</v>
      </c>
      <c r="O117" s="815">
        <v>3118.9922999999999</v>
      </c>
      <c r="P117" s="816">
        <f t="shared" si="2"/>
        <v>4590.3971508754012</v>
      </c>
      <c r="Q117" s="815">
        <v>2859.07627</v>
      </c>
      <c r="R117" s="815">
        <v>2599.1602400000002</v>
      </c>
      <c r="S117" s="815">
        <v>2339.2442099999998</v>
      </c>
      <c r="T117" s="815">
        <v>2086.7369774792601</v>
      </c>
      <c r="U117" s="815">
        <v>1913.06198527723</v>
      </c>
      <c r="V117" s="815">
        <v>1633.68619545971</v>
      </c>
      <c r="W117" s="815">
        <v>1364.01644088329</v>
      </c>
      <c r="X117" s="815">
        <v>1239.92811972355</v>
      </c>
      <c r="Y117" s="815">
        <v>856.30528848685901</v>
      </c>
      <c r="Z117" s="815">
        <v>627.73275230660101</v>
      </c>
      <c r="AA117" s="815">
        <v>424.60942417595498</v>
      </c>
      <c r="AB117" s="815">
        <v>7.9999999996971301E-5</v>
      </c>
      <c r="AC117" s="815">
        <v>7.9999999996971301E-5</v>
      </c>
      <c r="AD117" s="815">
        <v>7.9999999996971301E-5</v>
      </c>
      <c r="AE117" s="815">
        <v>62.823120699873897</v>
      </c>
      <c r="AF117" s="815">
        <v>103.180436484377</v>
      </c>
      <c r="AG117" s="816">
        <f t="shared" si="3"/>
        <v>793.2369985366696</v>
      </c>
    </row>
    <row r="118" spans="1:33">
      <c r="B118" s="818" t="s">
        <v>564</v>
      </c>
      <c r="C118" s="815">
        <v>42186.399400000002</v>
      </c>
      <c r="D118" s="815">
        <v>39081.107190000002</v>
      </c>
      <c r="E118" s="815">
        <v>37637.109920000003</v>
      </c>
      <c r="F118" s="815">
        <v>37925.022190000003</v>
      </c>
      <c r="G118" s="815">
        <v>36276.653429999998</v>
      </c>
      <c r="H118" s="815">
        <v>36729.599749999899</v>
      </c>
      <c r="I118" s="815">
        <v>35900.223379999901</v>
      </c>
      <c r="J118" s="815">
        <v>35429.000705808998</v>
      </c>
      <c r="K118" s="815">
        <v>34965.326744618098</v>
      </c>
      <c r="L118" s="815">
        <v>34506.1889722173</v>
      </c>
      <c r="M118" s="815">
        <v>34055.895776286801</v>
      </c>
      <c r="N118" s="815">
        <v>33612.958934396403</v>
      </c>
      <c r="O118" s="815">
        <v>33177.088162507498</v>
      </c>
      <c r="P118" s="816">
        <f t="shared" si="2"/>
        <v>36267.890350448833</v>
      </c>
      <c r="Q118" s="815">
        <v>32750.9987344416</v>
      </c>
      <c r="R118" s="815">
        <v>32336.367408391801</v>
      </c>
      <c r="S118" s="815">
        <v>31923.488228075901</v>
      </c>
      <c r="T118" s="815">
        <v>31519.616682768799</v>
      </c>
      <c r="U118" s="815">
        <v>31120.6545585362</v>
      </c>
      <c r="V118" s="815">
        <v>30728.871202750001</v>
      </c>
      <c r="W118" s="815">
        <v>30341.206526215301</v>
      </c>
      <c r="X118" s="815">
        <v>29959.2086854931</v>
      </c>
      <c r="Y118" s="815">
        <v>29583.2746230714</v>
      </c>
      <c r="Z118" s="815">
        <v>29209.678966411801</v>
      </c>
      <c r="AA118" s="815">
        <v>28842.855663406801</v>
      </c>
      <c r="AB118" s="815">
        <v>28478.316872028401</v>
      </c>
      <c r="AC118" s="815">
        <v>28116.9083580562</v>
      </c>
      <c r="AD118" s="815">
        <v>27762.723034362101</v>
      </c>
      <c r="AE118" s="815">
        <v>27405.5217969941</v>
      </c>
      <c r="AF118" s="815">
        <v>27050.5719904787</v>
      </c>
      <c r="AG118" s="816">
        <f t="shared" si="3"/>
        <v>29239.954535428686</v>
      </c>
    </row>
    <row r="119" spans="1:33">
      <c r="B119" s="818" t="s">
        <v>460</v>
      </c>
      <c r="C119" s="815">
        <v>101419.13308</v>
      </c>
      <c r="D119" s="815">
        <v>102560.90768999999</v>
      </c>
      <c r="E119" s="815">
        <v>103687.82901</v>
      </c>
      <c r="F119" s="815">
        <v>106885.30849</v>
      </c>
      <c r="G119" s="815">
        <v>107673.47653</v>
      </c>
      <c r="H119" s="815">
        <v>108425.95463999901</v>
      </c>
      <c r="I119" s="815">
        <v>109530.14418</v>
      </c>
      <c r="J119" s="815">
        <v>110701.459028493</v>
      </c>
      <c r="K119" s="815">
        <v>112029.348498989</v>
      </c>
      <c r="L119" s="815">
        <v>113260.240876023</v>
      </c>
      <c r="M119" s="815">
        <v>115402.23184957801</v>
      </c>
      <c r="N119" s="815">
        <v>116573.624068555</v>
      </c>
      <c r="O119" s="815">
        <v>117800.614095779</v>
      </c>
      <c r="P119" s="816">
        <f t="shared" si="2"/>
        <v>109688.48246441659</v>
      </c>
      <c r="Q119" s="815">
        <v>118972.075240623</v>
      </c>
      <c r="R119" s="815">
        <v>120141.385060884</v>
      </c>
      <c r="S119" s="815">
        <v>121302.579669641</v>
      </c>
      <c r="T119" s="815">
        <v>122396.776889745</v>
      </c>
      <c r="U119" s="815">
        <v>123474.954371909</v>
      </c>
      <c r="V119" s="815">
        <v>124487.174395542</v>
      </c>
      <c r="W119" s="815">
        <v>125487.511185918</v>
      </c>
      <c r="X119" s="815">
        <v>126478.352233404</v>
      </c>
      <c r="Y119" s="815">
        <v>127467.485497535</v>
      </c>
      <c r="Z119" s="815">
        <v>128444.718146143</v>
      </c>
      <c r="AA119" s="815">
        <v>129427.446884144</v>
      </c>
      <c r="AB119" s="815">
        <v>130402.543001863</v>
      </c>
      <c r="AC119" s="815">
        <v>130960.85695303199</v>
      </c>
      <c r="AD119" s="815">
        <v>131531.25592252199</v>
      </c>
      <c r="AE119" s="815">
        <v>132086.75074560699</v>
      </c>
      <c r="AF119" s="815">
        <v>132644.73686679101</v>
      </c>
      <c r="AG119" s="816">
        <f t="shared" si="3"/>
        <v>128099.27408416578</v>
      </c>
    </row>
    <row r="120" spans="1:33" ht="15.75" thickBot="1">
      <c r="B120" s="818" t="s">
        <v>461</v>
      </c>
      <c r="C120" s="820">
        <v>3043.3161700000001</v>
      </c>
      <c r="D120" s="820">
        <v>3127.5392400000001</v>
      </c>
      <c r="E120" s="820">
        <v>3512.73333</v>
      </c>
      <c r="F120" s="820">
        <v>5280.8176599999997</v>
      </c>
      <c r="G120" s="820">
        <v>5847.62709</v>
      </c>
      <c r="H120" s="820">
        <v>5596.3054700000002</v>
      </c>
      <c r="I120" s="820">
        <v>5890.1838799999996</v>
      </c>
      <c r="J120" s="820">
        <v>6318.7248508893699</v>
      </c>
      <c r="K120" s="820">
        <v>6277.1530088643703</v>
      </c>
      <c r="L120" s="820">
        <v>5866.5292004706198</v>
      </c>
      <c r="M120" s="820">
        <v>5895.3354545374996</v>
      </c>
      <c r="N120" s="820">
        <v>5784.0952097787504</v>
      </c>
      <c r="O120" s="820">
        <v>6352.6843164818702</v>
      </c>
      <c r="P120" s="816">
        <f t="shared" si="2"/>
        <v>5291.7726831555756</v>
      </c>
      <c r="Q120" s="820">
        <v>6303.74387781937</v>
      </c>
      <c r="R120" s="820">
        <v>6165.0633649637502</v>
      </c>
      <c r="S120" s="820">
        <v>5394.3548899512498</v>
      </c>
      <c r="T120" s="820">
        <v>7439.1540372612499</v>
      </c>
      <c r="U120" s="820">
        <v>9278.8945833036996</v>
      </c>
      <c r="V120" s="820">
        <v>9146.4537185742902</v>
      </c>
      <c r="W120" s="820">
        <v>9048.7315554061206</v>
      </c>
      <c r="X120" s="820">
        <v>8952.7731702267101</v>
      </c>
      <c r="Y120" s="820">
        <v>9714.3904305004198</v>
      </c>
      <c r="Z120" s="820">
        <v>12125.6721336628</v>
      </c>
      <c r="AA120" s="820">
        <v>13632.9474948309</v>
      </c>
      <c r="AB120" s="820">
        <v>13659.899955520301</v>
      </c>
      <c r="AC120" s="820">
        <v>13503.9887650283</v>
      </c>
      <c r="AD120" s="820">
        <v>13626.6116195308</v>
      </c>
      <c r="AE120" s="820">
        <v>14016.0180204551</v>
      </c>
      <c r="AF120" s="820">
        <v>15239.142612498201</v>
      </c>
      <c r="AG120" s="816">
        <f t="shared" si="3"/>
        <v>11491.129084369146</v>
      </c>
    </row>
    <row r="121" spans="1:33">
      <c r="B121" s="818" t="s">
        <v>455</v>
      </c>
      <c r="C121" s="815">
        <v>414621.89212999999</v>
      </c>
      <c r="D121" s="815">
        <v>407525.70785000001</v>
      </c>
      <c r="E121" s="815">
        <v>408505.01212999999</v>
      </c>
      <c r="F121" s="815">
        <v>407596.52909999999</v>
      </c>
      <c r="G121" s="815">
        <v>406475.67658000003</v>
      </c>
      <c r="H121" s="815">
        <v>407088.48141000001</v>
      </c>
      <c r="I121" s="815">
        <v>407763.11085</v>
      </c>
      <c r="J121" s="815">
        <v>406416.37928459601</v>
      </c>
      <c r="K121" s="815">
        <v>404962.08267233701</v>
      </c>
      <c r="L121" s="815">
        <v>403445.09483287297</v>
      </c>
      <c r="M121" s="815">
        <v>402854.47593396902</v>
      </c>
      <c r="N121" s="815">
        <v>403578.64852602599</v>
      </c>
      <c r="O121" s="815">
        <v>403066.812513093</v>
      </c>
      <c r="P121" s="816">
        <f t="shared" si="2"/>
        <v>406453.83875483793</v>
      </c>
      <c r="Q121" s="815">
        <v>401742.438000564</v>
      </c>
      <c r="R121" s="815">
        <v>400337.63019127399</v>
      </c>
      <c r="S121" s="815">
        <v>398406.60530029697</v>
      </c>
      <c r="T121" s="815">
        <v>399128.33312923898</v>
      </c>
      <c r="U121" s="815">
        <v>399910.43624478701</v>
      </c>
      <c r="V121" s="815">
        <v>398668.05240810302</v>
      </c>
      <c r="W121" s="815">
        <v>397350.15480797598</v>
      </c>
      <c r="X121" s="815">
        <v>396175.77351217699</v>
      </c>
      <c r="Y121" s="815">
        <v>395715.96329294</v>
      </c>
      <c r="Z121" s="815">
        <v>396939.13165564701</v>
      </c>
      <c r="AA121" s="815">
        <v>397296.01132745598</v>
      </c>
      <c r="AB121" s="815">
        <v>396057.90792032698</v>
      </c>
      <c r="AC121" s="815">
        <v>394562.53856998403</v>
      </c>
      <c r="AD121" s="815">
        <v>393365.011473233</v>
      </c>
      <c r="AE121" s="815">
        <v>392515.76153033902</v>
      </c>
      <c r="AF121" s="815">
        <v>392445.916155788</v>
      </c>
      <c r="AG121" s="816">
        <f t="shared" si="3"/>
        <v>396163.92246369191</v>
      </c>
    </row>
    <row r="122" spans="1:33">
      <c r="C122" s="817"/>
      <c r="D122" s="817"/>
      <c r="E122" s="817"/>
      <c r="F122" s="817"/>
      <c r="G122" s="817"/>
      <c r="H122" s="817"/>
      <c r="I122" s="817"/>
      <c r="J122" s="817"/>
      <c r="K122" s="817"/>
      <c r="L122" s="817"/>
      <c r="M122" s="817"/>
      <c r="N122" s="817"/>
      <c r="O122" s="817"/>
      <c r="P122" s="816">
        <f t="shared" si="2"/>
        <v>0</v>
      </c>
      <c r="Q122" s="817"/>
      <c r="R122" s="817"/>
      <c r="S122" s="817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  <c r="AD122" s="817"/>
      <c r="AE122" s="817"/>
      <c r="AF122" s="817"/>
      <c r="AG122" s="816">
        <f t="shared" si="3"/>
        <v>0</v>
      </c>
    </row>
    <row r="123" spans="1:33">
      <c r="B123" s="818" t="s">
        <v>462</v>
      </c>
      <c r="C123" s="817"/>
      <c r="D123" s="817"/>
      <c r="E123" s="817"/>
      <c r="F123" s="817"/>
      <c r="G123" s="817"/>
      <c r="H123" s="817"/>
      <c r="I123" s="817"/>
      <c r="J123" s="817"/>
      <c r="K123" s="817"/>
      <c r="L123" s="817"/>
      <c r="M123" s="817"/>
      <c r="N123" s="817"/>
      <c r="O123" s="817"/>
      <c r="P123" s="816">
        <f t="shared" si="2"/>
        <v>0</v>
      </c>
      <c r="Q123" s="817"/>
      <c r="R123" s="817"/>
      <c r="S123" s="817"/>
      <c r="T123" s="817"/>
      <c r="U123" s="817"/>
      <c r="V123" s="817"/>
      <c r="W123" s="817"/>
      <c r="X123" s="817"/>
      <c r="Y123" s="817"/>
      <c r="Z123" s="817"/>
      <c r="AA123" s="817"/>
      <c r="AB123" s="817"/>
      <c r="AC123" s="817"/>
      <c r="AD123" s="817"/>
      <c r="AE123" s="817"/>
      <c r="AF123" s="817"/>
      <c r="AG123" s="816">
        <f t="shared" si="3"/>
        <v>0</v>
      </c>
    </row>
    <row r="124" spans="1:33">
      <c r="A124" s="713">
        <v>183</v>
      </c>
      <c r="B124" s="818" t="s">
        <v>463</v>
      </c>
      <c r="C124" s="815">
        <v>0</v>
      </c>
      <c r="D124" s="815">
        <v>0</v>
      </c>
      <c r="E124" s="815">
        <v>0</v>
      </c>
      <c r="F124" s="815">
        <v>0</v>
      </c>
      <c r="G124" s="815">
        <v>0</v>
      </c>
      <c r="H124" s="815">
        <v>0</v>
      </c>
      <c r="I124" s="815">
        <v>0</v>
      </c>
      <c r="J124" s="815">
        <v>0</v>
      </c>
      <c r="K124" s="815">
        <v>0</v>
      </c>
      <c r="L124" s="815">
        <v>0</v>
      </c>
      <c r="M124" s="815">
        <v>0</v>
      </c>
      <c r="N124" s="815">
        <v>0</v>
      </c>
      <c r="O124" s="815">
        <v>0</v>
      </c>
      <c r="P124" s="816">
        <f t="shared" si="2"/>
        <v>0</v>
      </c>
      <c r="Q124" s="815">
        <v>0</v>
      </c>
      <c r="R124" s="815">
        <v>0</v>
      </c>
      <c r="S124" s="815">
        <v>0</v>
      </c>
      <c r="T124" s="815">
        <v>0</v>
      </c>
      <c r="U124" s="815">
        <v>0</v>
      </c>
      <c r="V124" s="815">
        <v>0</v>
      </c>
      <c r="W124" s="815">
        <v>0</v>
      </c>
      <c r="X124" s="815">
        <v>0</v>
      </c>
      <c r="Y124" s="815">
        <v>0</v>
      </c>
      <c r="Z124" s="815">
        <v>0</v>
      </c>
      <c r="AA124" s="815">
        <v>0</v>
      </c>
      <c r="AB124" s="815">
        <v>0</v>
      </c>
      <c r="AC124" s="815">
        <v>0</v>
      </c>
      <c r="AD124" s="815">
        <v>0</v>
      </c>
      <c r="AE124" s="815">
        <v>0</v>
      </c>
      <c r="AF124" s="815">
        <v>0</v>
      </c>
      <c r="AG124" s="816">
        <f t="shared" si="3"/>
        <v>0</v>
      </c>
    </row>
    <row r="125" spans="1:33">
      <c r="A125" s="713">
        <v>183</v>
      </c>
      <c r="B125" s="818" t="s">
        <v>464</v>
      </c>
      <c r="C125" s="815">
        <v>2877.27744999999</v>
      </c>
      <c r="D125" s="815">
        <v>2860.6218899999999</v>
      </c>
      <c r="E125" s="815">
        <v>2844.30285</v>
      </c>
      <c r="F125" s="815">
        <v>2889.9266899999998</v>
      </c>
      <c r="G125" s="815">
        <v>2902.9491499999999</v>
      </c>
      <c r="H125" s="815">
        <v>2901.1949599999998</v>
      </c>
      <c r="I125" s="815">
        <v>2899.95648999999</v>
      </c>
      <c r="J125" s="815">
        <v>2899.95648999999</v>
      </c>
      <c r="K125" s="815">
        <v>2899.95648999999</v>
      </c>
      <c r="L125" s="815">
        <v>2899.95648999999</v>
      </c>
      <c r="M125" s="815">
        <v>2899.95648999999</v>
      </c>
      <c r="N125" s="815">
        <v>2899.95648999999</v>
      </c>
      <c r="O125" s="815">
        <v>2899.95648999999</v>
      </c>
      <c r="P125" s="816">
        <f t="shared" si="2"/>
        <v>2890.4591092307628</v>
      </c>
      <c r="Q125" s="815">
        <v>2899.95648999999</v>
      </c>
      <c r="R125" s="815">
        <v>2899.95648999999</v>
      </c>
      <c r="S125" s="815">
        <v>2899.95648999999</v>
      </c>
      <c r="T125" s="815">
        <v>2899.95648999999</v>
      </c>
      <c r="U125" s="815">
        <v>2899.95648999999</v>
      </c>
      <c r="V125" s="815">
        <v>2899.95648999999</v>
      </c>
      <c r="W125" s="815">
        <v>2899.95648999999</v>
      </c>
      <c r="X125" s="815">
        <v>2899.95648999999</v>
      </c>
      <c r="Y125" s="815">
        <v>2899.95648999999</v>
      </c>
      <c r="Z125" s="815">
        <v>2899.95648999999</v>
      </c>
      <c r="AA125" s="815">
        <v>2899.95648999999</v>
      </c>
      <c r="AB125" s="815">
        <v>2899.95648999999</v>
      </c>
      <c r="AC125" s="815">
        <v>2899.95648999999</v>
      </c>
      <c r="AD125" s="815">
        <v>2899.95648999999</v>
      </c>
      <c r="AE125" s="815">
        <v>2899.95648999999</v>
      </c>
      <c r="AF125" s="815">
        <v>2899.95648999999</v>
      </c>
      <c r="AG125" s="816">
        <f t="shared" si="3"/>
        <v>2899.95648999999</v>
      </c>
    </row>
    <row r="126" spans="1:33">
      <c r="B126" s="818" t="s">
        <v>465</v>
      </c>
      <c r="C126" s="815">
        <v>0</v>
      </c>
      <c r="D126" s="815">
        <v>-1206.50289</v>
      </c>
      <c r="E126" s="815">
        <v>-2451.74504999999</v>
      </c>
      <c r="F126" s="815">
        <v>240.15446</v>
      </c>
      <c r="G126" s="815">
        <v>-1247.19973</v>
      </c>
      <c r="H126" s="815">
        <v>-2211.34265</v>
      </c>
      <c r="I126" s="815">
        <v>282.022009999999</v>
      </c>
      <c r="J126" s="815">
        <v>282.022009999999</v>
      </c>
      <c r="K126" s="815">
        <v>282.022009999999</v>
      </c>
      <c r="L126" s="815">
        <v>282.022009999999</v>
      </c>
      <c r="M126" s="815">
        <v>282.022009999999</v>
      </c>
      <c r="N126" s="815">
        <v>282.022009999999</v>
      </c>
      <c r="O126" s="815">
        <v>282.022009999999</v>
      </c>
      <c r="P126" s="816">
        <f t="shared" si="2"/>
        <v>-377.1139838461537</v>
      </c>
      <c r="Q126" s="815">
        <v>282.022009999999</v>
      </c>
      <c r="R126" s="815">
        <v>282.022009999999</v>
      </c>
      <c r="S126" s="815">
        <v>282.022009999999</v>
      </c>
      <c r="T126" s="815">
        <v>282.022009999999</v>
      </c>
      <c r="U126" s="815">
        <v>282.022009999999</v>
      </c>
      <c r="V126" s="815">
        <v>282.022009999999</v>
      </c>
      <c r="W126" s="815">
        <v>282.022009999999</v>
      </c>
      <c r="X126" s="815">
        <v>282.022009999999</v>
      </c>
      <c r="Y126" s="815">
        <v>282.022009999999</v>
      </c>
      <c r="Z126" s="815">
        <v>282.022009999999</v>
      </c>
      <c r="AA126" s="815">
        <v>282.022009999999</v>
      </c>
      <c r="AB126" s="815">
        <v>282.022009999999</v>
      </c>
      <c r="AC126" s="815">
        <v>282.022009999999</v>
      </c>
      <c r="AD126" s="815">
        <v>282.022009999999</v>
      </c>
      <c r="AE126" s="815">
        <v>282.022009999999</v>
      </c>
      <c r="AF126" s="815">
        <v>282.022009999999</v>
      </c>
      <c r="AG126" s="816">
        <f t="shared" si="3"/>
        <v>282.02200999999889</v>
      </c>
    </row>
    <row r="127" spans="1:33">
      <c r="A127" s="713">
        <v>184</v>
      </c>
      <c r="B127" s="818" t="s">
        <v>466</v>
      </c>
      <c r="C127" s="815">
        <v>0</v>
      </c>
      <c r="D127" s="815">
        <v>-389.19414999999998</v>
      </c>
      <c r="E127" s="815">
        <v>-745.48721999999998</v>
      </c>
      <c r="F127" s="815">
        <v>4112.7265600000001</v>
      </c>
      <c r="G127" s="815">
        <v>3337.1313399999999</v>
      </c>
      <c r="H127" s="815">
        <v>3296.9265700000001</v>
      </c>
      <c r="I127" s="815">
        <v>7857.9539699999996</v>
      </c>
      <c r="J127" s="815">
        <v>7857.9539699999996</v>
      </c>
      <c r="K127" s="815">
        <v>7857.9539699999996</v>
      </c>
      <c r="L127" s="815">
        <v>7857.9539699999996</v>
      </c>
      <c r="M127" s="815">
        <v>7857.9539699999996</v>
      </c>
      <c r="N127" s="815">
        <v>7857.9539699999996</v>
      </c>
      <c r="O127" s="815">
        <v>7857.9539699999996</v>
      </c>
      <c r="P127" s="816">
        <f t="shared" si="2"/>
        <v>4970.5985300000011</v>
      </c>
      <c r="Q127" s="815">
        <v>7857.9539699999996</v>
      </c>
      <c r="R127" s="815">
        <v>7857.9539699999996</v>
      </c>
      <c r="S127" s="815">
        <v>7857.9539699999996</v>
      </c>
      <c r="T127" s="815">
        <v>7857.9539699999996</v>
      </c>
      <c r="U127" s="815">
        <v>7857.9539699999996</v>
      </c>
      <c r="V127" s="815">
        <v>7857.9539699999996</v>
      </c>
      <c r="W127" s="815">
        <v>7857.9539699999996</v>
      </c>
      <c r="X127" s="815">
        <v>7857.9539699999996</v>
      </c>
      <c r="Y127" s="815">
        <v>7857.9539699999996</v>
      </c>
      <c r="Z127" s="815">
        <v>7857.9539699999996</v>
      </c>
      <c r="AA127" s="815">
        <v>7857.9539699999996</v>
      </c>
      <c r="AB127" s="815">
        <v>7857.9539699999996</v>
      </c>
      <c r="AC127" s="815">
        <v>7857.9539699999996</v>
      </c>
      <c r="AD127" s="815">
        <v>7857.9539699999996</v>
      </c>
      <c r="AE127" s="815">
        <v>7857.9539699999996</v>
      </c>
      <c r="AF127" s="815">
        <v>7857.9539699999996</v>
      </c>
      <c r="AG127" s="816">
        <f t="shared" si="3"/>
        <v>7857.9539700000014</v>
      </c>
    </row>
    <row r="128" spans="1:33">
      <c r="B128" s="818" t="s">
        <v>467</v>
      </c>
      <c r="C128" s="815">
        <v>-8.9999999999999897E-5</v>
      </c>
      <c r="D128" s="815">
        <v>-2402.2206099999999</v>
      </c>
      <c r="E128" s="815">
        <v>-2441.70002999999</v>
      </c>
      <c r="F128" s="815">
        <v>-1862.60894999999</v>
      </c>
      <c r="G128" s="815">
        <v>-1403.6912400000001</v>
      </c>
      <c r="H128" s="815">
        <v>-734.52101999997603</v>
      </c>
      <c r="I128" s="815">
        <v>-357.32318999998802</v>
      </c>
      <c r="J128" s="815">
        <v>-357.32318999998802</v>
      </c>
      <c r="K128" s="815">
        <v>-357.32318999998802</v>
      </c>
      <c r="L128" s="815">
        <v>-357.32318999998802</v>
      </c>
      <c r="M128" s="815">
        <v>-357.32318999998802</v>
      </c>
      <c r="N128" s="815">
        <v>-357.32318999998802</v>
      </c>
      <c r="O128" s="815">
        <v>-357.32318999998802</v>
      </c>
      <c r="P128" s="816">
        <f t="shared" si="2"/>
        <v>-872.76955923075957</v>
      </c>
      <c r="Q128" s="815">
        <v>-357.32318999998802</v>
      </c>
      <c r="R128" s="815">
        <v>-357.32318999998802</v>
      </c>
      <c r="S128" s="815">
        <v>-357.32318999998802</v>
      </c>
      <c r="T128" s="815">
        <v>-357.32318999998802</v>
      </c>
      <c r="U128" s="815">
        <v>-357.32318999998802</v>
      </c>
      <c r="V128" s="815">
        <v>-357.32318999998802</v>
      </c>
      <c r="W128" s="815">
        <v>-357.32318999998802</v>
      </c>
      <c r="X128" s="815">
        <v>-357.32318999998802</v>
      </c>
      <c r="Y128" s="815">
        <v>-357.32318999998802</v>
      </c>
      <c r="Z128" s="815">
        <v>-357.32318999998802</v>
      </c>
      <c r="AA128" s="815">
        <v>-357.32318999998802</v>
      </c>
      <c r="AB128" s="815">
        <v>-357.32318999998802</v>
      </c>
      <c r="AC128" s="815">
        <v>-357.32318999998802</v>
      </c>
      <c r="AD128" s="815">
        <v>-357.32318999998802</v>
      </c>
      <c r="AE128" s="815">
        <v>-357.32318999998802</v>
      </c>
      <c r="AF128" s="815">
        <v>-357.32318999998802</v>
      </c>
      <c r="AG128" s="816">
        <f t="shared" si="3"/>
        <v>-357.32318999998813</v>
      </c>
    </row>
    <row r="129" spans="1:33">
      <c r="B129" s="818" t="s">
        <v>468</v>
      </c>
      <c r="C129" s="815">
        <v>-45</v>
      </c>
      <c r="D129" s="815">
        <v>4360.2551399999902</v>
      </c>
      <c r="E129" s="815">
        <v>6301.1263799999997</v>
      </c>
      <c r="F129" s="815">
        <v>1072.4018699999999</v>
      </c>
      <c r="G129" s="815">
        <v>483.66345000000001</v>
      </c>
      <c r="H129" s="815">
        <v>1449.4581000000001</v>
      </c>
      <c r="I129" s="815">
        <v>0</v>
      </c>
      <c r="J129" s="815">
        <v>0</v>
      </c>
      <c r="K129" s="815">
        <v>0</v>
      </c>
      <c r="L129" s="815">
        <v>0</v>
      </c>
      <c r="M129" s="815">
        <v>0</v>
      </c>
      <c r="N129" s="815">
        <v>0</v>
      </c>
      <c r="O129" s="815">
        <v>0</v>
      </c>
      <c r="P129" s="816">
        <f t="shared" si="2"/>
        <v>1047.8388415384607</v>
      </c>
      <c r="Q129" s="815">
        <v>0</v>
      </c>
      <c r="R129" s="815">
        <v>0</v>
      </c>
      <c r="S129" s="815">
        <v>0</v>
      </c>
      <c r="T129" s="815">
        <v>0</v>
      </c>
      <c r="U129" s="815">
        <v>0</v>
      </c>
      <c r="V129" s="815">
        <v>0</v>
      </c>
      <c r="W129" s="815">
        <v>0</v>
      </c>
      <c r="X129" s="815">
        <v>0</v>
      </c>
      <c r="Y129" s="815">
        <v>0</v>
      </c>
      <c r="Z129" s="815">
        <v>0</v>
      </c>
      <c r="AA129" s="815">
        <v>0</v>
      </c>
      <c r="AB129" s="815">
        <v>0</v>
      </c>
      <c r="AC129" s="815">
        <v>0</v>
      </c>
      <c r="AD129" s="815">
        <v>0</v>
      </c>
      <c r="AE129" s="815">
        <v>0</v>
      </c>
      <c r="AF129" s="815">
        <v>0</v>
      </c>
      <c r="AG129" s="816">
        <f t="shared" si="3"/>
        <v>0</v>
      </c>
    </row>
    <row r="130" spans="1:33">
      <c r="A130" s="713">
        <v>184</v>
      </c>
      <c r="B130" s="818" t="s">
        <v>469</v>
      </c>
      <c r="C130" s="815">
        <v>0</v>
      </c>
      <c r="D130" s="815">
        <v>-327.18565999999998</v>
      </c>
      <c r="E130" s="815">
        <v>-626.23448999999903</v>
      </c>
      <c r="F130" s="815">
        <v>-810.7414</v>
      </c>
      <c r="G130" s="815">
        <v>-1133.26132999999</v>
      </c>
      <c r="H130" s="815">
        <v>-1439.6989699999999</v>
      </c>
      <c r="I130" s="815">
        <v>-1551.00074</v>
      </c>
      <c r="J130" s="815">
        <v>-1551.00074</v>
      </c>
      <c r="K130" s="815">
        <v>-1551.00074</v>
      </c>
      <c r="L130" s="815">
        <v>-1551.00074</v>
      </c>
      <c r="M130" s="815">
        <v>-1551.00074</v>
      </c>
      <c r="N130" s="815">
        <v>-1551.00074</v>
      </c>
      <c r="O130" s="815">
        <v>-1551.00074</v>
      </c>
      <c r="P130" s="816">
        <f t="shared" si="2"/>
        <v>-1168.7790023076911</v>
      </c>
      <c r="Q130" s="815">
        <v>-1551.00074</v>
      </c>
      <c r="R130" s="815">
        <v>-1551.00074</v>
      </c>
      <c r="S130" s="815">
        <v>-1551.00074</v>
      </c>
      <c r="T130" s="815">
        <v>-1551.00074</v>
      </c>
      <c r="U130" s="815">
        <v>-1551.00074</v>
      </c>
      <c r="V130" s="815">
        <v>-1551.00074</v>
      </c>
      <c r="W130" s="815">
        <v>-1551.00074</v>
      </c>
      <c r="X130" s="815">
        <v>-1551.00074</v>
      </c>
      <c r="Y130" s="815">
        <v>-1551.00074</v>
      </c>
      <c r="Z130" s="815">
        <v>-1551.00074</v>
      </c>
      <c r="AA130" s="815">
        <v>-1551.00074</v>
      </c>
      <c r="AB130" s="815">
        <v>-1551.00074</v>
      </c>
      <c r="AC130" s="815">
        <v>-1551.00074</v>
      </c>
      <c r="AD130" s="815">
        <v>-1551.00074</v>
      </c>
      <c r="AE130" s="815">
        <v>-1551.00074</v>
      </c>
      <c r="AF130" s="815">
        <v>-1551.00074</v>
      </c>
      <c r="AG130" s="816">
        <f t="shared" si="3"/>
        <v>-1551.0007399999997</v>
      </c>
    </row>
    <row r="131" spans="1:33">
      <c r="B131" s="818" t="s">
        <v>1922</v>
      </c>
      <c r="C131" s="815">
        <v>0</v>
      </c>
      <c r="D131" s="815">
        <v>0</v>
      </c>
      <c r="E131" s="815">
        <v>0</v>
      </c>
      <c r="F131" s="815">
        <v>0</v>
      </c>
      <c r="G131" s="815">
        <v>0</v>
      </c>
      <c r="H131" s="815">
        <v>0</v>
      </c>
      <c r="I131" s="815">
        <v>0</v>
      </c>
      <c r="J131" s="815">
        <v>0</v>
      </c>
      <c r="K131" s="815">
        <v>0</v>
      </c>
      <c r="L131" s="815">
        <v>0</v>
      </c>
      <c r="M131" s="815">
        <v>0</v>
      </c>
      <c r="N131" s="815">
        <v>0</v>
      </c>
      <c r="O131" s="815">
        <v>0</v>
      </c>
      <c r="P131" s="816">
        <f t="shared" si="2"/>
        <v>0</v>
      </c>
      <c r="Q131" s="815">
        <v>18.0063599999975</v>
      </c>
      <c r="R131" s="815">
        <v>29.986389999998298</v>
      </c>
      <c r="S131" s="815">
        <v>41.9664199999985</v>
      </c>
      <c r="T131" s="815">
        <v>-0.86529000000174205</v>
      </c>
      <c r="U131" s="815">
        <v>11.4170199999981</v>
      </c>
      <c r="V131" s="815">
        <v>23.699329999998302</v>
      </c>
      <c r="W131" s="815">
        <v>35.9816399999984</v>
      </c>
      <c r="X131" s="815">
        <v>48.263949999998303</v>
      </c>
      <c r="Y131" s="815">
        <v>60.546259999998298</v>
      </c>
      <c r="Z131" s="815">
        <v>72.828579999998396</v>
      </c>
      <c r="AA131" s="815">
        <v>80.2489899999984</v>
      </c>
      <c r="AB131" s="815">
        <v>92.554359999997502</v>
      </c>
      <c r="AC131" s="815">
        <v>102.31172999999799</v>
      </c>
      <c r="AD131" s="815">
        <v>112.069099999999</v>
      </c>
      <c r="AE131" s="815">
        <v>121.82658999999801</v>
      </c>
      <c r="AF131" s="815">
        <v>81.029219999998404</v>
      </c>
      <c r="AG131" s="816">
        <f t="shared" si="3"/>
        <v>64.76242153845979</v>
      </c>
    </row>
    <row r="132" spans="1:33">
      <c r="A132" s="713">
        <v>186</v>
      </c>
      <c r="B132" s="818" t="s">
        <v>470</v>
      </c>
      <c r="C132" s="815">
        <v>264.20571999999999</v>
      </c>
      <c r="D132" s="815">
        <v>135.48901000000001</v>
      </c>
      <c r="E132" s="815">
        <v>382.51107999999999</v>
      </c>
      <c r="F132" s="815">
        <v>330.70533</v>
      </c>
      <c r="G132" s="815">
        <v>278.39055999999999</v>
      </c>
      <c r="H132" s="815">
        <v>429.095609999999</v>
      </c>
      <c r="I132" s="815">
        <v>336.29844000000003</v>
      </c>
      <c r="J132" s="815">
        <v>336.29844000000003</v>
      </c>
      <c r="K132" s="815">
        <v>336.29844000000003</v>
      </c>
      <c r="L132" s="815">
        <v>336.29844000000003</v>
      </c>
      <c r="M132" s="815">
        <v>336.29844000000003</v>
      </c>
      <c r="N132" s="815">
        <v>336.29844000000003</v>
      </c>
      <c r="O132" s="815">
        <v>336.29844000000003</v>
      </c>
      <c r="P132" s="816">
        <f t="shared" si="2"/>
        <v>321.11433769230763</v>
      </c>
      <c r="Q132" s="815">
        <v>336.29844000000003</v>
      </c>
      <c r="R132" s="815">
        <v>336.29844000000003</v>
      </c>
      <c r="S132" s="815">
        <v>336.29844000000003</v>
      </c>
      <c r="T132" s="815">
        <v>336.29844000000003</v>
      </c>
      <c r="U132" s="815">
        <v>336.29844000000003</v>
      </c>
      <c r="V132" s="815">
        <v>336.29844000000003</v>
      </c>
      <c r="W132" s="815">
        <v>336.29844000000003</v>
      </c>
      <c r="X132" s="815">
        <v>336.29844000000003</v>
      </c>
      <c r="Y132" s="815">
        <v>336.29844000000003</v>
      </c>
      <c r="Z132" s="815">
        <v>336.29844000000003</v>
      </c>
      <c r="AA132" s="815">
        <v>336.29844000000003</v>
      </c>
      <c r="AB132" s="815">
        <v>336.29844000000003</v>
      </c>
      <c r="AC132" s="815">
        <v>336.29844000000003</v>
      </c>
      <c r="AD132" s="815">
        <v>336.29844000000003</v>
      </c>
      <c r="AE132" s="815">
        <v>336.29844000000003</v>
      </c>
      <c r="AF132" s="815">
        <v>336.29844000000003</v>
      </c>
      <c r="AG132" s="816">
        <f t="shared" si="3"/>
        <v>336.29844000000008</v>
      </c>
    </row>
    <row r="133" spans="1:33">
      <c r="A133" s="713">
        <v>186</v>
      </c>
      <c r="B133" s="818" t="s">
        <v>471</v>
      </c>
      <c r="C133" s="815">
        <v>4534.0148300000001</v>
      </c>
      <c r="D133" s="815">
        <v>4769.1483200000002</v>
      </c>
      <c r="E133" s="815">
        <v>4916.1280200000001</v>
      </c>
      <c r="F133" s="815">
        <v>5150.3629300000002</v>
      </c>
      <c r="G133" s="815">
        <v>5416.2797799999998</v>
      </c>
      <c r="H133" s="815">
        <v>5620.2104899999904</v>
      </c>
      <c r="I133" s="815">
        <v>5728.5309799999904</v>
      </c>
      <c r="J133" s="815">
        <v>5936.3037460147298</v>
      </c>
      <c r="K133" s="815">
        <v>6142.0070320294699</v>
      </c>
      <c r="L133" s="815">
        <v>6294.9700090081296</v>
      </c>
      <c r="M133" s="815">
        <v>6371.4530236789496</v>
      </c>
      <c r="N133" s="815">
        <v>6510.1160194100303</v>
      </c>
      <c r="O133" s="815">
        <v>6647.6742854247595</v>
      </c>
      <c r="P133" s="816">
        <f t="shared" si="2"/>
        <v>5695.1691896589273</v>
      </c>
      <c r="Q133" s="815">
        <v>6861.7576953806501</v>
      </c>
      <c r="R133" s="815">
        <v>10706.1361141708</v>
      </c>
      <c r="S133" s="815">
        <v>9774.0956837434605</v>
      </c>
      <c r="T133" s="815">
        <v>6583.3669797376897</v>
      </c>
      <c r="U133" s="815">
        <v>5900.3877410576897</v>
      </c>
      <c r="V133" s="815">
        <v>6047.92480078876</v>
      </c>
      <c r="W133" s="815">
        <v>6209.8762318510899</v>
      </c>
      <c r="X133" s="815">
        <v>6378.5989192922598</v>
      </c>
      <c r="Y133" s="815">
        <v>6506.8674892093604</v>
      </c>
      <c r="Z133" s="815">
        <v>6637.7365391168196</v>
      </c>
      <c r="AA133" s="815">
        <v>6825.1128710478997</v>
      </c>
      <c r="AB133" s="815">
        <v>6968.0420874626298</v>
      </c>
      <c r="AC133" s="815">
        <v>7191.2590965711397</v>
      </c>
      <c r="AD133" s="815">
        <v>7288.3484375198104</v>
      </c>
      <c r="AE133" s="815">
        <v>3208.5855477844202</v>
      </c>
      <c r="AF133" s="815">
        <v>2228.3220499260701</v>
      </c>
      <c r="AG133" s="816">
        <f t="shared" si="3"/>
        <v>5998.0329839512033</v>
      </c>
    </row>
    <row r="134" spans="1:33" ht="15.75" thickBot="1">
      <c r="A134" s="713">
        <v>188</v>
      </c>
      <c r="B134" s="818" t="s">
        <v>1732</v>
      </c>
      <c r="C134" s="820">
        <v>753.30594999999903</v>
      </c>
      <c r="D134" s="820">
        <v>737.93236000000002</v>
      </c>
      <c r="E134" s="820">
        <v>722.55876999999998</v>
      </c>
      <c r="F134" s="820">
        <v>707.18517999999995</v>
      </c>
      <c r="G134" s="820">
        <v>691.81159000000002</v>
      </c>
      <c r="H134" s="820">
        <v>676.43799999999999</v>
      </c>
      <c r="I134" s="820">
        <v>661.06440999999995</v>
      </c>
      <c r="J134" s="820">
        <v>645.66972999999996</v>
      </c>
      <c r="K134" s="820">
        <v>630.27504999999996</v>
      </c>
      <c r="L134" s="820">
        <v>614.88036999999997</v>
      </c>
      <c r="M134" s="820">
        <v>599.48568999999998</v>
      </c>
      <c r="N134" s="820">
        <v>584.09100999999998</v>
      </c>
      <c r="O134" s="820">
        <v>568.69632999999999</v>
      </c>
      <c r="P134" s="816">
        <f t="shared" si="2"/>
        <v>661.03034153846158</v>
      </c>
      <c r="Q134" s="820">
        <v>553.30165</v>
      </c>
      <c r="R134" s="820">
        <v>537.90697</v>
      </c>
      <c r="S134" s="820">
        <v>522.51229000000001</v>
      </c>
      <c r="T134" s="820">
        <v>507.11761000000001</v>
      </c>
      <c r="U134" s="820">
        <v>491.72293000000002</v>
      </c>
      <c r="V134" s="820">
        <v>476.32825000000003</v>
      </c>
      <c r="W134" s="820">
        <v>460.93356999999997</v>
      </c>
      <c r="X134" s="820">
        <v>445.53888999999998</v>
      </c>
      <c r="Y134" s="820">
        <v>430.14420999999999</v>
      </c>
      <c r="Z134" s="820">
        <v>414.74952999999999</v>
      </c>
      <c r="AA134" s="820">
        <v>399.35485</v>
      </c>
      <c r="AB134" s="820">
        <v>383.96017000000001</v>
      </c>
      <c r="AC134" s="820">
        <v>368.56549000000001</v>
      </c>
      <c r="AD134" s="820">
        <v>353.17081000000002</v>
      </c>
      <c r="AE134" s="820">
        <v>337.77613000000002</v>
      </c>
      <c r="AF134" s="820">
        <v>322.38144999999997</v>
      </c>
      <c r="AG134" s="816">
        <f t="shared" si="3"/>
        <v>414.74952999999999</v>
      </c>
    </row>
    <row r="135" spans="1:33">
      <c r="B135" s="818" t="s">
        <v>462</v>
      </c>
      <c r="C135" s="815">
        <v>8383.80386</v>
      </c>
      <c r="D135" s="815">
        <v>8538.3434099999904</v>
      </c>
      <c r="E135" s="815">
        <v>8901.4603100000004</v>
      </c>
      <c r="F135" s="815">
        <v>11830.11267</v>
      </c>
      <c r="G135" s="815">
        <v>9326.0735699999896</v>
      </c>
      <c r="H135" s="815">
        <v>9987.76109000002</v>
      </c>
      <c r="I135" s="815">
        <v>15857.50237</v>
      </c>
      <c r="J135" s="815">
        <v>16049.8804560147</v>
      </c>
      <c r="K135" s="815">
        <v>16240.1890620294</v>
      </c>
      <c r="L135" s="815">
        <v>16377.757359008099</v>
      </c>
      <c r="M135" s="815">
        <v>16438.845693678901</v>
      </c>
      <c r="N135" s="815">
        <v>16562.114009410001</v>
      </c>
      <c r="O135" s="815">
        <v>16684.277595424701</v>
      </c>
      <c r="P135" s="816">
        <f t="shared" si="2"/>
        <v>13167.547804274293</v>
      </c>
      <c r="Q135" s="815">
        <v>16900.972685380599</v>
      </c>
      <c r="R135" s="815">
        <v>20741.936454170798</v>
      </c>
      <c r="S135" s="815">
        <v>19806.481373743401</v>
      </c>
      <c r="T135" s="815">
        <v>16557.5262797377</v>
      </c>
      <c r="U135" s="815">
        <v>15871.434671057699</v>
      </c>
      <c r="V135" s="815">
        <v>16015.8593607887</v>
      </c>
      <c r="W135" s="815">
        <v>16174.698421851101</v>
      </c>
      <c r="X135" s="815">
        <v>16340.308739292201</v>
      </c>
      <c r="Y135" s="815">
        <v>16465.464939209302</v>
      </c>
      <c r="Z135" s="815">
        <v>16593.221629116801</v>
      </c>
      <c r="AA135" s="815">
        <v>16772.623691047898</v>
      </c>
      <c r="AB135" s="815">
        <v>16912.4635974626</v>
      </c>
      <c r="AC135" s="815">
        <v>17130.043296571101</v>
      </c>
      <c r="AD135" s="815">
        <v>17221.495327519799</v>
      </c>
      <c r="AE135" s="815">
        <v>13136.0952477844</v>
      </c>
      <c r="AF135" s="815">
        <v>12099.639699926</v>
      </c>
      <c r="AG135" s="816">
        <f t="shared" si="3"/>
        <v>15945.451915489637</v>
      </c>
    </row>
    <row r="136" spans="1:33">
      <c r="C136" s="817"/>
      <c r="D136" s="817"/>
      <c r="E136" s="817"/>
      <c r="F136" s="817"/>
      <c r="G136" s="817"/>
      <c r="H136" s="817"/>
      <c r="I136" s="817"/>
      <c r="J136" s="817"/>
      <c r="K136" s="817"/>
      <c r="L136" s="817"/>
      <c r="M136" s="817"/>
      <c r="N136" s="817"/>
      <c r="O136" s="817"/>
      <c r="P136" s="816">
        <f t="shared" si="2"/>
        <v>0</v>
      </c>
      <c r="Q136" s="817"/>
      <c r="R136" s="817"/>
      <c r="S136" s="817"/>
      <c r="T136" s="817"/>
      <c r="U136" s="817"/>
      <c r="V136" s="817"/>
      <c r="W136" s="817"/>
      <c r="X136" s="817"/>
      <c r="Y136" s="817"/>
      <c r="Z136" s="817"/>
      <c r="AA136" s="817"/>
      <c r="AB136" s="817"/>
      <c r="AC136" s="817"/>
      <c r="AD136" s="817"/>
      <c r="AE136" s="817"/>
      <c r="AF136" s="817"/>
      <c r="AG136" s="816">
        <f t="shared" si="3"/>
        <v>0</v>
      </c>
    </row>
    <row r="137" spans="1:33">
      <c r="C137" s="817"/>
      <c r="D137" s="817"/>
      <c r="E137" s="817"/>
      <c r="F137" s="817"/>
      <c r="G137" s="817"/>
      <c r="H137" s="817"/>
      <c r="I137" s="817"/>
      <c r="J137" s="817"/>
      <c r="K137" s="817"/>
      <c r="L137" s="817"/>
      <c r="M137" s="817"/>
      <c r="N137" s="817"/>
      <c r="O137" s="817"/>
      <c r="P137" s="816">
        <f t="shared" si="2"/>
        <v>0</v>
      </c>
      <c r="Q137" s="817"/>
      <c r="R137" s="817"/>
      <c r="S137" s="817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  <c r="AD137" s="817"/>
      <c r="AE137" s="817"/>
      <c r="AF137" s="817"/>
      <c r="AG137" s="816">
        <f t="shared" si="3"/>
        <v>0</v>
      </c>
    </row>
    <row r="138" spans="1:33" ht="15.75" thickBot="1">
      <c r="B138" s="814" t="s">
        <v>472</v>
      </c>
      <c r="C138" s="821">
        <v>772384.00381999998</v>
      </c>
      <c r="D138" s="821">
        <v>765583.3713</v>
      </c>
      <c r="E138" s="821">
        <v>766703.99262000003</v>
      </c>
      <c r="F138" s="821">
        <v>762118.96386999998</v>
      </c>
      <c r="G138" s="821">
        <v>757118.22962</v>
      </c>
      <c r="H138" s="821">
        <v>758454.34316000005</v>
      </c>
      <c r="I138" s="821">
        <v>755849.05055000004</v>
      </c>
      <c r="J138" s="821">
        <v>754443.38511061098</v>
      </c>
      <c r="K138" s="821">
        <v>752926.47313436703</v>
      </c>
      <c r="L138" s="821">
        <v>751300.71520188102</v>
      </c>
      <c r="M138" s="821">
        <v>750514.96808764804</v>
      </c>
      <c r="N138" s="821">
        <v>751112.80387543596</v>
      </c>
      <c r="O138" s="821">
        <v>750463.45387851796</v>
      </c>
      <c r="P138" s="816">
        <f t="shared" si="2"/>
        <v>757613.36570988153</v>
      </c>
      <c r="Q138" s="821">
        <v>749497.39025569195</v>
      </c>
      <c r="R138" s="821">
        <v>751693.41547978297</v>
      </c>
      <c r="S138" s="821">
        <v>748559.25285881595</v>
      </c>
      <c r="T138" s="821">
        <v>746509.79096867901</v>
      </c>
      <c r="U138" s="821">
        <v>751159.45947297197</v>
      </c>
      <c r="V138" s="821">
        <v>750688.48910404497</v>
      </c>
      <c r="W138" s="821">
        <v>749237.94924865605</v>
      </c>
      <c r="X138" s="821">
        <v>748396.47763986303</v>
      </c>
      <c r="Y138" s="821">
        <v>747768.12876007694</v>
      </c>
      <c r="Z138" s="821">
        <v>748816.79552225606</v>
      </c>
      <c r="AA138" s="821">
        <v>749063.52594553097</v>
      </c>
      <c r="AB138" s="821">
        <v>747666.15683438198</v>
      </c>
      <c r="AC138" s="821">
        <v>746495.56446071295</v>
      </c>
      <c r="AD138" s="821">
        <v>745110.45011517499</v>
      </c>
      <c r="AE138" s="821">
        <v>739876.57460637495</v>
      </c>
      <c r="AF138" s="821">
        <v>738479.89213201206</v>
      </c>
      <c r="AG138" s="816">
        <f t="shared" si="3"/>
        <v>746866.86575467198</v>
      </c>
    </row>
    <row r="139" spans="1:33">
      <c r="P139" s="816">
        <f t="shared" ref="P139:P202" si="4">SUM(C139:O139)/13</f>
        <v>0</v>
      </c>
      <c r="AG139" s="816">
        <f t="shared" ref="AG139:AG202" si="5">SUM(T139:AF139)/13</f>
        <v>0</v>
      </c>
    </row>
    <row r="140" spans="1:33" ht="15.75" thickBot="1">
      <c r="B140" s="814" t="s">
        <v>473</v>
      </c>
      <c r="C140" s="821">
        <v>6189536.6802399997</v>
      </c>
      <c r="D140" s="821">
        <v>6217000.4645999903</v>
      </c>
      <c r="E140" s="821">
        <v>6203575.2697599996</v>
      </c>
      <c r="F140" s="821">
        <v>6217823.5878100004</v>
      </c>
      <c r="G140" s="821">
        <v>6224360.79412999</v>
      </c>
      <c r="H140" s="821">
        <v>6235779.2883099997</v>
      </c>
      <c r="I140" s="821">
        <v>6270902.7056299997</v>
      </c>
      <c r="J140" s="821">
        <v>6306215.7503773104</v>
      </c>
      <c r="K140" s="821">
        <v>6353971.3144509699</v>
      </c>
      <c r="L140" s="821">
        <v>6390234.0918331696</v>
      </c>
      <c r="M140" s="821">
        <v>6419425.8038762202</v>
      </c>
      <c r="N140" s="821">
        <v>6455955.3989861598</v>
      </c>
      <c r="O140" s="821">
        <v>6511582.1303211302</v>
      </c>
      <c r="P140" s="816">
        <f t="shared" si="4"/>
        <v>6307412.5600249954</v>
      </c>
      <c r="Q140" s="821">
        <v>6554893.2726466898</v>
      </c>
      <c r="R140" s="821">
        <v>6548096.5389420604</v>
      </c>
      <c r="S140" s="821">
        <v>6549101.1176743498</v>
      </c>
      <c r="T140" s="821">
        <v>6557690.2104389304</v>
      </c>
      <c r="U140" s="821">
        <v>6580146.2994732996</v>
      </c>
      <c r="V140" s="821">
        <v>6615531.7604184998</v>
      </c>
      <c r="W140" s="821">
        <v>6660937.3815288302</v>
      </c>
      <c r="X140" s="821">
        <v>6697458.3331469698</v>
      </c>
      <c r="Y140" s="821">
        <v>6714183.2945930697</v>
      </c>
      <c r="Z140" s="821">
        <v>6747747.6873890301</v>
      </c>
      <c r="AA140" s="821">
        <v>6785069.6818623804</v>
      </c>
      <c r="AB140" s="821">
        <v>6810673.0646016896</v>
      </c>
      <c r="AC140" s="821">
        <v>6822159.3437749101</v>
      </c>
      <c r="AD140" s="821">
        <v>6800116.5553507004</v>
      </c>
      <c r="AE140" s="821">
        <v>6784261.2613347499</v>
      </c>
      <c r="AF140" s="821">
        <v>6774478.9288483299</v>
      </c>
      <c r="AG140" s="819">
        <f t="shared" si="5"/>
        <v>6719265.6771354908</v>
      </c>
    </row>
    <row r="141" spans="1:33">
      <c r="P141" s="816">
        <f t="shared" si="4"/>
        <v>0</v>
      </c>
      <c r="AG141" s="816">
        <f t="shared" si="5"/>
        <v>0</v>
      </c>
    </row>
    <row r="142" spans="1:33">
      <c r="B142" s="814" t="s">
        <v>474</v>
      </c>
      <c r="P142" s="816">
        <f t="shared" si="4"/>
        <v>0</v>
      </c>
      <c r="AG142" s="816">
        <f t="shared" si="5"/>
        <v>0</v>
      </c>
    </row>
    <row r="143" spans="1:33">
      <c r="P143" s="816">
        <f t="shared" si="4"/>
        <v>0</v>
      </c>
      <c r="AG143" s="816">
        <f t="shared" si="5"/>
        <v>0</v>
      </c>
    </row>
    <row r="144" spans="1:33">
      <c r="B144" s="814" t="s">
        <v>475</v>
      </c>
      <c r="C144" s="817"/>
      <c r="D144" s="817"/>
      <c r="E144" s="817"/>
      <c r="F144" s="817"/>
      <c r="G144" s="817"/>
      <c r="H144" s="817"/>
      <c r="I144" s="817"/>
      <c r="J144" s="817"/>
      <c r="K144" s="817"/>
      <c r="L144" s="817"/>
      <c r="M144" s="817"/>
      <c r="N144" s="817"/>
      <c r="O144" s="817"/>
      <c r="P144" s="816">
        <f t="shared" si="4"/>
        <v>0</v>
      </c>
      <c r="Q144" s="817"/>
      <c r="R144" s="817"/>
      <c r="S144" s="817"/>
      <c r="T144" s="817"/>
      <c r="U144" s="817"/>
      <c r="V144" s="817"/>
      <c r="W144" s="817"/>
      <c r="X144" s="817"/>
      <c r="Y144" s="817"/>
      <c r="Z144" s="817"/>
      <c r="AA144" s="817"/>
      <c r="AB144" s="817"/>
      <c r="AC144" s="817"/>
      <c r="AD144" s="817"/>
      <c r="AE144" s="817"/>
      <c r="AF144" s="817"/>
      <c r="AG144" s="816">
        <f t="shared" si="5"/>
        <v>0</v>
      </c>
    </row>
    <row r="145" spans="2:33">
      <c r="B145" s="818" t="s">
        <v>476</v>
      </c>
      <c r="C145" s="817"/>
      <c r="D145" s="817"/>
      <c r="E145" s="817"/>
      <c r="F145" s="817"/>
      <c r="G145" s="817"/>
      <c r="H145" s="817"/>
      <c r="I145" s="817"/>
      <c r="J145" s="817"/>
      <c r="K145" s="817"/>
      <c r="L145" s="817"/>
      <c r="M145" s="817"/>
      <c r="N145" s="817"/>
      <c r="O145" s="817"/>
      <c r="P145" s="816">
        <f t="shared" si="4"/>
        <v>0</v>
      </c>
      <c r="Q145" s="817"/>
      <c r="R145" s="817"/>
      <c r="S145" s="817"/>
      <c r="T145" s="817"/>
      <c r="U145" s="817"/>
      <c r="V145" s="817"/>
      <c r="W145" s="817"/>
      <c r="X145" s="817"/>
      <c r="Y145" s="817"/>
      <c r="Z145" s="817"/>
      <c r="AA145" s="817"/>
      <c r="AB145" s="817"/>
      <c r="AC145" s="817"/>
      <c r="AD145" s="817"/>
      <c r="AE145" s="817"/>
      <c r="AF145" s="817"/>
      <c r="AG145" s="816">
        <f t="shared" si="5"/>
        <v>0</v>
      </c>
    </row>
    <row r="146" spans="2:33" ht="15.75" thickBot="1">
      <c r="B146" s="818" t="s">
        <v>477</v>
      </c>
      <c r="C146" s="820">
        <v>425170.42408999999</v>
      </c>
      <c r="D146" s="820">
        <v>425170.42408999999</v>
      </c>
      <c r="E146" s="820">
        <v>425170.42408999999</v>
      </c>
      <c r="F146" s="820">
        <v>425170.42408999999</v>
      </c>
      <c r="G146" s="820">
        <v>425170.42408999999</v>
      </c>
      <c r="H146" s="820">
        <v>425170.42408999999</v>
      </c>
      <c r="I146" s="820">
        <v>425170.42408999999</v>
      </c>
      <c r="J146" s="820">
        <v>425170.42408999999</v>
      </c>
      <c r="K146" s="820">
        <v>425170.42408999999</v>
      </c>
      <c r="L146" s="820">
        <v>425170.42408999999</v>
      </c>
      <c r="M146" s="820">
        <v>425170.42408999999</v>
      </c>
      <c r="N146" s="820">
        <v>425170.42408999999</v>
      </c>
      <c r="O146" s="820">
        <v>425170.42408999999</v>
      </c>
      <c r="P146" s="816">
        <f t="shared" si="4"/>
        <v>425170.42408999993</v>
      </c>
      <c r="Q146" s="820">
        <v>425170.42408999999</v>
      </c>
      <c r="R146" s="820">
        <v>425170.42408999999</v>
      </c>
      <c r="S146" s="820">
        <v>425170.42408999999</v>
      </c>
      <c r="T146" s="820">
        <v>425170.42408999999</v>
      </c>
      <c r="U146" s="820">
        <v>425170.42408999999</v>
      </c>
      <c r="V146" s="820">
        <v>425170.42408999999</v>
      </c>
      <c r="W146" s="820">
        <v>425170.42408999999</v>
      </c>
      <c r="X146" s="820">
        <v>425170.42408999999</v>
      </c>
      <c r="Y146" s="820">
        <v>425170.42408999999</v>
      </c>
      <c r="Z146" s="820">
        <v>425170.42408999999</v>
      </c>
      <c r="AA146" s="820">
        <v>425170.42408999999</v>
      </c>
      <c r="AB146" s="820">
        <v>425170.42408999999</v>
      </c>
      <c r="AC146" s="820">
        <v>425170.42408999999</v>
      </c>
      <c r="AD146" s="820">
        <v>425170.42408999999</v>
      </c>
      <c r="AE146" s="820">
        <v>425170.42408999999</v>
      </c>
      <c r="AF146" s="820">
        <v>425170.42408999999</v>
      </c>
      <c r="AG146" s="816">
        <f t="shared" si="5"/>
        <v>425170.42408999993</v>
      </c>
    </row>
    <row r="147" spans="2:33">
      <c r="B147" s="818" t="s">
        <v>478</v>
      </c>
      <c r="C147" s="815">
        <v>425170.42408999999</v>
      </c>
      <c r="D147" s="815">
        <v>425170.42408999999</v>
      </c>
      <c r="E147" s="815">
        <v>425170.42408999999</v>
      </c>
      <c r="F147" s="815">
        <v>425170.42408999999</v>
      </c>
      <c r="G147" s="815">
        <v>425170.42408999999</v>
      </c>
      <c r="H147" s="815">
        <v>425170.42408999999</v>
      </c>
      <c r="I147" s="815">
        <v>425170.42408999999</v>
      </c>
      <c r="J147" s="815">
        <v>425170.42408999999</v>
      </c>
      <c r="K147" s="815">
        <v>425170.42408999999</v>
      </c>
      <c r="L147" s="815">
        <v>425170.42408999999</v>
      </c>
      <c r="M147" s="815">
        <v>425170.42408999999</v>
      </c>
      <c r="N147" s="815">
        <v>425170.42408999999</v>
      </c>
      <c r="O147" s="815">
        <v>425170.42408999999</v>
      </c>
      <c r="P147" s="816">
        <f t="shared" si="4"/>
        <v>425170.42408999993</v>
      </c>
      <c r="Q147" s="815">
        <v>425170.42408999999</v>
      </c>
      <c r="R147" s="815">
        <v>425170.42408999999</v>
      </c>
      <c r="S147" s="815">
        <v>425170.42408999999</v>
      </c>
      <c r="T147" s="815">
        <v>425170.42408999999</v>
      </c>
      <c r="U147" s="815">
        <v>425170.42408999999</v>
      </c>
      <c r="V147" s="815">
        <v>425170.42408999999</v>
      </c>
      <c r="W147" s="815">
        <v>425170.42408999999</v>
      </c>
      <c r="X147" s="815">
        <v>425170.42408999999</v>
      </c>
      <c r="Y147" s="815">
        <v>425170.42408999999</v>
      </c>
      <c r="Z147" s="815">
        <v>425170.42408999999</v>
      </c>
      <c r="AA147" s="815">
        <v>425170.42408999999</v>
      </c>
      <c r="AB147" s="815">
        <v>425170.42408999999</v>
      </c>
      <c r="AC147" s="815">
        <v>425170.42408999999</v>
      </c>
      <c r="AD147" s="815">
        <v>425170.42408999999</v>
      </c>
      <c r="AE147" s="815">
        <v>425170.42408999999</v>
      </c>
      <c r="AF147" s="815">
        <v>425170.42408999999</v>
      </c>
      <c r="AG147" s="816">
        <f t="shared" si="5"/>
        <v>425170.42408999993</v>
      </c>
    </row>
    <row r="148" spans="2:33"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6">
        <f t="shared" si="4"/>
        <v>0</v>
      </c>
      <c r="Q148" s="817"/>
      <c r="R148" s="817"/>
      <c r="S148" s="817"/>
      <c r="T148" s="817"/>
      <c r="U148" s="817"/>
      <c r="V148" s="817"/>
      <c r="W148" s="817"/>
      <c r="X148" s="817"/>
      <c r="Y148" s="817"/>
      <c r="Z148" s="817"/>
      <c r="AA148" s="817"/>
      <c r="AB148" s="817"/>
      <c r="AC148" s="817"/>
      <c r="AD148" s="817"/>
      <c r="AE148" s="817"/>
      <c r="AF148" s="817"/>
      <c r="AG148" s="816">
        <f t="shared" si="5"/>
        <v>0</v>
      </c>
    </row>
    <row r="149" spans="2:33">
      <c r="B149" s="818" t="s">
        <v>479</v>
      </c>
      <c r="C149" s="817"/>
      <c r="D149" s="817"/>
      <c r="E149" s="817"/>
      <c r="F149" s="817"/>
      <c r="G149" s="817"/>
      <c r="H149" s="817"/>
      <c r="I149" s="817"/>
      <c r="J149" s="817"/>
      <c r="K149" s="817"/>
      <c r="L149" s="817"/>
      <c r="M149" s="817"/>
      <c r="N149" s="817"/>
      <c r="O149" s="817"/>
      <c r="P149" s="816">
        <f t="shared" si="4"/>
        <v>0</v>
      </c>
      <c r="Q149" s="817"/>
      <c r="R149" s="817"/>
      <c r="S149" s="817"/>
      <c r="T149" s="817"/>
      <c r="U149" s="817"/>
      <c r="V149" s="817"/>
      <c r="W149" s="817"/>
      <c r="X149" s="817"/>
      <c r="Y149" s="817"/>
      <c r="Z149" s="817"/>
      <c r="AA149" s="817"/>
      <c r="AB149" s="817"/>
      <c r="AC149" s="817"/>
      <c r="AD149" s="817"/>
      <c r="AE149" s="817"/>
      <c r="AF149" s="817"/>
      <c r="AG149" s="816">
        <f t="shared" si="5"/>
        <v>0</v>
      </c>
    </row>
    <row r="150" spans="2:33" ht="15.75" thickBot="1">
      <c r="B150" s="818" t="s">
        <v>480</v>
      </c>
      <c r="C150" s="820">
        <v>-835.88864000000001</v>
      </c>
      <c r="D150" s="820">
        <v>-835.88864000000001</v>
      </c>
      <c r="E150" s="820">
        <v>-835.88864000000001</v>
      </c>
      <c r="F150" s="820">
        <v>-835.88864000000001</v>
      </c>
      <c r="G150" s="820">
        <v>-835.88864000000001</v>
      </c>
      <c r="H150" s="820">
        <v>-835.88864000000001</v>
      </c>
      <c r="I150" s="820">
        <v>-835.88864000000001</v>
      </c>
      <c r="J150" s="820">
        <v>-835.88864000000001</v>
      </c>
      <c r="K150" s="820">
        <v>-835.88864000000001</v>
      </c>
      <c r="L150" s="820">
        <v>-835.88864000000001</v>
      </c>
      <c r="M150" s="820">
        <v>-835.88864000000001</v>
      </c>
      <c r="N150" s="820">
        <v>-835.88864000000001</v>
      </c>
      <c r="O150" s="820">
        <v>-835.88864000000001</v>
      </c>
      <c r="P150" s="816">
        <f t="shared" si="4"/>
        <v>-835.88863999999978</v>
      </c>
      <c r="Q150" s="820">
        <v>-835.88864000000001</v>
      </c>
      <c r="R150" s="820">
        <v>-835.88864000000001</v>
      </c>
      <c r="S150" s="820">
        <v>-835.88864000000001</v>
      </c>
      <c r="T150" s="820">
        <v>-835.88864000000001</v>
      </c>
      <c r="U150" s="820">
        <v>-835.88864000000001</v>
      </c>
      <c r="V150" s="820">
        <v>-835.88864000000001</v>
      </c>
      <c r="W150" s="820">
        <v>-835.88864000000001</v>
      </c>
      <c r="X150" s="820">
        <v>-835.88864000000001</v>
      </c>
      <c r="Y150" s="820">
        <v>-835.88864000000001</v>
      </c>
      <c r="Z150" s="820">
        <v>-835.88864000000001</v>
      </c>
      <c r="AA150" s="820">
        <v>-835.88864000000001</v>
      </c>
      <c r="AB150" s="820">
        <v>-835.88864000000001</v>
      </c>
      <c r="AC150" s="820">
        <v>-835.88864000000001</v>
      </c>
      <c r="AD150" s="820">
        <v>-835.88864000000001</v>
      </c>
      <c r="AE150" s="820">
        <v>-835.88864000000001</v>
      </c>
      <c r="AF150" s="820">
        <v>-835.88864000000001</v>
      </c>
      <c r="AG150" s="816">
        <f t="shared" si="5"/>
        <v>-835.88863999999978</v>
      </c>
    </row>
    <row r="151" spans="2:33">
      <c r="B151" s="818" t="s">
        <v>481</v>
      </c>
      <c r="C151" s="815">
        <v>-835.88864000000001</v>
      </c>
      <c r="D151" s="815">
        <v>-835.88864000000001</v>
      </c>
      <c r="E151" s="815">
        <v>-835.88864000000001</v>
      </c>
      <c r="F151" s="815">
        <v>-835.88864000000001</v>
      </c>
      <c r="G151" s="815">
        <v>-835.88864000000001</v>
      </c>
      <c r="H151" s="815">
        <v>-835.88864000000001</v>
      </c>
      <c r="I151" s="815">
        <v>-835.88864000000001</v>
      </c>
      <c r="J151" s="815">
        <v>-835.88864000000001</v>
      </c>
      <c r="K151" s="815">
        <v>-835.88864000000001</v>
      </c>
      <c r="L151" s="815">
        <v>-835.88864000000001</v>
      </c>
      <c r="M151" s="815">
        <v>-835.88864000000001</v>
      </c>
      <c r="N151" s="815">
        <v>-835.88864000000001</v>
      </c>
      <c r="O151" s="815">
        <v>-835.88864000000001</v>
      </c>
      <c r="P151" s="816">
        <f t="shared" si="4"/>
        <v>-835.88863999999978</v>
      </c>
      <c r="Q151" s="815">
        <v>-835.88864000000001</v>
      </c>
      <c r="R151" s="815">
        <v>-835.88864000000001</v>
      </c>
      <c r="S151" s="815">
        <v>-835.88864000000001</v>
      </c>
      <c r="T151" s="815">
        <v>-835.88864000000001</v>
      </c>
      <c r="U151" s="815">
        <v>-835.88864000000001</v>
      </c>
      <c r="V151" s="815">
        <v>-835.88864000000001</v>
      </c>
      <c r="W151" s="815">
        <v>-835.88864000000001</v>
      </c>
      <c r="X151" s="815">
        <v>-835.88864000000001</v>
      </c>
      <c r="Y151" s="815">
        <v>-835.88864000000001</v>
      </c>
      <c r="Z151" s="815">
        <v>-835.88864000000001</v>
      </c>
      <c r="AA151" s="815">
        <v>-835.88864000000001</v>
      </c>
      <c r="AB151" s="815">
        <v>-835.88864000000001</v>
      </c>
      <c r="AC151" s="815">
        <v>-835.88864000000001</v>
      </c>
      <c r="AD151" s="815">
        <v>-835.88864000000001</v>
      </c>
      <c r="AE151" s="815">
        <v>-835.88864000000001</v>
      </c>
      <c r="AF151" s="815">
        <v>-835.88864000000001</v>
      </c>
      <c r="AG151" s="816">
        <f t="shared" si="5"/>
        <v>-835.88863999999978</v>
      </c>
    </row>
    <row r="152" spans="2:33">
      <c r="C152" s="817"/>
      <c r="D152" s="817"/>
      <c r="E152" s="817"/>
      <c r="F152" s="817"/>
      <c r="G152" s="817"/>
      <c r="H152" s="817"/>
      <c r="I152" s="817"/>
      <c r="J152" s="817"/>
      <c r="K152" s="817"/>
      <c r="L152" s="817"/>
      <c r="M152" s="817"/>
      <c r="N152" s="817"/>
      <c r="O152" s="817"/>
      <c r="P152" s="816">
        <f t="shared" si="4"/>
        <v>0</v>
      </c>
      <c r="Q152" s="817"/>
      <c r="R152" s="817"/>
      <c r="S152" s="817"/>
      <c r="T152" s="817"/>
      <c r="U152" s="817"/>
      <c r="V152" s="817"/>
      <c r="W152" s="817"/>
      <c r="X152" s="817"/>
      <c r="Y152" s="817"/>
      <c r="Z152" s="817"/>
      <c r="AA152" s="817"/>
      <c r="AB152" s="817"/>
      <c r="AC152" s="817"/>
      <c r="AD152" s="817"/>
      <c r="AE152" s="817"/>
      <c r="AF152" s="817"/>
      <c r="AG152" s="816">
        <f t="shared" si="5"/>
        <v>0</v>
      </c>
    </row>
    <row r="153" spans="2:33">
      <c r="B153" s="818" t="s">
        <v>482</v>
      </c>
      <c r="C153" s="817"/>
      <c r="D153" s="817"/>
      <c r="E153" s="817"/>
      <c r="F153" s="817"/>
      <c r="G153" s="817"/>
      <c r="H153" s="817"/>
      <c r="I153" s="817"/>
      <c r="J153" s="817"/>
      <c r="K153" s="817"/>
      <c r="L153" s="817"/>
      <c r="M153" s="817"/>
      <c r="N153" s="817"/>
      <c r="O153" s="817"/>
      <c r="P153" s="816">
        <f t="shared" si="4"/>
        <v>0</v>
      </c>
      <c r="Q153" s="817"/>
      <c r="R153" s="817"/>
      <c r="S153" s="817"/>
      <c r="T153" s="817"/>
      <c r="U153" s="817"/>
      <c r="V153" s="817"/>
      <c r="W153" s="817"/>
      <c r="X153" s="817"/>
      <c r="Y153" s="817"/>
      <c r="Z153" s="817"/>
      <c r="AA153" s="817"/>
      <c r="AB153" s="817"/>
      <c r="AC153" s="817"/>
      <c r="AD153" s="817"/>
      <c r="AE153" s="817"/>
      <c r="AF153" s="817"/>
      <c r="AG153" s="816">
        <f t="shared" si="5"/>
        <v>0</v>
      </c>
    </row>
    <row r="154" spans="2:33" ht="15.75" thickBot="1">
      <c r="B154" s="818" t="s">
        <v>483</v>
      </c>
      <c r="C154" s="820">
        <v>518081.49900000001</v>
      </c>
      <c r="D154" s="820">
        <v>518081.49900000001</v>
      </c>
      <c r="E154" s="820">
        <v>518081.49900000001</v>
      </c>
      <c r="F154" s="820">
        <v>518081.49900000001</v>
      </c>
      <c r="G154" s="820">
        <v>518081.49900000001</v>
      </c>
      <c r="H154" s="820">
        <v>518081.49900000001</v>
      </c>
      <c r="I154" s="820">
        <v>561081.49899999995</v>
      </c>
      <c r="J154" s="820">
        <v>561081.49899999995</v>
      </c>
      <c r="K154" s="820">
        <v>561081.49899999995</v>
      </c>
      <c r="L154" s="820">
        <v>577590.14160196704</v>
      </c>
      <c r="M154" s="820">
        <v>577590.14160196704</v>
      </c>
      <c r="N154" s="820">
        <v>577590.14160196704</v>
      </c>
      <c r="O154" s="820">
        <v>644152.82671426795</v>
      </c>
      <c r="P154" s="816">
        <f t="shared" si="4"/>
        <v>551435.13404001284</v>
      </c>
      <c r="Q154" s="820">
        <v>644152.82671426795</v>
      </c>
      <c r="R154" s="820">
        <v>644152.82671426795</v>
      </c>
      <c r="S154" s="820">
        <v>644152.82671426795</v>
      </c>
      <c r="T154" s="820">
        <v>644152.82671426795</v>
      </c>
      <c r="U154" s="820">
        <v>644152.82671426795</v>
      </c>
      <c r="V154" s="820">
        <v>684369.80836952897</v>
      </c>
      <c r="W154" s="820">
        <v>684369.80836952897</v>
      </c>
      <c r="X154" s="820">
        <v>684369.80836952897</v>
      </c>
      <c r="Y154" s="820">
        <v>685735.02830575302</v>
      </c>
      <c r="Z154" s="820">
        <v>685735.02830575302</v>
      </c>
      <c r="AA154" s="820">
        <v>685735.02830575302</v>
      </c>
      <c r="AB154" s="820">
        <v>740621.11262010201</v>
      </c>
      <c r="AC154" s="820">
        <v>740621.11262010201</v>
      </c>
      <c r="AD154" s="820">
        <v>740621.11262010201</v>
      </c>
      <c r="AE154" s="820">
        <v>740621.11262010201</v>
      </c>
      <c r="AF154" s="820">
        <v>740621.11262010201</v>
      </c>
      <c r="AG154" s="816">
        <f t="shared" si="5"/>
        <v>700132.74819653027</v>
      </c>
    </row>
    <row r="155" spans="2:33">
      <c r="B155" s="818" t="s">
        <v>484</v>
      </c>
      <c r="C155" s="815">
        <v>518081.49900000001</v>
      </c>
      <c r="D155" s="815">
        <v>518081.49900000001</v>
      </c>
      <c r="E155" s="815">
        <v>518081.49900000001</v>
      </c>
      <c r="F155" s="815">
        <v>518081.49900000001</v>
      </c>
      <c r="G155" s="815">
        <v>518081.49900000001</v>
      </c>
      <c r="H155" s="815">
        <v>518081.49900000001</v>
      </c>
      <c r="I155" s="815">
        <v>561081.49899999995</v>
      </c>
      <c r="J155" s="815">
        <v>561081.49899999995</v>
      </c>
      <c r="K155" s="815">
        <v>561081.49899999995</v>
      </c>
      <c r="L155" s="815">
        <v>577590.14160196704</v>
      </c>
      <c r="M155" s="815">
        <v>577590.14160196704</v>
      </c>
      <c r="N155" s="815">
        <v>577590.14160196704</v>
      </c>
      <c r="O155" s="815">
        <v>644152.82671426795</v>
      </c>
      <c r="P155" s="816">
        <f t="shared" si="4"/>
        <v>551435.13404001284</v>
      </c>
      <c r="Q155" s="815">
        <v>644152.82671426795</v>
      </c>
      <c r="R155" s="815">
        <v>644152.82671426795</v>
      </c>
      <c r="S155" s="815">
        <v>644152.82671426795</v>
      </c>
      <c r="T155" s="815">
        <v>644152.82671426795</v>
      </c>
      <c r="U155" s="815">
        <v>644152.82671426795</v>
      </c>
      <c r="V155" s="815">
        <v>684369.80836952897</v>
      </c>
      <c r="W155" s="815">
        <v>684369.80836952897</v>
      </c>
      <c r="X155" s="815">
        <v>684369.80836952897</v>
      </c>
      <c r="Y155" s="815">
        <v>685735.02830575302</v>
      </c>
      <c r="Z155" s="815">
        <v>685735.02830575302</v>
      </c>
      <c r="AA155" s="815">
        <v>685735.02830575302</v>
      </c>
      <c r="AB155" s="815">
        <v>740621.11262010201</v>
      </c>
      <c r="AC155" s="815">
        <v>740621.11262010201</v>
      </c>
      <c r="AD155" s="815">
        <v>740621.11262010201</v>
      </c>
      <c r="AE155" s="815">
        <v>740621.11262010201</v>
      </c>
      <c r="AF155" s="815">
        <v>740621.11262010201</v>
      </c>
      <c r="AG155" s="816">
        <f t="shared" si="5"/>
        <v>700132.74819653027</v>
      </c>
    </row>
    <row r="156" spans="2:33"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7"/>
      <c r="P156" s="816">
        <f t="shared" si="4"/>
        <v>0</v>
      </c>
      <c r="Q156" s="817"/>
      <c r="R156" s="817"/>
      <c r="S156" s="817"/>
      <c r="T156" s="817"/>
      <c r="U156" s="817"/>
      <c r="V156" s="817"/>
      <c r="W156" s="817"/>
      <c r="X156" s="817"/>
      <c r="Y156" s="817"/>
      <c r="Z156" s="817"/>
      <c r="AA156" s="817"/>
      <c r="AB156" s="817"/>
      <c r="AC156" s="817"/>
      <c r="AD156" s="817"/>
      <c r="AE156" s="817"/>
      <c r="AF156" s="817"/>
      <c r="AG156" s="816">
        <f t="shared" si="5"/>
        <v>0</v>
      </c>
    </row>
    <row r="157" spans="2:33">
      <c r="B157" s="818" t="s">
        <v>485</v>
      </c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7"/>
      <c r="P157" s="816">
        <f t="shared" si="4"/>
        <v>0</v>
      </c>
      <c r="Q157" s="817"/>
      <c r="R157" s="817"/>
      <c r="S157" s="817"/>
      <c r="T157" s="817"/>
      <c r="U157" s="817"/>
      <c r="V157" s="817"/>
      <c r="W157" s="817"/>
      <c r="X157" s="817"/>
      <c r="Y157" s="817"/>
      <c r="Z157" s="817"/>
      <c r="AA157" s="817"/>
      <c r="AB157" s="817"/>
      <c r="AC157" s="817"/>
      <c r="AD157" s="817"/>
      <c r="AE157" s="817"/>
      <c r="AF157" s="817"/>
      <c r="AG157" s="816">
        <f t="shared" si="5"/>
        <v>0</v>
      </c>
    </row>
    <row r="158" spans="2:33" ht="15.75" thickBot="1">
      <c r="B158" s="818" t="s">
        <v>486</v>
      </c>
      <c r="C158" s="820">
        <v>1196179.7172000001</v>
      </c>
      <c r="D158" s="820">
        <v>1227498.46331</v>
      </c>
      <c r="E158" s="820">
        <v>1247373.11956</v>
      </c>
      <c r="F158" s="820">
        <v>1233934.3914099999</v>
      </c>
      <c r="G158" s="820">
        <v>1242655.1864499999</v>
      </c>
      <c r="H158" s="820">
        <v>1260751.3740900001</v>
      </c>
      <c r="I158" s="820">
        <v>1236632.84142</v>
      </c>
      <c r="J158" s="820">
        <v>1257215.6230470799</v>
      </c>
      <c r="K158" s="820">
        <v>1277715.29283427</v>
      </c>
      <c r="L158" s="820">
        <v>1262729.1679008601</v>
      </c>
      <c r="M158" s="820">
        <v>1269343.0765991199</v>
      </c>
      <c r="N158" s="820">
        <v>1283220.1547503199</v>
      </c>
      <c r="O158" s="820">
        <v>1267772.2256835401</v>
      </c>
      <c r="P158" s="816">
        <f t="shared" si="4"/>
        <v>1251001.5872503992</v>
      </c>
      <c r="Q158" s="820">
        <v>1292687.46536751</v>
      </c>
      <c r="R158" s="820">
        <v>1313908.4409688399</v>
      </c>
      <c r="S158" s="820">
        <v>1282524.78780432</v>
      </c>
      <c r="T158" s="820">
        <v>1289985.361609</v>
      </c>
      <c r="U158" s="820">
        <v>1302255.4194636201</v>
      </c>
      <c r="V158" s="820">
        <v>1277421.94163953</v>
      </c>
      <c r="W158" s="820">
        <v>1297043.4377943301</v>
      </c>
      <c r="X158" s="820">
        <v>1317596.67115786</v>
      </c>
      <c r="Y158" s="820">
        <v>1307626.4026864599</v>
      </c>
      <c r="Z158" s="820">
        <v>1314687.06254154</v>
      </c>
      <c r="AA158" s="820">
        <v>1328103.76054644</v>
      </c>
      <c r="AB158" s="820">
        <v>1317289.65156124</v>
      </c>
      <c r="AC158" s="820">
        <v>1344383.4496122899</v>
      </c>
      <c r="AD158" s="820">
        <v>1367858.69179112</v>
      </c>
      <c r="AE158" s="820">
        <v>1299894.05762289</v>
      </c>
      <c r="AF158" s="820">
        <v>1307929.0283861</v>
      </c>
      <c r="AG158" s="816">
        <f t="shared" si="5"/>
        <v>1313236.5335701865</v>
      </c>
    </row>
    <row r="159" spans="2:33">
      <c r="B159" s="818" t="s">
        <v>485</v>
      </c>
      <c r="C159" s="815">
        <v>1196179.7172000001</v>
      </c>
      <c r="D159" s="815">
        <v>1227498.46331</v>
      </c>
      <c r="E159" s="815">
        <v>1247373.11956</v>
      </c>
      <c r="F159" s="815">
        <v>1233934.3914099999</v>
      </c>
      <c r="G159" s="815">
        <v>1242655.1864499999</v>
      </c>
      <c r="H159" s="815">
        <v>1260751.3740900001</v>
      </c>
      <c r="I159" s="815">
        <v>1236632.84142</v>
      </c>
      <c r="J159" s="815">
        <v>1257215.6230470799</v>
      </c>
      <c r="K159" s="815">
        <v>1277715.29283427</v>
      </c>
      <c r="L159" s="815">
        <v>1262729.1679008601</v>
      </c>
      <c r="M159" s="815">
        <v>1269343.0765991199</v>
      </c>
      <c r="N159" s="815">
        <v>1283220.1547503199</v>
      </c>
      <c r="O159" s="815">
        <v>1267772.2256835401</v>
      </c>
      <c r="P159" s="816">
        <f t="shared" si="4"/>
        <v>1251001.5872503992</v>
      </c>
      <c r="Q159" s="815">
        <v>1292687.46536751</v>
      </c>
      <c r="R159" s="815">
        <v>1313908.4409688399</v>
      </c>
      <c r="S159" s="815">
        <v>1282524.78780432</v>
      </c>
      <c r="T159" s="815">
        <v>1289985.361609</v>
      </c>
      <c r="U159" s="815">
        <v>1302255.4194636201</v>
      </c>
      <c r="V159" s="815">
        <v>1277421.94163953</v>
      </c>
      <c r="W159" s="815">
        <v>1297043.4377943301</v>
      </c>
      <c r="X159" s="815">
        <v>1317596.67115786</v>
      </c>
      <c r="Y159" s="815">
        <v>1307626.4026864599</v>
      </c>
      <c r="Z159" s="815">
        <v>1314687.06254154</v>
      </c>
      <c r="AA159" s="815">
        <v>1328103.76054644</v>
      </c>
      <c r="AB159" s="815">
        <v>1317289.65156124</v>
      </c>
      <c r="AC159" s="815">
        <v>1344383.4496122899</v>
      </c>
      <c r="AD159" s="815">
        <v>1367858.69179112</v>
      </c>
      <c r="AE159" s="815">
        <v>1299894.05762289</v>
      </c>
      <c r="AF159" s="815">
        <v>1307929.0283861</v>
      </c>
      <c r="AG159" s="816">
        <f t="shared" si="5"/>
        <v>1313236.5335701865</v>
      </c>
    </row>
    <row r="160" spans="2:33">
      <c r="C160" s="817"/>
      <c r="D160" s="817"/>
      <c r="E160" s="817"/>
      <c r="F160" s="817"/>
      <c r="G160" s="817"/>
      <c r="H160" s="817"/>
      <c r="I160" s="817"/>
      <c r="J160" s="817"/>
      <c r="K160" s="817"/>
      <c r="L160" s="817"/>
      <c r="M160" s="817"/>
      <c r="N160" s="817"/>
      <c r="O160" s="817"/>
      <c r="P160" s="816">
        <f t="shared" si="4"/>
        <v>0</v>
      </c>
      <c r="Q160" s="817"/>
      <c r="R160" s="817"/>
      <c r="S160" s="817"/>
      <c r="T160" s="817"/>
      <c r="U160" s="817"/>
      <c r="V160" s="817"/>
      <c r="W160" s="817"/>
      <c r="X160" s="817"/>
      <c r="Y160" s="817"/>
      <c r="Z160" s="817"/>
      <c r="AA160" s="817"/>
      <c r="AB160" s="817"/>
      <c r="AC160" s="817"/>
      <c r="AD160" s="817"/>
      <c r="AE160" s="817"/>
      <c r="AF160" s="817"/>
      <c r="AG160" s="816">
        <f t="shared" si="5"/>
        <v>0</v>
      </c>
    </row>
    <row r="161" spans="2:33">
      <c r="B161" s="818" t="s">
        <v>487</v>
      </c>
      <c r="P161" s="816">
        <f t="shared" si="4"/>
        <v>0</v>
      </c>
      <c r="AG161" s="816">
        <f t="shared" si="5"/>
        <v>0</v>
      </c>
    </row>
    <row r="162" spans="2:33">
      <c r="C162" s="817"/>
      <c r="D162" s="817"/>
      <c r="E162" s="817"/>
      <c r="F162" s="817"/>
      <c r="G162" s="817"/>
      <c r="H162" s="817"/>
      <c r="I162" s="817"/>
      <c r="J162" s="817"/>
      <c r="K162" s="817"/>
      <c r="L162" s="817"/>
      <c r="M162" s="817"/>
      <c r="N162" s="817"/>
      <c r="O162" s="817"/>
      <c r="P162" s="816">
        <f t="shared" si="4"/>
        <v>0</v>
      </c>
      <c r="Q162" s="817"/>
      <c r="R162" s="817"/>
      <c r="S162" s="817"/>
      <c r="T162" s="817"/>
      <c r="U162" s="817"/>
      <c r="V162" s="817"/>
      <c r="W162" s="817"/>
      <c r="X162" s="817"/>
      <c r="Y162" s="817"/>
      <c r="Z162" s="817"/>
      <c r="AA162" s="817"/>
      <c r="AB162" s="817"/>
      <c r="AC162" s="817"/>
      <c r="AD162" s="817"/>
      <c r="AE162" s="817"/>
      <c r="AF162" s="817"/>
      <c r="AG162" s="816">
        <f t="shared" si="5"/>
        <v>0</v>
      </c>
    </row>
    <row r="163" spans="2:33">
      <c r="C163" s="817"/>
      <c r="D163" s="817"/>
      <c r="E163" s="817"/>
      <c r="F163" s="817"/>
      <c r="G163" s="817"/>
      <c r="H163" s="817"/>
      <c r="I163" s="817"/>
      <c r="J163" s="817"/>
      <c r="K163" s="817"/>
      <c r="L163" s="817"/>
      <c r="M163" s="817"/>
      <c r="N163" s="817"/>
      <c r="O163" s="817"/>
      <c r="P163" s="816">
        <f t="shared" si="4"/>
        <v>0</v>
      </c>
      <c r="Q163" s="817"/>
      <c r="R163" s="817"/>
      <c r="S163" s="817"/>
      <c r="T163" s="817"/>
      <c r="U163" s="817"/>
      <c r="V163" s="817"/>
      <c r="W163" s="817"/>
      <c r="X163" s="817"/>
      <c r="Y163" s="817"/>
      <c r="Z163" s="817"/>
      <c r="AA163" s="817"/>
      <c r="AB163" s="817"/>
      <c r="AC163" s="817"/>
      <c r="AD163" s="817"/>
      <c r="AE163" s="817"/>
      <c r="AF163" s="817"/>
      <c r="AG163" s="816">
        <f t="shared" si="5"/>
        <v>0</v>
      </c>
    </row>
    <row r="164" spans="2:33" ht="15.75" thickBot="1">
      <c r="B164" s="814" t="s">
        <v>651</v>
      </c>
      <c r="C164" s="821">
        <v>2138595.75165</v>
      </c>
      <c r="D164" s="821">
        <v>2169914.4977599899</v>
      </c>
      <c r="E164" s="821">
        <v>2189789.1540099899</v>
      </c>
      <c r="F164" s="821">
        <v>2176350.4258599998</v>
      </c>
      <c r="G164" s="821">
        <v>2185071.2209000001</v>
      </c>
      <c r="H164" s="821">
        <v>2203167.4085400002</v>
      </c>
      <c r="I164" s="821">
        <v>2222048.8758700001</v>
      </c>
      <c r="J164" s="821">
        <v>2242631.65749708</v>
      </c>
      <c r="K164" s="821">
        <v>2263131.32728427</v>
      </c>
      <c r="L164" s="821">
        <v>2264653.8449528301</v>
      </c>
      <c r="M164" s="821">
        <v>2271267.7536510802</v>
      </c>
      <c r="N164" s="821">
        <v>2285144.8318022899</v>
      </c>
      <c r="O164" s="821">
        <v>2336259.5878478098</v>
      </c>
      <c r="P164" s="816">
        <f t="shared" si="4"/>
        <v>2226771.2567404103</v>
      </c>
      <c r="Q164" s="821">
        <v>2361174.8275317801</v>
      </c>
      <c r="R164" s="821">
        <v>2382395.8031331101</v>
      </c>
      <c r="S164" s="821">
        <v>2351012.1499685901</v>
      </c>
      <c r="T164" s="821">
        <v>2358472.7237732699</v>
      </c>
      <c r="U164" s="821">
        <v>2370742.7816278902</v>
      </c>
      <c r="V164" s="821">
        <v>2386126.2854590602</v>
      </c>
      <c r="W164" s="821">
        <v>2405747.7816138598</v>
      </c>
      <c r="X164" s="821">
        <v>2426301.0149773899</v>
      </c>
      <c r="Y164" s="821">
        <v>2417695.9664422199</v>
      </c>
      <c r="Z164" s="821">
        <v>2424756.62629729</v>
      </c>
      <c r="AA164" s="821">
        <v>2438173.32430219</v>
      </c>
      <c r="AB164" s="821">
        <v>2482245.29963134</v>
      </c>
      <c r="AC164" s="821">
        <v>2509339.0976823899</v>
      </c>
      <c r="AD164" s="821">
        <v>2532814.3398612202</v>
      </c>
      <c r="AE164" s="821">
        <v>2464849.705693</v>
      </c>
      <c r="AF164" s="821">
        <v>2472884.6764562</v>
      </c>
      <c r="AG164" s="816">
        <f t="shared" si="5"/>
        <v>2437703.8172167167</v>
      </c>
    </row>
    <row r="165" spans="2:33">
      <c r="P165" s="816">
        <f t="shared" si="4"/>
        <v>0</v>
      </c>
      <c r="AG165" s="816">
        <f t="shared" si="5"/>
        <v>0</v>
      </c>
    </row>
    <row r="166" spans="2:33">
      <c r="B166" s="814" t="s">
        <v>489</v>
      </c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7"/>
      <c r="P166" s="816">
        <f t="shared" si="4"/>
        <v>0</v>
      </c>
      <c r="Q166" s="817"/>
      <c r="R166" s="817"/>
      <c r="S166" s="817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  <c r="AD166" s="817"/>
      <c r="AE166" s="817"/>
      <c r="AF166" s="817"/>
      <c r="AG166" s="816">
        <f t="shared" si="5"/>
        <v>0</v>
      </c>
    </row>
    <row r="167" spans="2:33">
      <c r="B167" s="818" t="s">
        <v>490</v>
      </c>
      <c r="C167" s="817"/>
      <c r="D167" s="817"/>
      <c r="E167" s="817"/>
      <c r="F167" s="817"/>
      <c r="G167" s="817"/>
      <c r="H167" s="817"/>
      <c r="I167" s="817"/>
      <c r="J167" s="817"/>
      <c r="K167" s="817"/>
      <c r="L167" s="817"/>
      <c r="M167" s="817"/>
      <c r="N167" s="817"/>
      <c r="O167" s="817"/>
      <c r="P167" s="816">
        <f t="shared" si="4"/>
        <v>0</v>
      </c>
      <c r="Q167" s="817"/>
      <c r="R167" s="817"/>
      <c r="S167" s="817"/>
      <c r="T167" s="817"/>
      <c r="U167" s="817"/>
      <c r="V167" s="817"/>
      <c r="W167" s="817"/>
      <c r="X167" s="817"/>
      <c r="Y167" s="817"/>
      <c r="Z167" s="817"/>
      <c r="AA167" s="817"/>
      <c r="AB167" s="817"/>
      <c r="AC167" s="817"/>
      <c r="AD167" s="817"/>
      <c r="AE167" s="817"/>
      <c r="AF167" s="817"/>
      <c r="AG167" s="816">
        <f t="shared" si="5"/>
        <v>0</v>
      </c>
    </row>
    <row r="168" spans="2:33">
      <c r="B168" s="818" t="s">
        <v>491</v>
      </c>
      <c r="C168" s="815">
        <v>97500</v>
      </c>
      <c r="D168" s="815">
        <v>97500</v>
      </c>
      <c r="E168" s="815">
        <v>70000</v>
      </c>
      <c r="F168" s="815">
        <v>0</v>
      </c>
      <c r="G168" s="815">
        <v>128000</v>
      </c>
      <c r="H168" s="815">
        <v>128000</v>
      </c>
      <c r="I168" s="815">
        <v>194200</v>
      </c>
      <c r="J168" s="815">
        <v>194200</v>
      </c>
      <c r="K168" s="815">
        <v>194200</v>
      </c>
      <c r="L168" s="815">
        <v>194200</v>
      </c>
      <c r="M168" s="815">
        <v>194200</v>
      </c>
      <c r="N168" s="815">
        <v>194200</v>
      </c>
      <c r="O168" s="815">
        <v>194200</v>
      </c>
      <c r="P168" s="816">
        <f t="shared" si="4"/>
        <v>144646.15384615384</v>
      </c>
      <c r="Q168" s="815">
        <v>194200</v>
      </c>
      <c r="R168" s="815">
        <v>194200</v>
      </c>
      <c r="S168" s="815">
        <v>194200</v>
      </c>
      <c r="T168" s="815">
        <v>66200</v>
      </c>
      <c r="U168" s="815">
        <v>66200</v>
      </c>
      <c r="V168" s="815">
        <v>0</v>
      </c>
      <c r="W168" s="815">
        <v>0</v>
      </c>
      <c r="X168" s="815">
        <v>-40000</v>
      </c>
      <c r="Y168" s="815">
        <v>-40000</v>
      </c>
      <c r="Z168" s="815">
        <v>-40000</v>
      </c>
      <c r="AA168" s="815">
        <v>-40000</v>
      </c>
      <c r="AB168" s="815">
        <v>-40000</v>
      </c>
      <c r="AC168" s="815">
        <v>-40000</v>
      </c>
      <c r="AD168" s="815">
        <v>-40000</v>
      </c>
      <c r="AE168" s="815">
        <v>-40000</v>
      </c>
      <c r="AF168" s="815">
        <v>-40000</v>
      </c>
      <c r="AG168" s="816">
        <f t="shared" si="5"/>
        <v>-17507.692307692309</v>
      </c>
    </row>
    <row r="169" spans="2:33">
      <c r="B169" s="818" t="s">
        <v>492</v>
      </c>
      <c r="C169" s="815">
        <v>1626700</v>
      </c>
      <c r="D169" s="815">
        <v>1726700</v>
      </c>
      <c r="E169" s="815">
        <v>1554200</v>
      </c>
      <c r="F169" s="815">
        <v>1624200</v>
      </c>
      <c r="G169" s="815">
        <v>1496200</v>
      </c>
      <c r="H169" s="815">
        <v>1496200</v>
      </c>
      <c r="I169" s="815">
        <v>1430000</v>
      </c>
      <c r="J169" s="815">
        <v>1430000</v>
      </c>
      <c r="K169" s="815">
        <v>1430000</v>
      </c>
      <c r="L169" s="815">
        <v>1430000</v>
      </c>
      <c r="M169" s="815">
        <v>1430000</v>
      </c>
      <c r="N169" s="815">
        <v>1430000</v>
      </c>
      <c r="O169" s="815">
        <v>1430000</v>
      </c>
      <c r="P169" s="816">
        <f t="shared" si="4"/>
        <v>1502630.7692307692</v>
      </c>
      <c r="Q169" s="815">
        <v>1430000</v>
      </c>
      <c r="R169" s="815">
        <v>1430000</v>
      </c>
      <c r="S169" s="815">
        <v>1430000</v>
      </c>
      <c r="T169" s="815">
        <v>1558000</v>
      </c>
      <c r="U169" s="815">
        <v>2058000</v>
      </c>
      <c r="V169" s="815">
        <v>2124200</v>
      </c>
      <c r="W169" s="815">
        <v>2124200</v>
      </c>
      <c r="X169" s="815">
        <v>2164200</v>
      </c>
      <c r="Y169" s="815">
        <v>2164200</v>
      </c>
      <c r="Z169" s="815">
        <v>2164200</v>
      </c>
      <c r="AA169" s="815">
        <v>2164200</v>
      </c>
      <c r="AB169" s="815">
        <v>2164200</v>
      </c>
      <c r="AC169" s="815">
        <v>2164200</v>
      </c>
      <c r="AD169" s="815">
        <v>2164200</v>
      </c>
      <c r="AE169" s="815">
        <v>2164200</v>
      </c>
      <c r="AF169" s="815">
        <v>2164200</v>
      </c>
      <c r="AG169" s="816">
        <f t="shared" si="5"/>
        <v>2103246.153846154</v>
      </c>
    </row>
    <row r="170" spans="2:33">
      <c r="B170" s="818" t="s">
        <v>1923</v>
      </c>
      <c r="C170" s="815">
        <v>0</v>
      </c>
      <c r="D170" s="815">
        <v>0</v>
      </c>
      <c r="E170" s="815">
        <v>200000</v>
      </c>
      <c r="F170" s="815">
        <v>200000</v>
      </c>
      <c r="G170" s="815">
        <v>200000</v>
      </c>
      <c r="H170" s="815">
        <v>200000</v>
      </c>
      <c r="I170" s="815">
        <v>200000</v>
      </c>
      <c r="J170" s="815">
        <v>200000</v>
      </c>
      <c r="K170" s="815">
        <v>200000</v>
      </c>
      <c r="L170" s="815">
        <v>200000</v>
      </c>
      <c r="M170" s="815">
        <v>200000</v>
      </c>
      <c r="N170" s="815">
        <v>200000</v>
      </c>
      <c r="O170" s="815">
        <v>200000</v>
      </c>
      <c r="P170" s="816">
        <f t="shared" si="4"/>
        <v>169230.76923076922</v>
      </c>
      <c r="Q170" s="815">
        <v>200000</v>
      </c>
      <c r="R170" s="815">
        <v>200000</v>
      </c>
      <c r="S170" s="815">
        <v>200000</v>
      </c>
      <c r="T170" s="815">
        <v>200000</v>
      </c>
      <c r="U170" s="815">
        <v>0</v>
      </c>
      <c r="V170" s="815">
        <v>0</v>
      </c>
      <c r="W170" s="815">
        <v>0</v>
      </c>
      <c r="X170" s="815">
        <v>0</v>
      </c>
      <c r="Y170" s="815">
        <v>0</v>
      </c>
      <c r="Z170" s="815">
        <v>0</v>
      </c>
      <c r="AA170" s="815">
        <v>0</v>
      </c>
      <c r="AB170" s="815">
        <v>0</v>
      </c>
      <c r="AC170" s="815">
        <v>0</v>
      </c>
      <c r="AD170" s="815">
        <v>0</v>
      </c>
      <c r="AE170" s="815">
        <v>0</v>
      </c>
      <c r="AF170" s="815">
        <v>0</v>
      </c>
      <c r="AG170" s="816">
        <f t="shared" si="5"/>
        <v>15384.615384615385</v>
      </c>
    </row>
    <row r="171" spans="2:33" ht="15.75" thickBot="1">
      <c r="B171" s="818" t="s">
        <v>493</v>
      </c>
      <c r="C171" s="820">
        <v>-4207.9534199999998</v>
      </c>
      <c r="D171" s="820">
        <v>-4192.4571299999998</v>
      </c>
      <c r="E171" s="820">
        <v>-4178.4158100000004</v>
      </c>
      <c r="F171" s="820">
        <v>-4162.8700600000002</v>
      </c>
      <c r="G171" s="820">
        <v>-4147.8257800000001</v>
      </c>
      <c r="H171" s="820">
        <v>-4132.2800200000001</v>
      </c>
      <c r="I171" s="820">
        <v>-4117.2357499999998</v>
      </c>
      <c r="J171" s="820">
        <v>-4101.6899999999996</v>
      </c>
      <c r="K171" s="820">
        <v>-4086.1442399999901</v>
      </c>
      <c r="L171" s="820">
        <v>-4071.09995999999</v>
      </c>
      <c r="M171" s="820">
        <v>-4055.5542099999898</v>
      </c>
      <c r="N171" s="820">
        <v>-4040.50991999999</v>
      </c>
      <c r="O171" s="820">
        <v>-4024.9641699999902</v>
      </c>
      <c r="P171" s="816">
        <f t="shared" si="4"/>
        <v>-4116.8461899999957</v>
      </c>
      <c r="Q171" s="820">
        <v>-4009.41841999999</v>
      </c>
      <c r="R171" s="820">
        <v>-3995.3770899999899</v>
      </c>
      <c r="S171" s="820">
        <v>-3979.83132999999</v>
      </c>
      <c r="T171" s="820">
        <v>-3964.7870699999899</v>
      </c>
      <c r="U171" s="820">
        <v>-3949.2413099999899</v>
      </c>
      <c r="V171" s="820">
        <v>-3934.1970299999898</v>
      </c>
      <c r="W171" s="820">
        <v>-3918.65127999999</v>
      </c>
      <c r="X171" s="820">
        <v>-3903.1055199999901</v>
      </c>
      <c r="Y171" s="820">
        <v>-3888.06123999999</v>
      </c>
      <c r="Z171" s="820">
        <v>-3872.5154899999902</v>
      </c>
      <c r="AA171" s="820">
        <v>-3857.4712099999902</v>
      </c>
      <c r="AB171" s="820">
        <v>-3841.9254599999899</v>
      </c>
      <c r="AC171" s="820">
        <v>-3826.3797099999902</v>
      </c>
      <c r="AD171" s="820">
        <v>-3811.8368999999898</v>
      </c>
      <c r="AE171" s="820">
        <v>-3796.29114999999</v>
      </c>
      <c r="AF171" s="820">
        <v>-3781.2468599999902</v>
      </c>
      <c r="AG171" s="816">
        <f t="shared" si="5"/>
        <v>-3872.7469407692206</v>
      </c>
    </row>
    <row r="172" spans="2:33">
      <c r="B172" s="818" t="s">
        <v>490</v>
      </c>
      <c r="C172" s="815">
        <v>1719992.0465800001</v>
      </c>
      <c r="D172" s="815">
        <v>1820007.54287</v>
      </c>
      <c r="E172" s="815">
        <v>1820021.5841900001</v>
      </c>
      <c r="F172" s="815">
        <v>1820037.1299399999</v>
      </c>
      <c r="G172" s="815">
        <v>1820052.1742199999</v>
      </c>
      <c r="H172" s="815">
        <v>1820067.7199800001</v>
      </c>
      <c r="I172" s="815">
        <v>1820082.76425</v>
      </c>
      <c r="J172" s="815">
        <v>1820098.31</v>
      </c>
      <c r="K172" s="815">
        <v>1820113.8557599999</v>
      </c>
      <c r="L172" s="815">
        <v>1820128.90004</v>
      </c>
      <c r="M172" s="815">
        <v>1820144.44579</v>
      </c>
      <c r="N172" s="815">
        <v>1820159.4900799999</v>
      </c>
      <c r="O172" s="815">
        <v>1820175.0358299999</v>
      </c>
      <c r="P172" s="816">
        <f t="shared" si="4"/>
        <v>1812390.8461176918</v>
      </c>
      <c r="Q172" s="815">
        <v>1820190.58158</v>
      </c>
      <c r="R172" s="815">
        <v>1820204.6229099999</v>
      </c>
      <c r="S172" s="815">
        <v>1820220.16867</v>
      </c>
      <c r="T172" s="815">
        <v>1820235.2129299999</v>
      </c>
      <c r="U172" s="815">
        <v>2120250.75869</v>
      </c>
      <c r="V172" s="815">
        <v>2120265.8029700001</v>
      </c>
      <c r="W172" s="815">
        <v>2120281.3487200001</v>
      </c>
      <c r="X172" s="815">
        <v>2120296.8944799998</v>
      </c>
      <c r="Y172" s="815">
        <v>2120311.9387599998</v>
      </c>
      <c r="Z172" s="815">
        <v>2120327.4845099999</v>
      </c>
      <c r="AA172" s="815">
        <v>2120342.5287899999</v>
      </c>
      <c r="AB172" s="815">
        <v>2120358.0745399999</v>
      </c>
      <c r="AC172" s="815">
        <v>2120373.62029</v>
      </c>
      <c r="AD172" s="815">
        <v>2120388.1631</v>
      </c>
      <c r="AE172" s="815">
        <v>2120403.7088500001</v>
      </c>
      <c r="AF172" s="815">
        <v>2120418.7531400002</v>
      </c>
      <c r="AG172" s="816">
        <f t="shared" si="5"/>
        <v>2097250.3299823077</v>
      </c>
    </row>
    <row r="173" spans="2:33">
      <c r="C173" s="817"/>
      <c r="D173" s="817"/>
      <c r="E173" s="817"/>
      <c r="F173" s="817"/>
      <c r="G173" s="817"/>
      <c r="H173" s="817"/>
      <c r="I173" s="817"/>
      <c r="J173" s="817"/>
      <c r="K173" s="817"/>
      <c r="L173" s="817"/>
      <c r="M173" s="817"/>
      <c r="N173" s="817"/>
      <c r="O173" s="817"/>
      <c r="P173" s="816">
        <f t="shared" si="4"/>
        <v>0</v>
      </c>
      <c r="Q173" s="817"/>
      <c r="R173" s="817"/>
      <c r="S173" s="817"/>
      <c r="T173" s="817"/>
      <c r="U173" s="817"/>
      <c r="V173" s="817"/>
      <c r="W173" s="817"/>
      <c r="X173" s="817"/>
      <c r="Y173" s="817"/>
      <c r="Z173" s="817"/>
      <c r="AA173" s="817"/>
      <c r="AB173" s="817"/>
      <c r="AC173" s="817"/>
      <c r="AD173" s="817"/>
      <c r="AE173" s="817"/>
      <c r="AF173" s="817"/>
      <c r="AG173" s="816">
        <f t="shared" si="5"/>
        <v>0</v>
      </c>
    </row>
    <row r="174" spans="2:33">
      <c r="B174" s="818" t="s">
        <v>494</v>
      </c>
      <c r="P174" s="816">
        <f t="shared" si="4"/>
        <v>0</v>
      </c>
      <c r="AG174" s="816">
        <f t="shared" si="5"/>
        <v>0</v>
      </c>
    </row>
    <row r="175" spans="2:33">
      <c r="C175" s="817"/>
      <c r="D175" s="817"/>
      <c r="E175" s="817"/>
      <c r="F175" s="817"/>
      <c r="G175" s="817"/>
      <c r="H175" s="817"/>
      <c r="I175" s="817"/>
      <c r="J175" s="817"/>
      <c r="K175" s="817"/>
      <c r="L175" s="817"/>
      <c r="M175" s="817"/>
      <c r="N175" s="817"/>
      <c r="O175" s="817"/>
      <c r="P175" s="816">
        <f t="shared" si="4"/>
        <v>0</v>
      </c>
      <c r="Q175" s="817"/>
      <c r="R175" s="817"/>
      <c r="S175" s="817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  <c r="AD175" s="817"/>
      <c r="AE175" s="817"/>
      <c r="AF175" s="817"/>
      <c r="AG175" s="816">
        <f t="shared" si="5"/>
        <v>0</v>
      </c>
    </row>
    <row r="176" spans="2:33" ht="15.75" thickBot="1">
      <c r="B176" s="814" t="s">
        <v>495</v>
      </c>
      <c r="C176" s="821">
        <v>1719992.0465800001</v>
      </c>
      <c r="D176" s="821">
        <v>1820007.54287</v>
      </c>
      <c r="E176" s="821">
        <v>1820021.5841900001</v>
      </c>
      <c r="F176" s="821">
        <v>1820037.1299399999</v>
      </c>
      <c r="G176" s="821">
        <v>1820052.1742199999</v>
      </c>
      <c r="H176" s="821">
        <v>1820067.7199800001</v>
      </c>
      <c r="I176" s="821">
        <v>1820082.76425</v>
      </c>
      <c r="J176" s="821">
        <v>1820098.31</v>
      </c>
      <c r="K176" s="821">
        <v>1820113.8557599999</v>
      </c>
      <c r="L176" s="821">
        <v>1820128.90004</v>
      </c>
      <c r="M176" s="821">
        <v>1820144.44579</v>
      </c>
      <c r="N176" s="821">
        <v>1820159.4900799999</v>
      </c>
      <c r="O176" s="821">
        <v>1820175.0358299999</v>
      </c>
      <c r="P176" s="816">
        <f t="shared" si="4"/>
        <v>1812390.8461176918</v>
      </c>
      <c r="Q176" s="821">
        <v>1820190.58158</v>
      </c>
      <c r="R176" s="821">
        <v>1820204.6229099999</v>
      </c>
      <c r="S176" s="821">
        <v>1820220.16867</v>
      </c>
      <c r="T176" s="821">
        <v>1820235.2129299999</v>
      </c>
      <c r="U176" s="821">
        <v>2120250.75869</v>
      </c>
      <c r="V176" s="821">
        <v>2120265.8029700001</v>
      </c>
      <c r="W176" s="821">
        <v>2120281.3487200001</v>
      </c>
      <c r="X176" s="821">
        <v>2120296.8944799998</v>
      </c>
      <c r="Y176" s="821">
        <v>2120311.9387599998</v>
      </c>
      <c r="Z176" s="821">
        <v>2120327.4845099999</v>
      </c>
      <c r="AA176" s="821">
        <v>2120342.5287899999</v>
      </c>
      <c r="AB176" s="821">
        <v>2120358.0745399999</v>
      </c>
      <c r="AC176" s="821">
        <v>2120373.62029</v>
      </c>
      <c r="AD176" s="821">
        <v>2120388.1631</v>
      </c>
      <c r="AE176" s="821">
        <v>2120403.7088500001</v>
      </c>
      <c r="AF176" s="821">
        <v>2120418.7531400002</v>
      </c>
      <c r="AG176" s="816">
        <f t="shared" si="5"/>
        <v>2097250.3299823077</v>
      </c>
    </row>
    <row r="177" spans="2:33">
      <c r="P177" s="816">
        <f t="shared" si="4"/>
        <v>0</v>
      </c>
      <c r="AG177" s="816">
        <f t="shared" si="5"/>
        <v>0</v>
      </c>
    </row>
    <row r="178" spans="2:33">
      <c r="B178" s="814" t="s">
        <v>496</v>
      </c>
      <c r="C178" s="823">
        <v>3858587.7982299998</v>
      </c>
      <c r="D178" s="823">
        <v>3989922.0406299899</v>
      </c>
      <c r="E178" s="823">
        <v>4009810.7381999898</v>
      </c>
      <c r="F178" s="823">
        <v>3996387.55579999</v>
      </c>
      <c r="G178" s="823">
        <v>4005123.39512</v>
      </c>
      <c r="H178" s="823">
        <v>4023235.1285199998</v>
      </c>
      <c r="I178" s="823">
        <v>4042131.6401200001</v>
      </c>
      <c r="J178" s="823">
        <v>4062729.9674970801</v>
      </c>
      <c r="K178" s="823">
        <v>4083245.1830442701</v>
      </c>
      <c r="L178" s="823">
        <v>4084782.7449928299</v>
      </c>
      <c r="M178" s="823">
        <v>4091412.19944108</v>
      </c>
      <c r="N178" s="823">
        <v>4105304.3218822898</v>
      </c>
      <c r="O178" s="823">
        <v>4156434.6236778102</v>
      </c>
      <c r="P178" s="816">
        <f t="shared" si="4"/>
        <v>4039162.1028581033</v>
      </c>
      <c r="Q178" s="823">
        <v>4181365.4091117801</v>
      </c>
      <c r="R178" s="823">
        <v>4202600.42604311</v>
      </c>
      <c r="S178" s="823">
        <v>4171232.3186385902</v>
      </c>
      <c r="T178" s="823">
        <v>4178707.9367032698</v>
      </c>
      <c r="U178" s="823">
        <v>4490993.5403178902</v>
      </c>
      <c r="V178" s="823">
        <v>4506392.0884290598</v>
      </c>
      <c r="W178" s="823">
        <v>4526029.1303338604</v>
      </c>
      <c r="X178" s="823">
        <v>4546597.9094573902</v>
      </c>
      <c r="Y178" s="823">
        <v>4538007.9052022202</v>
      </c>
      <c r="Z178" s="823">
        <v>4545084.1108072903</v>
      </c>
      <c r="AA178" s="823">
        <v>4558515.8530921899</v>
      </c>
      <c r="AB178" s="823">
        <v>4602603.3741713399</v>
      </c>
      <c r="AC178" s="823">
        <v>4629712.7179723904</v>
      </c>
      <c r="AD178" s="823">
        <v>4653202.5029612202</v>
      </c>
      <c r="AE178" s="823">
        <v>4585253.414543</v>
      </c>
      <c r="AF178" s="823">
        <v>4593303.4295961997</v>
      </c>
      <c r="AG178" s="816">
        <f t="shared" si="5"/>
        <v>4534954.1471990244</v>
      </c>
    </row>
    <row r="179" spans="2:33">
      <c r="P179" s="816">
        <f t="shared" si="4"/>
        <v>0</v>
      </c>
      <c r="AG179" s="816">
        <f t="shared" si="5"/>
        <v>0</v>
      </c>
    </row>
    <row r="180" spans="2:33">
      <c r="B180" s="814" t="s">
        <v>497</v>
      </c>
      <c r="C180" s="817"/>
      <c r="D180" s="817"/>
      <c r="E180" s="817"/>
      <c r="F180" s="817"/>
      <c r="G180" s="817"/>
      <c r="H180" s="817"/>
      <c r="I180" s="817"/>
      <c r="J180" s="817"/>
      <c r="K180" s="817"/>
      <c r="L180" s="817"/>
      <c r="M180" s="817"/>
      <c r="N180" s="817"/>
      <c r="O180" s="817"/>
      <c r="P180" s="816">
        <f t="shared" si="4"/>
        <v>0</v>
      </c>
      <c r="Q180" s="817"/>
      <c r="R180" s="817"/>
      <c r="S180" s="817"/>
      <c r="T180" s="817"/>
      <c r="U180" s="817"/>
      <c r="V180" s="817"/>
      <c r="W180" s="817"/>
      <c r="X180" s="817"/>
      <c r="Y180" s="817"/>
      <c r="Z180" s="817"/>
      <c r="AA180" s="817"/>
      <c r="AB180" s="817"/>
      <c r="AC180" s="817"/>
      <c r="AD180" s="817"/>
      <c r="AE180" s="817"/>
      <c r="AF180" s="817"/>
      <c r="AG180" s="816">
        <f t="shared" si="5"/>
        <v>0</v>
      </c>
    </row>
    <row r="181" spans="2:33">
      <c r="B181" s="818" t="s">
        <v>498</v>
      </c>
      <c r="P181" s="816">
        <f t="shared" si="4"/>
        <v>0</v>
      </c>
      <c r="AG181" s="816">
        <f t="shared" si="5"/>
        <v>0</v>
      </c>
    </row>
    <row r="182" spans="2:33">
      <c r="B182" s="818" t="s">
        <v>1733</v>
      </c>
      <c r="C182" s="815">
        <v>0</v>
      </c>
      <c r="D182" s="815">
        <v>0</v>
      </c>
      <c r="E182" s="815">
        <v>0</v>
      </c>
      <c r="F182" s="815">
        <v>0</v>
      </c>
      <c r="G182" s="815">
        <v>0</v>
      </c>
      <c r="H182" s="815">
        <v>0</v>
      </c>
      <c r="I182" s="815">
        <v>0</v>
      </c>
      <c r="J182" s="815">
        <v>0</v>
      </c>
      <c r="K182" s="815">
        <v>0</v>
      </c>
      <c r="L182" s="815">
        <v>0</v>
      </c>
      <c r="M182" s="815">
        <v>0</v>
      </c>
      <c r="N182" s="815">
        <v>0</v>
      </c>
      <c r="O182" s="815">
        <v>0</v>
      </c>
      <c r="P182" s="816">
        <f t="shared" si="4"/>
        <v>0</v>
      </c>
      <c r="Q182" s="815">
        <v>0</v>
      </c>
      <c r="R182" s="815">
        <v>0</v>
      </c>
      <c r="S182" s="815">
        <v>0</v>
      </c>
      <c r="T182" s="815">
        <v>0</v>
      </c>
      <c r="U182" s="815">
        <v>0</v>
      </c>
      <c r="V182" s="815">
        <v>0</v>
      </c>
      <c r="W182" s="815">
        <v>0</v>
      </c>
      <c r="X182" s="815">
        <v>0</v>
      </c>
      <c r="Y182" s="815">
        <v>0</v>
      </c>
      <c r="Z182" s="815">
        <v>0</v>
      </c>
      <c r="AA182" s="815">
        <v>0</v>
      </c>
      <c r="AB182" s="815">
        <v>0</v>
      </c>
      <c r="AC182" s="815">
        <v>0</v>
      </c>
      <c r="AD182" s="815">
        <v>0</v>
      </c>
      <c r="AE182" s="815">
        <v>0</v>
      </c>
      <c r="AF182" s="815">
        <v>0</v>
      </c>
      <c r="AG182" s="816">
        <f t="shared" si="5"/>
        <v>0</v>
      </c>
    </row>
    <row r="183" spans="2:33">
      <c r="B183" s="818" t="s">
        <v>498</v>
      </c>
      <c r="C183" s="815">
        <v>0</v>
      </c>
      <c r="D183" s="815">
        <v>0</v>
      </c>
      <c r="E183" s="815">
        <v>0</v>
      </c>
      <c r="F183" s="815">
        <v>0</v>
      </c>
      <c r="G183" s="815">
        <v>0</v>
      </c>
      <c r="H183" s="815">
        <v>0</v>
      </c>
      <c r="I183" s="815">
        <v>0</v>
      </c>
      <c r="J183" s="815">
        <v>0</v>
      </c>
      <c r="K183" s="815">
        <v>0</v>
      </c>
      <c r="L183" s="815">
        <v>0</v>
      </c>
      <c r="M183" s="815">
        <v>0</v>
      </c>
      <c r="N183" s="815">
        <v>0</v>
      </c>
      <c r="O183" s="815">
        <v>0</v>
      </c>
      <c r="P183" s="816">
        <f t="shared" si="4"/>
        <v>0</v>
      </c>
      <c r="Q183" s="815">
        <v>0</v>
      </c>
      <c r="R183" s="815">
        <v>0</v>
      </c>
      <c r="S183" s="815">
        <v>0</v>
      </c>
      <c r="T183" s="815">
        <v>0</v>
      </c>
      <c r="U183" s="815">
        <v>0</v>
      </c>
      <c r="V183" s="815">
        <v>0</v>
      </c>
      <c r="W183" s="815">
        <v>0</v>
      </c>
      <c r="X183" s="815">
        <v>0</v>
      </c>
      <c r="Y183" s="815">
        <v>0</v>
      </c>
      <c r="Z183" s="815">
        <v>0</v>
      </c>
      <c r="AA183" s="815">
        <v>0</v>
      </c>
      <c r="AB183" s="815">
        <v>0</v>
      </c>
      <c r="AC183" s="815">
        <v>0</v>
      </c>
      <c r="AD183" s="815">
        <v>0</v>
      </c>
      <c r="AE183" s="815">
        <v>0</v>
      </c>
      <c r="AF183" s="815">
        <v>0</v>
      </c>
      <c r="AG183" s="816">
        <f t="shared" si="5"/>
        <v>0</v>
      </c>
    </row>
    <row r="184" spans="2:33">
      <c r="C184" s="817"/>
      <c r="D184" s="817"/>
      <c r="E184" s="817"/>
      <c r="F184" s="817"/>
      <c r="G184" s="817"/>
      <c r="H184" s="817"/>
      <c r="I184" s="817"/>
      <c r="J184" s="817"/>
      <c r="K184" s="817"/>
      <c r="L184" s="817"/>
      <c r="M184" s="817"/>
      <c r="N184" s="817"/>
      <c r="O184" s="817"/>
      <c r="P184" s="816">
        <f t="shared" si="4"/>
        <v>0</v>
      </c>
      <c r="Q184" s="817"/>
      <c r="R184" s="817"/>
      <c r="S184" s="817"/>
      <c r="T184" s="817"/>
      <c r="U184" s="817"/>
      <c r="V184" s="817"/>
      <c r="W184" s="817"/>
      <c r="X184" s="817"/>
      <c r="Y184" s="817"/>
      <c r="Z184" s="817"/>
      <c r="AA184" s="817"/>
      <c r="AB184" s="817"/>
      <c r="AC184" s="817"/>
      <c r="AD184" s="817"/>
      <c r="AE184" s="817"/>
      <c r="AF184" s="817"/>
      <c r="AG184" s="816">
        <f t="shared" si="5"/>
        <v>0</v>
      </c>
    </row>
    <row r="185" spans="2:33">
      <c r="B185" s="818" t="s">
        <v>499</v>
      </c>
      <c r="C185" s="817"/>
      <c r="D185" s="817"/>
      <c r="E185" s="817"/>
      <c r="F185" s="817"/>
      <c r="G185" s="817"/>
      <c r="H185" s="817"/>
      <c r="I185" s="817"/>
      <c r="J185" s="817"/>
      <c r="K185" s="817"/>
      <c r="L185" s="817"/>
      <c r="M185" s="817"/>
      <c r="N185" s="817"/>
      <c r="O185" s="817"/>
      <c r="P185" s="816">
        <f t="shared" si="4"/>
        <v>0</v>
      </c>
      <c r="Q185" s="817"/>
      <c r="R185" s="817"/>
      <c r="S185" s="817"/>
      <c r="T185" s="817"/>
      <c r="U185" s="817"/>
      <c r="V185" s="817"/>
      <c r="W185" s="817"/>
      <c r="X185" s="817"/>
      <c r="Y185" s="817"/>
      <c r="Z185" s="817"/>
      <c r="AA185" s="817"/>
      <c r="AB185" s="817"/>
      <c r="AC185" s="817"/>
      <c r="AD185" s="817"/>
      <c r="AE185" s="817"/>
      <c r="AF185" s="817"/>
      <c r="AG185" s="816">
        <f t="shared" si="5"/>
        <v>0</v>
      </c>
    </row>
    <row r="186" spans="2:33" ht="15.75" thickBot="1">
      <c r="B186" s="818" t="s">
        <v>500</v>
      </c>
      <c r="C186" s="820">
        <v>198888.13818000001</v>
      </c>
      <c r="D186" s="820">
        <v>123980.77778</v>
      </c>
      <c r="E186" s="820">
        <v>109642.53653</v>
      </c>
      <c r="F186" s="820">
        <v>136668.09554000001</v>
      </c>
      <c r="G186" s="820">
        <v>142072.86167000001</v>
      </c>
      <c r="H186" s="820">
        <v>160335.51472000001</v>
      </c>
      <c r="I186" s="820">
        <v>182913.01832999999</v>
      </c>
      <c r="J186" s="820">
        <v>181027.24526011999</v>
      </c>
      <c r="K186" s="820">
        <v>190640.14511878401</v>
      </c>
      <c r="L186" s="820">
        <v>216744.817107579</v>
      </c>
      <c r="M186" s="820">
        <v>257433.59856471699</v>
      </c>
      <c r="N186" s="820">
        <v>289639.42122809199</v>
      </c>
      <c r="O186" s="820">
        <v>279108.101368403</v>
      </c>
      <c r="P186" s="816">
        <f t="shared" si="4"/>
        <v>189930.32856905347</v>
      </c>
      <c r="Q186" s="820">
        <v>272874.85174365097</v>
      </c>
      <c r="R186" s="820">
        <v>257379.41008277101</v>
      </c>
      <c r="S186" s="820">
        <v>292156.32343046198</v>
      </c>
      <c r="T186" s="820">
        <v>302500.962335199</v>
      </c>
      <c r="U186" s="820">
        <v>22087.902804266301</v>
      </c>
      <c r="V186" s="820">
        <v>28580.0967149684</v>
      </c>
      <c r="W186" s="820">
        <v>33735.763340483201</v>
      </c>
      <c r="X186" s="820">
        <v>33657.995138840699</v>
      </c>
      <c r="Y186" s="820">
        <v>56372.809826218501</v>
      </c>
      <c r="Z186" s="820">
        <v>89619.642666684595</v>
      </c>
      <c r="AA186" s="820">
        <v>136019.88226536399</v>
      </c>
      <c r="AB186" s="820">
        <v>112497.806979065</v>
      </c>
      <c r="AC186" s="820">
        <v>81948.346678712696</v>
      </c>
      <c r="AD186" s="820">
        <v>45204.076797528804</v>
      </c>
      <c r="AE186" s="820">
        <v>96540.935328839405</v>
      </c>
      <c r="AF186" s="820">
        <v>97017.186120886705</v>
      </c>
      <c r="AG186" s="816">
        <f t="shared" si="5"/>
        <v>87367.954384389013</v>
      </c>
    </row>
    <row r="187" spans="2:33">
      <c r="B187" s="818" t="s">
        <v>499</v>
      </c>
      <c r="C187" s="815">
        <v>198888.13818000001</v>
      </c>
      <c r="D187" s="815">
        <v>123980.77778</v>
      </c>
      <c r="E187" s="815">
        <v>109642.53653</v>
      </c>
      <c r="F187" s="815">
        <v>136668.09554000001</v>
      </c>
      <c r="G187" s="815">
        <v>142072.86167000001</v>
      </c>
      <c r="H187" s="815">
        <v>160335.51472000001</v>
      </c>
      <c r="I187" s="815">
        <v>182913.01832999999</v>
      </c>
      <c r="J187" s="815">
        <v>181027.24526011999</v>
      </c>
      <c r="K187" s="815">
        <v>190640.14511878401</v>
      </c>
      <c r="L187" s="815">
        <v>216744.817107579</v>
      </c>
      <c r="M187" s="815">
        <v>257433.59856471699</v>
      </c>
      <c r="N187" s="815">
        <v>289639.42122809199</v>
      </c>
      <c r="O187" s="815">
        <v>279108.101368403</v>
      </c>
      <c r="P187" s="816">
        <f t="shared" si="4"/>
        <v>189930.32856905347</v>
      </c>
      <c r="Q187" s="815">
        <v>272874.85174365097</v>
      </c>
      <c r="R187" s="815">
        <v>257379.41008277101</v>
      </c>
      <c r="S187" s="815">
        <v>292156.32343046198</v>
      </c>
      <c r="T187" s="815">
        <v>302500.962335199</v>
      </c>
      <c r="U187" s="815">
        <v>22087.902804266301</v>
      </c>
      <c r="V187" s="815">
        <v>28580.0967149684</v>
      </c>
      <c r="W187" s="815">
        <v>33735.763340483201</v>
      </c>
      <c r="X187" s="815">
        <v>33657.995138840699</v>
      </c>
      <c r="Y187" s="815">
        <v>56372.809826218501</v>
      </c>
      <c r="Z187" s="815">
        <v>89619.642666684595</v>
      </c>
      <c r="AA187" s="815">
        <v>136019.88226536399</v>
      </c>
      <c r="AB187" s="815">
        <v>112497.806979065</v>
      </c>
      <c r="AC187" s="815">
        <v>81948.346678712696</v>
      </c>
      <c r="AD187" s="815">
        <v>45204.076797528804</v>
      </c>
      <c r="AE187" s="815">
        <v>96540.935328839405</v>
      </c>
      <c r="AF187" s="815">
        <v>97017.186120886705</v>
      </c>
      <c r="AG187" s="816">
        <f t="shared" si="5"/>
        <v>87367.954384389013</v>
      </c>
    </row>
    <row r="188" spans="2:33">
      <c r="C188" s="817"/>
      <c r="D188" s="817"/>
      <c r="E188" s="817"/>
      <c r="F188" s="817"/>
      <c r="G188" s="817"/>
      <c r="H188" s="817"/>
      <c r="I188" s="817"/>
      <c r="J188" s="817"/>
      <c r="K188" s="817"/>
      <c r="L188" s="817"/>
      <c r="M188" s="817"/>
      <c r="N188" s="817"/>
      <c r="O188" s="817"/>
      <c r="P188" s="816">
        <f t="shared" si="4"/>
        <v>0</v>
      </c>
      <c r="Q188" s="817"/>
      <c r="R188" s="817"/>
      <c r="S188" s="817"/>
      <c r="T188" s="817"/>
      <c r="U188" s="817"/>
      <c r="V188" s="817"/>
      <c r="W188" s="817"/>
      <c r="X188" s="817"/>
      <c r="Y188" s="817"/>
      <c r="Z188" s="817"/>
      <c r="AA188" s="817"/>
      <c r="AB188" s="817"/>
      <c r="AC188" s="817"/>
      <c r="AD188" s="817"/>
      <c r="AE188" s="817"/>
      <c r="AF188" s="817"/>
      <c r="AG188" s="816">
        <f t="shared" si="5"/>
        <v>0</v>
      </c>
    </row>
    <row r="189" spans="2:33">
      <c r="B189" s="818" t="s">
        <v>501</v>
      </c>
      <c r="C189" s="817"/>
      <c r="D189" s="817"/>
      <c r="E189" s="817"/>
      <c r="F189" s="817"/>
      <c r="G189" s="817"/>
      <c r="H189" s="817"/>
      <c r="I189" s="817"/>
      <c r="J189" s="817"/>
      <c r="K189" s="817"/>
      <c r="L189" s="817"/>
      <c r="M189" s="817"/>
      <c r="N189" s="817"/>
      <c r="O189" s="817"/>
      <c r="P189" s="816">
        <f t="shared" si="4"/>
        <v>0</v>
      </c>
      <c r="Q189" s="817"/>
      <c r="R189" s="817"/>
      <c r="S189" s="817"/>
      <c r="T189" s="817"/>
      <c r="U189" s="817"/>
      <c r="V189" s="817"/>
      <c r="W189" s="817"/>
      <c r="X189" s="817"/>
      <c r="Y189" s="817"/>
      <c r="Z189" s="817"/>
      <c r="AA189" s="817"/>
      <c r="AB189" s="817"/>
      <c r="AC189" s="817"/>
      <c r="AD189" s="817"/>
      <c r="AE189" s="817"/>
      <c r="AF189" s="817"/>
      <c r="AG189" s="816">
        <f t="shared" si="5"/>
        <v>0</v>
      </c>
    </row>
    <row r="190" spans="2:33">
      <c r="B190" s="818" t="s">
        <v>502</v>
      </c>
      <c r="C190" s="815">
        <v>12512.4432699999</v>
      </c>
      <c r="D190" s="815">
        <v>12427.212369999999</v>
      </c>
      <c r="E190" s="815">
        <v>12633.80335</v>
      </c>
      <c r="F190" s="815">
        <v>4410.3795</v>
      </c>
      <c r="G190" s="815">
        <v>4602.4022199999999</v>
      </c>
      <c r="H190" s="815">
        <v>5737.4710299999997</v>
      </c>
      <c r="I190" s="815">
        <v>8045.0455400000001</v>
      </c>
      <c r="J190" s="815">
        <v>8674.6021286480009</v>
      </c>
      <c r="K190" s="815">
        <v>9364.450251536</v>
      </c>
      <c r="L190" s="815">
        <v>9939.74792093</v>
      </c>
      <c r="M190" s="815">
        <v>10626.995168144</v>
      </c>
      <c r="N190" s="815">
        <v>11239.103442878</v>
      </c>
      <c r="O190" s="815">
        <v>11783.893390028001</v>
      </c>
      <c r="P190" s="816">
        <f t="shared" si="4"/>
        <v>9384.4268909356852</v>
      </c>
      <c r="Q190" s="815">
        <v>12483.0126708319</v>
      </c>
      <c r="R190" s="815">
        <v>13091.532841557801</v>
      </c>
      <c r="S190" s="815">
        <v>6300.9789167949302</v>
      </c>
      <c r="T190" s="815">
        <v>6954.58077232081</v>
      </c>
      <c r="U190" s="815">
        <v>7655.7892443241499</v>
      </c>
      <c r="V190" s="815">
        <v>8257.8638036928896</v>
      </c>
      <c r="W190" s="815">
        <v>8961.4121877417692</v>
      </c>
      <c r="X190" s="815">
        <v>9667.8867821376607</v>
      </c>
      <c r="Y190" s="815">
        <v>10325.373960422699</v>
      </c>
      <c r="Z190" s="815">
        <v>11073.1140194989</v>
      </c>
      <c r="AA190" s="815">
        <v>11701.5080914427</v>
      </c>
      <c r="AB190" s="815">
        <v>12323.747015844299</v>
      </c>
      <c r="AC190" s="815">
        <v>13060.377930508899</v>
      </c>
      <c r="AD190" s="815">
        <v>13700.737947985101</v>
      </c>
      <c r="AE190" s="815">
        <v>6438.7006563403502</v>
      </c>
      <c r="AF190" s="815">
        <v>7119.6291148519404</v>
      </c>
      <c r="AG190" s="816">
        <f t="shared" si="5"/>
        <v>9787.7478097778585</v>
      </c>
    </row>
    <row r="191" spans="2:33">
      <c r="B191" s="818" t="s">
        <v>503</v>
      </c>
      <c r="C191" s="815">
        <v>174898.65491999901</v>
      </c>
      <c r="D191" s="815">
        <v>173242.20452</v>
      </c>
      <c r="E191" s="815">
        <v>149796.66313</v>
      </c>
      <c r="F191" s="815">
        <v>162291.96432</v>
      </c>
      <c r="G191" s="815">
        <v>167209.37132000001</v>
      </c>
      <c r="H191" s="815">
        <v>146674.63802000001</v>
      </c>
      <c r="I191" s="815">
        <v>130243.16505</v>
      </c>
      <c r="J191" s="815">
        <v>133621.22305444599</v>
      </c>
      <c r="K191" s="815">
        <v>139843.42080416999</v>
      </c>
      <c r="L191" s="815">
        <v>143118.18223293399</v>
      </c>
      <c r="M191" s="815">
        <v>140551.10575807601</v>
      </c>
      <c r="N191" s="815">
        <v>134917.17356318701</v>
      </c>
      <c r="O191" s="815">
        <v>142803.180972645</v>
      </c>
      <c r="P191" s="816">
        <f t="shared" si="4"/>
        <v>149170.07289734285</v>
      </c>
      <c r="Q191" s="815">
        <v>133607.21526316999</v>
      </c>
      <c r="R191" s="815">
        <v>132806.828859203</v>
      </c>
      <c r="S191" s="815">
        <v>135388.960616392</v>
      </c>
      <c r="T191" s="815">
        <v>132350.412140484</v>
      </c>
      <c r="U191" s="815">
        <v>127022.74977755301</v>
      </c>
      <c r="V191" s="815">
        <v>131671.66337616599</v>
      </c>
      <c r="W191" s="815">
        <v>135477.61891487401</v>
      </c>
      <c r="X191" s="815">
        <v>137696.518245885</v>
      </c>
      <c r="Y191" s="815">
        <v>135004.27846242001</v>
      </c>
      <c r="Z191" s="815">
        <v>142283.91752775401</v>
      </c>
      <c r="AA191" s="815">
        <v>134958.222293737</v>
      </c>
      <c r="AB191" s="815">
        <v>128901.357261194</v>
      </c>
      <c r="AC191" s="815">
        <v>126418.941892677</v>
      </c>
      <c r="AD191" s="815">
        <v>124791.401213959</v>
      </c>
      <c r="AE191" s="815">
        <v>126257.868298473</v>
      </c>
      <c r="AF191" s="815">
        <v>124599.946282691</v>
      </c>
      <c r="AG191" s="816">
        <f t="shared" si="5"/>
        <v>131341.14582214362</v>
      </c>
    </row>
    <row r="192" spans="2:33" ht="15.75" thickBot="1">
      <c r="B192" s="818" t="s">
        <v>504</v>
      </c>
      <c r="C192" s="820">
        <v>9541.2721600000004</v>
      </c>
      <c r="D192" s="820">
        <v>867.31819999999902</v>
      </c>
      <c r="E192" s="820">
        <v>17.712029999999999</v>
      </c>
      <c r="F192" s="820">
        <v>18.052350000000001</v>
      </c>
      <c r="G192" s="820">
        <v>1367.4380699999999</v>
      </c>
      <c r="H192" s="820">
        <v>686.09570999999903</v>
      </c>
      <c r="I192" s="820">
        <v>8542.2748300000003</v>
      </c>
      <c r="J192" s="820">
        <v>8542.2748300000003</v>
      </c>
      <c r="K192" s="820">
        <v>8542.2748300000003</v>
      </c>
      <c r="L192" s="820">
        <v>8542.2748300000003</v>
      </c>
      <c r="M192" s="820">
        <v>8542.2748300000003</v>
      </c>
      <c r="N192" s="820">
        <v>8542.2748300000003</v>
      </c>
      <c r="O192" s="820">
        <v>8542.2748300000003</v>
      </c>
      <c r="P192" s="816">
        <f t="shared" si="4"/>
        <v>5561.0624869230778</v>
      </c>
      <c r="Q192" s="820">
        <v>8542.2748300000003</v>
      </c>
      <c r="R192" s="820">
        <v>8542.2748300000003</v>
      </c>
      <c r="S192" s="820">
        <v>8542.2748300000003</v>
      </c>
      <c r="T192" s="820">
        <v>8542.2748300000003</v>
      </c>
      <c r="U192" s="820">
        <v>8542.2748300000003</v>
      </c>
      <c r="V192" s="820">
        <v>8542.2748300000003</v>
      </c>
      <c r="W192" s="820">
        <v>8542.2748300000003</v>
      </c>
      <c r="X192" s="820">
        <v>8542.2748300000003</v>
      </c>
      <c r="Y192" s="820">
        <v>8542.2748300000003</v>
      </c>
      <c r="Z192" s="820">
        <v>8542.2748300000003</v>
      </c>
      <c r="AA192" s="820">
        <v>8542.2748300000003</v>
      </c>
      <c r="AB192" s="820">
        <v>8542.2748300000003</v>
      </c>
      <c r="AC192" s="820">
        <v>8542.2748300000003</v>
      </c>
      <c r="AD192" s="820">
        <v>8542.2748300000003</v>
      </c>
      <c r="AE192" s="820">
        <v>8542.2748300000003</v>
      </c>
      <c r="AF192" s="820">
        <v>8542.2748300000003</v>
      </c>
      <c r="AG192" s="816">
        <f t="shared" si="5"/>
        <v>8542.2748299999985</v>
      </c>
    </row>
    <row r="193" spans="2:33">
      <c r="B193" s="818" t="s">
        <v>501</v>
      </c>
      <c r="C193" s="815">
        <v>196952.37034999899</v>
      </c>
      <c r="D193" s="815">
        <v>186536.73509</v>
      </c>
      <c r="E193" s="815">
        <v>162448.17851</v>
      </c>
      <c r="F193" s="815">
        <v>166720.39616999999</v>
      </c>
      <c r="G193" s="815">
        <v>173179.21161</v>
      </c>
      <c r="H193" s="815">
        <v>153098.20475999999</v>
      </c>
      <c r="I193" s="815">
        <v>146830.48542000001</v>
      </c>
      <c r="J193" s="815">
        <v>150838.10001309399</v>
      </c>
      <c r="K193" s="815">
        <v>157750.14588570601</v>
      </c>
      <c r="L193" s="815">
        <v>161600.20498386401</v>
      </c>
      <c r="M193" s="815">
        <v>159720.37575621999</v>
      </c>
      <c r="N193" s="815">
        <v>154698.55183606499</v>
      </c>
      <c r="O193" s="815">
        <v>163129.34919267299</v>
      </c>
      <c r="P193" s="816">
        <f t="shared" si="4"/>
        <v>164115.56227520161</v>
      </c>
      <c r="Q193" s="815">
        <v>154632.50276400201</v>
      </c>
      <c r="R193" s="815">
        <v>154440.636530761</v>
      </c>
      <c r="S193" s="815">
        <v>150232.214363187</v>
      </c>
      <c r="T193" s="815">
        <v>147847.26774280399</v>
      </c>
      <c r="U193" s="815">
        <v>143220.813851877</v>
      </c>
      <c r="V193" s="815">
        <v>148471.80200985901</v>
      </c>
      <c r="W193" s="815">
        <v>152981.305932616</v>
      </c>
      <c r="X193" s="815">
        <v>155906.67985802301</v>
      </c>
      <c r="Y193" s="815">
        <v>153871.92725284299</v>
      </c>
      <c r="Z193" s="815">
        <v>161899.306377253</v>
      </c>
      <c r="AA193" s="815">
        <v>155202.00521517999</v>
      </c>
      <c r="AB193" s="815">
        <v>149767.379107038</v>
      </c>
      <c r="AC193" s="815">
        <v>148021.59465318601</v>
      </c>
      <c r="AD193" s="815">
        <v>147034.41399194399</v>
      </c>
      <c r="AE193" s="815">
        <v>141238.84378481301</v>
      </c>
      <c r="AF193" s="815">
        <v>140261.85022754301</v>
      </c>
      <c r="AG193" s="816">
        <f t="shared" si="5"/>
        <v>149671.16846192145</v>
      </c>
    </row>
    <row r="194" spans="2:33">
      <c r="C194" s="817"/>
      <c r="D194" s="817"/>
      <c r="E194" s="817"/>
      <c r="F194" s="817"/>
      <c r="G194" s="817"/>
      <c r="H194" s="817"/>
      <c r="I194" s="817"/>
      <c r="J194" s="817"/>
      <c r="K194" s="817"/>
      <c r="L194" s="817"/>
      <c r="M194" s="817"/>
      <c r="N194" s="817"/>
      <c r="O194" s="817"/>
      <c r="P194" s="816">
        <f t="shared" si="4"/>
        <v>0</v>
      </c>
      <c r="Q194" s="817"/>
      <c r="R194" s="817"/>
      <c r="S194" s="817"/>
      <c r="T194" s="817"/>
      <c r="U194" s="817"/>
      <c r="V194" s="817"/>
      <c r="W194" s="817"/>
      <c r="X194" s="817"/>
      <c r="Y194" s="817"/>
      <c r="Z194" s="817"/>
      <c r="AA194" s="817"/>
      <c r="AB194" s="817"/>
      <c r="AC194" s="817"/>
      <c r="AD194" s="817"/>
      <c r="AE194" s="817"/>
      <c r="AF194" s="817"/>
      <c r="AG194" s="816">
        <f t="shared" si="5"/>
        <v>0</v>
      </c>
    </row>
    <row r="195" spans="2:33">
      <c r="B195" s="818" t="s">
        <v>505</v>
      </c>
      <c r="C195" s="817"/>
      <c r="D195" s="817"/>
      <c r="E195" s="817"/>
      <c r="F195" s="817"/>
      <c r="G195" s="817"/>
      <c r="H195" s="817"/>
      <c r="I195" s="817"/>
      <c r="J195" s="817"/>
      <c r="K195" s="817"/>
      <c r="L195" s="817"/>
      <c r="M195" s="817"/>
      <c r="N195" s="817"/>
      <c r="O195" s="817"/>
      <c r="P195" s="816">
        <f t="shared" si="4"/>
        <v>0</v>
      </c>
      <c r="Q195" s="817"/>
      <c r="R195" s="817"/>
      <c r="S195" s="817"/>
      <c r="T195" s="817"/>
      <c r="U195" s="817"/>
      <c r="V195" s="817"/>
      <c r="W195" s="817"/>
      <c r="X195" s="817"/>
      <c r="Y195" s="817"/>
      <c r="Z195" s="817"/>
      <c r="AA195" s="817"/>
      <c r="AB195" s="817"/>
      <c r="AC195" s="817"/>
      <c r="AD195" s="817"/>
      <c r="AE195" s="817"/>
      <c r="AF195" s="817"/>
      <c r="AG195" s="816">
        <f t="shared" si="5"/>
        <v>0</v>
      </c>
    </row>
    <row r="196" spans="2:33">
      <c r="B196" s="818" t="s">
        <v>506</v>
      </c>
      <c r="C196" s="815">
        <v>0</v>
      </c>
      <c r="D196" s="815">
        <v>0</v>
      </c>
      <c r="E196" s="815">
        <v>0</v>
      </c>
      <c r="F196" s="815">
        <v>0</v>
      </c>
      <c r="G196" s="815">
        <v>0</v>
      </c>
      <c r="H196" s="815">
        <v>0</v>
      </c>
      <c r="I196" s="815">
        <v>0</v>
      </c>
      <c r="J196" s="815">
        <v>1002.5970599999901</v>
      </c>
      <c r="K196" s="815">
        <v>1007.66205999999</v>
      </c>
      <c r="L196" s="815">
        <v>740.51606000000004</v>
      </c>
      <c r="M196" s="815">
        <v>1275.9489599999899</v>
      </c>
      <c r="N196" s="815">
        <v>1590.1022599999999</v>
      </c>
      <c r="O196" s="815">
        <v>2154.5393599999902</v>
      </c>
      <c r="P196" s="816">
        <f t="shared" si="4"/>
        <v>597.79736615384309</v>
      </c>
      <c r="Q196" s="815">
        <v>2538.8347599999902</v>
      </c>
      <c r="R196" s="815">
        <v>2849.3138599999902</v>
      </c>
      <c r="S196" s="815">
        <v>3203.7324599999902</v>
      </c>
      <c r="T196" s="815">
        <v>3710.43336</v>
      </c>
      <c r="U196" s="815">
        <v>4381.7328600000001</v>
      </c>
      <c r="V196" s="815">
        <v>4465.0239600000004</v>
      </c>
      <c r="W196" s="815">
        <v>4719.3179600000003</v>
      </c>
      <c r="X196" s="815">
        <v>5188.2871599999999</v>
      </c>
      <c r="Y196" s="815">
        <v>5031.6399600000004</v>
      </c>
      <c r="Z196" s="815">
        <v>4309.90996</v>
      </c>
      <c r="AA196" s="815">
        <v>4007.3603600000001</v>
      </c>
      <c r="AB196" s="815">
        <v>4424.91716</v>
      </c>
      <c r="AC196" s="815">
        <v>4629.4026599999997</v>
      </c>
      <c r="AD196" s="815">
        <v>4835.7541599999904</v>
      </c>
      <c r="AE196" s="815">
        <v>4844.6405599999998</v>
      </c>
      <c r="AF196" s="815">
        <v>5417.5252599999903</v>
      </c>
      <c r="AG196" s="816">
        <f t="shared" si="5"/>
        <v>4612.7650292307671</v>
      </c>
    </row>
    <row r="197" spans="2:33" ht="15.75" thickBot="1">
      <c r="B197" s="818" t="s">
        <v>507</v>
      </c>
      <c r="C197" s="820">
        <v>22497.456870000002</v>
      </c>
      <c r="D197" s="820">
        <v>23220.117899999899</v>
      </c>
      <c r="E197" s="820">
        <v>20069.97522</v>
      </c>
      <c r="F197" s="820">
        <v>21229.90453</v>
      </c>
      <c r="G197" s="820">
        <v>24071.000459999999</v>
      </c>
      <c r="H197" s="820">
        <v>20395.50347</v>
      </c>
      <c r="I197" s="820">
        <v>20830.83194</v>
      </c>
      <c r="J197" s="820">
        <v>20315.133656181399</v>
      </c>
      <c r="K197" s="820">
        <v>20315.133656181399</v>
      </c>
      <c r="L197" s="820">
        <v>20830.83194</v>
      </c>
      <c r="M197" s="820">
        <v>20315.133656181399</v>
      </c>
      <c r="N197" s="820">
        <v>20315.133656181399</v>
      </c>
      <c r="O197" s="820">
        <v>20830.83194</v>
      </c>
      <c r="P197" s="816">
        <f t="shared" si="4"/>
        <v>21172.076068825038</v>
      </c>
      <c r="Q197" s="820">
        <v>20315.133656181399</v>
      </c>
      <c r="R197" s="820">
        <v>20315.133656181399</v>
      </c>
      <c r="S197" s="820">
        <v>20475.8189402918</v>
      </c>
      <c r="T197" s="820">
        <v>20315.133656181399</v>
      </c>
      <c r="U197" s="820">
        <v>20315.133656181399</v>
      </c>
      <c r="V197" s="820">
        <v>20475.8189402918</v>
      </c>
      <c r="W197" s="820">
        <v>20315.133656181399</v>
      </c>
      <c r="X197" s="820">
        <v>20315.133656181399</v>
      </c>
      <c r="Y197" s="820">
        <v>20475.8189402918</v>
      </c>
      <c r="Z197" s="820">
        <v>20315.133656181399</v>
      </c>
      <c r="AA197" s="820">
        <v>20315.133656181399</v>
      </c>
      <c r="AB197" s="820">
        <v>20475.8189402918</v>
      </c>
      <c r="AC197" s="820">
        <v>20315.133656181399</v>
      </c>
      <c r="AD197" s="820">
        <v>20315.133656181399</v>
      </c>
      <c r="AE197" s="820">
        <v>20400.2356208659</v>
      </c>
      <c r="AF197" s="820">
        <v>20315.133656181399</v>
      </c>
      <c r="AG197" s="816">
        <f t="shared" si="5"/>
        <v>20358.76118056722</v>
      </c>
    </row>
    <row r="198" spans="2:33">
      <c r="B198" s="818" t="s">
        <v>505</v>
      </c>
      <c r="C198" s="815">
        <v>22497.456870000002</v>
      </c>
      <c r="D198" s="815">
        <v>23220.117899999899</v>
      </c>
      <c r="E198" s="815">
        <v>20069.97522</v>
      </c>
      <c r="F198" s="815">
        <v>21229.90453</v>
      </c>
      <c r="G198" s="815">
        <v>24071.000459999999</v>
      </c>
      <c r="H198" s="815">
        <v>20395.50347</v>
      </c>
      <c r="I198" s="815">
        <v>20830.83194</v>
      </c>
      <c r="J198" s="815">
        <v>21317.730716181399</v>
      </c>
      <c r="K198" s="815">
        <v>21322.795716181401</v>
      </c>
      <c r="L198" s="815">
        <v>21571.348000000002</v>
      </c>
      <c r="M198" s="815">
        <v>21591.0826161814</v>
      </c>
      <c r="N198" s="815">
        <v>21905.235916181398</v>
      </c>
      <c r="O198" s="815">
        <v>22985.371299999999</v>
      </c>
      <c r="P198" s="816">
        <f t="shared" si="4"/>
        <v>21769.873434978887</v>
      </c>
      <c r="Q198" s="815">
        <v>22853.9684161814</v>
      </c>
      <c r="R198" s="815">
        <v>23164.447516181401</v>
      </c>
      <c r="S198" s="815">
        <v>23679.551400291799</v>
      </c>
      <c r="T198" s="815">
        <v>24025.567016181401</v>
      </c>
      <c r="U198" s="815">
        <v>24696.866516181399</v>
      </c>
      <c r="V198" s="815">
        <v>24940.842900291798</v>
      </c>
      <c r="W198" s="815">
        <v>25034.451616181399</v>
      </c>
      <c r="X198" s="815">
        <v>25503.420816181399</v>
      </c>
      <c r="Y198" s="815">
        <v>25507.4589002918</v>
      </c>
      <c r="Z198" s="815">
        <v>24625.0436161814</v>
      </c>
      <c r="AA198" s="815">
        <v>24322.494016181401</v>
      </c>
      <c r="AB198" s="815">
        <v>24900.736100291801</v>
      </c>
      <c r="AC198" s="815">
        <v>24944.536316181398</v>
      </c>
      <c r="AD198" s="815">
        <v>25150.887816181399</v>
      </c>
      <c r="AE198" s="815">
        <v>25244.8761808659</v>
      </c>
      <c r="AF198" s="815">
        <v>25732.658916181401</v>
      </c>
      <c r="AG198" s="816">
        <f t="shared" si="5"/>
        <v>24971.526209797994</v>
      </c>
    </row>
    <row r="199" spans="2:33">
      <c r="C199" s="817"/>
      <c r="D199" s="817"/>
      <c r="E199" s="817"/>
      <c r="F199" s="817"/>
      <c r="G199" s="817"/>
      <c r="H199" s="817"/>
      <c r="I199" s="817"/>
      <c r="J199" s="817"/>
      <c r="K199" s="817"/>
      <c r="L199" s="817"/>
      <c r="M199" s="817"/>
      <c r="N199" s="817"/>
      <c r="O199" s="817"/>
      <c r="P199" s="816">
        <f t="shared" si="4"/>
        <v>0</v>
      </c>
      <c r="Q199" s="817"/>
      <c r="R199" s="817"/>
      <c r="S199" s="817"/>
      <c r="T199" s="817"/>
      <c r="U199" s="817"/>
      <c r="V199" s="817"/>
      <c r="W199" s="817"/>
      <c r="X199" s="817"/>
      <c r="Y199" s="817"/>
      <c r="Z199" s="817"/>
      <c r="AA199" s="817"/>
      <c r="AB199" s="817"/>
      <c r="AC199" s="817"/>
      <c r="AD199" s="817"/>
      <c r="AE199" s="817"/>
      <c r="AF199" s="817"/>
      <c r="AG199" s="816">
        <f t="shared" si="5"/>
        <v>0</v>
      </c>
    </row>
    <row r="200" spans="2:33">
      <c r="B200" s="818" t="s">
        <v>508</v>
      </c>
      <c r="C200" s="815">
        <v>27456.98214</v>
      </c>
      <c r="D200" s="815">
        <v>27661.561890000001</v>
      </c>
      <c r="E200" s="815">
        <v>27811.694749999999</v>
      </c>
      <c r="F200" s="815">
        <v>28137.432570000001</v>
      </c>
      <c r="G200" s="815">
        <v>28180.592570000001</v>
      </c>
      <c r="H200" s="815">
        <v>28369.900819999999</v>
      </c>
      <c r="I200" s="815">
        <v>28469.522209999999</v>
      </c>
      <c r="J200" s="815">
        <v>28469.522209999999</v>
      </c>
      <c r="K200" s="815">
        <v>28469.522209999999</v>
      </c>
      <c r="L200" s="815">
        <v>28469.522209999999</v>
      </c>
      <c r="M200" s="815">
        <v>28469.522209999999</v>
      </c>
      <c r="N200" s="815">
        <v>28469.522209999999</v>
      </c>
      <c r="O200" s="815">
        <v>28469.522209999999</v>
      </c>
      <c r="P200" s="816">
        <f t="shared" si="4"/>
        <v>28223.447708461546</v>
      </c>
      <c r="Q200" s="815">
        <v>28469.522209999999</v>
      </c>
      <c r="R200" s="815">
        <v>28469.522209999999</v>
      </c>
      <c r="S200" s="815">
        <v>28469.522209999999</v>
      </c>
      <c r="T200" s="815">
        <v>28469.522209999999</v>
      </c>
      <c r="U200" s="815">
        <v>28469.522209999999</v>
      </c>
      <c r="V200" s="815">
        <v>28469.522209999999</v>
      </c>
      <c r="W200" s="815">
        <v>28469.522209999999</v>
      </c>
      <c r="X200" s="815">
        <v>28469.522209999999</v>
      </c>
      <c r="Y200" s="815">
        <v>28469.522209999999</v>
      </c>
      <c r="Z200" s="815">
        <v>28469.522209999999</v>
      </c>
      <c r="AA200" s="815">
        <v>28469.522209999999</v>
      </c>
      <c r="AB200" s="815">
        <v>28469.522209999999</v>
      </c>
      <c r="AC200" s="815">
        <v>28469.522209999999</v>
      </c>
      <c r="AD200" s="815">
        <v>28469.522209999999</v>
      </c>
      <c r="AE200" s="815">
        <v>28469.522209999999</v>
      </c>
      <c r="AF200" s="815">
        <v>28469.522209999999</v>
      </c>
      <c r="AG200" s="816">
        <f t="shared" si="5"/>
        <v>28469.522210000006</v>
      </c>
    </row>
    <row r="201" spans="2:33">
      <c r="C201" s="817"/>
      <c r="D201" s="817"/>
      <c r="E201" s="817"/>
      <c r="F201" s="817"/>
      <c r="G201" s="817"/>
      <c r="H201" s="817"/>
      <c r="I201" s="817"/>
      <c r="J201" s="817"/>
      <c r="K201" s="817"/>
      <c r="L201" s="817"/>
      <c r="M201" s="817"/>
      <c r="N201" s="817"/>
      <c r="O201" s="817"/>
      <c r="P201" s="816">
        <f t="shared" si="4"/>
        <v>0</v>
      </c>
      <c r="Q201" s="817"/>
      <c r="R201" s="817"/>
      <c r="S201" s="817"/>
      <c r="T201" s="817"/>
      <c r="U201" s="817"/>
      <c r="V201" s="817"/>
      <c r="W201" s="817"/>
      <c r="X201" s="817"/>
      <c r="Y201" s="817"/>
      <c r="Z201" s="817"/>
      <c r="AA201" s="817"/>
      <c r="AB201" s="817"/>
      <c r="AC201" s="817"/>
      <c r="AD201" s="817"/>
      <c r="AE201" s="817"/>
      <c r="AF201" s="817"/>
      <c r="AG201" s="816">
        <f t="shared" si="5"/>
        <v>0</v>
      </c>
    </row>
    <row r="202" spans="2:33">
      <c r="B202" s="818" t="s">
        <v>509</v>
      </c>
      <c r="C202" s="815">
        <v>24804.245480000001</v>
      </c>
      <c r="D202" s="815">
        <v>34176.893299999902</v>
      </c>
      <c r="E202" s="815">
        <v>25901.329610000001</v>
      </c>
      <c r="F202" s="815">
        <v>23994.246569999999</v>
      </c>
      <c r="G202" s="815">
        <v>20351.318739999999</v>
      </c>
      <c r="H202" s="815">
        <v>28924.213049999998</v>
      </c>
      <c r="I202" s="815">
        <v>23317.630219999999</v>
      </c>
      <c r="J202" s="815">
        <v>32966.529009515201</v>
      </c>
      <c r="K202" s="815">
        <v>42586.541038133502</v>
      </c>
      <c r="L202" s="815">
        <v>21183.7397971563</v>
      </c>
      <c r="M202" s="815">
        <v>15308.8701860567</v>
      </c>
      <c r="N202" s="815">
        <v>22727.1261185002</v>
      </c>
      <c r="O202" s="815">
        <v>14170.2607673932</v>
      </c>
      <c r="P202" s="816">
        <f t="shared" si="4"/>
        <v>25416.380298981156</v>
      </c>
      <c r="Q202" s="815">
        <v>24185.5998213905</v>
      </c>
      <c r="R202" s="815">
        <v>13576.632485763101</v>
      </c>
      <c r="S202" s="815">
        <v>5860.5702037726596</v>
      </c>
      <c r="T202" s="815">
        <v>11142.385415417801</v>
      </c>
      <c r="U202" s="815">
        <v>18302.9125018214</v>
      </c>
      <c r="V202" s="815">
        <v>10927.8224554024</v>
      </c>
      <c r="W202" s="815">
        <v>20533.3698547981</v>
      </c>
      <c r="X202" s="815">
        <v>30447.506104396602</v>
      </c>
      <c r="Y202" s="815">
        <v>21514.801589307499</v>
      </c>
      <c r="Z202" s="815">
        <v>14960.0661030477</v>
      </c>
      <c r="AA202" s="815">
        <v>22500.078916307401</v>
      </c>
      <c r="AB202" s="815">
        <v>16444.260081856799</v>
      </c>
      <c r="AC202" s="815">
        <v>27270.089246195101</v>
      </c>
      <c r="AD202" s="815">
        <v>15532.850731194299</v>
      </c>
      <c r="AE202" s="815">
        <v>17962.252826472399</v>
      </c>
      <c r="AF202" s="815">
        <v>7047.6297978095199</v>
      </c>
      <c r="AG202" s="816">
        <f t="shared" si="5"/>
        <v>18045.078894155926</v>
      </c>
    </row>
    <row r="203" spans="2:33">
      <c r="C203" s="817"/>
      <c r="D203" s="817"/>
      <c r="E203" s="817"/>
      <c r="F203" s="817"/>
      <c r="G203" s="817"/>
      <c r="H203" s="817"/>
      <c r="I203" s="817"/>
      <c r="J203" s="817"/>
      <c r="K203" s="817"/>
      <c r="L203" s="817"/>
      <c r="M203" s="817"/>
      <c r="N203" s="817"/>
      <c r="O203" s="817"/>
      <c r="P203" s="816">
        <f t="shared" ref="P203:P266" si="6">SUM(C203:O203)/13</f>
        <v>0</v>
      </c>
      <c r="Q203" s="817"/>
      <c r="R203" s="817"/>
      <c r="S203" s="817"/>
      <c r="T203" s="817"/>
      <c r="U203" s="817"/>
      <c r="V203" s="817"/>
      <c r="W203" s="817"/>
      <c r="X203" s="817"/>
      <c r="Y203" s="817"/>
      <c r="Z203" s="817"/>
      <c r="AA203" s="817"/>
      <c r="AB203" s="817"/>
      <c r="AC203" s="817"/>
      <c r="AD203" s="817"/>
      <c r="AE203" s="817"/>
      <c r="AF203" s="817"/>
      <c r="AG203" s="816">
        <f t="shared" ref="AG203:AG266" si="7">SUM(T203:AF203)/13</f>
        <v>0</v>
      </c>
    </row>
    <row r="204" spans="2:33">
      <c r="B204" s="818" t="s">
        <v>510</v>
      </c>
      <c r="P204" s="816">
        <f t="shared" si="6"/>
        <v>0</v>
      </c>
      <c r="AG204" s="816">
        <f t="shared" si="7"/>
        <v>0</v>
      </c>
    </row>
    <row r="205" spans="2:33" ht="15.75" thickBot="1">
      <c r="B205" s="818" t="s">
        <v>511</v>
      </c>
      <c r="C205" s="820">
        <v>10602.817419999999</v>
      </c>
      <c r="D205" s="820">
        <v>15223.812330000001</v>
      </c>
      <c r="E205" s="820">
        <v>19288.184959999999</v>
      </c>
      <c r="F205" s="820">
        <v>23764.931779999999</v>
      </c>
      <c r="G205" s="820">
        <v>16927.309809999999</v>
      </c>
      <c r="H205" s="820">
        <v>7992.48452</v>
      </c>
      <c r="I205" s="820">
        <v>10866.048989999999</v>
      </c>
      <c r="J205" s="820">
        <v>15316.2180004166</v>
      </c>
      <c r="K205" s="820">
        <v>18620.382323333299</v>
      </c>
      <c r="L205" s="820">
        <v>23072.231099375</v>
      </c>
      <c r="M205" s="820">
        <v>17106.981375416599</v>
      </c>
      <c r="N205" s="820">
        <v>7732.5698233333296</v>
      </c>
      <c r="O205" s="820">
        <v>10869.615661874899</v>
      </c>
      <c r="P205" s="816">
        <f t="shared" si="6"/>
        <v>15183.35293028844</v>
      </c>
      <c r="Q205" s="820">
        <v>15326.968359791599</v>
      </c>
      <c r="R205" s="820">
        <v>18620.382323333299</v>
      </c>
      <c r="S205" s="820">
        <v>23079.8376462499</v>
      </c>
      <c r="T205" s="820">
        <v>17121.7329379166</v>
      </c>
      <c r="U205" s="820">
        <v>9774.2364899999902</v>
      </c>
      <c r="V205" s="820">
        <v>14959.722479583301</v>
      </c>
      <c r="W205" s="820">
        <v>21490.3130440311</v>
      </c>
      <c r="X205" s="820">
        <v>26837.959545978902</v>
      </c>
      <c r="Y205" s="820">
        <v>33371.352338746503</v>
      </c>
      <c r="Z205" s="820">
        <v>29486.611069014099</v>
      </c>
      <c r="AA205" s="820">
        <v>7863.3827732400596</v>
      </c>
      <c r="AB205" s="820">
        <v>12927.3513824457</v>
      </c>
      <c r="AC205" s="820">
        <v>19463.2998939633</v>
      </c>
      <c r="AD205" s="820">
        <v>24796.292879312299</v>
      </c>
      <c r="AE205" s="820">
        <v>31332.9110470798</v>
      </c>
      <c r="AF205" s="820">
        <v>27450.893824222399</v>
      </c>
      <c r="AG205" s="816">
        <f t="shared" si="7"/>
        <v>21298.158438887232</v>
      </c>
    </row>
    <row r="206" spans="2:33">
      <c r="B206" s="818" t="s">
        <v>510</v>
      </c>
      <c r="C206" s="815">
        <v>10602.817419999999</v>
      </c>
      <c r="D206" s="815">
        <v>15223.812330000001</v>
      </c>
      <c r="E206" s="815">
        <v>19288.184959999999</v>
      </c>
      <c r="F206" s="815">
        <v>23764.931779999999</v>
      </c>
      <c r="G206" s="815">
        <v>16927.309809999999</v>
      </c>
      <c r="H206" s="815">
        <v>7992.48452</v>
      </c>
      <c r="I206" s="815">
        <v>10866.048989999999</v>
      </c>
      <c r="J206" s="815">
        <v>15316.2180004166</v>
      </c>
      <c r="K206" s="815">
        <v>18620.382323333299</v>
      </c>
      <c r="L206" s="815">
        <v>23072.231099375</v>
      </c>
      <c r="M206" s="815">
        <v>17106.981375416599</v>
      </c>
      <c r="N206" s="815">
        <v>7732.5698233333296</v>
      </c>
      <c r="O206" s="815">
        <v>10869.615661874899</v>
      </c>
      <c r="P206" s="816">
        <f t="shared" si="6"/>
        <v>15183.35293028844</v>
      </c>
      <c r="Q206" s="815">
        <v>15326.968359791599</v>
      </c>
      <c r="R206" s="815">
        <v>18620.382323333299</v>
      </c>
      <c r="S206" s="815">
        <v>23079.8376462499</v>
      </c>
      <c r="T206" s="815">
        <v>17121.7329379166</v>
      </c>
      <c r="U206" s="815">
        <v>9774.2364899999902</v>
      </c>
      <c r="V206" s="815">
        <v>14959.722479583301</v>
      </c>
      <c r="W206" s="815">
        <v>21490.3130440311</v>
      </c>
      <c r="X206" s="815">
        <v>26837.959545978902</v>
      </c>
      <c r="Y206" s="815">
        <v>33371.352338746503</v>
      </c>
      <c r="Z206" s="815">
        <v>29486.611069014099</v>
      </c>
      <c r="AA206" s="815">
        <v>7863.3827732400596</v>
      </c>
      <c r="AB206" s="815">
        <v>12927.3513824457</v>
      </c>
      <c r="AC206" s="815">
        <v>19463.2998939633</v>
      </c>
      <c r="AD206" s="815">
        <v>24796.292879312299</v>
      </c>
      <c r="AE206" s="815">
        <v>31332.9110470798</v>
      </c>
      <c r="AF206" s="815">
        <v>27450.893824222399</v>
      </c>
      <c r="AG206" s="816">
        <f t="shared" si="7"/>
        <v>21298.158438887232</v>
      </c>
    </row>
    <row r="207" spans="2:33">
      <c r="C207" s="817"/>
      <c r="D207" s="817"/>
      <c r="E207" s="817"/>
      <c r="F207" s="817"/>
      <c r="G207" s="817"/>
      <c r="H207" s="817"/>
      <c r="I207" s="817"/>
      <c r="J207" s="817"/>
      <c r="K207" s="817"/>
      <c r="L207" s="817"/>
      <c r="M207" s="817"/>
      <c r="N207" s="817"/>
      <c r="O207" s="817"/>
      <c r="P207" s="816">
        <f t="shared" si="6"/>
        <v>0</v>
      </c>
      <c r="Q207" s="817"/>
      <c r="R207" s="817"/>
      <c r="S207" s="817"/>
      <c r="T207" s="817"/>
      <c r="U207" s="817"/>
      <c r="V207" s="817"/>
      <c r="W207" s="817"/>
      <c r="X207" s="817"/>
      <c r="Y207" s="817"/>
      <c r="Z207" s="817"/>
      <c r="AA207" s="817"/>
      <c r="AB207" s="817"/>
      <c r="AC207" s="817"/>
      <c r="AD207" s="817"/>
      <c r="AE207" s="817"/>
      <c r="AF207" s="817"/>
      <c r="AG207" s="816">
        <f t="shared" si="7"/>
        <v>0</v>
      </c>
    </row>
    <row r="208" spans="2:33">
      <c r="B208" s="818" t="s">
        <v>512</v>
      </c>
      <c r="C208" s="815">
        <v>0</v>
      </c>
      <c r="D208" s="815">
        <v>0</v>
      </c>
      <c r="E208" s="815">
        <v>0</v>
      </c>
      <c r="F208" s="815">
        <v>0</v>
      </c>
      <c r="G208" s="815">
        <v>0</v>
      </c>
      <c r="H208" s="815">
        <v>0</v>
      </c>
      <c r="I208" s="815">
        <v>0</v>
      </c>
      <c r="J208" s="815">
        <v>0</v>
      </c>
      <c r="K208" s="815">
        <v>0</v>
      </c>
      <c r="L208" s="815">
        <v>0</v>
      </c>
      <c r="M208" s="815">
        <v>0</v>
      </c>
      <c r="N208" s="815">
        <v>0</v>
      </c>
      <c r="O208" s="815">
        <v>0</v>
      </c>
      <c r="P208" s="816">
        <f t="shared" si="6"/>
        <v>0</v>
      </c>
      <c r="Q208" s="815">
        <v>0</v>
      </c>
      <c r="R208" s="815">
        <v>0</v>
      </c>
      <c r="S208" s="815">
        <v>0</v>
      </c>
      <c r="T208" s="815">
        <v>0</v>
      </c>
      <c r="U208" s="815">
        <v>0</v>
      </c>
      <c r="V208" s="815">
        <v>0</v>
      </c>
      <c r="W208" s="815">
        <v>0</v>
      </c>
      <c r="X208" s="815">
        <v>0</v>
      </c>
      <c r="Y208" s="815">
        <v>0</v>
      </c>
      <c r="Z208" s="815">
        <v>0</v>
      </c>
      <c r="AA208" s="815">
        <v>0</v>
      </c>
      <c r="AB208" s="815">
        <v>0</v>
      </c>
      <c r="AC208" s="815">
        <v>0</v>
      </c>
      <c r="AD208" s="815">
        <v>0</v>
      </c>
      <c r="AE208" s="815">
        <v>0</v>
      </c>
      <c r="AF208" s="815">
        <v>0</v>
      </c>
      <c r="AG208" s="816">
        <f t="shared" si="7"/>
        <v>0</v>
      </c>
    </row>
    <row r="209" spans="1:33">
      <c r="C209" s="817"/>
      <c r="D209" s="817"/>
      <c r="E209" s="817"/>
      <c r="F209" s="817"/>
      <c r="G209" s="817"/>
      <c r="H209" s="817"/>
      <c r="I209" s="817"/>
      <c r="J209" s="817"/>
      <c r="K209" s="817"/>
      <c r="L209" s="817"/>
      <c r="M209" s="817"/>
      <c r="N209" s="817"/>
      <c r="O209" s="817"/>
      <c r="P209" s="816">
        <f t="shared" si="6"/>
        <v>0</v>
      </c>
      <c r="Q209" s="817"/>
      <c r="R209" s="817"/>
      <c r="S209" s="817"/>
      <c r="T209" s="817"/>
      <c r="U209" s="817"/>
      <c r="V209" s="817"/>
      <c r="W209" s="817"/>
      <c r="X209" s="817"/>
      <c r="Y209" s="817"/>
      <c r="Z209" s="817"/>
      <c r="AA209" s="817"/>
      <c r="AB209" s="817"/>
      <c r="AC209" s="817"/>
      <c r="AD209" s="817"/>
      <c r="AE209" s="817"/>
      <c r="AF209" s="817"/>
      <c r="AG209" s="816">
        <f t="shared" si="7"/>
        <v>0</v>
      </c>
    </row>
    <row r="210" spans="1:33">
      <c r="B210" s="818" t="s">
        <v>513</v>
      </c>
      <c r="C210" s="817"/>
      <c r="D210" s="817"/>
      <c r="E210" s="817"/>
      <c r="F210" s="817"/>
      <c r="G210" s="817"/>
      <c r="H210" s="817"/>
      <c r="I210" s="817"/>
      <c r="J210" s="817"/>
      <c r="K210" s="817"/>
      <c r="L210" s="817"/>
      <c r="M210" s="817"/>
      <c r="N210" s="817"/>
      <c r="O210" s="817"/>
      <c r="P210" s="816">
        <f t="shared" si="6"/>
        <v>0</v>
      </c>
      <c r="Q210" s="817"/>
      <c r="R210" s="817"/>
      <c r="S210" s="817"/>
      <c r="T210" s="817"/>
      <c r="U210" s="817"/>
      <c r="V210" s="817"/>
      <c r="W210" s="817"/>
      <c r="X210" s="817"/>
      <c r="Y210" s="817"/>
      <c r="Z210" s="817"/>
      <c r="AA210" s="817"/>
      <c r="AB210" s="817"/>
      <c r="AC210" s="817"/>
      <c r="AD210" s="817"/>
      <c r="AE210" s="817"/>
      <c r="AF210" s="817"/>
      <c r="AG210" s="816">
        <f t="shared" si="7"/>
        <v>0</v>
      </c>
    </row>
    <row r="211" spans="1:33">
      <c r="B211" s="818" t="s">
        <v>514</v>
      </c>
      <c r="C211" s="815">
        <v>1413.83314</v>
      </c>
      <c r="D211" s="815">
        <v>2189.92866</v>
      </c>
      <c r="E211" s="815">
        <v>1426.88975999999</v>
      </c>
      <c r="F211" s="815">
        <v>1118.2675899999999</v>
      </c>
      <c r="G211" s="815">
        <v>1227.37806</v>
      </c>
      <c r="H211" s="815">
        <v>1076.4839099999999</v>
      </c>
      <c r="I211" s="815">
        <v>1360.72227</v>
      </c>
      <c r="J211" s="815">
        <v>1360.72227</v>
      </c>
      <c r="K211" s="815">
        <v>1360.72227</v>
      </c>
      <c r="L211" s="815">
        <v>1360.72227</v>
      </c>
      <c r="M211" s="815">
        <v>1360.72227</v>
      </c>
      <c r="N211" s="815">
        <v>1360.72227</v>
      </c>
      <c r="O211" s="815">
        <v>1360.72227</v>
      </c>
      <c r="P211" s="816">
        <f t="shared" si="6"/>
        <v>1382.9105392307683</v>
      </c>
      <c r="Q211" s="815">
        <v>1360.72227</v>
      </c>
      <c r="R211" s="815">
        <v>1360.72227</v>
      </c>
      <c r="S211" s="815">
        <v>1360.72227</v>
      </c>
      <c r="T211" s="815">
        <v>1360.72227</v>
      </c>
      <c r="U211" s="815">
        <v>1360.72227</v>
      </c>
      <c r="V211" s="815">
        <v>1360.72227</v>
      </c>
      <c r="W211" s="815">
        <v>1360.72227</v>
      </c>
      <c r="X211" s="815">
        <v>1360.72227</v>
      </c>
      <c r="Y211" s="815">
        <v>1360.72227</v>
      </c>
      <c r="Z211" s="815">
        <v>1360.72227</v>
      </c>
      <c r="AA211" s="815">
        <v>1360.72227</v>
      </c>
      <c r="AB211" s="815">
        <v>1360.72227</v>
      </c>
      <c r="AC211" s="815">
        <v>1360.72227</v>
      </c>
      <c r="AD211" s="815">
        <v>1360.72227</v>
      </c>
      <c r="AE211" s="815">
        <v>1360.72227</v>
      </c>
      <c r="AF211" s="815">
        <v>1360.72227</v>
      </c>
      <c r="AG211" s="816">
        <f t="shared" si="7"/>
        <v>1360.72227</v>
      </c>
    </row>
    <row r="212" spans="1:33">
      <c r="B212" s="818" t="s">
        <v>515</v>
      </c>
      <c r="C212" s="815">
        <v>146.98002</v>
      </c>
      <c r="D212" s="815">
        <v>1057.3469500000001</v>
      </c>
      <c r="E212" s="815">
        <v>1157.3971799999999</v>
      </c>
      <c r="F212" s="815">
        <v>386.33771000000002</v>
      </c>
      <c r="G212" s="815">
        <v>141.98464000000001</v>
      </c>
      <c r="H212" s="815">
        <v>142.07277999999999</v>
      </c>
      <c r="I212" s="815">
        <v>151.23772</v>
      </c>
      <c r="J212" s="815">
        <v>151.23772</v>
      </c>
      <c r="K212" s="815">
        <v>151.23772</v>
      </c>
      <c r="L212" s="815">
        <v>151.23772</v>
      </c>
      <c r="M212" s="815">
        <v>151.23772</v>
      </c>
      <c r="N212" s="815">
        <v>151.23772</v>
      </c>
      <c r="O212" s="815">
        <v>151.23772</v>
      </c>
      <c r="P212" s="816">
        <f t="shared" si="6"/>
        <v>314.67564000000004</v>
      </c>
      <c r="Q212" s="815">
        <v>151.23772</v>
      </c>
      <c r="R212" s="815">
        <v>151.23772</v>
      </c>
      <c r="S212" s="815">
        <v>151.23772</v>
      </c>
      <c r="T212" s="815">
        <v>151.23772</v>
      </c>
      <c r="U212" s="815">
        <v>151.23772</v>
      </c>
      <c r="V212" s="815">
        <v>151.23772</v>
      </c>
      <c r="W212" s="815">
        <v>151.23772</v>
      </c>
      <c r="X212" s="815">
        <v>151.23772</v>
      </c>
      <c r="Y212" s="815">
        <v>151.23772</v>
      </c>
      <c r="Z212" s="815">
        <v>151.23772</v>
      </c>
      <c r="AA212" s="815">
        <v>151.23772</v>
      </c>
      <c r="AB212" s="815">
        <v>151.23772</v>
      </c>
      <c r="AC212" s="815">
        <v>151.23772</v>
      </c>
      <c r="AD212" s="815">
        <v>151.23772</v>
      </c>
      <c r="AE212" s="815">
        <v>151.23772</v>
      </c>
      <c r="AF212" s="815">
        <v>151.23772</v>
      </c>
      <c r="AG212" s="816">
        <f t="shared" si="7"/>
        <v>151.23772000000002</v>
      </c>
    </row>
    <row r="213" spans="1:33">
      <c r="A213" s="713">
        <v>242</v>
      </c>
      <c r="B213" s="818" t="s">
        <v>516</v>
      </c>
      <c r="C213" s="815">
        <v>4638.8567300000004</v>
      </c>
      <c r="D213" s="815">
        <v>3799.8557700000001</v>
      </c>
      <c r="E213" s="815">
        <v>3814.9664499999999</v>
      </c>
      <c r="F213" s="815">
        <v>4303.1109800000004</v>
      </c>
      <c r="G213" s="815">
        <v>5436.5006199999898</v>
      </c>
      <c r="H213" s="815">
        <v>5065.75101</v>
      </c>
      <c r="I213" s="815">
        <v>5166.43804</v>
      </c>
      <c r="J213" s="815">
        <v>5135.7523824999998</v>
      </c>
      <c r="K213" s="815">
        <v>5105.0667249999997</v>
      </c>
      <c r="L213" s="815">
        <v>5189.0093335000001</v>
      </c>
      <c r="M213" s="815">
        <v>5157.0061075000003</v>
      </c>
      <c r="N213" s="815">
        <v>5125.0028814999996</v>
      </c>
      <c r="O213" s="815">
        <v>5092.9996554999998</v>
      </c>
      <c r="P213" s="816">
        <f t="shared" si="6"/>
        <v>4848.4858988846145</v>
      </c>
      <c r="Q213" s="815">
        <v>5060.9964295</v>
      </c>
      <c r="R213" s="815">
        <v>5028.9932035000002</v>
      </c>
      <c r="S213" s="815">
        <v>4996.9899775000004</v>
      </c>
      <c r="T213" s="815">
        <v>4964.9867514999996</v>
      </c>
      <c r="U213" s="815">
        <v>4932.9835254999998</v>
      </c>
      <c r="V213" s="815">
        <v>4900.9802995</v>
      </c>
      <c r="W213" s="815">
        <v>4868.9770735000002</v>
      </c>
      <c r="X213" s="815">
        <v>4836.9738475000004</v>
      </c>
      <c r="Y213" s="815">
        <v>4804.9706214999997</v>
      </c>
      <c r="Z213" s="815">
        <v>4772.9673954999998</v>
      </c>
      <c r="AA213" s="815">
        <v>4740.9641695</v>
      </c>
      <c r="AB213" s="815">
        <v>4708.9609435000002</v>
      </c>
      <c r="AC213" s="815">
        <v>4676.9577175000004</v>
      </c>
      <c r="AD213" s="815">
        <v>4644.9544914999997</v>
      </c>
      <c r="AE213" s="815">
        <v>4612.9512654999999</v>
      </c>
      <c r="AF213" s="815">
        <v>4580.9480395</v>
      </c>
      <c r="AG213" s="816">
        <f t="shared" si="7"/>
        <v>4772.9673954999998</v>
      </c>
    </row>
    <row r="214" spans="1:33">
      <c r="B214" s="818" t="s">
        <v>517</v>
      </c>
      <c r="C214" s="815">
        <v>3892.0612299999998</v>
      </c>
      <c r="D214" s="815">
        <v>5906.8708200000001</v>
      </c>
      <c r="E214" s="815">
        <v>6698.3023199999998</v>
      </c>
      <c r="F214" s="815">
        <v>7568.5289300000004</v>
      </c>
      <c r="G214" s="815">
        <v>6693.0474599999998</v>
      </c>
      <c r="H214" s="815">
        <v>3320.1511300000002</v>
      </c>
      <c r="I214" s="815">
        <v>1872.4089300000001</v>
      </c>
      <c r="J214" s="815">
        <v>1872.4089300000001</v>
      </c>
      <c r="K214" s="815">
        <v>1872.4089300000001</v>
      </c>
      <c r="L214" s="815">
        <v>1872.4089300000001</v>
      </c>
      <c r="M214" s="815">
        <v>1872.4089300000001</v>
      </c>
      <c r="N214" s="815">
        <v>1872.4089300000001</v>
      </c>
      <c r="O214" s="815">
        <v>1872.4089300000001</v>
      </c>
      <c r="P214" s="816">
        <f t="shared" si="6"/>
        <v>3629.6787999999988</v>
      </c>
      <c r="Q214" s="815">
        <v>1872.4089300000001</v>
      </c>
      <c r="R214" s="815">
        <v>1872.4089300000001</v>
      </c>
      <c r="S214" s="815">
        <v>1872.4089300000001</v>
      </c>
      <c r="T214" s="815">
        <v>1872.4089300000001</v>
      </c>
      <c r="U214" s="815">
        <v>1872.4089300000001</v>
      </c>
      <c r="V214" s="815">
        <v>1872.4089300000001</v>
      </c>
      <c r="W214" s="815">
        <v>1872.4089300000001</v>
      </c>
      <c r="X214" s="815">
        <v>1872.4089300000001</v>
      </c>
      <c r="Y214" s="815">
        <v>1872.4089300000001</v>
      </c>
      <c r="Z214" s="815">
        <v>1872.4089300000001</v>
      </c>
      <c r="AA214" s="815">
        <v>1872.4089300000001</v>
      </c>
      <c r="AB214" s="815">
        <v>1872.4089300000001</v>
      </c>
      <c r="AC214" s="815">
        <v>1872.4089300000001</v>
      </c>
      <c r="AD214" s="815">
        <v>1872.4089300000001</v>
      </c>
      <c r="AE214" s="815">
        <v>1872.4089300000001</v>
      </c>
      <c r="AF214" s="815">
        <v>1872.4089300000001</v>
      </c>
      <c r="AG214" s="816">
        <f t="shared" si="7"/>
        <v>1872.4089300000003</v>
      </c>
    </row>
    <row r="215" spans="1:33">
      <c r="B215" s="818" t="s">
        <v>518</v>
      </c>
      <c r="C215" s="815">
        <v>4473.4181399999998</v>
      </c>
      <c r="D215" s="815">
        <v>4472.8710099999998</v>
      </c>
      <c r="E215" s="815">
        <v>4478.0767100000003</v>
      </c>
      <c r="F215" s="815">
        <v>3267.6642099999999</v>
      </c>
      <c r="G215" s="815">
        <v>3274.7319900000002</v>
      </c>
      <c r="H215" s="815">
        <v>3273.3373299999998</v>
      </c>
      <c r="I215" s="815">
        <v>3588.2173699999998</v>
      </c>
      <c r="J215" s="815">
        <v>3719.7578619466099</v>
      </c>
      <c r="K215" s="815">
        <v>3863.8957569180702</v>
      </c>
      <c r="L215" s="815">
        <v>3984.0993094062501</v>
      </c>
      <c r="M215" s="815">
        <v>4127.6937735379397</v>
      </c>
      <c r="N215" s="815">
        <v>4255.5885887697495</v>
      </c>
      <c r="O215" s="815">
        <v>4369.4178123024203</v>
      </c>
      <c r="P215" s="816">
        <f t="shared" si="6"/>
        <v>3934.5207586831571</v>
      </c>
      <c r="Q215" s="815">
        <v>4521.1559134720301</v>
      </c>
      <c r="R215" s="815">
        <v>4652.3207555319896</v>
      </c>
      <c r="S215" s="815">
        <v>3236.4329858497399</v>
      </c>
      <c r="T215" s="815">
        <v>3376.26728244893</v>
      </c>
      <c r="U215" s="815">
        <v>3528.4287315960801</v>
      </c>
      <c r="V215" s="815">
        <v>3656.18927844159</v>
      </c>
      <c r="W215" s="815">
        <v>3805.8778112923701</v>
      </c>
      <c r="X215" s="815">
        <v>3959.9316940732801</v>
      </c>
      <c r="Y215" s="815">
        <v>4099.5523783996296</v>
      </c>
      <c r="Z215" s="815">
        <v>4260.5479471161198</v>
      </c>
      <c r="AA215" s="815">
        <v>4391.9095361495401</v>
      </c>
      <c r="AB215" s="815">
        <v>4522.3084440909797</v>
      </c>
      <c r="AC215" s="815">
        <v>4693.1335841750797</v>
      </c>
      <c r="AD215" s="815">
        <v>4840.6379679563697</v>
      </c>
      <c r="AE215" s="815">
        <v>3297.1010285519601</v>
      </c>
      <c r="AF215" s="815">
        <v>3452.56566569901</v>
      </c>
      <c r="AG215" s="816">
        <f t="shared" si="7"/>
        <v>3991.1116423069952</v>
      </c>
    </row>
    <row r="216" spans="1:33">
      <c r="B216" s="818" t="s">
        <v>1924</v>
      </c>
      <c r="C216" s="815">
        <v>0</v>
      </c>
      <c r="D216" s="815">
        <v>0</v>
      </c>
      <c r="E216" s="815">
        <v>0</v>
      </c>
      <c r="F216" s="815">
        <v>0</v>
      </c>
      <c r="G216" s="815">
        <v>0</v>
      </c>
      <c r="H216" s="815">
        <v>0</v>
      </c>
      <c r="I216" s="815">
        <v>0</v>
      </c>
      <c r="J216" s="815">
        <v>0</v>
      </c>
      <c r="K216" s="815">
        <v>0</v>
      </c>
      <c r="L216" s="815">
        <v>0</v>
      </c>
      <c r="M216" s="815">
        <v>0</v>
      </c>
      <c r="N216" s="815">
        <v>0</v>
      </c>
      <c r="O216" s="815">
        <v>0</v>
      </c>
      <c r="P216" s="816">
        <f t="shared" si="6"/>
        <v>0</v>
      </c>
      <c r="Q216" s="815">
        <v>6562.5110199999999</v>
      </c>
      <c r="R216" s="815">
        <v>5835.3309399999998</v>
      </c>
      <c r="S216" s="815">
        <v>5102.9611000000004</v>
      </c>
      <c r="T216" s="815">
        <v>4366.8069599999999</v>
      </c>
      <c r="U216" s="815">
        <v>4323.01811</v>
      </c>
      <c r="V216" s="815">
        <v>4283.1132299999999</v>
      </c>
      <c r="W216" s="815">
        <v>4245.5493500000002</v>
      </c>
      <c r="X216" s="815">
        <v>4211.2868500000004</v>
      </c>
      <c r="Y216" s="815">
        <v>4187.05537</v>
      </c>
      <c r="Z216" s="815">
        <v>4160.9943300000004</v>
      </c>
      <c r="AA216" s="815">
        <v>4054.2053000000001</v>
      </c>
      <c r="AB216" s="815">
        <v>3954.37671</v>
      </c>
      <c r="AC216" s="815">
        <v>3849.3482300000001</v>
      </c>
      <c r="AD216" s="815">
        <v>3743.8326400000001</v>
      </c>
      <c r="AE216" s="815">
        <v>3640.1717600000002</v>
      </c>
      <c r="AF216" s="815">
        <v>3535.0022899999999</v>
      </c>
      <c r="AG216" s="816">
        <f t="shared" si="7"/>
        <v>4042.6739330769228</v>
      </c>
    </row>
    <row r="217" spans="1:33">
      <c r="A217" s="713">
        <v>242</v>
      </c>
      <c r="B217" s="818" t="s">
        <v>519</v>
      </c>
      <c r="C217" s="815">
        <v>5942.0707599999996</v>
      </c>
      <c r="D217" s="815">
        <v>5942.0707599999996</v>
      </c>
      <c r="E217" s="815">
        <v>5942.0707599999996</v>
      </c>
      <c r="F217" s="815">
        <v>6472.3228099999997</v>
      </c>
      <c r="G217" s="815">
        <v>6472.3228099999997</v>
      </c>
      <c r="H217" s="815">
        <v>6472.3228099999997</v>
      </c>
      <c r="I217" s="815">
        <v>6513.54702</v>
      </c>
      <c r="J217" s="815">
        <v>6513.54702</v>
      </c>
      <c r="K217" s="815">
        <v>6513.54702</v>
      </c>
      <c r="L217" s="815">
        <v>6513.54702</v>
      </c>
      <c r="M217" s="815">
        <v>6513.54702</v>
      </c>
      <c r="N217" s="815">
        <v>6513.54702</v>
      </c>
      <c r="O217" s="815">
        <v>6513.54702</v>
      </c>
      <c r="P217" s="816">
        <f t="shared" si="6"/>
        <v>6372.1546038461529</v>
      </c>
      <c r="Q217" s="815">
        <v>6513.54702</v>
      </c>
      <c r="R217" s="815">
        <v>6513.54702</v>
      </c>
      <c r="S217" s="815">
        <v>6513.54702</v>
      </c>
      <c r="T217" s="815">
        <v>6513.54702</v>
      </c>
      <c r="U217" s="815">
        <v>6513.54702</v>
      </c>
      <c r="V217" s="815">
        <v>6513.54702</v>
      </c>
      <c r="W217" s="815">
        <v>6513.54702</v>
      </c>
      <c r="X217" s="815">
        <v>6513.54702</v>
      </c>
      <c r="Y217" s="815">
        <v>6513.54702</v>
      </c>
      <c r="Z217" s="815">
        <v>6513.54702</v>
      </c>
      <c r="AA217" s="815">
        <v>6513.54702</v>
      </c>
      <c r="AB217" s="815">
        <v>6513.54702</v>
      </c>
      <c r="AC217" s="815">
        <v>6513.54702</v>
      </c>
      <c r="AD217" s="815">
        <v>6513.54702</v>
      </c>
      <c r="AE217" s="815">
        <v>6513.54702</v>
      </c>
      <c r="AF217" s="815">
        <v>6513.54702</v>
      </c>
      <c r="AG217" s="816">
        <f t="shared" si="7"/>
        <v>6513.5470199999991</v>
      </c>
    </row>
    <row r="218" spans="1:33">
      <c r="A218" s="713">
        <v>242</v>
      </c>
      <c r="B218" s="818" t="s">
        <v>520</v>
      </c>
      <c r="C218" s="815">
        <v>1111.0823399999999</v>
      </c>
      <c r="D218" s="815">
        <v>1111.0823399999999</v>
      </c>
      <c r="E218" s="815">
        <v>1111.0823399999999</v>
      </c>
      <c r="F218" s="815">
        <v>1420.33959</v>
      </c>
      <c r="G218" s="815">
        <v>1111.0823399999999</v>
      </c>
      <c r="H218" s="815">
        <v>1111.0823399999999</v>
      </c>
      <c r="I218" s="815">
        <v>2282.87176</v>
      </c>
      <c r="J218" s="815">
        <v>2282.87176</v>
      </c>
      <c r="K218" s="815">
        <v>2282.87176</v>
      </c>
      <c r="L218" s="815">
        <v>2282.87176</v>
      </c>
      <c r="M218" s="815">
        <v>2282.87176</v>
      </c>
      <c r="N218" s="815">
        <v>2282.87176</v>
      </c>
      <c r="O218" s="815">
        <v>2282.87176</v>
      </c>
      <c r="P218" s="816">
        <f t="shared" si="6"/>
        <v>1765.8348930769234</v>
      </c>
      <c r="Q218" s="815">
        <v>2282.87176</v>
      </c>
      <c r="R218" s="815">
        <v>2282.87176</v>
      </c>
      <c r="S218" s="815">
        <v>2282.87176</v>
      </c>
      <c r="T218" s="815">
        <v>2282.87176</v>
      </c>
      <c r="U218" s="815">
        <v>2282.87176</v>
      </c>
      <c r="V218" s="815">
        <v>2282.87176</v>
      </c>
      <c r="W218" s="815">
        <v>2282.87176</v>
      </c>
      <c r="X218" s="815">
        <v>2282.87176</v>
      </c>
      <c r="Y218" s="815">
        <v>2282.87176</v>
      </c>
      <c r="Z218" s="815">
        <v>2282.87176</v>
      </c>
      <c r="AA218" s="815">
        <v>2282.87176</v>
      </c>
      <c r="AB218" s="815">
        <v>2282.87176</v>
      </c>
      <c r="AC218" s="815">
        <v>2282.87176</v>
      </c>
      <c r="AD218" s="815">
        <v>2282.87176</v>
      </c>
      <c r="AE218" s="815">
        <v>2282.87176</v>
      </c>
      <c r="AF218" s="815">
        <v>2282.87176</v>
      </c>
      <c r="AG218" s="816">
        <f t="shared" si="7"/>
        <v>2282.8717600000009</v>
      </c>
    </row>
    <row r="219" spans="1:33">
      <c r="B219" s="818" t="s">
        <v>565</v>
      </c>
      <c r="C219" s="815">
        <v>4324.9403499999999</v>
      </c>
      <c r="D219" s="815">
        <v>4013.6705400000001</v>
      </c>
      <c r="E219" s="815">
        <v>3861.6868899999999</v>
      </c>
      <c r="F219" s="815">
        <v>3897.9329299999999</v>
      </c>
      <c r="G219" s="815">
        <v>3746.84728</v>
      </c>
      <c r="H219" s="815">
        <v>3916.8677600000001</v>
      </c>
      <c r="I219" s="815">
        <v>3839.1288199999999</v>
      </c>
      <c r="J219" s="815">
        <v>3839.1288199999999</v>
      </c>
      <c r="K219" s="815">
        <v>3839.1288199999999</v>
      </c>
      <c r="L219" s="815">
        <v>3839.1288199999999</v>
      </c>
      <c r="M219" s="815">
        <v>3839.1288199999999</v>
      </c>
      <c r="N219" s="815">
        <v>3839.1288199999999</v>
      </c>
      <c r="O219" s="815">
        <v>3839.1288199999999</v>
      </c>
      <c r="P219" s="816">
        <f t="shared" si="6"/>
        <v>3895.0651915384606</v>
      </c>
      <c r="Q219" s="815">
        <v>3839.1288199999999</v>
      </c>
      <c r="R219" s="815">
        <v>3839.1288199999999</v>
      </c>
      <c r="S219" s="815">
        <v>3839.1288199999999</v>
      </c>
      <c r="T219" s="815">
        <v>3839.1288199999999</v>
      </c>
      <c r="U219" s="815">
        <v>3839.1288199999999</v>
      </c>
      <c r="V219" s="815">
        <v>3839.1288199999999</v>
      </c>
      <c r="W219" s="815">
        <v>3839.1288199999999</v>
      </c>
      <c r="X219" s="815">
        <v>3839.1288199999999</v>
      </c>
      <c r="Y219" s="815">
        <v>3839.1288199999999</v>
      </c>
      <c r="Z219" s="815">
        <v>3839.1288199999999</v>
      </c>
      <c r="AA219" s="815">
        <v>3839.1288199999999</v>
      </c>
      <c r="AB219" s="815">
        <v>3839.1288199999999</v>
      </c>
      <c r="AC219" s="815">
        <v>3839.1288199999999</v>
      </c>
      <c r="AD219" s="815">
        <v>3839.1288199999999</v>
      </c>
      <c r="AE219" s="815">
        <v>3839.1288199999999</v>
      </c>
      <c r="AF219" s="815">
        <v>3839.1288199999999</v>
      </c>
      <c r="AG219" s="816">
        <f t="shared" si="7"/>
        <v>3839.1288199999985</v>
      </c>
    </row>
    <row r="220" spans="1:33">
      <c r="B220" s="818" t="s">
        <v>566</v>
      </c>
      <c r="C220" s="815">
        <v>5952.7594900000004</v>
      </c>
      <c r="D220" s="815">
        <v>5376.4422599999998</v>
      </c>
      <c r="E220" s="815">
        <v>4970.7642299999998</v>
      </c>
      <c r="F220" s="815">
        <v>4702.65708</v>
      </c>
      <c r="G220" s="815">
        <v>4333.3673399999998</v>
      </c>
      <c r="H220" s="815">
        <v>4283.5135899999996</v>
      </c>
      <c r="I220" s="815">
        <v>3957.6191399999998</v>
      </c>
      <c r="J220" s="815">
        <v>3566.2571915624999</v>
      </c>
      <c r="K220" s="815">
        <v>3182.4439561250001</v>
      </c>
      <c r="L220" s="815">
        <v>2801.63553961458</v>
      </c>
      <c r="M220" s="815">
        <v>2431.2030694374998</v>
      </c>
      <c r="N220" s="815">
        <v>2066.5955834375</v>
      </c>
      <c r="O220" s="815">
        <v>1710.58553730208</v>
      </c>
      <c r="P220" s="816">
        <f t="shared" si="6"/>
        <v>3795.0649236522431</v>
      </c>
      <c r="Q220" s="815">
        <v>1364.35683498958</v>
      </c>
      <c r="R220" s="815">
        <v>1024.9921251041601</v>
      </c>
      <c r="S220" s="815">
        <v>691.97367054166602</v>
      </c>
      <c r="T220" s="815">
        <v>366.43148112499898</v>
      </c>
      <c r="U220" s="815">
        <v>47.330082645832398</v>
      </c>
      <c r="V220" s="815">
        <v>-266.12391724999998</v>
      </c>
      <c r="W220" s="815">
        <v>-573.92786803125</v>
      </c>
      <c r="X220" s="815">
        <v>-876.06498299999998</v>
      </c>
      <c r="Y220" s="815">
        <v>-1173.66968953125</v>
      </c>
      <c r="Z220" s="815">
        <v>-1467.4046204374999</v>
      </c>
      <c r="AA220" s="815">
        <v>-1755.8985675520801</v>
      </c>
      <c r="AB220" s="815">
        <v>-2040.5766331770801</v>
      </c>
      <c r="AC220" s="815">
        <v>-2322.1244213958298</v>
      </c>
      <c r="AD220" s="815">
        <v>-2599.5117590625</v>
      </c>
      <c r="AE220" s="815">
        <v>-2876.85227067708</v>
      </c>
      <c r="AF220" s="815">
        <v>-3153.4727213020801</v>
      </c>
      <c r="AG220" s="816">
        <f t="shared" si="7"/>
        <v>-1437.8358375112168</v>
      </c>
    </row>
    <row r="221" spans="1:33" ht="15.75" thickBot="1">
      <c r="B221" s="818" t="s">
        <v>567</v>
      </c>
      <c r="C221" s="820">
        <v>16043.72372</v>
      </c>
      <c r="D221" s="820">
        <v>13904.985979999999</v>
      </c>
      <c r="E221" s="820">
        <v>13097.617819999999</v>
      </c>
      <c r="F221" s="820">
        <v>13696.358630000001</v>
      </c>
      <c r="G221" s="820">
        <v>12647.332689999999</v>
      </c>
      <c r="H221" s="820">
        <v>13059.07971</v>
      </c>
      <c r="I221" s="820">
        <v>12712.30416</v>
      </c>
      <c r="J221" s="820">
        <v>12712.30416</v>
      </c>
      <c r="K221" s="820">
        <v>12712.30416</v>
      </c>
      <c r="L221" s="820">
        <v>12712.30416</v>
      </c>
      <c r="M221" s="820">
        <v>12712.30416</v>
      </c>
      <c r="N221" s="820">
        <v>12712.30416</v>
      </c>
      <c r="O221" s="820">
        <v>12712.30416</v>
      </c>
      <c r="P221" s="816">
        <f t="shared" si="6"/>
        <v>13187.325205384615</v>
      </c>
      <c r="Q221" s="820">
        <v>12712.30416</v>
      </c>
      <c r="R221" s="820">
        <v>12712.30416</v>
      </c>
      <c r="S221" s="820">
        <v>12712.30416</v>
      </c>
      <c r="T221" s="820">
        <v>12712.30416</v>
      </c>
      <c r="U221" s="820">
        <v>12712.30416</v>
      </c>
      <c r="V221" s="820">
        <v>12712.30416</v>
      </c>
      <c r="W221" s="820">
        <v>12712.30416</v>
      </c>
      <c r="X221" s="820">
        <v>12712.30416</v>
      </c>
      <c r="Y221" s="820">
        <v>12712.30416</v>
      </c>
      <c r="Z221" s="820">
        <v>12712.30416</v>
      </c>
      <c r="AA221" s="820">
        <v>12712.30416</v>
      </c>
      <c r="AB221" s="820">
        <v>12712.30416</v>
      </c>
      <c r="AC221" s="820">
        <v>12712.30416</v>
      </c>
      <c r="AD221" s="820">
        <v>12712.30416</v>
      </c>
      <c r="AE221" s="820">
        <v>12712.30416</v>
      </c>
      <c r="AF221" s="820">
        <v>12712.30416</v>
      </c>
      <c r="AG221" s="816">
        <f t="shared" si="7"/>
        <v>12712.30416</v>
      </c>
    </row>
    <row r="222" spans="1:33">
      <c r="B222" s="818" t="s">
        <v>521</v>
      </c>
      <c r="C222" s="815">
        <v>47939.725919999997</v>
      </c>
      <c r="D222" s="815">
        <v>47775.125090000001</v>
      </c>
      <c r="E222" s="815">
        <v>46558.854460000002</v>
      </c>
      <c r="F222" s="815">
        <v>46833.52046</v>
      </c>
      <c r="G222" s="815">
        <v>45084.595229999999</v>
      </c>
      <c r="H222" s="815">
        <v>41720.662369999998</v>
      </c>
      <c r="I222" s="815">
        <v>41444.49523</v>
      </c>
      <c r="J222" s="815">
        <v>41153.988116009103</v>
      </c>
      <c r="K222" s="815">
        <v>40883.627118042998</v>
      </c>
      <c r="L222" s="815">
        <v>40706.964862520799</v>
      </c>
      <c r="M222" s="815">
        <v>40448.123630475398</v>
      </c>
      <c r="N222" s="815">
        <v>40179.407733707201</v>
      </c>
      <c r="O222" s="815">
        <v>39905.223685104502</v>
      </c>
      <c r="P222" s="816">
        <f t="shared" si="6"/>
        <v>43125.716454296926</v>
      </c>
      <c r="Q222" s="815">
        <v>46241.240877961602</v>
      </c>
      <c r="R222" s="815">
        <v>45273.857704136099</v>
      </c>
      <c r="S222" s="815">
        <v>42760.578413891402</v>
      </c>
      <c r="T222" s="815">
        <v>41806.7131550739</v>
      </c>
      <c r="U222" s="815">
        <v>41563.9811297419</v>
      </c>
      <c r="V222" s="815">
        <v>41306.379570691599</v>
      </c>
      <c r="W222" s="815">
        <v>41078.697046761103</v>
      </c>
      <c r="X222" s="815">
        <v>40864.348088573199</v>
      </c>
      <c r="Y222" s="815">
        <v>40650.129360368301</v>
      </c>
      <c r="Z222" s="815">
        <v>40459.3257321786</v>
      </c>
      <c r="AA222" s="815">
        <v>40163.401118097398</v>
      </c>
      <c r="AB222" s="815">
        <v>39877.290144413899</v>
      </c>
      <c r="AC222" s="815">
        <v>39629.535790279202</v>
      </c>
      <c r="AD222" s="815">
        <v>39362.134020393802</v>
      </c>
      <c r="AE222" s="815">
        <v>37405.5924633748</v>
      </c>
      <c r="AF222" s="815">
        <v>37147.263953896902</v>
      </c>
      <c r="AG222" s="816">
        <f t="shared" si="7"/>
        <v>40101.137813372661</v>
      </c>
    </row>
    <row r="223" spans="1:33">
      <c r="C223" s="817"/>
      <c r="D223" s="817"/>
      <c r="E223" s="817"/>
      <c r="F223" s="817"/>
      <c r="G223" s="817"/>
      <c r="H223" s="817"/>
      <c r="I223" s="817"/>
      <c r="J223" s="817"/>
      <c r="K223" s="817"/>
      <c r="L223" s="817"/>
      <c r="M223" s="817"/>
      <c r="N223" s="817"/>
      <c r="O223" s="817"/>
      <c r="P223" s="816">
        <f t="shared" si="6"/>
        <v>0</v>
      </c>
      <c r="Q223" s="817"/>
      <c r="R223" s="817"/>
      <c r="S223" s="817"/>
      <c r="T223" s="817"/>
      <c r="U223" s="817"/>
      <c r="V223" s="817"/>
      <c r="W223" s="817"/>
      <c r="X223" s="817"/>
      <c r="Y223" s="817"/>
      <c r="Z223" s="817"/>
      <c r="AA223" s="817"/>
      <c r="AB223" s="817"/>
      <c r="AC223" s="817"/>
      <c r="AD223" s="817"/>
      <c r="AE223" s="817"/>
      <c r="AF223" s="817"/>
      <c r="AG223" s="816">
        <f t="shared" si="7"/>
        <v>0</v>
      </c>
    </row>
    <row r="224" spans="1:33" ht="15.75" thickBot="1">
      <c r="B224" s="814" t="s">
        <v>522</v>
      </c>
      <c r="C224" s="821">
        <v>529141.73635999998</v>
      </c>
      <c r="D224" s="821">
        <v>458575.02337999898</v>
      </c>
      <c r="E224" s="821">
        <v>411720.75404000003</v>
      </c>
      <c r="F224" s="821">
        <v>447348.52762000001</v>
      </c>
      <c r="G224" s="821">
        <v>449866.89009</v>
      </c>
      <c r="H224" s="821">
        <v>440836.48370999901</v>
      </c>
      <c r="I224" s="821">
        <v>454672.03233999998</v>
      </c>
      <c r="J224" s="821">
        <v>471089.33332533698</v>
      </c>
      <c r="K224" s="821">
        <v>500273.15941018198</v>
      </c>
      <c r="L224" s="821">
        <v>513348.82806049602</v>
      </c>
      <c r="M224" s="821">
        <v>540078.55433906801</v>
      </c>
      <c r="N224" s="821">
        <v>565351.83486587997</v>
      </c>
      <c r="O224" s="821">
        <v>558637.44418544904</v>
      </c>
      <c r="P224" s="816">
        <f t="shared" si="6"/>
        <v>487764.66167126229</v>
      </c>
      <c r="Q224" s="821">
        <v>564584.65419297805</v>
      </c>
      <c r="R224" s="821">
        <v>540924.88885294599</v>
      </c>
      <c r="S224" s="821">
        <v>566238.59766785603</v>
      </c>
      <c r="T224" s="821">
        <v>572914.15081259399</v>
      </c>
      <c r="U224" s="821">
        <v>288116.23550388898</v>
      </c>
      <c r="V224" s="821">
        <v>297656.18834079598</v>
      </c>
      <c r="W224" s="821">
        <v>323323.42304487102</v>
      </c>
      <c r="X224" s="821">
        <v>341687.43176199403</v>
      </c>
      <c r="Y224" s="821">
        <v>359758.00147777598</v>
      </c>
      <c r="Z224" s="821">
        <v>389519.51777435897</v>
      </c>
      <c r="AA224" s="821">
        <v>414540.76651437097</v>
      </c>
      <c r="AB224" s="821">
        <v>384884.34600511199</v>
      </c>
      <c r="AC224" s="821">
        <v>369746.92478851799</v>
      </c>
      <c r="AD224" s="821">
        <v>325550.17844655499</v>
      </c>
      <c r="AE224" s="821">
        <v>378194.93384144601</v>
      </c>
      <c r="AF224" s="821">
        <v>363127.00505054003</v>
      </c>
      <c r="AG224" s="816">
        <f t="shared" si="7"/>
        <v>369924.54641252471</v>
      </c>
    </row>
    <row r="225" spans="2:33">
      <c r="P225" s="816">
        <f t="shared" si="6"/>
        <v>0</v>
      </c>
      <c r="AG225" s="816">
        <f t="shared" si="7"/>
        <v>0</v>
      </c>
    </row>
    <row r="226" spans="2:33">
      <c r="B226" s="814" t="s">
        <v>523</v>
      </c>
      <c r="C226" s="817"/>
      <c r="D226" s="817"/>
      <c r="E226" s="817"/>
      <c r="F226" s="817"/>
      <c r="G226" s="817"/>
      <c r="H226" s="817"/>
      <c r="I226" s="817"/>
      <c r="J226" s="817"/>
      <c r="K226" s="817"/>
      <c r="L226" s="817"/>
      <c r="M226" s="817"/>
      <c r="N226" s="817"/>
      <c r="O226" s="817"/>
      <c r="P226" s="816">
        <f t="shared" si="6"/>
        <v>0</v>
      </c>
      <c r="Q226" s="817"/>
      <c r="R226" s="817"/>
      <c r="S226" s="817"/>
      <c r="T226" s="817"/>
      <c r="U226" s="817"/>
      <c r="V226" s="817"/>
      <c r="W226" s="817"/>
      <c r="X226" s="817"/>
      <c r="Y226" s="817"/>
      <c r="Z226" s="817"/>
      <c r="AA226" s="817"/>
      <c r="AB226" s="817"/>
      <c r="AC226" s="817"/>
      <c r="AD226" s="817"/>
      <c r="AE226" s="817"/>
      <c r="AF226" s="817"/>
      <c r="AG226" s="816">
        <f t="shared" si="7"/>
        <v>0</v>
      </c>
    </row>
    <row r="227" spans="2:33">
      <c r="B227" s="818" t="s">
        <v>524</v>
      </c>
      <c r="C227" s="817"/>
      <c r="D227" s="817"/>
      <c r="E227" s="817"/>
      <c r="F227" s="817"/>
      <c r="G227" s="817"/>
      <c r="H227" s="817"/>
      <c r="I227" s="817"/>
      <c r="J227" s="817"/>
      <c r="K227" s="817"/>
      <c r="L227" s="817"/>
      <c r="M227" s="817"/>
      <c r="N227" s="817"/>
      <c r="O227" s="817"/>
      <c r="P227" s="816">
        <f t="shared" si="6"/>
        <v>0</v>
      </c>
      <c r="Q227" s="817"/>
      <c r="R227" s="817"/>
      <c r="S227" s="817"/>
      <c r="T227" s="817"/>
      <c r="U227" s="817"/>
      <c r="V227" s="817"/>
      <c r="W227" s="817"/>
      <c r="X227" s="817"/>
      <c r="Y227" s="817"/>
      <c r="Z227" s="817"/>
      <c r="AA227" s="817"/>
      <c r="AB227" s="817"/>
      <c r="AC227" s="817"/>
      <c r="AD227" s="817"/>
      <c r="AE227" s="817"/>
      <c r="AF227" s="817"/>
      <c r="AG227" s="816">
        <f t="shared" si="7"/>
        <v>0</v>
      </c>
    </row>
    <row r="228" spans="2:33">
      <c r="B228" s="818" t="s">
        <v>525</v>
      </c>
      <c r="C228" s="815">
        <v>739127.18408000004</v>
      </c>
      <c r="D228" s="815">
        <v>739127.18410999898</v>
      </c>
      <c r="E228" s="815">
        <v>739127.18410999898</v>
      </c>
      <c r="F228" s="815">
        <v>742491.91295999999</v>
      </c>
      <c r="G228" s="815">
        <v>742066.40020999999</v>
      </c>
      <c r="H228" s="815">
        <v>742066.40020999999</v>
      </c>
      <c r="I228" s="815">
        <v>732743.33065000002</v>
      </c>
      <c r="J228" s="815">
        <v>732743.33065000002</v>
      </c>
      <c r="K228" s="815">
        <v>732743.33065000002</v>
      </c>
      <c r="L228" s="815">
        <v>732694.81931212905</v>
      </c>
      <c r="M228" s="815">
        <v>732694.81931212905</v>
      </c>
      <c r="N228" s="815">
        <v>732694.81931212905</v>
      </c>
      <c r="O228" s="815">
        <v>732646.30797425902</v>
      </c>
      <c r="P228" s="816">
        <f t="shared" si="6"/>
        <v>736382.07873389556</v>
      </c>
      <c r="Q228" s="815">
        <v>732646.30797425902</v>
      </c>
      <c r="R228" s="815">
        <v>732646.30797425902</v>
      </c>
      <c r="S228" s="815">
        <v>732597.79663638899</v>
      </c>
      <c r="T228" s="815">
        <v>732597.79663638899</v>
      </c>
      <c r="U228" s="815">
        <v>732597.79663638899</v>
      </c>
      <c r="V228" s="815">
        <v>732549.28529851895</v>
      </c>
      <c r="W228" s="815">
        <v>732549.28529851895</v>
      </c>
      <c r="X228" s="815">
        <v>732549.28529851895</v>
      </c>
      <c r="Y228" s="815">
        <v>732500.77396064799</v>
      </c>
      <c r="Z228" s="815">
        <v>732500.77396064799</v>
      </c>
      <c r="AA228" s="815">
        <v>732500.77396064799</v>
      </c>
      <c r="AB228" s="815">
        <v>732452.26262277795</v>
      </c>
      <c r="AC228" s="815">
        <v>732452.26262277795</v>
      </c>
      <c r="AD228" s="815">
        <v>732452.26262277795</v>
      </c>
      <c r="AE228" s="815">
        <v>732403.75128490804</v>
      </c>
      <c r="AF228" s="815">
        <v>732403.75128490804</v>
      </c>
      <c r="AG228" s="816">
        <f t="shared" si="7"/>
        <v>732500.77396064857</v>
      </c>
    </row>
    <row r="229" spans="2:33">
      <c r="B229" s="818" t="s">
        <v>526</v>
      </c>
      <c r="C229" s="815">
        <v>150592.97529999999</v>
      </c>
      <c r="D229" s="815">
        <v>150592.97529999999</v>
      </c>
      <c r="E229" s="815">
        <v>150592.97529999999</v>
      </c>
      <c r="F229" s="815">
        <v>150444.37301000001</v>
      </c>
      <c r="G229" s="815">
        <v>149542.14280999999</v>
      </c>
      <c r="H229" s="815">
        <v>149542.14280999999</v>
      </c>
      <c r="I229" s="815">
        <v>149680.00940000001</v>
      </c>
      <c r="J229" s="815">
        <v>149691.19499914299</v>
      </c>
      <c r="K229" s="815">
        <v>149702.38059828599</v>
      </c>
      <c r="L229" s="815">
        <v>177760.91030264099</v>
      </c>
      <c r="M229" s="815">
        <v>177772.09590178399</v>
      </c>
      <c r="N229" s="815">
        <v>177783.281500927</v>
      </c>
      <c r="O229" s="815">
        <v>195574.11016974199</v>
      </c>
      <c r="P229" s="816">
        <f t="shared" si="6"/>
        <v>159943.96672327101</v>
      </c>
      <c r="Q229" s="815">
        <v>195585.295768885</v>
      </c>
      <c r="R229" s="815">
        <v>195596.48136802801</v>
      </c>
      <c r="S229" s="815">
        <v>211039.56084378</v>
      </c>
      <c r="T229" s="815">
        <v>211330.58251426899</v>
      </c>
      <c r="U229" s="815">
        <v>211341.76811341199</v>
      </c>
      <c r="V229" s="815">
        <v>228297.28793153699</v>
      </c>
      <c r="W229" s="815">
        <v>228308.47353068</v>
      </c>
      <c r="X229" s="815">
        <v>228319.65912982301</v>
      </c>
      <c r="Y229" s="815">
        <v>244478.676474056</v>
      </c>
      <c r="Z229" s="815">
        <v>244489.8620732</v>
      </c>
      <c r="AA229" s="815">
        <v>244501.047672343</v>
      </c>
      <c r="AB229" s="815">
        <v>261250.53208535499</v>
      </c>
      <c r="AC229" s="815">
        <v>261261.717684498</v>
      </c>
      <c r="AD229" s="815">
        <v>261272.903283641</v>
      </c>
      <c r="AE229" s="815">
        <v>266814.72104873898</v>
      </c>
      <c r="AF229" s="815">
        <v>267437.701768286</v>
      </c>
      <c r="AG229" s="816">
        <f t="shared" si="7"/>
        <v>243008.07179306453</v>
      </c>
    </row>
    <row r="230" spans="2:33" ht="15.75" thickBot="1">
      <c r="B230" s="818" t="s">
        <v>527</v>
      </c>
      <c r="C230" s="820">
        <v>1939.2417700000001</v>
      </c>
      <c r="D230" s="820">
        <v>1939.2417700000001</v>
      </c>
      <c r="E230" s="820">
        <v>1939.2417700000001</v>
      </c>
      <c r="F230" s="820">
        <v>1926.22254</v>
      </c>
      <c r="G230" s="820">
        <v>1926.75496</v>
      </c>
      <c r="H230" s="820">
        <v>1926.75496</v>
      </c>
      <c r="I230" s="820">
        <v>1778.6458299999999</v>
      </c>
      <c r="J230" s="820">
        <v>1778.6458299999999</v>
      </c>
      <c r="K230" s="820">
        <v>1778.6458299999999</v>
      </c>
      <c r="L230" s="820">
        <v>1778.6458299999999</v>
      </c>
      <c r="M230" s="820">
        <v>1778.6458299999999</v>
      </c>
      <c r="N230" s="820">
        <v>1778.6458299999999</v>
      </c>
      <c r="O230" s="820">
        <v>1778.6458299999999</v>
      </c>
      <c r="P230" s="816">
        <f t="shared" si="6"/>
        <v>1849.8445061538464</v>
      </c>
      <c r="Q230" s="820">
        <v>1778.6458299999999</v>
      </c>
      <c r="R230" s="820">
        <v>1778.6458299999999</v>
      </c>
      <c r="S230" s="820">
        <v>1778.6458299999999</v>
      </c>
      <c r="T230" s="820">
        <v>1778.6458299999999</v>
      </c>
      <c r="U230" s="820">
        <v>1778.6458299999999</v>
      </c>
      <c r="V230" s="820">
        <v>1778.6458299999999</v>
      </c>
      <c r="W230" s="820">
        <v>1778.6458299999999</v>
      </c>
      <c r="X230" s="820">
        <v>1778.6458299999999</v>
      </c>
      <c r="Y230" s="820">
        <v>1778.6458299999999</v>
      </c>
      <c r="Z230" s="820">
        <v>1778.6458299999999</v>
      </c>
      <c r="AA230" s="820">
        <v>1778.6458299999999</v>
      </c>
      <c r="AB230" s="820">
        <v>1778.6458299999999</v>
      </c>
      <c r="AC230" s="820">
        <v>1778.6458299999999</v>
      </c>
      <c r="AD230" s="820">
        <v>1778.6458299999999</v>
      </c>
      <c r="AE230" s="820">
        <v>1778.6458299999999</v>
      </c>
      <c r="AF230" s="820">
        <v>1778.6458299999999</v>
      </c>
      <c r="AG230" s="816">
        <f t="shared" si="7"/>
        <v>1778.6458300000002</v>
      </c>
    </row>
    <row r="231" spans="2:33">
      <c r="B231" s="818" t="s">
        <v>524</v>
      </c>
      <c r="C231" s="815">
        <v>891659.40115000005</v>
      </c>
      <c r="D231" s="815">
        <v>891659.401179999</v>
      </c>
      <c r="E231" s="815">
        <v>891659.401179999</v>
      </c>
      <c r="F231" s="815">
        <v>894862.50850999996</v>
      </c>
      <c r="G231" s="815">
        <v>893535.29798000003</v>
      </c>
      <c r="H231" s="815">
        <v>893535.29798000003</v>
      </c>
      <c r="I231" s="815">
        <v>884201.98588000005</v>
      </c>
      <c r="J231" s="815">
        <v>884213.17147914297</v>
      </c>
      <c r="K231" s="815">
        <v>884224.357078286</v>
      </c>
      <c r="L231" s="815">
        <v>912234.37544477102</v>
      </c>
      <c r="M231" s="815">
        <v>912245.56104391394</v>
      </c>
      <c r="N231" s="815">
        <v>912256.74664305698</v>
      </c>
      <c r="O231" s="815">
        <v>929999.06397400098</v>
      </c>
      <c r="P231" s="816">
        <f t="shared" si="6"/>
        <v>898175.88996332081</v>
      </c>
      <c r="Q231" s="815">
        <v>930010.24957314495</v>
      </c>
      <c r="R231" s="815">
        <v>930021.43517228798</v>
      </c>
      <c r="S231" s="815">
        <v>945416.00331016898</v>
      </c>
      <c r="T231" s="815">
        <v>945707.02498065797</v>
      </c>
      <c r="U231" s="815">
        <v>945718.210579801</v>
      </c>
      <c r="V231" s="815">
        <v>962625.21906005603</v>
      </c>
      <c r="W231" s="815">
        <v>962636.40465919895</v>
      </c>
      <c r="X231" s="815">
        <v>962647.59025834198</v>
      </c>
      <c r="Y231" s="815">
        <v>978758.09626470495</v>
      </c>
      <c r="Z231" s="815">
        <v>978769.28186384798</v>
      </c>
      <c r="AA231" s="815">
        <v>978780.46746299195</v>
      </c>
      <c r="AB231" s="815">
        <v>995481.44053813396</v>
      </c>
      <c r="AC231" s="815">
        <v>995492.62613727699</v>
      </c>
      <c r="AD231" s="815">
        <v>995503.81173642003</v>
      </c>
      <c r="AE231" s="815">
        <v>1000997.11816364</v>
      </c>
      <c r="AF231" s="815">
        <v>1001620.09888319</v>
      </c>
      <c r="AG231" s="816">
        <f t="shared" si="7"/>
        <v>977287.4915837124</v>
      </c>
    </row>
    <row r="232" spans="2:33">
      <c r="C232" s="817"/>
      <c r="D232" s="817"/>
      <c r="E232" s="817"/>
      <c r="F232" s="817"/>
      <c r="G232" s="817"/>
      <c r="H232" s="817"/>
      <c r="I232" s="817"/>
      <c r="J232" s="817"/>
      <c r="K232" s="817"/>
      <c r="L232" s="817"/>
      <c r="M232" s="817"/>
      <c r="N232" s="817"/>
      <c r="O232" s="817"/>
      <c r="P232" s="816">
        <f t="shared" si="6"/>
        <v>0</v>
      </c>
      <c r="Q232" s="817"/>
      <c r="R232" s="817"/>
      <c r="S232" s="817"/>
      <c r="T232" s="817"/>
      <c r="U232" s="817"/>
      <c r="V232" s="817"/>
      <c r="W232" s="817"/>
      <c r="X232" s="817"/>
      <c r="Y232" s="817"/>
      <c r="Z232" s="817"/>
      <c r="AA232" s="817"/>
      <c r="AB232" s="817"/>
      <c r="AC232" s="817"/>
      <c r="AD232" s="817"/>
      <c r="AE232" s="817"/>
      <c r="AF232" s="817"/>
      <c r="AG232" s="816">
        <f t="shared" si="7"/>
        <v>0</v>
      </c>
    </row>
    <row r="233" spans="2:33">
      <c r="B233" s="818" t="s">
        <v>528</v>
      </c>
      <c r="C233" s="817"/>
      <c r="D233" s="817"/>
      <c r="E233" s="817"/>
      <c r="F233" s="817"/>
      <c r="G233" s="817"/>
      <c r="H233" s="817"/>
      <c r="I233" s="817"/>
      <c r="J233" s="817"/>
      <c r="K233" s="817"/>
      <c r="L233" s="817"/>
      <c r="M233" s="817"/>
      <c r="N233" s="817"/>
      <c r="O233" s="817"/>
      <c r="P233" s="816">
        <f t="shared" si="6"/>
        <v>0</v>
      </c>
      <c r="Q233" s="817"/>
      <c r="R233" s="817"/>
      <c r="S233" s="817"/>
      <c r="T233" s="817"/>
      <c r="U233" s="817"/>
      <c r="V233" s="817"/>
      <c r="W233" s="817"/>
      <c r="X233" s="817"/>
      <c r="Y233" s="817"/>
      <c r="Z233" s="817"/>
      <c r="AA233" s="817"/>
      <c r="AB233" s="817"/>
      <c r="AC233" s="817"/>
      <c r="AD233" s="817"/>
      <c r="AE233" s="817"/>
      <c r="AF233" s="817"/>
      <c r="AG233" s="816">
        <f t="shared" si="7"/>
        <v>0</v>
      </c>
    </row>
    <row r="234" spans="2:33">
      <c r="B234" s="818" t="s">
        <v>529</v>
      </c>
      <c r="C234" s="815">
        <v>23314.7765</v>
      </c>
      <c r="D234" s="815">
        <v>23259.663499999999</v>
      </c>
      <c r="E234" s="815">
        <v>23204.550499999899</v>
      </c>
      <c r="F234" s="815">
        <v>23149.4385</v>
      </c>
      <c r="G234" s="815">
        <v>23094.325499999999</v>
      </c>
      <c r="H234" s="815">
        <v>23039.212500000001</v>
      </c>
      <c r="I234" s="815">
        <v>22984.1005</v>
      </c>
      <c r="J234" s="815">
        <v>22890.124608947401</v>
      </c>
      <c r="K234" s="815">
        <v>22796.148717894899</v>
      </c>
      <c r="L234" s="815">
        <v>22702.172826842401</v>
      </c>
      <c r="M234" s="815">
        <v>22608.1969357899</v>
      </c>
      <c r="N234" s="815">
        <v>22514.221044737398</v>
      </c>
      <c r="O234" s="815">
        <v>22420.2451536849</v>
      </c>
      <c r="P234" s="816">
        <f t="shared" si="6"/>
        <v>22921.321291376677</v>
      </c>
      <c r="Q234" s="815">
        <v>22334.235929299</v>
      </c>
      <c r="R234" s="815">
        <v>22248.226704913199</v>
      </c>
      <c r="S234" s="815">
        <v>22162.217480527299</v>
      </c>
      <c r="T234" s="815">
        <v>22076.208256141501</v>
      </c>
      <c r="U234" s="815">
        <v>21990.199031755601</v>
      </c>
      <c r="V234" s="815">
        <v>21904.189807369799</v>
      </c>
      <c r="W234" s="815">
        <v>21818.1805829839</v>
      </c>
      <c r="X234" s="815">
        <v>21732.171358598102</v>
      </c>
      <c r="Y234" s="815">
        <v>21646.162134212202</v>
      </c>
      <c r="Z234" s="815">
        <v>21560.1529098264</v>
      </c>
      <c r="AA234" s="815">
        <v>21474.1436854405</v>
      </c>
      <c r="AB234" s="815">
        <v>21388.134461054698</v>
      </c>
      <c r="AC234" s="815">
        <v>21307.959403335499</v>
      </c>
      <c r="AD234" s="815">
        <v>21227.784345616299</v>
      </c>
      <c r="AE234" s="815">
        <v>21147.609287897099</v>
      </c>
      <c r="AF234" s="815">
        <v>21067.4342301779</v>
      </c>
      <c r="AG234" s="816">
        <f t="shared" si="7"/>
        <v>21564.640730339193</v>
      </c>
    </row>
    <row r="235" spans="2:33" ht="15.75" thickBot="1">
      <c r="B235" s="818" t="s">
        <v>530</v>
      </c>
      <c r="C235" s="820">
        <v>11937.228150000001</v>
      </c>
      <c r="D235" s="820">
        <v>11898.36515</v>
      </c>
      <c r="E235" s="820">
        <v>11859.50215</v>
      </c>
      <c r="F235" s="820">
        <v>11820.639150000001</v>
      </c>
      <c r="G235" s="820">
        <v>11781.77615</v>
      </c>
      <c r="H235" s="820">
        <v>11742.91315</v>
      </c>
      <c r="I235" s="820">
        <v>11704.050149999999</v>
      </c>
      <c r="J235" s="820">
        <v>11704.050149999999</v>
      </c>
      <c r="K235" s="820">
        <v>11704.050149999999</v>
      </c>
      <c r="L235" s="820">
        <v>11704.050149999999</v>
      </c>
      <c r="M235" s="820">
        <v>11704.050149999999</v>
      </c>
      <c r="N235" s="820">
        <v>11704.050149999999</v>
      </c>
      <c r="O235" s="820">
        <v>11704.050149999999</v>
      </c>
      <c r="P235" s="816">
        <f t="shared" si="6"/>
        <v>11766.82884230769</v>
      </c>
      <c r="Q235" s="820">
        <v>11704.050149999999</v>
      </c>
      <c r="R235" s="820">
        <v>11704.050149999999</v>
      </c>
      <c r="S235" s="820">
        <v>11704.050149999999</v>
      </c>
      <c r="T235" s="820">
        <v>11704.050149999999</v>
      </c>
      <c r="U235" s="820">
        <v>11704.050149999999</v>
      </c>
      <c r="V235" s="820">
        <v>11704.050149999999</v>
      </c>
      <c r="W235" s="820">
        <v>11704.050149999999</v>
      </c>
      <c r="X235" s="820">
        <v>11704.050149999999</v>
      </c>
      <c r="Y235" s="820">
        <v>11704.050149999999</v>
      </c>
      <c r="Z235" s="820">
        <v>11704.050149999999</v>
      </c>
      <c r="AA235" s="820">
        <v>11704.050149999999</v>
      </c>
      <c r="AB235" s="820">
        <v>11704.050149999999</v>
      </c>
      <c r="AC235" s="820">
        <v>11704.050149999999</v>
      </c>
      <c r="AD235" s="820">
        <v>11704.050149999999</v>
      </c>
      <c r="AE235" s="820">
        <v>11704.050149999999</v>
      </c>
      <c r="AF235" s="820">
        <v>11704.050149999999</v>
      </c>
      <c r="AG235" s="816">
        <f t="shared" si="7"/>
        <v>11704.050149999997</v>
      </c>
    </row>
    <row r="236" spans="2:33">
      <c r="B236" s="818" t="s">
        <v>528</v>
      </c>
      <c r="C236" s="815">
        <v>35252.004650000003</v>
      </c>
      <c r="D236" s="815">
        <v>35158.02865</v>
      </c>
      <c r="E236" s="815">
        <v>35064.052649999998</v>
      </c>
      <c r="F236" s="815">
        <v>34970.077649999999</v>
      </c>
      <c r="G236" s="815">
        <v>34876.101649999997</v>
      </c>
      <c r="H236" s="815">
        <v>34782.125650000002</v>
      </c>
      <c r="I236" s="815">
        <v>34688.150650000003</v>
      </c>
      <c r="J236" s="815">
        <v>34594.174758947403</v>
      </c>
      <c r="K236" s="815">
        <v>34500.198867894898</v>
      </c>
      <c r="L236" s="815">
        <v>34406.2229768424</v>
      </c>
      <c r="M236" s="815">
        <v>34312.247085789902</v>
      </c>
      <c r="N236" s="815">
        <v>34218.271194737397</v>
      </c>
      <c r="O236" s="815">
        <v>34124.295303684899</v>
      </c>
      <c r="P236" s="816">
        <f t="shared" si="6"/>
        <v>34688.150133684379</v>
      </c>
      <c r="Q236" s="815">
        <v>34038.286079299003</v>
      </c>
      <c r="R236" s="815">
        <v>33952.276854913202</v>
      </c>
      <c r="S236" s="815">
        <v>33866.267630527298</v>
      </c>
      <c r="T236" s="815">
        <v>33780.258406141496</v>
      </c>
      <c r="U236" s="815">
        <v>33694.2491817556</v>
      </c>
      <c r="V236" s="815">
        <v>33608.239957369799</v>
      </c>
      <c r="W236" s="815">
        <v>33522.230732983902</v>
      </c>
      <c r="X236" s="815">
        <v>33436.221508598101</v>
      </c>
      <c r="Y236" s="815">
        <v>33350.212284212197</v>
      </c>
      <c r="Z236" s="815">
        <v>33264.203059826403</v>
      </c>
      <c r="AA236" s="815">
        <v>33178.193835440499</v>
      </c>
      <c r="AB236" s="815">
        <v>33092.184611054698</v>
      </c>
      <c r="AC236" s="815">
        <v>33012.009553335498</v>
      </c>
      <c r="AD236" s="815">
        <v>32931.834495616298</v>
      </c>
      <c r="AE236" s="815">
        <v>32851.659437897099</v>
      </c>
      <c r="AF236" s="815">
        <v>32771.484380177899</v>
      </c>
      <c r="AG236" s="816">
        <f t="shared" si="7"/>
        <v>33268.6908803392</v>
      </c>
    </row>
    <row r="237" spans="2:33">
      <c r="C237" s="817"/>
      <c r="D237" s="817"/>
      <c r="E237" s="817"/>
      <c r="F237" s="817"/>
      <c r="G237" s="817"/>
      <c r="H237" s="817"/>
      <c r="I237" s="817"/>
      <c r="J237" s="817"/>
      <c r="K237" s="817"/>
      <c r="L237" s="817"/>
      <c r="M237" s="817"/>
      <c r="N237" s="817"/>
      <c r="O237" s="817"/>
      <c r="P237" s="816">
        <f t="shared" si="6"/>
        <v>0</v>
      </c>
      <c r="Q237" s="817"/>
      <c r="R237" s="817"/>
      <c r="S237" s="817"/>
      <c r="T237" s="817"/>
      <c r="U237" s="817"/>
      <c r="V237" s="817"/>
      <c r="W237" s="817"/>
      <c r="X237" s="817"/>
      <c r="Y237" s="817"/>
      <c r="Z237" s="817"/>
      <c r="AA237" s="817"/>
      <c r="AB237" s="817"/>
      <c r="AC237" s="817"/>
      <c r="AD237" s="817"/>
      <c r="AE237" s="817"/>
      <c r="AF237" s="817"/>
      <c r="AG237" s="816">
        <f t="shared" si="7"/>
        <v>0</v>
      </c>
    </row>
    <row r="238" spans="2:33">
      <c r="B238" s="818" t="s">
        <v>531</v>
      </c>
      <c r="C238" s="817"/>
      <c r="D238" s="817"/>
      <c r="E238" s="817"/>
      <c r="F238" s="817"/>
      <c r="G238" s="817"/>
      <c r="H238" s="817"/>
      <c r="I238" s="817"/>
      <c r="J238" s="817"/>
      <c r="K238" s="817"/>
      <c r="L238" s="817"/>
      <c r="M238" s="817"/>
      <c r="N238" s="817"/>
      <c r="O238" s="817"/>
      <c r="P238" s="816">
        <f t="shared" si="6"/>
        <v>0</v>
      </c>
      <c r="Q238" s="817"/>
      <c r="R238" s="817"/>
      <c r="S238" s="817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  <c r="AD238" s="817"/>
      <c r="AE238" s="817"/>
      <c r="AF238" s="817"/>
      <c r="AG238" s="816">
        <f t="shared" si="7"/>
        <v>0</v>
      </c>
    </row>
    <row r="239" spans="2:33">
      <c r="B239" s="818" t="s">
        <v>532</v>
      </c>
      <c r="C239" s="815">
        <v>1907.1</v>
      </c>
      <c r="D239" s="815">
        <v>7277.2244599999904</v>
      </c>
      <c r="E239" s="815">
        <v>12045.10046</v>
      </c>
      <c r="F239" s="815">
        <v>18100.776880000001</v>
      </c>
      <c r="G239" s="815">
        <v>17956.003250000002</v>
      </c>
      <c r="H239" s="815">
        <v>17712.9348399999</v>
      </c>
      <c r="I239" s="815">
        <v>17464.430489999999</v>
      </c>
      <c r="J239" s="815">
        <v>15805.4434773713</v>
      </c>
      <c r="K239" s="815">
        <v>14126.651153606501</v>
      </c>
      <c r="L239" s="815">
        <v>12719.8958851478</v>
      </c>
      <c r="M239" s="815">
        <v>11320.493744872399</v>
      </c>
      <c r="N239" s="815">
        <v>9697.0856067422192</v>
      </c>
      <c r="O239" s="815">
        <v>7652.6633241822201</v>
      </c>
      <c r="P239" s="816">
        <f t="shared" si="6"/>
        <v>12598.907967070949</v>
      </c>
      <c r="Q239" s="815">
        <v>5440.0054916873896</v>
      </c>
      <c r="R239" s="815">
        <v>3499.4537251756801</v>
      </c>
      <c r="S239" s="815">
        <v>1776.0770677303001</v>
      </c>
      <c r="T239" s="815">
        <v>395.558293239401</v>
      </c>
      <c r="U239" s="815">
        <v>197.779123239401</v>
      </c>
      <c r="V239" s="815">
        <v>-6.7605985805130297E-6</v>
      </c>
      <c r="W239" s="815">
        <v>-6.7605985805130297E-6</v>
      </c>
      <c r="X239" s="815">
        <v>-6.7605985805130297E-6</v>
      </c>
      <c r="Y239" s="815">
        <v>-6.7605985805130297E-6</v>
      </c>
      <c r="Z239" s="815">
        <v>-6.7605985805130297E-6</v>
      </c>
      <c r="AA239" s="815">
        <v>-6.7605985805130297E-6</v>
      </c>
      <c r="AB239" s="815">
        <v>-6.7605985805130297E-6</v>
      </c>
      <c r="AC239" s="815">
        <v>-6.7605985805130297E-6</v>
      </c>
      <c r="AD239" s="815">
        <v>-6.7605985805130297E-6</v>
      </c>
      <c r="AE239" s="815">
        <v>-6.7605985805130297E-6</v>
      </c>
      <c r="AF239" s="815">
        <v>-6.7605985805130297E-6</v>
      </c>
      <c r="AG239" s="819">
        <f t="shared" si="7"/>
        <v>45.641334008632121</v>
      </c>
    </row>
    <row r="240" spans="2:33">
      <c r="B240" s="818" t="s">
        <v>533</v>
      </c>
      <c r="C240" s="815">
        <v>37832.530460000002</v>
      </c>
      <c r="D240" s="815">
        <v>37736.02564</v>
      </c>
      <c r="E240" s="815">
        <v>37651.304680000001</v>
      </c>
      <c r="F240" s="815">
        <v>37554.799859999999</v>
      </c>
      <c r="G240" s="815">
        <v>37462.2229899999</v>
      </c>
      <c r="H240" s="815">
        <v>37365.718159999997</v>
      </c>
      <c r="I240" s="815">
        <v>37273.141250000001</v>
      </c>
      <c r="J240" s="815">
        <v>37243.765354069699</v>
      </c>
      <c r="K240" s="815">
        <v>37214.389458139398</v>
      </c>
      <c r="L240" s="815">
        <v>37188.9406182069</v>
      </c>
      <c r="M240" s="815">
        <v>37119.8147222767</v>
      </c>
      <c r="N240" s="815">
        <v>37054.615882344202</v>
      </c>
      <c r="O240" s="815">
        <v>36985.489986413901</v>
      </c>
      <c r="P240" s="816">
        <f t="shared" si="6"/>
        <v>37360.212235496212</v>
      </c>
      <c r="Q240" s="815">
        <v>36916.364090483599</v>
      </c>
      <c r="R240" s="815">
        <v>36859.019362546598</v>
      </c>
      <c r="S240" s="815">
        <v>36789.893466616399</v>
      </c>
      <c r="T240" s="815">
        <v>36724.6946266839</v>
      </c>
      <c r="U240" s="815">
        <v>36562.659610753602</v>
      </c>
      <c r="V240" s="815">
        <v>36404.551600821098</v>
      </c>
      <c r="W240" s="815">
        <v>36242.5165848908</v>
      </c>
      <c r="X240" s="815">
        <v>36080.481568960597</v>
      </c>
      <c r="Y240" s="815">
        <v>35922.373609028102</v>
      </c>
      <c r="Z240" s="815">
        <v>35760.338593097797</v>
      </c>
      <c r="AA240" s="815">
        <v>35602.230633165302</v>
      </c>
      <c r="AB240" s="815">
        <v>35440.195617234996</v>
      </c>
      <c r="AC240" s="815">
        <v>35278.1606013048</v>
      </c>
      <c r="AD240" s="815">
        <v>35123.979697369999</v>
      </c>
      <c r="AE240" s="815">
        <v>34961.944681439803</v>
      </c>
      <c r="AF240" s="815">
        <v>34803.836721507301</v>
      </c>
      <c r="AG240" s="816">
        <f t="shared" si="7"/>
        <v>35762.15108817369</v>
      </c>
    </row>
    <row r="241" spans="2:33">
      <c r="B241" s="818" t="s">
        <v>534</v>
      </c>
      <c r="C241" s="815">
        <v>1077.1770899999999</v>
      </c>
      <c r="D241" s="815">
        <v>12841.313179999999</v>
      </c>
      <c r="E241" s="815">
        <v>12615.005870000001</v>
      </c>
      <c r="F241" s="815">
        <v>11058.07041</v>
      </c>
      <c r="G241" s="815">
        <v>10162.78026</v>
      </c>
      <c r="H241" s="815">
        <v>12906.041160000001</v>
      </c>
      <c r="I241" s="815">
        <v>16352.142379999999</v>
      </c>
      <c r="J241" s="815">
        <v>16060.393392022999</v>
      </c>
      <c r="K241" s="815">
        <v>15705.483001906299</v>
      </c>
      <c r="L241" s="815">
        <v>14992.2765594094</v>
      </c>
      <c r="M241" s="815">
        <v>12716.065500381301</v>
      </c>
      <c r="N241" s="815">
        <v>12162.6515188751</v>
      </c>
      <c r="O241" s="815">
        <v>13363.1910811914</v>
      </c>
      <c r="P241" s="816">
        <f t="shared" si="6"/>
        <v>12462.507031060501</v>
      </c>
      <c r="Q241" s="815">
        <v>12862.134372173199</v>
      </c>
      <c r="R241" s="815">
        <v>11126.7248792063</v>
      </c>
      <c r="S241" s="815">
        <v>10869.0239818965</v>
      </c>
      <c r="T241" s="815">
        <v>9065.3994189123096</v>
      </c>
      <c r="U241" s="815">
        <v>5800.5927516743996</v>
      </c>
      <c r="V241" s="815">
        <v>5972.5780090513099</v>
      </c>
      <c r="W241" s="815">
        <v>7823.4220848131299</v>
      </c>
      <c r="X241" s="815">
        <v>8249.4891464561297</v>
      </c>
      <c r="Y241" s="815">
        <v>7327.2840555007397</v>
      </c>
      <c r="Z241" s="815">
        <v>5782.8132441690404</v>
      </c>
      <c r="AA241" s="815">
        <v>5176.0851814172402</v>
      </c>
      <c r="AB241" s="815">
        <v>5621.4173227404899</v>
      </c>
      <c r="AC241" s="815">
        <v>5630.2791602028801</v>
      </c>
      <c r="AD241" s="815">
        <v>4777.5087245137902</v>
      </c>
      <c r="AE241" s="815">
        <v>5118.7171172463304</v>
      </c>
      <c r="AF241" s="815">
        <v>4253.4762552601296</v>
      </c>
      <c r="AG241" s="816">
        <f t="shared" si="7"/>
        <v>6199.9278824583007</v>
      </c>
    </row>
    <row r="242" spans="2:33" ht="15.75" thickBot="1">
      <c r="B242" s="818" t="s">
        <v>535</v>
      </c>
      <c r="C242" s="820">
        <v>559648.54807999998</v>
      </c>
      <c r="D242" s="820">
        <v>559648.54808999901</v>
      </c>
      <c r="E242" s="820">
        <v>559648.54808999901</v>
      </c>
      <c r="F242" s="820">
        <v>556993.45516000001</v>
      </c>
      <c r="G242" s="820">
        <v>556564.07082999998</v>
      </c>
      <c r="H242" s="820">
        <v>556564.07082999998</v>
      </c>
      <c r="I242" s="820">
        <v>553102.38147000002</v>
      </c>
      <c r="J242" s="820">
        <v>553102.38147000002</v>
      </c>
      <c r="K242" s="820">
        <v>553102.38147000002</v>
      </c>
      <c r="L242" s="820">
        <v>566336.95397544396</v>
      </c>
      <c r="M242" s="820">
        <v>566336.95397544396</v>
      </c>
      <c r="N242" s="820">
        <v>566336.95397544396</v>
      </c>
      <c r="O242" s="820">
        <v>563466.81015821896</v>
      </c>
      <c r="P242" s="816">
        <f t="shared" si="6"/>
        <v>559296.31212111912</v>
      </c>
      <c r="Q242" s="820">
        <v>563466.81015821896</v>
      </c>
      <c r="R242" s="820">
        <v>563466.81015821896</v>
      </c>
      <c r="S242" s="820">
        <v>559690.68881067995</v>
      </c>
      <c r="T242" s="820">
        <v>558569.10135037603</v>
      </c>
      <c r="U242" s="820">
        <v>558569.10135037603</v>
      </c>
      <c r="V242" s="820">
        <v>555895.85593749199</v>
      </c>
      <c r="W242" s="820">
        <v>555895.85593749199</v>
      </c>
      <c r="X242" s="820">
        <v>555895.85593749199</v>
      </c>
      <c r="Y242" s="820">
        <v>552091.66663525603</v>
      </c>
      <c r="Z242" s="820">
        <v>552091.66663525603</v>
      </c>
      <c r="AA242" s="820">
        <v>552091.66663525603</v>
      </c>
      <c r="AB242" s="820">
        <v>548287.47733301995</v>
      </c>
      <c r="AC242" s="820">
        <v>548287.47733301995</v>
      </c>
      <c r="AD242" s="820">
        <v>548287.47733301995</v>
      </c>
      <c r="AE242" s="820">
        <v>544254.84399729304</v>
      </c>
      <c r="AF242" s="820">
        <v>543051.53741090605</v>
      </c>
      <c r="AG242" s="816">
        <f t="shared" si="7"/>
        <v>551789.96798663517</v>
      </c>
    </row>
    <row r="243" spans="2:33">
      <c r="B243" s="818" t="s">
        <v>531</v>
      </c>
      <c r="C243" s="815">
        <v>600465.35563000001</v>
      </c>
      <c r="D243" s="815">
        <v>617503.11136999901</v>
      </c>
      <c r="E243" s="815">
        <v>621959.95909999998</v>
      </c>
      <c r="F243" s="815">
        <v>623707.10230999999</v>
      </c>
      <c r="G243" s="815">
        <v>622145.07733</v>
      </c>
      <c r="H243" s="815">
        <v>624548.76499000005</v>
      </c>
      <c r="I243" s="815">
        <v>624192.09559000004</v>
      </c>
      <c r="J243" s="815">
        <v>622211.98369346396</v>
      </c>
      <c r="K243" s="815">
        <v>620148.905083652</v>
      </c>
      <c r="L243" s="815">
        <v>631238.06703820894</v>
      </c>
      <c r="M243" s="815">
        <v>627493.32794297498</v>
      </c>
      <c r="N243" s="815">
        <v>625251.30698340596</v>
      </c>
      <c r="O243" s="815">
        <v>621468.15455000603</v>
      </c>
      <c r="P243" s="816">
        <f t="shared" si="6"/>
        <v>621717.93935474684</v>
      </c>
      <c r="Q243" s="815">
        <v>618685.31411256304</v>
      </c>
      <c r="R243" s="815">
        <v>614952.00812514697</v>
      </c>
      <c r="S243" s="815">
        <v>609125.68332692306</v>
      </c>
      <c r="T243" s="815">
        <v>604754.75368921098</v>
      </c>
      <c r="U243" s="815">
        <v>601130.13283604302</v>
      </c>
      <c r="V243" s="815">
        <v>598272.98554060305</v>
      </c>
      <c r="W243" s="815">
        <v>599961.79460043495</v>
      </c>
      <c r="X243" s="815">
        <v>600225.82664614799</v>
      </c>
      <c r="Y243" s="815">
        <v>595341.32429302402</v>
      </c>
      <c r="Z243" s="815">
        <v>593634.81846576196</v>
      </c>
      <c r="AA243" s="815">
        <v>592869.98244307796</v>
      </c>
      <c r="AB243" s="815">
        <v>589349.09026623506</v>
      </c>
      <c r="AC243" s="815">
        <v>589195.91708776704</v>
      </c>
      <c r="AD243" s="815">
        <v>588188.96574814396</v>
      </c>
      <c r="AE243" s="815">
        <v>584335.505789218</v>
      </c>
      <c r="AF243" s="815">
        <v>582108.85038091301</v>
      </c>
      <c r="AG243" s="816">
        <f t="shared" si="7"/>
        <v>593797.68829127552</v>
      </c>
    </row>
    <row r="244" spans="2:33">
      <c r="C244" s="817"/>
      <c r="D244" s="817"/>
      <c r="E244" s="817"/>
      <c r="F244" s="817"/>
      <c r="G244" s="817"/>
      <c r="H244" s="817"/>
      <c r="I244" s="817"/>
      <c r="J244" s="817"/>
      <c r="K244" s="817"/>
      <c r="L244" s="817"/>
      <c r="M244" s="817"/>
      <c r="N244" s="817"/>
      <c r="O244" s="817"/>
      <c r="P244" s="816">
        <f t="shared" si="6"/>
        <v>0</v>
      </c>
      <c r="Q244" s="817"/>
      <c r="R244" s="817"/>
      <c r="S244" s="817"/>
      <c r="T244" s="817"/>
      <c r="U244" s="817"/>
      <c r="V244" s="817"/>
      <c r="W244" s="817"/>
      <c r="X244" s="817"/>
      <c r="Y244" s="817"/>
      <c r="Z244" s="817"/>
      <c r="AA244" s="817"/>
      <c r="AB244" s="817"/>
      <c r="AC244" s="817"/>
      <c r="AD244" s="817"/>
      <c r="AE244" s="817"/>
      <c r="AF244" s="817"/>
      <c r="AG244" s="816">
        <f t="shared" si="7"/>
        <v>0</v>
      </c>
    </row>
    <row r="245" spans="2:33">
      <c r="B245" s="818" t="s">
        <v>536</v>
      </c>
      <c r="C245" s="817"/>
      <c r="D245" s="817"/>
      <c r="E245" s="817"/>
      <c r="F245" s="817"/>
      <c r="G245" s="817"/>
      <c r="H245" s="817"/>
      <c r="I245" s="817"/>
      <c r="J245" s="817"/>
      <c r="K245" s="817"/>
      <c r="L245" s="817"/>
      <c r="M245" s="817"/>
      <c r="N245" s="817"/>
      <c r="O245" s="817"/>
      <c r="P245" s="816">
        <f t="shared" si="6"/>
        <v>0</v>
      </c>
      <c r="Q245" s="817"/>
      <c r="R245" s="817"/>
      <c r="S245" s="817"/>
      <c r="T245" s="817"/>
      <c r="U245" s="817"/>
      <c r="V245" s="817"/>
      <c r="W245" s="817"/>
      <c r="X245" s="817"/>
      <c r="Y245" s="817"/>
      <c r="Z245" s="817"/>
      <c r="AA245" s="817"/>
      <c r="AB245" s="817"/>
      <c r="AC245" s="817"/>
      <c r="AD245" s="817"/>
      <c r="AE245" s="817"/>
      <c r="AF245" s="817"/>
      <c r="AG245" s="816">
        <f t="shared" si="7"/>
        <v>0</v>
      </c>
    </row>
    <row r="246" spans="2:33">
      <c r="B246" s="818" t="s">
        <v>537</v>
      </c>
      <c r="C246" s="815">
        <v>5234.5339899999999</v>
      </c>
      <c r="D246" s="815">
        <v>5781.85376</v>
      </c>
      <c r="E246" s="815">
        <v>5839.1600799999997</v>
      </c>
      <c r="F246" s="815">
        <v>5420.8076499999997</v>
      </c>
      <c r="G246" s="815">
        <v>5941.3627399999996</v>
      </c>
      <c r="H246" s="815">
        <v>6022.6024900000002</v>
      </c>
      <c r="I246" s="815">
        <v>5544.5416400000004</v>
      </c>
      <c r="J246" s="815">
        <v>5544.5416400000004</v>
      </c>
      <c r="K246" s="815">
        <v>5544.5416400000004</v>
      </c>
      <c r="L246" s="815">
        <v>5544.5416400000004</v>
      </c>
      <c r="M246" s="815">
        <v>5544.5416400000004</v>
      </c>
      <c r="N246" s="815">
        <v>5544.5416400000004</v>
      </c>
      <c r="O246" s="815">
        <v>5544.5416400000004</v>
      </c>
      <c r="P246" s="816">
        <f t="shared" si="6"/>
        <v>5619.3932453846164</v>
      </c>
      <c r="Q246" s="815">
        <v>5544.5416400000004</v>
      </c>
      <c r="R246" s="815">
        <v>5544.5416400000004</v>
      </c>
      <c r="S246" s="815">
        <v>5544.5416400000004</v>
      </c>
      <c r="T246" s="815">
        <v>5544.5416400000004</v>
      </c>
      <c r="U246" s="815">
        <v>5544.5416400000004</v>
      </c>
      <c r="V246" s="815">
        <v>5544.5416400000004</v>
      </c>
      <c r="W246" s="815">
        <v>5544.5416400000004</v>
      </c>
      <c r="X246" s="815">
        <v>5544.5416400000004</v>
      </c>
      <c r="Y246" s="815">
        <v>5544.5416400000004</v>
      </c>
      <c r="Z246" s="815">
        <v>5544.5416400000004</v>
      </c>
      <c r="AA246" s="815">
        <v>5544.5416400000004</v>
      </c>
      <c r="AB246" s="815">
        <v>5544.5416400000004</v>
      </c>
      <c r="AC246" s="815">
        <v>5544.5416400000004</v>
      </c>
      <c r="AD246" s="815">
        <v>5544.5416400000004</v>
      </c>
      <c r="AE246" s="815">
        <v>5544.5416400000004</v>
      </c>
      <c r="AF246" s="815">
        <v>5544.5416400000004</v>
      </c>
      <c r="AG246" s="816">
        <f t="shared" si="7"/>
        <v>5544.5416400000013</v>
      </c>
    </row>
    <row r="247" spans="2:33" ht="15.75" thickBot="1">
      <c r="B247" s="818" t="s">
        <v>538</v>
      </c>
      <c r="C247" s="820">
        <v>12039.6384</v>
      </c>
      <c r="D247" s="820">
        <v>10857.234839999999</v>
      </c>
      <c r="E247" s="820">
        <v>10234.65244</v>
      </c>
      <c r="F247" s="820">
        <v>10159.93778</v>
      </c>
      <c r="G247" s="820">
        <v>8909.2080399999995</v>
      </c>
      <c r="H247" s="820">
        <v>8202.8112500000007</v>
      </c>
      <c r="I247" s="820">
        <v>8584.8231799999994</v>
      </c>
      <c r="J247" s="820">
        <v>8584.8231799999994</v>
      </c>
      <c r="K247" s="820">
        <v>8584.8231799999994</v>
      </c>
      <c r="L247" s="820">
        <v>8584.8231799999994</v>
      </c>
      <c r="M247" s="820">
        <v>8584.8231799999994</v>
      </c>
      <c r="N247" s="820">
        <v>8584.8231799999994</v>
      </c>
      <c r="O247" s="820">
        <v>8584.8231799999994</v>
      </c>
      <c r="P247" s="816">
        <f t="shared" si="6"/>
        <v>9269.0188469230798</v>
      </c>
      <c r="Q247" s="820">
        <v>8584.8231799999994</v>
      </c>
      <c r="R247" s="820">
        <v>8584.8231799999994</v>
      </c>
      <c r="S247" s="820">
        <v>8584.8231799999994</v>
      </c>
      <c r="T247" s="820">
        <v>8584.8231799999994</v>
      </c>
      <c r="U247" s="820">
        <v>8584.8231799999994</v>
      </c>
      <c r="V247" s="820">
        <v>8584.8231799999994</v>
      </c>
      <c r="W247" s="820">
        <v>8584.8231799999994</v>
      </c>
      <c r="X247" s="820">
        <v>8584.8231799999994</v>
      </c>
      <c r="Y247" s="820">
        <v>8584.8231799999994</v>
      </c>
      <c r="Z247" s="820">
        <v>8584.8231799999994</v>
      </c>
      <c r="AA247" s="820">
        <v>8584.8231799999994</v>
      </c>
      <c r="AB247" s="820">
        <v>8584.8231799999994</v>
      </c>
      <c r="AC247" s="820">
        <v>8584.8231799999994</v>
      </c>
      <c r="AD247" s="820">
        <v>8584.8231799999994</v>
      </c>
      <c r="AE247" s="820">
        <v>8584.8231799999994</v>
      </c>
      <c r="AF247" s="820">
        <v>8584.8231799999994</v>
      </c>
      <c r="AG247" s="816">
        <f t="shared" si="7"/>
        <v>8584.823180000003</v>
      </c>
    </row>
    <row r="248" spans="2:33">
      <c r="B248" s="818" t="s">
        <v>536</v>
      </c>
      <c r="C248" s="815">
        <v>17274.17239</v>
      </c>
      <c r="D248" s="815">
        <v>16639.088599999999</v>
      </c>
      <c r="E248" s="815">
        <v>16073.812519999999</v>
      </c>
      <c r="F248" s="815">
        <v>15580.745430000001</v>
      </c>
      <c r="G248" s="815">
        <v>14850.5707799999</v>
      </c>
      <c r="H248" s="815">
        <v>14225.41374</v>
      </c>
      <c r="I248" s="815">
        <v>14129.364819999901</v>
      </c>
      <c r="J248" s="815">
        <v>14129.364819999901</v>
      </c>
      <c r="K248" s="815">
        <v>14129.364819999901</v>
      </c>
      <c r="L248" s="815">
        <v>14129.364819999901</v>
      </c>
      <c r="M248" s="815">
        <v>14129.364819999901</v>
      </c>
      <c r="N248" s="815">
        <v>14129.364819999901</v>
      </c>
      <c r="O248" s="815">
        <v>14129.364819999901</v>
      </c>
      <c r="P248" s="816">
        <f t="shared" si="6"/>
        <v>14888.412092307632</v>
      </c>
      <c r="Q248" s="815">
        <v>14129.364819999901</v>
      </c>
      <c r="R248" s="815">
        <v>14129.364819999901</v>
      </c>
      <c r="S248" s="815">
        <v>14129.364819999901</v>
      </c>
      <c r="T248" s="815">
        <v>14129.364819999901</v>
      </c>
      <c r="U248" s="815">
        <v>14129.364819999901</v>
      </c>
      <c r="V248" s="815">
        <v>14129.364819999901</v>
      </c>
      <c r="W248" s="815">
        <v>14129.364819999901</v>
      </c>
      <c r="X248" s="815">
        <v>14129.364819999901</v>
      </c>
      <c r="Y248" s="815">
        <v>14129.364819999901</v>
      </c>
      <c r="Z248" s="815">
        <v>14129.364819999901</v>
      </c>
      <c r="AA248" s="815">
        <v>14129.364819999901</v>
      </c>
      <c r="AB248" s="815">
        <v>14129.364819999901</v>
      </c>
      <c r="AC248" s="815">
        <v>14129.364819999901</v>
      </c>
      <c r="AD248" s="815">
        <v>14129.364819999901</v>
      </c>
      <c r="AE248" s="815">
        <v>14129.364819999901</v>
      </c>
      <c r="AF248" s="815">
        <v>14129.364819999901</v>
      </c>
      <c r="AG248" s="816">
        <f t="shared" si="7"/>
        <v>14129.364819999901</v>
      </c>
    </row>
    <row r="249" spans="2:33">
      <c r="B249" s="818" t="s">
        <v>539</v>
      </c>
      <c r="C249" s="817"/>
      <c r="D249" s="817"/>
      <c r="E249" s="817"/>
      <c r="F249" s="817"/>
      <c r="G249" s="817"/>
      <c r="H249" s="817"/>
      <c r="I249" s="817"/>
      <c r="J249" s="817"/>
      <c r="K249" s="817"/>
      <c r="L249" s="817"/>
      <c r="M249" s="817"/>
      <c r="N249" s="817"/>
      <c r="O249" s="817"/>
      <c r="P249" s="816">
        <f t="shared" si="6"/>
        <v>0</v>
      </c>
      <c r="Q249" s="817"/>
      <c r="R249" s="817"/>
      <c r="S249" s="817"/>
      <c r="T249" s="817"/>
      <c r="U249" s="817"/>
      <c r="V249" s="817"/>
      <c r="W249" s="817"/>
      <c r="X249" s="817"/>
      <c r="Y249" s="817"/>
      <c r="Z249" s="817"/>
      <c r="AA249" s="817"/>
      <c r="AB249" s="817"/>
      <c r="AC249" s="817"/>
      <c r="AD249" s="817"/>
      <c r="AE249" s="817"/>
      <c r="AF249" s="817"/>
      <c r="AG249" s="816">
        <f t="shared" si="7"/>
        <v>0</v>
      </c>
    </row>
    <row r="250" spans="2:33">
      <c r="B250" s="818" t="s">
        <v>540</v>
      </c>
      <c r="C250" s="817"/>
      <c r="D250" s="817"/>
      <c r="E250" s="817"/>
      <c r="F250" s="817"/>
      <c r="G250" s="817"/>
      <c r="H250" s="817"/>
      <c r="I250" s="817"/>
      <c r="J250" s="817"/>
      <c r="K250" s="817"/>
      <c r="L250" s="817"/>
      <c r="M250" s="817"/>
      <c r="N250" s="817"/>
      <c r="O250" s="817"/>
      <c r="P250" s="816">
        <f t="shared" si="6"/>
        <v>0</v>
      </c>
      <c r="Q250" s="817"/>
      <c r="R250" s="817"/>
      <c r="S250" s="817"/>
      <c r="T250" s="817"/>
      <c r="U250" s="817"/>
      <c r="V250" s="817"/>
      <c r="W250" s="817"/>
      <c r="X250" s="817"/>
      <c r="Y250" s="817"/>
      <c r="Z250" s="817"/>
      <c r="AA250" s="817"/>
      <c r="AB250" s="817"/>
      <c r="AC250" s="817"/>
      <c r="AD250" s="817"/>
      <c r="AE250" s="817"/>
      <c r="AF250" s="817"/>
      <c r="AG250" s="816">
        <f t="shared" si="7"/>
        <v>0</v>
      </c>
    </row>
    <row r="251" spans="2:33">
      <c r="B251" s="818" t="s">
        <v>541</v>
      </c>
      <c r="C251" s="815">
        <v>105917.52310000001</v>
      </c>
      <c r="D251" s="815">
        <v>105980.86010999999</v>
      </c>
      <c r="E251" s="815">
        <v>105857.9194</v>
      </c>
      <c r="F251" s="815">
        <v>104674.05567</v>
      </c>
      <c r="G251" s="815">
        <v>104330.334779999</v>
      </c>
      <c r="H251" s="815">
        <v>104076.14874999999</v>
      </c>
      <c r="I251" s="815">
        <v>110202.44948</v>
      </c>
      <c r="J251" s="815">
        <v>110289.25447</v>
      </c>
      <c r="K251" s="815">
        <v>110218.13223</v>
      </c>
      <c r="L251" s="815">
        <v>109666.87075</v>
      </c>
      <c r="M251" s="815">
        <v>109053.41787</v>
      </c>
      <c r="N251" s="815">
        <v>108468.90768</v>
      </c>
      <c r="O251" s="815">
        <v>107126.91206</v>
      </c>
      <c r="P251" s="816">
        <f t="shared" si="6"/>
        <v>107374.06048846146</v>
      </c>
      <c r="Q251" s="815">
        <v>106936.71724</v>
      </c>
      <c r="R251" s="815">
        <v>106467.37023</v>
      </c>
      <c r="S251" s="815">
        <v>105768.32852</v>
      </c>
      <c r="T251" s="815">
        <v>104516.06947</v>
      </c>
      <c r="U251" s="815">
        <v>103276.12191</v>
      </c>
      <c r="V251" s="815">
        <v>101479.05016</v>
      </c>
      <c r="W251" s="815">
        <v>100051.86175</v>
      </c>
      <c r="X251" s="815">
        <v>97536.564209999997</v>
      </c>
      <c r="Y251" s="815">
        <v>95356.437049999993</v>
      </c>
      <c r="Z251" s="815">
        <v>93946.123940000005</v>
      </c>
      <c r="AA251" s="815">
        <v>93659.174459999995</v>
      </c>
      <c r="AB251" s="815">
        <v>93368.664290000001</v>
      </c>
      <c r="AC251" s="815">
        <v>93103.029630000005</v>
      </c>
      <c r="AD251" s="815">
        <v>92838.744940000004</v>
      </c>
      <c r="AE251" s="815">
        <v>92376.716239999994</v>
      </c>
      <c r="AF251" s="815">
        <v>91341.488469999997</v>
      </c>
      <c r="AG251" s="816">
        <f t="shared" si="7"/>
        <v>96373.080501538454</v>
      </c>
    </row>
    <row r="252" spans="2:33" ht="15.75" thickBot="1">
      <c r="B252" s="818" t="s">
        <v>542</v>
      </c>
      <c r="C252" s="820">
        <v>24352.915789999999</v>
      </c>
      <c r="D252" s="820">
        <v>24352.915789999999</v>
      </c>
      <c r="E252" s="820">
        <v>24352.915789999999</v>
      </c>
      <c r="F252" s="820">
        <v>19676.723109999999</v>
      </c>
      <c r="G252" s="820">
        <v>19676.723109999999</v>
      </c>
      <c r="H252" s="820">
        <v>19676.723109999999</v>
      </c>
      <c r="I252" s="820">
        <v>16597.206340000001</v>
      </c>
      <c r="J252" s="820">
        <v>16597.206340000001</v>
      </c>
      <c r="K252" s="820">
        <v>16597.206340000001</v>
      </c>
      <c r="L252" s="820">
        <v>16597.206340000001</v>
      </c>
      <c r="M252" s="820">
        <v>16597.206340000001</v>
      </c>
      <c r="N252" s="820">
        <v>16597.206340000001</v>
      </c>
      <c r="O252" s="820">
        <v>16597.206340000001</v>
      </c>
      <c r="P252" s="816">
        <f t="shared" si="6"/>
        <v>19097.64316</v>
      </c>
      <c r="Q252" s="820">
        <v>16597.206340000001</v>
      </c>
      <c r="R252" s="820">
        <v>16597.206340000001</v>
      </c>
      <c r="S252" s="820">
        <v>16597.206340000001</v>
      </c>
      <c r="T252" s="820">
        <v>16597.206340000001</v>
      </c>
      <c r="U252" s="820">
        <v>16597.206340000001</v>
      </c>
      <c r="V252" s="820">
        <v>16597.206340000001</v>
      </c>
      <c r="W252" s="820">
        <v>16597.206340000001</v>
      </c>
      <c r="X252" s="820">
        <v>16597.206340000001</v>
      </c>
      <c r="Y252" s="820">
        <v>16597.206340000001</v>
      </c>
      <c r="Z252" s="820">
        <v>16597.206340000001</v>
      </c>
      <c r="AA252" s="820">
        <v>16597.206340000001</v>
      </c>
      <c r="AB252" s="820">
        <v>16597.206340000001</v>
      </c>
      <c r="AC252" s="820">
        <v>16597.206340000001</v>
      </c>
      <c r="AD252" s="820">
        <v>16597.206340000001</v>
      </c>
      <c r="AE252" s="820">
        <v>16597.206340000001</v>
      </c>
      <c r="AF252" s="820">
        <v>16597.206340000001</v>
      </c>
      <c r="AG252" s="816">
        <f t="shared" si="7"/>
        <v>16597.206340000001</v>
      </c>
    </row>
    <row r="253" spans="2:33">
      <c r="B253" s="818" t="s">
        <v>540</v>
      </c>
      <c r="C253" s="815">
        <v>130270.43889</v>
      </c>
      <c r="D253" s="815">
        <v>130333.77589999999</v>
      </c>
      <c r="E253" s="815">
        <v>130210.83519</v>
      </c>
      <c r="F253" s="815">
        <v>124350.77877999999</v>
      </c>
      <c r="G253" s="815">
        <v>124007.05789</v>
      </c>
      <c r="H253" s="815">
        <v>123752.87186</v>
      </c>
      <c r="I253" s="815">
        <v>126799.65582</v>
      </c>
      <c r="J253" s="815">
        <v>126886.46081</v>
      </c>
      <c r="K253" s="815">
        <v>126815.33857000001</v>
      </c>
      <c r="L253" s="815">
        <v>126264.07709000001</v>
      </c>
      <c r="M253" s="815">
        <v>125650.62420999999</v>
      </c>
      <c r="N253" s="815">
        <v>125066.11401999999</v>
      </c>
      <c r="O253" s="815">
        <v>123724.11840000001</v>
      </c>
      <c r="P253" s="816">
        <f t="shared" si="6"/>
        <v>126471.70364846152</v>
      </c>
      <c r="Q253" s="815">
        <v>123533.92358</v>
      </c>
      <c r="R253" s="815">
        <v>123064.57657</v>
      </c>
      <c r="S253" s="815">
        <v>122365.53486</v>
      </c>
      <c r="T253" s="815">
        <v>121113.27581000001</v>
      </c>
      <c r="U253" s="815">
        <v>119873.32825000001</v>
      </c>
      <c r="V253" s="815">
        <v>118076.2565</v>
      </c>
      <c r="W253" s="815">
        <v>116649.06809</v>
      </c>
      <c r="X253" s="815">
        <v>114133.77055</v>
      </c>
      <c r="Y253" s="815">
        <v>111953.64339</v>
      </c>
      <c r="Z253" s="815">
        <v>110543.33027999999</v>
      </c>
      <c r="AA253" s="815">
        <v>110256.3808</v>
      </c>
      <c r="AB253" s="815">
        <v>109965.87063</v>
      </c>
      <c r="AC253" s="815">
        <v>109700.23596999999</v>
      </c>
      <c r="AD253" s="815">
        <v>109435.95127999999</v>
      </c>
      <c r="AE253" s="815">
        <v>108973.92258</v>
      </c>
      <c r="AF253" s="815">
        <v>107938.69481</v>
      </c>
      <c r="AG253" s="816">
        <f t="shared" si="7"/>
        <v>112970.28684153847</v>
      </c>
    </row>
    <row r="254" spans="2:33">
      <c r="C254" s="817"/>
      <c r="D254" s="817"/>
      <c r="E254" s="817"/>
      <c r="F254" s="817"/>
      <c r="G254" s="817"/>
      <c r="H254" s="817"/>
      <c r="I254" s="817"/>
      <c r="J254" s="817"/>
      <c r="K254" s="817"/>
      <c r="L254" s="817"/>
      <c r="M254" s="817"/>
      <c r="N254" s="817"/>
      <c r="O254" s="817"/>
      <c r="P254" s="816">
        <f t="shared" si="6"/>
        <v>0</v>
      </c>
      <c r="Q254" s="817"/>
      <c r="R254" s="817"/>
      <c r="S254" s="817"/>
      <c r="T254" s="817"/>
      <c r="U254" s="817"/>
      <c r="V254" s="817"/>
      <c r="W254" s="817"/>
      <c r="X254" s="817"/>
      <c r="Y254" s="817"/>
      <c r="Z254" s="817"/>
      <c r="AA254" s="817"/>
      <c r="AB254" s="817"/>
      <c r="AC254" s="817"/>
      <c r="AD254" s="817"/>
      <c r="AE254" s="817"/>
      <c r="AF254" s="817"/>
      <c r="AG254" s="816">
        <f t="shared" si="7"/>
        <v>0</v>
      </c>
    </row>
    <row r="255" spans="2:33">
      <c r="B255" s="818" t="s">
        <v>543</v>
      </c>
      <c r="C255" s="817"/>
      <c r="D255" s="817"/>
      <c r="E255" s="817"/>
      <c r="F255" s="817"/>
      <c r="G255" s="817"/>
      <c r="H255" s="817"/>
      <c r="I255" s="817"/>
      <c r="J255" s="817"/>
      <c r="K255" s="817"/>
      <c r="L255" s="817"/>
      <c r="M255" s="817"/>
      <c r="N255" s="817"/>
      <c r="O255" s="817"/>
      <c r="P255" s="816">
        <f t="shared" si="6"/>
        <v>0</v>
      </c>
      <c r="Q255" s="817"/>
      <c r="R255" s="817"/>
      <c r="S255" s="817"/>
      <c r="T255" s="817"/>
      <c r="U255" s="817"/>
      <c r="V255" s="817"/>
      <c r="W255" s="817"/>
      <c r="X255" s="817"/>
      <c r="Y255" s="817"/>
      <c r="Z255" s="817"/>
      <c r="AA255" s="817"/>
      <c r="AB255" s="817"/>
      <c r="AC255" s="817"/>
      <c r="AD255" s="817"/>
      <c r="AE255" s="817"/>
      <c r="AF255" s="817"/>
      <c r="AG255" s="816">
        <f t="shared" si="7"/>
        <v>0</v>
      </c>
    </row>
    <row r="256" spans="2:33">
      <c r="B256" s="818" t="s">
        <v>544</v>
      </c>
      <c r="C256" s="815">
        <v>7.3008699999999997</v>
      </c>
      <c r="D256" s="815">
        <v>4387.3239899999999</v>
      </c>
      <c r="E256" s="815">
        <v>6328.1952300000003</v>
      </c>
      <c r="F256" s="815">
        <v>1099.47072</v>
      </c>
      <c r="G256" s="815">
        <v>510.73230000000001</v>
      </c>
      <c r="H256" s="815">
        <v>1476.5269499999999</v>
      </c>
      <c r="I256" s="815">
        <v>31.681450000000002</v>
      </c>
      <c r="J256" s="815">
        <v>31.681450000000002</v>
      </c>
      <c r="K256" s="815">
        <v>31.681450000000002</v>
      </c>
      <c r="L256" s="815">
        <v>31.681450000000002</v>
      </c>
      <c r="M256" s="815">
        <v>31.681450000000002</v>
      </c>
      <c r="N256" s="815">
        <v>31.681450000000002</v>
      </c>
      <c r="O256" s="815">
        <v>31.681450000000002</v>
      </c>
      <c r="P256" s="816">
        <f t="shared" si="6"/>
        <v>1079.3323238461539</v>
      </c>
      <c r="Q256" s="815">
        <v>31.681450000000002</v>
      </c>
      <c r="R256" s="815">
        <v>31.681450000000002</v>
      </c>
      <c r="S256" s="815">
        <v>31.681450000000002</v>
      </c>
      <c r="T256" s="815">
        <v>31.681450000000002</v>
      </c>
      <c r="U256" s="815">
        <v>31.681450000000002</v>
      </c>
      <c r="V256" s="815">
        <v>31.681450000000002</v>
      </c>
      <c r="W256" s="815">
        <v>31.681450000000002</v>
      </c>
      <c r="X256" s="815">
        <v>31.681450000000002</v>
      </c>
      <c r="Y256" s="815">
        <v>31.681450000000002</v>
      </c>
      <c r="Z256" s="815">
        <v>31.681450000000002</v>
      </c>
      <c r="AA256" s="815">
        <v>31.681450000000002</v>
      </c>
      <c r="AB256" s="815">
        <v>31.681450000000002</v>
      </c>
      <c r="AC256" s="815">
        <v>31.681450000000002</v>
      </c>
      <c r="AD256" s="815">
        <v>31.681450000000002</v>
      </c>
      <c r="AE256" s="815">
        <v>31.681450000000002</v>
      </c>
      <c r="AF256" s="815">
        <v>31.681450000000002</v>
      </c>
      <c r="AG256" s="816">
        <f t="shared" si="7"/>
        <v>31.681449999999998</v>
      </c>
    </row>
    <row r="257" spans="1:33">
      <c r="B257" s="818" t="s">
        <v>545</v>
      </c>
      <c r="C257" s="815">
        <v>2089.75756</v>
      </c>
      <c r="D257" s="815">
        <v>2084.7274499999999</v>
      </c>
      <c r="E257" s="815">
        <v>2079.5679700000001</v>
      </c>
      <c r="F257" s="815">
        <v>1782.7422200000001</v>
      </c>
      <c r="G257" s="815">
        <v>2048.01748</v>
      </c>
      <c r="H257" s="815">
        <v>2042.9627599999999</v>
      </c>
      <c r="I257" s="815">
        <v>2037.86762</v>
      </c>
      <c r="J257" s="815">
        <v>2037.86762</v>
      </c>
      <c r="K257" s="815">
        <v>2037.86762</v>
      </c>
      <c r="L257" s="815">
        <v>2037.86762</v>
      </c>
      <c r="M257" s="815">
        <v>2037.86762</v>
      </c>
      <c r="N257" s="815">
        <v>2037.86762</v>
      </c>
      <c r="O257" s="815">
        <v>2037.86762</v>
      </c>
      <c r="P257" s="816">
        <f t="shared" si="6"/>
        <v>2030.2191369230775</v>
      </c>
      <c r="Q257" s="815">
        <v>2037.86762</v>
      </c>
      <c r="R257" s="815">
        <v>2037.86762</v>
      </c>
      <c r="S257" s="815">
        <v>2037.86762</v>
      </c>
      <c r="T257" s="815">
        <v>2037.86762</v>
      </c>
      <c r="U257" s="815">
        <v>2037.86762</v>
      </c>
      <c r="V257" s="815">
        <v>2037.86762</v>
      </c>
      <c r="W257" s="815">
        <v>2037.86762</v>
      </c>
      <c r="X257" s="815">
        <v>2037.86762</v>
      </c>
      <c r="Y257" s="815">
        <v>2037.86762</v>
      </c>
      <c r="Z257" s="815">
        <v>2037.86762</v>
      </c>
      <c r="AA257" s="815">
        <v>2037.86762</v>
      </c>
      <c r="AB257" s="815">
        <v>2037.86762</v>
      </c>
      <c r="AC257" s="815">
        <v>2037.86762</v>
      </c>
      <c r="AD257" s="815">
        <v>2037.86762</v>
      </c>
      <c r="AE257" s="815">
        <v>2037.86762</v>
      </c>
      <c r="AF257" s="815">
        <v>2037.86762</v>
      </c>
      <c r="AG257" s="816">
        <f t="shared" si="7"/>
        <v>2037.8676200000007</v>
      </c>
    </row>
    <row r="258" spans="1:33">
      <c r="B258" s="818" t="s">
        <v>546</v>
      </c>
      <c r="C258" s="815">
        <v>0</v>
      </c>
      <c r="D258" s="815">
        <v>0</v>
      </c>
      <c r="E258" s="815">
        <v>0</v>
      </c>
      <c r="F258" s="815">
        <v>0</v>
      </c>
      <c r="G258" s="815">
        <v>0</v>
      </c>
      <c r="H258" s="815">
        <v>0</v>
      </c>
      <c r="I258" s="815">
        <v>0</v>
      </c>
      <c r="J258" s="815">
        <v>0</v>
      </c>
      <c r="K258" s="815">
        <v>0</v>
      </c>
      <c r="L258" s="815">
        <v>0</v>
      </c>
      <c r="M258" s="815">
        <v>0</v>
      </c>
      <c r="N258" s="815">
        <v>0</v>
      </c>
      <c r="O258" s="815">
        <v>0</v>
      </c>
      <c r="P258" s="816">
        <f t="shared" si="6"/>
        <v>0</v>
      </c>
      <c r="Q258" s="815">
        <v>0</v>
      </c>
      <c r="R258" s="815">
        <v>0</v>
      </c>
      <c r="S258" s="815">
        <v>0</v>
      </c>
      <c r="T258" s="815">
        <v>0</v>
      </c>
      <c r="U258" s="815">
        <v>0</v>
      </c>
      <c r="V258" s="815">
        <v>0</v>
      </c>
      <c r="W258" s="815">
        <v>0</v>
      </c>
      <c r="X258" s="815">
        <v>0</v>
      </c>
      <c r="Y258" s="815">
        <v>0</v>
      </c>
      <c r="Z258" s="815">
        <v>0</v>
      </c>
      <c r="AA258" s="815">
        <v>0</v>
      </c>
      <c r="AB258" s="815">
        <v>0</v>
      </c>
      <c r="AC258" s="815">
        <v>0</v>
      </c>
      <c r="AD258" s="815">
        <v>0</v>
      </c>
      <c r="AE258" s="815">
        <v>0</v>
      </c>
      <c r="AF258" s="815">
        <v>0</v>
      </c>
      <c r="AG258" s="816">
        <f t="shared" si="7"/>
        <v>0</v>
      </c>
    </row>
    <row r="259" spans="1:33" ht="15.75" thickBot="1">
      <c r="B259" s="818" t="s">
        <v>1925</v>
      </c>
      <c r="C259" s="820">
        <v>0</v>
      </c>
      <c r="D259" s="820">
        <v>0</v>
      </c>
      <c r="E259" s="820">
        <v>0</v>
      </c>
      <c r="F259" s="820">
        <v>0</v>
      </c>
      <c r="G259" s="820">
        <v>0</v>
      </c>
      <c r="H259" s="820">
        <v>0</v>
      </c>
      <c r="I259" s="820">
        <v>15492.022999999999</v>
      </c>
      <c r="J259" s="820">
        <v>15492.022999999999</v>
      </c>
      <c r="K259" s="820">
        <v>15492.022999999999</v>
      </c>
      <c r="L259" s="820">
        <v>1.81898940354585E-12</v>
      </c>
      <c r="M259" s="820">
        <v>1.81898940354585E-12</v>
      </c>
      <c r="N259" s="820">
        <v>1.81898940354585E-12</v>
      </c>
      <c r="O259" s="820">
        <v>1.81898940354585E-12</v>
      </c>
      <c r="P259" s="816">
        <f t="shared" si="6"/>
        <v>3575.0822307692306</v>
      </c>
      <c r="Q259" s="820">
        <v>1.81898940354585E-12</v>
      </c>
      <c r="R259" s="820">
        <v>1.81898940354585E-12</v>
      </c>
      <c r="S259" s="820">
        <v>1.81898940354585E-12</v>
      </c>
      <c r="T259" s="820">
        <v>1.81898940354585E-12</v>
      </c>
      <c r="U259" s="820">
        <v>1.81898940354585E-12</v>
      </c>
      <c r="V259" s="820">
        <v>1.81898940354585E-12</v>
      </c>
      <c r="W259" s="820">
        <v>1.81898940354585E-12</v>
      </c>
      <c r="X259" s="820">
        <v>1.81898940354585E-12</v>
      </c>
      <c r="Y259" s="820">
        <v>1.81898940354585E-12</v>
      </c>
      <c r="Z259" s="820">
        <v>1.81898940354585E-12</v>
      </c>
      <c r="AA259" s="820">
        <v>1.81898940354585E-12</v>
      </c>
      <c r="AB259" s="820">
        <v>1.81898940354585E-12</v>
      </c>
      <c r="AC259" s="820">
        <v>1.81898940354585E-12</v>
      </c>
      <c r="AD259" s="820">
        <v>1.81898940354585E-12</v>
      </c>
      <c r="AE259" s="820">
        <v>1.81898940354585E-12</v>
      </c>
      <c r="AF259" s="820">
        <v>1.81898940354585E-12</v>
      </c>
      <c r="AG259" s="816">
        <f t="shared" si="7"/>
        <v>1.81898940354585E-12</v>
      </c>
    </row>
    <row r="260" spans="1:33">
      <c r="A260" s="713">
        <v>253</v>
      </c>
      <c r="B260" s="818" t="s">
        <v>543</v>
      </c>
      <c r="C260" s="815">
        <v>2097.05843</v>
      </c>
      <c r="D260" s="815">
        <v>6472.0514399999902</v>
      </c>
      <c r="E260" s="815">
        <v>8407.7631999999994</v>
      </c>
      <c r="F260" s="815">
        <v>2882.2129399999999</v>
      </c>
      <c r="G260" s="815">
        <v>2558.7497800000001</v>
      </c>
      <c r="H260" s="815">
        <v>3519.4897099999998</v>
      </c>
      <c r="I260" s="815">
        <v>17561.572069999998</v>
      </c>
      <c r="J260" s="815">
        <v>17561.572069999998</v>
      </c>
      <c r="K260" s="815">
        <v>17561.572069999998</v>
      </c>
      <c r="L260" s="815">
        <v>2069.54907</v>
      </c>
      <c r="M260" s="815">
        <v>2069.54907</v>
      </c>
      <c r="N260" s="815">
        <v>2069.54907</v>
      </c>
      <c r="O260" s="815">
        <v>2069.54907</v>
      </c>
      <c r="P260" s="816">
        <f t="shared" si="6"/>
        <v>6684.6336915384582</v>
      </c>
      <c r="Q260" s="815">
        <v>2069.54907</v>
      </c>
      <c r="R260" s="815">
        <v>2069.54907</v>
      </c>
      <c r="S260" s="815">
        <v>2069.54907</v>
      </c>
      <c r="T260" s="815">
        <v>2069.54907</v>
      </c>
      <c r="U260" s="815">
        <v>2069.54907</v>
      </c>
      <c r="V260" s="815">
        <v>2069.54907</v>
      </c>
      <c r="W260" s="815">
        <v>2069.54907</v>
      </c>
      <c r="X260" s="815">
        <v>2069.54907</v>
      </c>
      <c r="Y260" s="815">
        <v>2069.54907</v>
      </c>
      <c r="Z260" s="815">
        <v>2069.54907</v>
      </c>
      <c r="AA260" s="815">
        <v>2069.54907</v>
      </c>
      <c r="AB260" s="815">
        <v>2069.54907</v>
      </c>
      <c r="AC260" s="815">
        <v>2069.54907</v>
      </c>
      <c r="AD260" s="815">
        <v>2069.54907</v>
      </c>
      <c r="AE260" s="815">
        <v>2069.54907</v>
      </c>
      <c r="AF260" s="815">
        <v>2069.54907</v>
      </c>
      <c r="AG260" s="816">
        <f t="shared" si="7"/>
        <v>2069.5490700000005</v>
      </c>
    </row>
    <row r="261" spans="1:33">
      <c r="C261" s="817"/>
      <c r="D261" s="817"/>
      <c r="E261" s="817"/>
      <c r="F261" s="817"/>
      <c r="G261" s="817"/>
      <c r="H261" s="817"/>
      <c r="I261" s="817"/>
      <c r="J261" s="817"/>
      <c r="K261" s="817"/>
      <c r="L261" s="817"/>
      <c r="M261" s="817"/>
      <c r="N261" s="817"/>
      <c r="O261" s="817"/>
      <c r="P261" s="816">
        <f t="shared" si="6"/>
        <v>0</v>
      </c>
      <c r="Q261" s="817"/>
      <c r="R261" s="817"/>
      <c r="S261" s="817"/>
      <c r="T261" s="817"/>
      <c r="U261" s="817"/>
      <c r="V261" s="817"/>
      <c r="W261" s="817"/>
      <c r="X261" s="817"/>
      <c r="Y261" s="817"/>
      <c r="Z261" s="817"/>
      <c r="AA261" s="817"/>
      <c r="AB261" s="817"/>
      <c r="AC261" s="817"/>
      <c r="AD261" s="817"/>
      <c r="AE261" s="817"/>
      <c r="AF261" s="817"/>
      <c r="AG261" s="816">
        <f t="shared" si="7"/>
        <v>0</v>
      </c>
    </row>
    <row r="262" spans="1:33">
      <c r="B262" s="818" t="s">
        <v>547</v>
      </c>
      <c r="C262" s="817"/>
      <c r="D262" s="817"/>
      <c r="E262" s="817"/>
      <c r="F262" s="817"/>
      <c r="G262" s="817"/>
      <c r="H262" s="817"/>
      <c r="I262" s="817"/>
      <c r="J262" s="817"/>
      <c r="K262" s="817"/>
      <c r="L262" s="817"/>
      <c r="M262" s="817"/>
      <c r="N262" s="817"/>
      <c r="O262" s="817"/>
      <c r="P262" s="816">
        <f t="shared" si="6"/>
        <v>0</v>
      </c>
      <c r="Q262" s="817"/>
      <c r="R262" s="817"/>
      <c r="S262" s="817"/>
      <c r="T262" s="817"/>
      <c r="U262" s="817"/>
      <c r="V262" s="817"/>
      <c r="W262" s="817"/>
      <c r="X262" s="817"/>
      <c r="Y262" s="817"/>
      <c r="Z262" s="817"/>
      <c r="AA262" s="817"/>
      <c r="AB262" s="817"/>
      <c r="AC262" s="817"/>
      <c r="AD262" s="817"/>
      <c r="AE262" s="817"/>
      <c r="AF262" s="817"/>
      <c r="AG262" s="816">
        <f t="shared" si="7"/>
        <v>0</v>
      </c>
    </row>
    <row r="263" spans="1:33">
      <c r="A263" s="824">
        <v>228.2</v>
      </c>
      <c r="B263" s="818" t="s">
        <v>548</v>
      </c>
      <c r="C263" s="815">
        <v>633.69016999999997</v>
      </c>
      <c r="D263" s="815">
        <v>633.69016999999997</v>
      </c>
      <c r="E263" s="815">
        <v>633.69016999999997</v>
      </c>
      <c r="F263" s="815">
        <v>642.63697000000002</v>
      </c>
      <c r="G263" s="815">
        <v>642.63697000000002</v>
      </c>
      <c r="H263" s="815">
        <v>642.63697000000002</v>
      </c>
      <c r="I263" s="815">
        <v>599.89796999999999</v>
      </c>
      <c r="J263" s="815">
        <v>599.89796999999999</v>
      </c>
      <c r="K263" s="815">
        <v>599.89796999999999</v>
      </c>
      <c r="L263" s="815">
        <v>599.89796999999999</v>
      </c>
      <c r="M263" s="815">
        <v>599.89796999999999</v>
      </c>
      <c r="N263" s="815">
        <v>599.89796999999999</v>
      </c>
      <c r="O263" s="815">
        <v>599.89796999999999</v>
      </c>
      <c r="P263" s="816">
        <f t="shared" si="6"/>
        <v>617.55901615384619</v>
      </c>
      <c r="Q263" s="815">
        <v>599.89796999999999</v>
      </c>
      <c r="R263" s="815">
        <v>599.89796999999999</v>
      </c>
      <c r="S263" s="815">
        <v>599.89796999999999</v>
      </c>
      <c r="T263" s="815">
        <v>599.89796999999999</v>
      </c>
      <c r="U263" s="815">
        <v>599.89796999999999</v>
      </c>
      <c r="V263" s="815">
        <v>599.89796999999999</v>
      </c>
      <c r="W263" s="815">
        <v>599.89796999999999</v>
      </c>
      <c r="X263" s="815">
        <v>599.89796999999999</v>
      </c>
      <c r="Y263" s="815">
        <v>599.89796999999999</v>
      </c>
      <c r="Z263" s="815">
        <v>599.89796999999999</v>
      </c>
      <c r="AA263" s="815">
        <v>599.89796999999999</v>
      </c>
      <c r="AB263" s="815">
        <v>599.89796999999999</v>
      </c>
      <c r="AC263" s="815">
        <v>599.89796999999999</v>
      </c>
      <c r="AD263" s="815">
        <v>599.89796999999999</v>
      </c>
      <c r="AE263" s="815">
        <v>599.89796999999999</v>
      </c>
      <c r="AF263" s="815">
        <v>599.89796999999999</v>
      </c>
      <c r="AG263" s="816">
        <f t="shared" si="7"/>
        <v>599.89796999999999</v>
      </c>
    </row>
    <row r="264" spans="1:33">
      <c r="A264" s="824">
        <v>228.2</v>
      </c>
      <c r="B264" s="818" t="s">
        <v>549</v>
      </c>
      <c r="C264" s="815">
        <v>3383.70606</v>
      </c>
      <c r="D264" s="815">
        <v>3383.70606</v>
      </c>
      <c r="E264" s="815">
        <v>3383.70606</v>
      </c>
      <c r="F264" s="815">
        <v>2472.7939900000001</v>
      </c>
      <c r="G264" s="815">
        <v>2472.7939900000001</v>
      </c>
      <c r="H264" s="815">
        <v>2472.7939900000001</v>
      </c>
      <c r="I264" s="815">
        <v>2389.7899900000002</v>
      </c>
      <c r="J264" s="815">
        <v>2389.7899900000002</v>
      </c>
      <c r="K264" s="815">
        <v>2389.7899900000002</v>
      </c>
      <c r="L264" s="815">
        <v>2389.7899900000002</v>
      </c>
      <c r="M264" s="815">
        <v>2389.7899900000002</v>
      </c>
      <c r="N264" s="815">
        <v>2389.7899900000002</v>
      </c>
      <c r="O264" s="815">
        <v>2389.7899900000002</v>
      </c>
      <c r="P264" s="816">
        <f t="shared" si="6"/>
        <v>2638.3100061538466</v>
      </c>
      <c r="Q264" s="815">
        <v>2389.7899900000002</v>
      </c>
      <c r="R264" s="815">
        <v>2389.7899900000002</v>
      </c>
      <c r="S264" s="815">
        <v>2389.7899900000002</v>
      </c>
      <c r="T264" s="815">
        <v>2389.7899900000002</v>
      </c>
      <c r="U264" s="815">
        <v>2389.7899900000002</v>
      </c>
      <c r="V264" s="815">
        <v>2389.7899900000002</v>
      </c>
      <c r="W264" s="815">
        <v>2389.7899900000002</v>
      </c>
      <c r="X264" s="815">
        <v>2389.7899900000002</v>
      </c>
      <c r="Y264" s="815">
        <v>2389.7899900000002</v>
      </c>
      <c r="Z264" s="815">
        <v>2389.7899900000002</v>
      </c>
      <c r="AA264" s="815">
        <v>2389.7899900000002</v>
      </c>
      <c r="AB264" s="815">
        <v>2389.7899900000002</v>
      </c>
      <c r="AC264" s="815">
        <v>2389.7899900000002</v>
      </c>
      <c r="AD264" s="815">
        <v>2389.7899900000002</v>
      </c>
      <c r="AE264" s="815">
        <v>2389.7899900000002</v>
      </c>
      <c r="AF264" s="815">
        <v>2389.7899900000002</v>
      </c>
      <c r="AG264" s="816">
        <f t="shared" si="7"/>
        <v>2389.7899900000007</v>
      </c>
    </row>
    <row r="265" spans="1:33" ht="15.75" thickBot="1">
      <c r="B265" s="818" t="s">
        <v>1926</v>
      </c>
      <c r="C265" s="820">
        <v>0</v>
      </c>
      <c r="D265" s="820">
        <v>0</v>
      </c>
      <c r="E265" s="820">
        <v>0</v>
      </c>
      <c r="F265" s="820">
        <v>0</v>
      </c>
      <c r="G265" s="820">
        <v>0</v>
      </c>
      <c r="H265" s="820">
        <v>0</v>
      </c>
      <c r="I265" s="820">
        <v>0</v>
      </c>
      <c r="J265" s="820">
        <v>0</v>
      </c>
      <c r="K265" s="820">
        <v>0</v>
      </c>
      <c r="L265" s="820">
        <v>0</v>
      </c>
      <c r="M265" s="820">
        <v>0</v>
      </c>
      <c r="N265" s="820">
        <v>0</v>
      </c>
      <c r="O265" s="820">
        <v>0</v>
      </c>
      <c r="P265" s="816">
        <f t="shared" si="6"/>
        <v>0</v>
      </c>
      <c r="Q265" s="820">
        <v>15230.97035</v>
      </c>
      <c r="R265" s="820">
        <v>14886.42626</v>
      </c>
      <c r="S265" s="820">
        <v>14542.42376</v>
      </c>
      <c r="T265" s="820">
        <v>14148.486139999901</v>
      </c>
      <c r="U265" s="820">
        <v>13806.243489999901</v>
      </c>
      <c r="V265" s="820">
        <v>13466.6358599999</v>
      </c>
      <c r="W265" s="820">
        <v>13131.147919999999</v>
      </c>
      <c r="X265" s="820">
        <v>12795.365399999901</v>
      </c>
      <c r="Y265" s="820">
        <v>12460.1066999999</v>
      </c>
      <c r="Z265" s="820">
        <v>12128.384739999899</v>
      </c>
      <c r="AA265" s="820">
        <v>11873.9618999999</v>
      </c>
      <c r="AB265" s="820">
        <v>11622.8951499999</v>
      </c>
      <c r="AC265" s="820">
        <v>11381.6221199999</v>
      </c>
      <c r="AD265" s="820">
        <v>11142.59362</v>
      </c>
      <c r="AE265" s="820">
        <v>10902.2519999999</v>
      </c>
      <c r="AF265" s="820">
        <v>10613.4838499999</v>
      </c>
      <c r="AG265" s="816">
        <f t="shared" si="7"/>
        <v>12267.167606922992</v>
      </c>
    </row>
    <row r="266" spans="1:33">
      <c r="B266" s="818" t="s">
        <v>547</v>
      </c>
      <c r="C266" s="815">
        <v>4017.3962299999998</v>
      </c>
      <c r="D266" s="815">
        <v>4017.3962299999998</v>
      </c>
      <c r="E266" s="815">
        <v>4017.3962299999998</v>
      </c>
      <c r="F266" s="815">
        <v>3115.4309600000001</v>
      </c>
      <c r="G266" s="815">
        <v>3115.4309600000001</v>
      </c>
      <c r="H266" s="815">
        <v>3115.4309600000001</v>
      </c>
      <c r="I266" s="815">
        <v>2989.6879600000002</v>
      </c>
      <c r="J266" s="815">
        <v>2989.6879600000002</v>
      </c>
      <c r="K266" s="815">
        <v>2989.6879600000002</v>
      </c>
      <c r="L266" s="815">
        <v>2989.6879600000002</v>
      </c>
      <c r="M266" s="815">
        <v>2989.6879600000002</v>
      </c>
      <c r="N266" s="815">
        <v>2989.6879600000002</v>
      </c>
      <c r="O266" s="815">
        <v>2989.6879600000002</v>
      </c>
      <c r="P266" s="816">
        <f t="shared" si="6"/>
        <v>3255.8690223076928</v>
      </c>
      <c r="Q266" s="815">
        <v>18220.658309999999</v>
      </c>
      <c r="R266" s="815">
        <v>17876.114219999999</v>
      </c>
      <c r="S266" s="815">
        <v>17532.111720000001</v>
      </c>
      <c r="T266" s="815">
        <v>17138.1741</v>
      </c>
      <c r="U266" s="815">
        <v>16795.93145</v>
      </c>
      <c r="V266" s="815">
        <v>16456.3238199999</v>
      </c>
      <c r="W266" s="815">
        <v>16120.8358799999</v>
      </c>
      <c r="X266" s="815">
        <v>15785.0533599999</v>
      </c>
      <c r="Y266" s="815">
        <v>15449.79466</v>
      </c>
      <c r="Z266" s="815">
        <v>15118.072699999901</v>
      </c>
      <c r="AA266" s="815">
        <v>14863.649859999899</v>
      </c>
      <c r="AB266" s="815">
        <v>14612.5831099999</v>
      </c>
      <c r="AC266" s="815">
        <v>14371.310079999999</v>
      </c>
      <c r="AD266" s="815">
        <v>14132.281579999901</v>
      </c>
      <c r="AE266" s="815">
        <v>13891.93996</v>
      </c>
      <c r="AF266" s="815">
        <v>13603.17181</v>
      </c>
      <c r="AG266" s="816">
        <f t="shared" si="7"/>
        <v>15256.855566923021</v>
      </c>
    </row>
    <row r="267" spans="1:33">
      <c r="C267" s="817"/>
      <c r="D267" s="817"/>
      <c r="E267" s="817"/>
      <c r="F267" s="817"/>
      <c r="G267" s="817"/>
      <c r="H267" s="817"/>
      <c r="I267" s="817"/>
      <c r="J267" s="817"/>
      <c r="K267" s="817"/>
      <c r="L267" s="817"/>
      <c r="M267" s="817"/>
      <c r="N267" s="817"/>
      <c r="O267" s="817"/>
      <c r="P267" s="816">
        <f t="shared" ref="P267:P280" si="8">SUM(C267:O267)/13</f>
        <v>0</v>
      </c>
      <c r="Q267" s="817"/>
      <c r="R267" s="817"/>
      <c r="S267" s="817"/>
      <c r="T267" s="817"/>
      <c r="U267" s="817"/>
      <c r="V267" s="817"/>
      <c r="W267" s="817"/>
      <c r="X267" s="817"/>
      <c r="Y267" s="817"/>
      <c r="Z267" s="817"/>
      <c r="AA267" s="817"/>
      <c r="AB267" s="817"/>
      <c r="AC267" s="817"/>
      <c r="AD267" s="817"/>
      <c r="AE267" s="817"/>
      <c r="AF267" s="817"/>
      <c r="AG267" s="816">
        <f t="shared" ref="AG267:AG280" si="9">SUM(T267:AF267)/13</f>
        <v>0</v>
      </c>
    </row>
    <row r="268" spans="1:33">
      <c r="B268" s="818" t="s">
        <v>550</v>
      </c>
      <c r="P268" s="816">
        <f t="shared" si="8"/>
        <v>0</v>
      </c>
      <c r="AG268" s="816">
        <f t="shared" si="9"/>
        <v>0</v>
      </c>
    </row>
    <row r="269" spans="1:33">
      <c r="C269" s="817"/>
      <c r="D269" s="817"/>
      <c r="E269" s="817"/>
      <c r="F269" s="817"/>
      <c r="G269" s="817"/>
      <c r="H269" s="817"/>
      <c r="I269" s="817"/>
      <c r="J269" s="817"/>
      <c r="K269" s="817"/>
      <c r="L269" s="817"/>
      <c r="M269" s="817"/>
      <c r="N269" s="817"/>
      <c r="O269" s="817"/>
      <c r="P269" s="816">
        <f t="shared" si="8"/>
        <v>0</v>
      </c>
      <c r="Q269" s="817"/>
      <c r="R269" s="817"/>
      <c r="S269" s="817"/>
      <c r="T269" s="817"/>
      <c r="U269" s="817"/>
      <c r="V269" s="817"/>
      <c r="W269" s="817"/>
      <c r="X269" s="817"/>
      <c r="Y269" s="817"/>
      <c r="Z269" s="817"/>
      <c r="AA269" s="817"/>
      <c r="AB269" s="817"/>
      <c r="AC269" s="817"/>
      <c r="AD269" s="817"/>
      <c r="AE269" s="817"/>
      <c r="AF269" s="817"/>
      <c r="AG269" s="816">
        <f t="shared" si="9"/>
        <v>0</v>
      </c>
    </row>
    <row r="270" spans="1:33">
      <c r="B270" s="818" t="s">
        <v>551</v>
      </c>
      <c r="C270" s="817"/>
      <c r="D270" s="817"/>
      <c r="E270" s="817"/>
      <c r="F270" s="817"/>
      <c r="G270" s="817"/>
      <c r="H270" s="817"/>
      <c r="I270" s="817"/>
      <c r="J270" s="817"/>
      <c r="K270" s="817"/>
      <c r="L270" s="817"/>
      <c r="M270" s="817"/>
      <c r="N270" s="817"/>
      <c r="O270" s="817"/>
      <c r="P270" s="816">
        <f t="shared" si="8"/>
        <v>0</v>
      </c>
      <c r="Q270" s="817"/>
      <c r="R270" s="817"/>
      <c r="S270" s="817"/>
      <c r="T270" s="817"/>
      <c r="U270" s="817"/>
      <c r="V270" s="817"/>
      <c r="W270" s="817"/>
      <c r="X270" s="817"/>
      <c r="Y270" s="817"/>
      <c r="Z270" s="817"/>
      <c r="AA270" s="817"/>
      <c r="AB270" s="817"/>
      <c r="AC270" s="817"/>
      <c r="AD270" s="817"/>
      <c r="AE270" s="817"/>
      <c r="AF270" s="817"/>
      <c r="AG270" s="816">
        <f t="shared" si="9"/>
        <v>0</v>
      </c>
    </row>
    <row r="271" spans="1:33">
      <c r="B271" s="818" t="s">
        <v>552</v>
      </c>
      <c r="C271" s="815">
        <v>3942.9009999999998</v>
      </c>
      <c r="D271" s="815">
        <v>3942.9009999999998</v>
      </c>
      <c r="E271" s="815">
        <v>3942.9009999999998</v>
      </c>
      <c r="F271" s="815">
        <v>3963.288</v>
      </c>
      <c r="G271" s="815">
        <v>3963.288</v>
      </c>
      <c r="H271" s="815">
        <v>3963.288</v>
      </c>
      <c r="I271" s="815">
        <v>3963.288</v>
      </c>
      <c r="J271" s="815">
        <v>3989.7835833333302</v>
      </c>
      <c r="K271" s="815">
        <v>4016.2791666666599</v>
      </c>
      <c r="L271" s="815">
        <v>4042.77475</v>
      </c>
      <c r="M271" s="815">
        <v>4069.2703333333302</v>
      </c>
      <c r="N271" s="815">
        <v>4095.7659166666599</v>
      </c>
      <c r="O271" s="815">
        <v>4122.2614999999996</v>
      </c>
      <c r="P271" s="816">
        <f t="shared" si="8"/>
        <v>4001.3838653846137</v>
      </c>
      <c r="Q271" s="815">
        <v>4122.2614999999996</v>
      </c>
      <c r="R271" s="815">
        <v>4122.2614999999996</v>
      </c>
      <c r="S271" s="815">
        <v>4122.2614999999996</v>
      </c>
      <c r="T271" s="815">
        <v>4122.2614999999996</v>
      </c>
      <c r="U271" s="815">
        <v>4122.2614999999996</v>
      </c>
      <c r="V271" s="815">
        <v>4122.2614999999996</v>
      </c>
      <c r="W271" s="815">
        <v>4122.2614999999996</v>
      </c>
      <c r="X271" s="815">
        <v>4122.2614999999996</v>
      </c>
      <c r="Y271" s="815">
        <v>4122.2614999999996</v>
      </c>
      <c r="Z271" s="815">
        <v>4122.2614999999996</v>
      </c>
      <c r="AA271" s="815">
        <v>4122.2614999999996</v>
      </c>
      <c r="AB271" s="815">
        <v>4122.2614999999996</v>
      </c>
      <c r="AC271" s="815">
        <v>4122.2614999999996</v>
      </c>
      <c r="AD271" s="815">
        <v>4122.2614999999996</v>
      </c>
      <c r="AE271" s="815">
        <v>4122.2614999999996</v>
      </c>
      <c r="AF271" s="815">
        <v>4122.2614999999996</v>
      </c>
      <c r="AG271" s="816">
        <f t="shared" si="9"/>
        <v>4122.2614999999996</v>
      </c>
    </row>
    <row r="272" spans="1:33">
      <c r="B272" s="818" t="s">
        <v>553</v>
      </c>
      <c r="C272" s="815">
        <v>45332.978320000002</v>
      </c>
      <c r="D272" s="815">
        <v>-8667.0216799999998</v>
      </c>
      <c r="E272" s="815">
        <v>504.27032000000003</v>
      </c>
      <c r="F272" s="815">
        <v>504.27032000000003</v>
      </c>
      <c r="G272" s="815">
        <v>504.27032000000003</v>
      </c>
      <c r="H272" s="815">
        <v>504.27032000000003</v>
      </c>
      <c r="I272" s="815">
        <v>0</v>
      </c>
      <c r="J272" s="815">
        <v>0</v>
      </c>
      <c r="K272" s="815">
        <v>0</v>
      </c>
      <c r="L272" s="815">
        <v>0</v>
      </c>
      <c r="M272" s="815">
        <v>0</v>
      </c>
      <c r="N272" s="815">
        <v>0</v>
      </c>
      <c r="O272" s="815">
        <v>0</v>
      </c>
      <c r="P272" s="816">
        <f t="shared" si="8"/>
        <v>2975.6183015384627</v>
      </c>
      <c r="Q272" s="815">
        <v>0</v>
      </c>
      <c r="R272" s="815">
        <v>0</v>
      </c>
      <c r="S272" s="815">
        <v>0</v>
      </c>
      <c r="T272" s="815">
        <v>0</v>
      </c>
      <c r="U272" s="815">
        <v>0</v>
      </c>
      <c r="V272" s="815">
        <v>0</v>
      </c>
      <c r="W272" s="815">
        <v>0</v>
      </c>
      <c r="X272" s="815">
        <v>0</v>
      </c>
      <c r="Y272" s="815">
        <v>0</v>
      </c>
      <c r="Z272" s="815">
        <v>0</v>
      </c>
      <c r="AA272" s="815">
        <v>0</v>
      </c>
      <c r="AB272" s="815">
        <v>0</v>
      </c>
      <c r="AC272" s="815">
        <v>0</v>
      </c>
      <c r="AD272" s="815">
        <v>0</v>
      </c>
      <c r="AE272" s="815">
        <v>0</v>
      </c>
      <c r="AF272" s="815">
        <v>0</v>
      </c>
      <c r="AG272" s="816">
        <f t="shared" si="9"/>
        <v>0</v>
      </c>
    </row>
    <row r="273" spans="1:33" ht="15.75" thickBot="1">
      <c r="B273" s="818" t="s">
        <v>554</v>
      </c>
      <c r="C273" s="820">
        <v>71495.438959999999</v>
      </c>
      <c r="D273" s="820">
        <v>71444.6679</v>
      </c>
      <c r="E273" s="820">
        <v>70203.386129999999</v>
      </c>
      <c r="F273" s="820">
        <v>70151.089489999998</v>
      </c>
      <c r="G273" s="820">
        <v>69814.664229999995</v>
      </c>
      <c r="H273" s="820">
        <v>69760.722869999998</v>
      </c>
      <c r="I273" s="820">
        <v>65573.232380000001</v>
      </c>
      <c r="J273" s="820">
        <v>65820.250379999998</v>
      </c>
      <c r="K273" s="820">
        <v>66067.268379999994</v>
      </c>
      <c r="L273" s="820">
        <v>64728.399629999898</v>
      </c>
      <c r="M273" s="820">
        <v>64975.417629999902</v>
      </c>
      <c r="N273" s="820">
        <v>65222.435629999898</v>
      </c>
      <c r="O273" s="820">
        <v>63883.566879999897</v>
      </c>
      <c r="P273" s="816">
        <f t="shared" si="8"/>
        <v>67626.195422307661</v>
      </c>
      <c r="Q273" s="820">
        <v>64133.602296666599</v>
      </c>
      <c r="R273" s="820">
        <v>64383.637713333301</v>
      </c>
      <c r="S273" s="820">
        <v>63003.425129999901</v>
      </c>
      <c r="T273" s="820">
        <v>63253.460546666603</v>
      </c>
      <c r="U273" s="820">
        <v>63503.495963333298</v>
      </c>
      <c r="V273" s="820">
        <v>62123.283379999899</v>
      </c>
      <c r="W273" s="820">
        <v>62373.318796666601</v>
      </c>
      <c r="X273" s="820">
        <v>62623.354213333303</v>
      </c>
      <c r="Y273" s="820">
        <v>61243.141629999896</v>
      </c>
      <c r="Z273" s="820">
        <v>61493.177046666598</v>
      </c>
      <c r="AA273" s="820">
        <v>61743.212463333301</v>
      </c>
      <c r="AB273" s="820">
        <v>60362.999879999901</v>
      </c>
      <c r="AC273" s="820">
        <v>60606.426796666601</v>
      </c>
      <c r="AD273" s="820">
        <v>60849.853713333301</v>
      </c>
      <c r="AE273" s="820">
        <v>59441.591629999901</v>
      </c>
      <c r="AF273" s="820">
        <v>59685.018546666601</v>
      </c>
      <c r="AG273" s="816">
        <f t="shared" si="9"/>
        <v>61484.794969743518</v>
      </c>
    </row>
    <row r="274" spans="1:33">
      <c r="A274" s="824">
        <v>228.3</v>
      </c>
      <c r="B274" s="818" t="s">
        <v>551</v>
      </c>
      <c r="C274" s="815">
        <v>120771.31828000001</v>
      </c>
      <c r="D274" s="815">
        <v>66720.547219999993</v>
      </c>
      <c r="E274" s="815">
        <v>74650.557449999993</v>
      </c>
      <c r="F274" s="815">
        <v>74618.647809999995</v>
      </c>
      <c r="G274" s="815">
        <v>74282.222550000006</v>
      </c>
      <c r="H274" s="815">
        <v>74228.281189999994</v>
      </c>
      <c r="I274" s="815">
        <v>69536.520380000002</v>
      </c>
      <c r="J274" s="815">
        <v>69810.033963333306</v>
      </c>
      <c r="K274" s="815">
        <v>70083.547546666596</v>
      </c>
      <c r="L274" s="815">
        <v>68771.174379999997</v>
      </c>
      <c r="M274" s="815">
        <v>69044.687963333301</v>
      </c>
      <c r="N274" s="815">
        <v>69318.201546666605</v>
      </c>
      <c r="O274" s="815">
        <v>68005.828379999904</v>
      </c>
      <c r="P274" s="816">
        <f t="shared" si="8"/>
        <v>74603.197589230738</v>
      </c>
      <c r="Q274" s="815">
        <v>68255.863796666599</v>
      </c>
      <c r="R274" s="815">
        <v>68505.899213333294</v>
      </c>
      <c r="S274" s="815">
        <v>67125.686629999895</v>
      </c>
      <c r="T274" s="815">
        <v>67375.722046666604</v>
      </c>
      <c r="U274" s="815">
        <v>67625.757463333299</v>
      </c>
      <c r="V274" s="815">
        <v>66245.544879999899</v>
      </c>
      <c r="W274" s="815">
        <v>66495.580296666594</v>
      </c>
      <c r="X274" s="815">
        <v>66745.615713333304</v>
      </c>
      <c r="Y274" s="815">
        <v>65365.403129999897</v>
      </c>
      <c r="Z274" s="815">
        <v>65615.438546666599</v>
      </c>
      <c r="AA274" s="815">
        <v>65865.473963333294</v>
      </c>
      <c r="AB274" s="815">
        <v>64485.261379999902</v>
      </c>
      <c r="AC274" s="815">
        <v>64728.688296666602</v>
      </c>
      <c r="AD274" s="815">
        <v>64972.115213333302</v>
      </c>
      <c r="AE274" s="815">
        <v>63563.853129999901</v>
      </c>
      <c r="AF274" s="815">
        <v>63807.280046666601</v>
      </c>
      <c r="AG274" s="816">
        <f t="shared" si="9"/>
        <v>65607.056469743518</v>
      </c>
    </row>
    <row r="275" spans="1:33">
      <c r="C275" s="817"/>
      <c r="D275" s="817"/>
      <c r="E275" s="817"/>
      <c r="F275" s="817"/>
      <c r="G275" s="817"/>
      <c r="H275" s="817"/>
      <c r="I275" s="817"/>
      <c r="J275" s="817"/>
      <c r="K275" s="817"/>
      <c r="L275" s="817"/>
      <c r="M275" s="817"/>
      <c r="N275" s="817"/>
      <c r="O275" s="817"/>
      <c r="P275" s="816">
        <f t="shared" si="8"/>
        <v>0</v>
      </c>
      <c r="Q275" s="817"/>
      <c r="R275" s="817"/>
      <c r="S275" s="817"/>
      <c r="T275" s="817"/>
      <c r="U275" s="817"/>
      <c r="V275" s="817"/>
      <c r="W275" s="817"/>
      <c r="X275" s="817"/>
      <c r="Y275" s="817"/>
      <c r="Z275" s="817"/>
      <c r="AA275" s="817"/>
      <c r="AB275" s="817"/>
      <c r="AC275" s="817"/>
      <c r="AD275" s="817"/>
      <c r="AE275" s="817"/>
      <c r="AF275" s="817"/>
      <c r="AG275" s="816">
        <f t="shared" si="9"/>
        <v>0</v>
      </c>
    </row>
    <row r="276" spans="1:33">
      <c r="B276" s="818" t="s">
        <v>539</v>
      </c>
      <c r="C276" s="817"/>
      <c r="D276" s="817"/>
      <c r="E276" s="817"/>
      <c r="F276" s="817"/>
      <c r="G276" s="817"/>
      <c r="H276" s="817"/>
      <c r="I276" s="817"/>
      <c r="J276" s="817"/>
      <c r="K276" s="817"/>
      <c r="L276" s="817"/>
      <c r="M276" s="817"/>
      <c r="N276" s="817"/>
      <c r="O276" s="817"/>
      <c r="P276" s="816">
        <f t="shared" si="8"/>
        <v>0</v>
      </c>
      <c r="Q276" s="817"/>
      <c r="R276" s="817"/>
      <c r="S276" s="817"/>
      <c r="T276" s="817"/>
      <c r="U276" s="817"/>
      <c r="V276" s="817"/>
      <c r="W276" s="817"/>
      <c r="X276" s="817"/>
      <c r="Y276" s="817"/>
      <c r="Z276" s="817"/>
      <c r="AA276" s="817"/>
      <c r="AB276" s="817"/>
      <c r="AC276" s="817"/>
      <c r="AD276" s="817"/>
      <c r="AE276" s="817"/>
      <c r="AF276" s="817"/>
      <c r="AG276" s="816">
        <f t="shared" si="9"/>
        <v>0</v>
      </c>
    </row>
    <row r="277" spans="1:33" ht="15.75" thickBot="1">
      <c r="B277" s="814" t="s">
        <v>555</v>
      </c>
      <c r="C277" s="821">
        <v>1801807.1456500001</v>
      </c>
      <c r="D277" s="821">
        <v>1768503.40059</v>
      </c>
      <c r="E277" s="821">
        <v>1782043.77751999</v>
      </c>
      <c r="F277" s="821">
        <v>1774087.5043899999</v>
      </c>
      <c r="G277" s="821">
        <v>1769370.5089199999</v>
      </c>
      <c r="H277" s="821">
        <v>1771707.6760799999</v>
      </c>
      <c r="I277" s="821">
        <v>1774099.03317</v>
      </c>
      <c r="J277" s="821">
        <v>1772396.4495548799</v>
      </c>
      <c r="K277" s="821">
        <v>1770452.9719964999</v>
      </c>
      <c r="L277" s="821">
        <v>1792102.5187798201</v>
      </c>
      <c r="M277" s="821">
        <v>1787935.0500960101</v>
      </c>
      <c r="N277" s="821">
        <v>1785299.2422378601</v>
      </c>
      <c r="O277" s="821">
        <v>1796510.06245769</v>
      </c>
      <c r="P277" s="816">
        <f t="shared" si="8"/>
        <v>1780485.7954955956</v>
      </c>
      <c r="Q277" s="821">
        <v>1808943.2093416699</v>
      </c>
      <c r="R277" s="821">
        <v>1804571.2240456799</v>
      </c>
      <c r="S277" s="821">
        <v>1811630.2013676199</v>
      </c>
      <c r="T277" s="821">
        <v>1806068.1229226701</v>
      </c>
      <c r="U277" s="821">
        <v>1801036.52365093</v>
      </c>
      <c r="V277" s="821">
        <v>1811483.4836480301</v>
      </c>
      <c r="W277" s="821">
        <v>1811584.82814928</v>
      </c>
      <c r="X277" s="821">
        <v>1809172.99192642</v>
      </c>
      <c r="Y277" s="821">
        <v>1816417.38791194</v>
      </c>
      <c r="Z277" s="821">
        <v>1813144.0588060999</v>
      </c>
      <c r="AA277" s="821">
        <v>1812013.06225484</v>
      </c>
      <c r="AB277" s="821">
        <v>1823185.34442542</v>
      </c>
      <c r="AC277" s="821">
        <v>1822699.70101504</v>
      </c>
      <c r="AD277" s="821">
        <v>1821363.87394351</v>
      </c>
      <c r="AE277" s="821">
        <v>1820812.91295076</v>
      </c>
      <c r="AF277" s="821">
        <v>1818048.49420095</v>
      </c>
      <c r="AG277" s="816">
        <f t="shared" si="9"/>
        <v>1814386.9835235302</v>
      </c>
    </row>
    <row r="278" spans="1:33">
      <c r="P278" s="816">
        <f t="shared" si="8"/>
        <v>0</v>
      </c>
      <c r="AG278" s="816">
        <f t="shared" si="9"/>
        <v>0</v>
      </c>
    </row>
    <row r="279" spans="1:33" ht="15.75" thickBot="1">
      <c r="B279" s="814" t="s">
        <v>1734</v>
      </c>
      <c r="C279" s="821">
        <v>6189536.6802399997</v>
      </c>
      <c r="D279" s="821">
        <v>6217000.4645999996</v>
      </c>
      <c r="E279" s="821">
        <v>6203575.2697599996</v>
      </c>
      <c r="F279" s="821">
        <v>6217823.5878100004</v>
      </c>
      <c r="G279" s="821">
        <v>6224360.7941300003</v>
      </c>
      <c r="H279" s="821">
        <v>6235779.2883099997</v>
      </c>
      <c r="I279" s="821">
        <v>6270902.7056299997</v>
      </c>
      <c r="J279" s="821">
        <v>6306215.7503773104</v>
      </c>
      <c r="K279" s="821">
        <v>6353971.3144509504</v>
      </c>
      <c r="L279" s="821">
        <v>6390234.0918331398</v>
      </c>
      <c r="M279" s="821">
        <v>6419425.8038761597</v>
      </c>
      <c r="N279" s="821">
        <v>6455955.3989860397</v>
      </c>
      <c r="O279" s="821">
        <v>6511582.1303209504</v>
      </c>
      <c r="P279" s="816">
        <f t="shared" si="8"/>
        <v>6307412.5600249656</v>
      </c>
      <c r="Q279" s="821">
        <v>6554893.2726464402</v>
      </c>
      <c r="R279" s="821">
        <v>6548096.5389417401</v>
      </c>
      <c r="S279" s="821">
        <v>6549101.1176740704</v>
      </c>
      <c r="T279" s="821">
        <v>6557690.2104385402</v>
      </c>
      <c r="U279" s="821">
        <v>6580146.2994727101</v>
      </c>
      <c r="V279" s="821">
        <v>6615531.7604178796</v>
      </c>
      <c r="W279" s="821">
        <v>6660937.3815280199</v>
      </c>
      <c r="X279" s="821">
        <v>6697458.3331458</v>
      </c>
      <c r="Y279" s="821">
        <v>6714183.29459194</v>
      </c>
      <c r="Z279" s="821">
        <v>6747747.6873877496</v>
      </c>
      <c r="AA279" s="821">
        <v>6785069.6818614099</v>
      </c>
      <c r="AB279" s="821">
        <v>6810673.0646018796</v>
      </c>
      <c r="AC279" s="821">
        <v>6822159.3437759597</v>
      </c>
      <c r="AD279" s="821">
        <v>6800116.5553512899</v>
      </c>
      <c r="AE279" s="821">
        <v>6784261.2613352099</v>
      </c>
      <c r="AF279" s="821">
        <v>6774478.9288476901</v>
      </c>
      <c r="AG279" s="819">
        <f t="shared" si="9"/>
        <v>6719265.677135082</v>
      </c>
    </row>
    <row r="280" spans="1:33">
      <c r="P280" s="816">
        <f t="shared" si="8"/>
        <v>0</v>
      </c>
      <c r="AG280" s="816">
        <f t="shared" si="9"/>
        <v>0</v>
      </c>
    </row>
  </sheetData>
  <pageMargins left="0.75" right="0.75" top="1" bottom="1" header="0.5" footer="0.5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5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F30" sqref="F30"/>
    </sheetView>
  </sheetViews>
  <sheetFormatPr defaultColWidth="7.109375" defaultRowHeight="15"/>
  <cols>
    <col min="1" max="1" width="45.109375" style="318" customWidth="1"/>
    <col min="2" max="2" width="9.5546875" style="754" customWidth="1"/>
    <col min="3" max="23" width="8.33203125" style="317" customWidth="1"/>
    <col min="24" max="46" width="8.33203125" style="368" customWidth="1"/>
    <col min="47" max="49" width="8.21875" style="368" bestFit="1" customWidth="1"/>
    <col min="50" max="57" width="7.109375" style="368"/>
    <col min="58" max="16384" width="7.109375" style="317"/>
  </cols>
  <sheetData>
    <row r="1" spans="1:57" s="358" customFormat="1">
      <c r="A1" s="357" t="s">
        <v>2541</v>
      </c>
      <c r="B1" s="741"/>
      <c r="X1" s="742"/>
      <c r="Y1" s="742"/>
      <c r="Z1" s="742"/>
      <c r="AA1" s="742"/>
      <c r="AB1" s="742"/>
      <c r="AC1" s="742"/>
      <c r="AD1" s="742"/>
      <c r="AE1" s="742"/>
      <c r="AF1" s="742"/>
      <c r="AG1" s="742"/>
      <c r="AH1" s="742"/>
      <c r="AI1" s="742"/>
      <c r="AJ1" s="742"/>
      <c r="AK1" s="742"/>
      <c r="AL1" s="742"/>
      <c r="AM1" s="742"/>
      <c r="AN1" s="742"/>
      <c r="AO1" s="742"/>
      <c r="AP1" s="742"/>
      <c r="AQ1" s="742"/>
      <c r="AR1" s="742"/>
      <c r="AS1" s="742"/>
      <c r="AT1" s="742"/>
      <c r="AU1" s="742"/>
      <c r="AV1" s="742"/>
      <c r="AW1" s="742"/>
      <c r="AX1" s="742"/>
      <c r="AY1" s="742"/>
      <c r="AZ1" s="742"/>
      <c r="BA1" s="742"/>
      <c r="BB1" s="742"/>
      <c r="BC1" s="742"/>
      <c r="BD1" s="742"/>
      <c r="BE1" s="742"/>
    </row>
    <row r="2" spans="1:57" s="358" customFormat="1">
      <c r="A2" s="488"/>
      <c r="B2" s="741" t="s">
        <v>1715</v>
      </c>
      <c r="C2" s="358" t="s">
        <v>1716</v>
      </c>
      <c r="D2" s="358" t="s">
        <v>1717</v>
      </c>
      <c r="E2" s="358" t="s">
        <v>1718</v>
      </c>
      <c r="F2" s="358" t="s">
        <v>1719</v>
      </c>
      <c r="G2" s="358" t="s">
        <v>1720</v>
      </c>
      <c r="H2" s="358" t="s">
        <v>1844</v>
      </c>
      <c r="I2" s="358" t="s">
        <v>1845</v>
      </c>
      <c r="J2" s="358" t="s">
        <v>1846</v>
      </c>
      <c r="K2" s="358" t="s">
        <v>1831</v>
      </c>
      <c r="L2" s="358" t="s">
        <v>1832</v>
      </c>
      <c r="M2" s="358" t="s">
        <v>1833</v>
      </c>
      <c r="N2" s="358" t="s">
        <v>1834</v>
      </c>
      <c r="O2" s="358" t="s">
        <v>1835</v>
      </c>
      <c r="P2" s="358" t="s">
        <v>1836</v>
      </c>
      <c r="Q2" s="358" t="s">
        <v>1837</v>
      </c>
      <c r="R2" s="358" t="s">
        <v>1838</v>
      </c>
      <c r="S2" s="358" t="s">
        <v>1839</v>
      </c>
      <c r="T2" s="358" t="s">
        <v>1840</v>
      </c>
      <c r="U2" s="358" t="s">
        <v>1841</v>
      </c>
      <c r="V2" s="358" t="s">
        <v>1842</v>
      </c>
      <c r="W2" s="358" t="s">
        <v>1843</v>
      </c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</row>
    <row r="3" spans="1:57" s="358" customFormat="1">
      <c r="A3" s="359" t="s">
        <v>1035</v>
      </c>
      <c r="B3" s="743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2"/>
      <c r="AK3" s="742"/>
      <c r="AL3" s="742"/>
      <c r="AM3" s="742"/>
      <c r="AN3" s="742"/>
      <c r="AO3" s="742"/>
      <c r="AP3" s="742"/>
      <c r="AQ3" s="742"/>
      <c r="AR3" s="742"/>
      <c r="AS3" s="742"/>
      <c r="AT3" s="742"/>
      <c r="AU3" s="742"/>
      <c r="AV3" s="742"/>
      <c r="AW3" s="742"/>
      <c r="AX3" s="742"/>
      <c r="AY3" s="742"/>
      <c r="AZ3" s="742"/>
      <c r="BA3" s="742"/>
      <c r="BB3" s="742"/>
      <c r="BC3" s="742"/>
      <c r="BD3" s="742"/>
      <c r="BE3" s="742"/>
    </row>
    <row r="4" spans="1:57">
      <c r="A4" s="353" t="s">
        <v>557</v>
      </c>
      <c r="B4" s="744"/>
    </row>
    <row r="6" spans="1:57">
      <c r="A6" s="353" t="s">
        <v>388</v>
      </c>
      <c r="B6" s="744"/>
    </row>
    <row r="8" spans="1:57">
      <c r="A8" s="353" t="s">
        <v>389</v>
      </c>
      <c r="B8" s="744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745"/>
      <c r="Y8" s="745"/>
      <c r="Z8" s="745"/>
      <c r="AA8" s="745"/>
      <c r="AB8" s="745"/>
      <c r="AC8" s="745"/>
      <c r="AD8" s="745"/>
      <c r="AE8" s="745"/>
      <c r="AF8" s="745"/>
      <c r="AG8" s="745"/>
      <c r="AH8" s="745"/>
      <c r="AI8" s="745"/>
      <c r="AJ8" s="745"/>
      <c r="AK8" s="745"/>
      <c r="AL8" s="745"/>
      <c r="AM8" s="745"/>
      <c r="AN8" s="745"/>
      <c r="AO8" s="745"/>
      <c r="AP8" s="745"/>
      <c r="AQ8" s="745"/>
      <c r="AR8" s="745"/>
      <c r="AS8" s="745"/>
      <c r="AT8" s="745"/>
    </row>
    <row r="9" spans="1:57">
      <c r="A9" s="318" t="s">
        <v>396</v>
      </c>
      <c r="B9" s="317">
        <v>6069347.6892364994</v>
      </c>
      <c r="C9" s="317">
        <v>6108297.1341532003</v>
      </c>
      <c r="D9" s="317">
        <v>6140050.3254960002</v>
      </c>
      <c r="E9" s="317">
        <v>6173333.6964949993</v>
      </c>
      <c r="F9" s="317">
        <v>6202324.9015377983</v>
      </c>
      <c r="G9" s="317">
        <v>6235896.1846574992</v>
      </c>
      <c r="H9" s="317">
        <v>6275088.6174399983</v>
      </c>
      <c r="I9" s="317">
        <v>6289514.6892127981</v>
      </c>
      <c r="J9" s="317">
        <v>6320965.6033405988</v>
      </c>
      <c r="K9" s="317">
        <v>6324261.2496961998</v>
      </c>
      <c r="L9" s="317">
        <v>6345289.7273859987</v>
      </c>
      <c r="M9" s="317">
        <v>6368541.4036355997</v>
      </c>
      <c r="N9" s="317">
        <v>6391413.6342143985</v>
      </c>
      <c r="O9" s="317">
        <v>6414108.6129365992</v>
      </c>
      <c r="P9" s="317">
        <v>6439337.1384229995</v>
      </c>
      <c r="Q9" s="317">
        <v>6478026.5939791985</v>
      </c>
      <c r="R9" s="317">
        <v>6504010.2002848992</v>
      </c>
      <c r="S9" s="317">
        <v>6492527.2111856993</v>
      </c>
      <c r="T9" s="317">
        <v>6494171.9582286989</v>
      </c>
      <c r="U9" s="317">
        <v>6501109.0536039984</v>
      </c>
      <c r="V9" s="317">
        <v>6522095.1589054996</v>
      </c>
      <c r="W9" s="317">
        <v>6546729.7052195994</v>
      </c>
      <c r="X9" s="368">
        <f>SUM(K9:W9)/13</f>
        <v>6447817.0498230299</v>
      </c>
    </row>
    <row r="10" spans="1:57">
      <c r="A10" s="318" t="s">
        <v>406</v>
      </c>
      <c r="B10" s="317">
        <v>-1821938.6483857201</v>
      </c>
      <c r="C10" s="317">
        <v>-1832897.7147323</v>
      </c>
      <c r="D10" s="317">
        <v>-1843195.0150871701</v>
      </c>
      <c r="E10" s="317">
        <v>-1852902.8883573699</v>
      </c>
      <c r="F10" s="317">
        <v>-1865507.9221074001</v>
      </c>
      <c r="G10" s="317">
        <v>-1879075.3774425702</v>
      </c>
      <c r="H10" s="317">
        <v>-1892167.7551682398</v>
      </c>
      <c r="I10" s="317">
        <v>-1897552.50850043</v>
      </c>
      <c r="J10" s="317">
        <v>-1908778.7594706803</v>
      </c>
      <c r="K10" s="317">
        <v>-1889571.60239588</v>
      </c>
      <c r="L10" s="317">
        <v>-1903209.4714305599</v>
      </c>
      <c r="M10" s="317">
        <v>-1918594.1534374801</v>
      </c>
      <c r="N10" s="317">
        <v>-1933445.8085102402</v>
      </c>
      <c r="O10" s="317">
        <v>-1945563.9761502701</v>
      </c>
      <c r="P10" s="317">
        <v>-1961752.2090019602</v>
      </c>
      <c r="Q10" s="317">
        <v>-1975831.5218464201</v>
      </c>
      <c r="R10" s="317">
        <v>-1989998.1769540398</v>
      </c>
      <c r="S10" s="317">
        <v>-1973976.2055647001</v>
      </c>
      <c r="T10" s="317">
        <v>-1978915.9427384699</v>
      </c>
      <c r="U10" s="317">
        <v>-1987898.1109991302</v>
      </c>
      <c r="V10" s="317">
        <v>-2004225.00269062</v>
      </c>
      <c r="W10" s="317">
        <v>-2020109.64934175</v>
      </c>
      <c r="X10" s="368">
        <f t="shared" ref="X10:X73" si="0">SUM(K10:W10)/13</f>
        <v>-1960237.8331585785</v>
      </c>
    </row>
    <row r="11" spans="1:57">
      <c r="B11" s="317"/>
      <c r="X11" s="368">
        <f t="shared" si="0"/>
        <v>0</v>
      </c>
    </row>
    <row r="12" spans="1:57" ht="15.75" thickBot="1">
      <c r="A12" s="353" t="s">
        <v>407</v>
      </c>
      <c r="B12" s="364">
        <v>4247409.040850779</v>
      </c>
      <c r="C12" s="364">
        <v>4275399.4194208998</v>
      </c>
      <c r="D12" s="364">
        <v>4296855.3104088306</v>
      </c>
      <c r="E12" s="364">
        <v>4320430.8081376292</v>
      </c>
      <c r="F12" s="364">
        <v>4336816.979430398</v>
      </c>
      <c r="G12" s="364">
        <v>4356820.8072149288</v>
      </c>
      <c r="H12" s="364">
        <v>4382920.8622717587</v>
      </c>
      <c r="I12" s="364">
        <v>4391962.1807123683</v>
      </c>
      <c r="J12" s="364">
        <v>4412186.843869919</v>
      </c>
      <c r="K12" s="364">
        <v>4434689.6473003197</v>
      </c>
      <c r="L12" s="364">
        <v>4442080.2559554391</v>
      </c>
      <c r="M12" s="364">
        <v>4449947.2501981193</v>
      </c>
      <c r="N12" s="364">
        <v>4457967.8257041583</v>
      </c>
      <c r="O12" s="364">
        <v>4468544.6367863286</v>
      </c>
      <c r="P12" s="364">
        <v>4477584.9294210393</v>
      </c>
      <c r="Q12" s="364">
        <v>4502195.0721327784</v>
      </c>
      <c r="R12" s="364">
        <v>4514012.0233308598</v>
      </c>
      <c r="S12" s="364">
        <v>4518551.0056209993</v>
      </c>
      <c r="T12" s="364">
        <v>4515256.0154902292</v>
      </c>
      <c r="U12" s="364">
        <v>4513210.9426048677</v>
      </c>
      <c r="V12" s="364">
        <v>4517870.1562148798</v>
      </c>
      <c r="W12" s="364">
        <v>4526620.0558778495</v>
      </c>
      <c r="X12" s="368">
        <f t="shared" si="0"/>
        <v>4487579.2166644512</v>
      </c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  <c r="AU12" s="746"/>
      <c r="AV12" s="746"/>
      <c r="AW12" s="746"/>
    </row>
    <row r="13" spans="1:57">
      <c r="B13" s="317"/>
      <c r="X13" s="368">
        <f t="shared" si="0"/>
        <v>0</v>
      </c>
    </row>
    <row r="14" spans="1:57">
      <c r="A14" s="353" t="s">
        <v>408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8">
        <f t="shared" si="0"/>
        <v>0</v>
      </c>
      <c r="Y14" s="745"/>
      <c r="Z14" s="745"/>
      <c r="AA14" s="745"/>
      <c r="AB14" s="745"/>
      <c r="AC14" s="745"/>
      <c r="AD14" s="745"/>
      <c r="AE14" s="745"/>
      <c r="AF14" s="745"/>
      <c r="AG14" s="745"/>
      <c r="AH14" s="745"/>
      <c r="AI14" s="745"/>
      <c r="AJ14" s="745"/>
      <c r="AK14" s="745"/>
      <c r="AL14" s="745"/>
      <c r="AM14" s="745"/>
      <c r="AN14" s="745"/>
      <c r="AO14" s="745"/>
      <c r="AP14" s="745"/>
      <c r="AQ14" s="745"/>
      <c r="AR14" s="745"/>
      <c r="AS14" s="745"/>
      <c r="AT14" s="745"/>
      <c r="AU14" s="745"/>
      <c r="AV14" s="745"/>
      <c r="AW14" s="745"/>
    </row>
    <row r="15" spans="1:57">
      <c r="A15" s="318" t="s">
        <v>409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8">
        <f t="shared" si="0"/>
        <v>0</v>
      </c>
      <c r="Y15" s="745"/>
      <c r="Z15" s="745"/>
      <c r="AA15" s="745"/>
      <c r="AB15" s="745"/>
      <c r="AC15" s="745"/>
      <c r="AD15" s="745"/>
      <c r="AE15" s="745"/>
      <c r="AF15" s="745"/>
      <c r="AG15" s="745"/>
      <c r="AH15" s="745"/>
      <c r="AI15" s="745"/>
      <c r="AJ15" s="745"/>
      <c r="AK15" s="745"/>
      <c r="AL15" s="745"/>
      <c r="AM15" s="745"/>
      <c r="AN15" s="745"/>
      <c r="AO15" s="745"/>
      <c r="AP15" s="745"/>
      <c r="AQ15" s="745"/>
      <c r="AR15" s="745"/>
      <c r="AS15" s="745"/>
      <c r="AT15" s="745"/>
      <c r="AU15" s="745"/>
      <c r="AV15" s="745"/>
      <c r="AW15" s="745"/>
    </row>
    <row r="16" spans="1:57" ht="15.75" thickBot="1">
      <c r="A16" s="318" t="s">
        <v>410</v>
      </c>
      <c r="B16" s="316">
        <v>594.28599999999994</v>
      </c>
      <c r="C16" s="316">
        <v>594.28599999999994</v>
      </c>
      <c r="D16" s="316">
        <v>594.28599999999994</v>
      </c>
      <c r="E16" s="316">
        <v>594.28599999999994</v>
      </c>
      <c r="F16" s="316">
        <v>594.28599999999994</v>
      </c>
      <c r="G16" s="316">
        <v>594.28599999999994</v>
      </c>
      <c r="H16" s="316">
        <v>594.28599999999994</v>
      </c>
      <c r="I16" s="316">
        <v>594.28599999999994</v>
      </c>
      <c r="J16" s="316">
        <v>594.28599999999994</v>
      </c>
      <c r="K16" s="316">
        <v>594.28599999999994</v>
      </c>
      <c r="L16" s="316">
        <v>594.28599999999994</v>
      </c>
      <c r="M16" s="316">
        <v>594.28599999999994</v>
      </c>
      <c r="N16" s="316">
        <v>594.28599999999994</v>
      </c>
      <c r="O16" s="316">
        <v>594.28599999999994</v>
      </c>
      <c r="P16" s="316">
        <v>594.28599999999994</v>
      </c>
      <c r="Q16" s="316">
        <v>594.28599999999994</v>
      </c>
      <c r="R16" s="316">
        <v>594.28599999999994</v>
      </c>
      <c r="S16" s="316">
        <v>594.28599999999994</v>
      </c>
      <c r="T16" s="316">
        <v>594.28599999999994</v>
      </c>
      <c r="U16" s="316">
        <v>594.28599999999994</v>
      </c>
      <c r="V16" s="316">
        <v>594.28599999999994</v>
      </c>
      <c r="W16" s="316">
        <v>594.28599999999994</v>
      </c>
      <c r="X16" s="368">
        <f t="shared" si="0"/>
        <v>594.28599999999994</v>
      </c>
    </row>
    <row r="17" spans="1:49">
      <c r="A17" s="318" t="s">
        <v>411</v>
      </c>
      <c r="B17" s="317">
        <v>594.28599999999994</v>
      </c>
      <c r="C17" s="317">
        <v>594.28599999999994</v>
      </c>
      <c r="D17" s="317">
        <v>594.28599999999994</v>
      </c>
      <c r="E17" s="317">
        <v>594.28599999999994</v>
      </c>
      <c r="F17" s="317">
        <v>594.28599999999994</v>
      </c>
      <c r="G17" s="317">
        <v>594.28599999999994</v>
      </c>
      <c r="H17" s="317">
        <v>594.28599999999994</v>
      </c>
      <c r="I17" s="317">
        <v>594.28599999999994</v>
      </c>
      <c r="J17" s="317">
        <v>594.28599999999994</v>
      </c>
      <c r="K17" s="317">
        <v>594.28599999999994</v>
      </c>
      <c r="L17" s="317">
        <v>594.28599999999994</v>
      </c>
      <c r="M17" s="317">
        <v>594.28599999999994</v>
      </c>
      <c r="N17" s="317">
        <v>594.28599999999994</v>
      </c>
      <c r="O17" s="317">
        <v>594.28599999999994</v>
      </c>
      <c r="P17" s="317">
        <v>594.28599999999994</v>
      </c>
      <c r="Q17" s="317">
        <v>594.28599999999994</v>
      </c>
      <c r="R17" s="317">
        <v>594.28599999999994</v>
      </c>
      <c r="S17" s="317">
        <v>594.28599999999994</v>
      </c>
      <c r="T17" s="317">
        <v>594.28599999999994</v>
      </c>
      <c r="U17" s="317">
        <v>594.28599999999994</v>
      </c>
      <c r="V17" s="317">
        <v>594.28599999999994</v>
      </c>
      <c r="W17" s="317">
        <v>594.28599999999994</v>
      </c>
      <c r="X17" s="368">
        <f t="shared" si="0"/>
        <v>594.28599999999994</v>
      </c>
    </row>
    <row r="18" spans="1:49"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8">
        <f t="shared" si="0"/>
        <v>0</v>
      </c>
      <c r="Y18" s="745"/>
      <c r="Z18" s="745"/>
      <c r="AA18" s="745"/>
      <c r="AB18" s="745"/>
      <c r="AC18" s="745"/>
      <c r="AD18" s="745"/>
      <c r="AE18" s="745"/>
      <c r="AF18" s="745"/>
      <c r="AG18" s="745"/>
      <c r="AH18" s="745"/>
      <c r="AI18" s="745"/>
      <c r="AJ18" s="745"/>
      <c r="AK18" s="745"/>
      <c r="AL18" s="745"/>
      <c r="AM18" s="745"/>
      <c r="AN18" s="745"/>
      <c r="AO18" s="745"/>
      <c r="AP18" s="745"/>
      <c r="AQ18" s="745"/>
      <c r="AR18" s="745"/>
      <c r="AS18" s="745"/>
      <c r="AT18" s="745"/>
      <c r="AU18" s="745"/>
      <c r="AV18" s="745"/>
      <c r="AW18" s="745"/>
    </row>
    <row r="19" spans="1:49">
      <c r="A19" s="318" t="s">
        <v>414</v>
      </c>
      <c r="B19" s="317">
        <v>391.60026779999993</v>
      </c>
      <c r="C19" s="317">
        <v>391.60026779999993</v>
      </c>
      <c r="D19" s="317">
        <v>391.60026779999993</v>
      </c>
      <c r="E19" s="317">
        <v>391.60026779999993</v>
      </c>
      <c r="F19" s="317">
        <v>391.60026779999993</v>
      </c>
      <c r="G19" s="317">
        <v>391.60026779999993</v>
      </c>
      <c r="H19" s="317">
        <v>391.60026779999993</v>
      </c>
      <c r="I19" s="317">
        <v>391.60026779999993</v>
      </c>
      <c r="J19" s="317">
        <v>391.60026779999993</v>
      </c>
      <c r="K19" s="317">
        <v>391.60026779999993</v>
      </c>
      <c r="L19" s="317">
        <v>391.60026779999993</v>
      </c>
      <c r="M19" s="317">
        <v>391.60026779999993</v>
      </c>
      <c r="N19" s="317">
        <v>391.60026779999993</v>
      </c>
      <c r="O19" s="317">
        <v>391.60026779999993</v>
      </c>
      <c r="P19" s="317">
        <v>391.60026779999993</v>
      </c>
      <c r="Q19" s="317">
        <v>391.60026779999993</v>
      </c>
      <c r="R19" s="317">
        <v>391.60026779999993</v>
      </c>
      <c r="S19" s="317">
        <v>391.60026779999993</v>
      </c>
      <c r="T19" s="317">
        <v>391.60026779999993</v>
      </c>
      <c r="U19" s="317">
        <v>391.60026779999993</v>
      </c>
      <c r="V19" s="317">
        <v>391.60026779999993</v>
      </c>
      <c r="W19" s="317">
        <v>391.60026779999993</v>
      </c>
      <c r="X19" s="368">
        <f t="shared" si="0"/>
        <v>391.60026779999987</v>
      </c>
    </row>
    <row r="20" spans="1:49">
      <c r="A20" s="318" t="s">
        <v>562</v>
      </c>
      <c r="B20" s="317">
        <v>2677.1865152004339</v>
      </c>
      <c r="C20" s="317">
        <v>3750.5925706819712</v>
      </c>
      <c r="D20" s="317">
        <v>4817.6017592533517</v>
      </c>
      <c r="E20" s="317">
        <v>5880.0792063142781</v>
      </c>
      <c r="F20" s="317">
        <v>6942.5374325775283</v>
      </c>
      <c r="G20" s="317">
        <v>8002.9491568146059</v>
      </c>
      <c r="H20" s="317">
        <v>9557.8004172504588</v>
      </c>
      <c r="I20" s="317">
        <v>10575.794898996211</v>
      </c>
      <c r="J20" s="317">
        <v>11589.635096391441</v>
      </c>
      <c r="K20" s="317">
        <v>12601.398846322498</v>
      </c>
      <c r="L20" s="317">
        <v>13589.916986182323</v>
      </c>
      <c r="M20" s="317">
        <v>14563.603985888585</v>
      </c>
      <c r="N20" s="317">
        <v>15513.662716890625</v>
      </c>
      <c r="O20" s="317">
        <v>16485.599042647114</v>
      </c>
      <c r="P20" s="317">
        <v>17446.054929498157</v>
      </c>
      <c r="Q20" s="317">
        <v>18430.554457634731</v>
      </c>
      <c r="R20" s="317">
        <v>19414.446946541331</v>
      </c>
      <c r="S20" s="317">
        <v>20420.203453300139</v>
      </c>
      <c r="T20" s="317">
        <v>21469.073832821879</v>
      </c>
      <c r="U20" s="317">
        <v>22513.291381140891</v>
      </c>
      <c r="V20" s="317">
        <v>23556.178969988548</v>
      </c>
      <c r="W20" s="317">
        <v>24579.906942373625</v>
      </c>
      <c r="X20" s="368">
        <f t="shared" si="0"/>
        <v>18506.45326855619</v>
      </c>
    </row>
    <row r="21" spans="1:49"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8">
        <f t="shared" si="0"/>
        <v>0</v>
      </c>
      <c r="Y21" s="745"/>
      <c r="Z21" s="745"/>
      <c r="AA21" s="745"/>
      <c r="AB21" s="745"/>
      <c r="AC21" s="745"/>
      <c r="AD21" s="745"/>
      <c r="AE21" s="745"/>
      <c r="AF21" s="745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</row>
    <row r="22" spans="1:49" ht="15.75" thickBot="1">
      <c r="A22" s="353" t="s">
        <v>416</v>
      </c>
      <c r="B22" s="364">
        <v>3663.0727830004334</v>
      </c>
      <c r="C22" s="364">
        <v>4736.4788384819713</v>
      </c>
      <c r="D22" s="364">
        <v>5803.4880270533513</v>
      </c>
      <c r="E22" s="364">
        <v>6865.9654741142776</v>
      </c>
      <c r="F22" s="364">
        <v>7928.4237003775279</v>
      </c>
      <c r="G22" s="364">
        <v>8988.8354246146064</v>
      </c>
      <c r="H22" s="364">
        <v>10543.686685050459</v>
      </c>
      <c r="I22" s="364">
        <v>11561.681166796212</v>
      </c>
      <c r="J22" s="364">
        <v>12575.521364191442</v>
      </c>
      <c r="K22" s="364">
        <v>13587.285114122498</v>
      </c>
      <c r="L22" s="364">
        <v>14575.803253982323</v>
      </c>
      <c r="M22" s="364">
        <v>15549.490253688586</v>
      </c>
      <c r="N22" s="364">
        <v>16499.548984690624</v>
      </c>
      <c r="O22" s="364">
        <v>17471.485310447115</v>
      </c>
      <c r="P22" s="364">
        <v>18431.941197298158</v>
      </c>
      <c r="Q22" s="364">
        <v>19416.440725434732</v>
      </c>
      <c r="R22" s="364">
        <v>20400.333214341332</v>
      </c>
      <c r="S22" s="364">
        <v>21406.089721100139</v>
      </c>
      <c r="T22" s="364">
        <v>22454.96010062188</v>
      </c>
      <c r="U22" s="364">
        <v>23499.177648940891</v>
      </c>
      <c r="V22" s="364">
        <v>24542.065237788549</v>
      </c>
      <c r="W22" s="364">
        <v>25565.793210173626</v>
      </c>
      <c r="X22" s="368">
        <f t="shared" si="0"/>
        <v>19492.33953635619</v>
      </c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/>
      <c r="AP22" s="746"/>
      <c r="AQ22" s="746"/>
      <c r="AR22" s="746"/>
      <c r="AS22" s="746"/>
      <c r="AT22" s="746"/>
      <c r="AU22" s="746"/>
      <c r="AV22" s="746"/>
      <c r="AW22" s="746"/>
    </row>
    <row r="23" spans="1:49">
      <c r="B23" s="317"/>
      <c r="X23" s="368">
        <f t="shared" si="0"/>
        <v>0</v>
      </c>
    </row>
    <row r="24" spans="1:49">
      <c r="A24" s="353" t="s">
        <v>417</v>
      </c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8">
        <f t="shared" si="0"/>
        <v>0</v>
      </c>
      <c r="Y24" s="745"/>
      <c r="Z24" s="745"/>
      <c r="AA24" s="745"/>
      <c r="AB24" s="745"/>
      <c r="AC24" s="745"/>
      <c r="AD24" s="745"/>
      <c r="AE24" s="745"/>
      <c r="AF24" s="745"/>
      <c r="AG24" s="745"/>
      <c r="AH24" s="745"/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  <c r="AT24" s="745"/>
      <c r="AU24" s="745"/>
      <c r="AV24" s="745"/>
      <c r="AW24" s="745"/>
    </row>
    <row r="25" spans="1:49">
      <c r="A25" s="318" t="s">
        <v>418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8">
        <f t="shared" si="0"/>
        <v>0</v>
      </c>
      <c r="Y25" s="745"/>
      <c r="Z25" s="745"/>
      <c r="AA25" s="745"/>
      <c r="AB25" s="745"/>
      <c r="AC25" s="745"/>
      <c r="AD25" s="745"/>
      <c r="AE25" s="745"/>
      <c r="AF25" s="745"/>
      <c r="AG25" s="745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745"/>
      <c r="AV25" s="745"/>
      <c r="AW25" s="745"/>
    </row>
    <row r="26" spans="1:49">
      <c r="A26" s="318" t="s">
        <v>419</v>
      </c>
      <c r="B26" s="368">
        <v>4113.4239044848227</v>
      </c>
      <c r="C26" s="368">
        <v>4109.0080457639224</v>
      </c>
      <c r="D26" s="368">
        <v>4101.1159453287255</v>
      </c>
      <c r="E26" s="368">
        <v>4092.9472568664892</v>
      </c>
      <c r="F26" s="368">
        <v>4087.2865966921922</v>
      </c>
      <c r="G26" s="368">
        <v>4082.0946496314255</v>
      </c>
      <c r="H26" s="368">
        <v>4079.3227049184252</v>
      </c>
      <c r="I26" s="368">
        <v>4074.8212548984807</v>
      </c>
      <c r="J26" s="368">
        <v>4069.65900780018</v>
      </c>
      <c r="K26" s="368">
        <v>4064.6675861239605</v>
      </c>
      <c r="L26" s="368">
        <v>4053.4942341544743</v>
      </c>
      <c r="M26" s="368">
        <v>4039.7715398943451</v>
      </c>
      <c r="N26" s="368">
        <v>4021.7194090558878</v>
      </c>
      <c r="O26" s="368">
        <v>4011.2078341490005</v>
      </c>
      <c r="P26" s="368">
        <v>3999.2809719593174</v>
      </c>
      <c r="Q26" s="368">
        <v>3993.8690674556001</v>
      </c>
      <c r="R26" s="368">
        <v>3988.8937738499799</v>
      </c>
      <c r="S26" s="368">
        <v>3988.6797843000613</v>
      </c>
      <c r="T26" s="368">
        <v>3986.5919617649088</v>
      </c>
      <c r="U26" s="368">
        <v>3983.8771772241571</v>
      </c>
      <c r="V26" s="368">
        <v>3981.1815100208055</v>
      </c>
      <c r="W26" s="368">
        <v>3975.6186791725208</v>
      </c>
      <c r="X26" s="368">
        <f t="shared" si="0"/>
        <v>4006.8348868557705</v>
      </c>
    </row>
    <row r="27" spans="1:49" ht="15.75" thickBot="1">
      <c r="A27" s="318" t="s">
        <v>423</v>
      </c>
      <c r="B27" s="316">
        <v>16.280931813950929</v>
      </c>
      <c r="C27" s="316">
        <v>16.263453845133604</v>
      </c>
      <c r="D27" s="316">
        <v>16.232216911611093</v>
      </c>
      <c r="E27" s="316">
        <v>16.199885242677563</v>
      </c>
      <c r="F27" s="316">
        <v>16.177480349707697</v>
      </c>
      <c r="G27" s="316">
        <v>16.15693062324118</v>
      </c>
      <c r="H27" s="316">
        <v>16.145959266067127</v>
      </c>
      <c r="I27" s="316">
        <v>16.128142526888187</v>
      </c>
      <c r="J27" s="316">
        <v>16.107710352873113</v>
      </c>
      <c r="K27" s="316">
        <v>16.087954305878636</v>
      </c>
      <c r="L27" s="316">
        <v>16.043730178783409</v>
      </c>
      <c r="M27" s="316">
        <v>15.989415754901817</v>
      </c>
      <c r="N27" s="316">
        <v>15.917965421043203</v>
      </c>
      <c r="O27" s="316">
        <v>15.876360607561743</v>
      </c>
      <c r="P27" s="316">
        <v>15.829154087014977</v>
      </c>
      <c r="Q27" s="316">
        <v>15.807733768989264</v>
      </c>
      <c r="R27" s="316">
        <v>15.78804155689822</v>
      </c>
      <c r="S27" s="316">
        <v>15.787194586259643</v>
      </c>
      <c r="T27" s="316">
        <v>15.778930984665507</v>
      </c>
      <c r="U27" s="316">
        <v>15.768185867453214</v>
      </c>
      <c r="V27" s="316">
        <v>15.757516416662346</v>
      </c>
      <c r="W27" s="316">
        <v>15.735498732164835</v>
      </c>
      <c r="X27" s="368">
        <f t="shared" si="0"/>
        <v>15.859052482175141</v>
      </c>
    </row>
    <row r="28" spans="1:49">
      <c r="A28" s="318" t="s">
        <v>418</v>
      </c>
      <c r="B28" s="317">
        <v>4129.7048362987734</v>
      </c>
      <c r="C28" s="317">
        <v>4125.2714996090563</v>
      </c>
      <c r="D28" s="317">
        <v>4117.3481622403369</v>
      </c>
      <c r="E28" s="317">
        <v>4109.1471421091665</v>
      </c>
      <c r="F28" s="317">
        <v>4103.4640770419001</v>
      </c>
      <c r="G28" s="317">
        <v>4098.2515802546668</v>
      </c>
      <c r="H28" s="317">
        <v>4095.4686641844924</v>
      </c>
      <c r="I28" s="317">
        <v>4090.9493974253687</v>
      </c>
      <c r="J28" s="317">
        <v>4085.7667181530533</v>
      </c>
      <c r="K28" s="317">
        <v>4080.7555404298391</v>
      </c>
      <c r="L28" s="317">
        <v>4069.5379643332576</v>
      </c>
      <c r="M28" s="317">
        <v>4055.7609556492471</v>
      </c>
      <c r="N28" s="317">
        <v>4037.6373744769312</v>
      </c>
      <c r="O28" s="317">
        <v>4027.0841947565623</v>
      </c>
      <c r="P28" s="317">
        <v>4015.1101260463324</v>
      </c>
      <c r="Q28" s="317">
        <v>4009.6768012245893</v>
      </c>
      <c r="R28" s="317">
        <v>4004.6818154068783</v>
      </c>
      <c r="S28" s="317">
        <v>4004.4669788863212</v>
      </c>
      <c r="T28" s="317">
        <v>4002.3708927495741</v>
      </c>
      <c r="U28" s="317">
        <v>3999.6453630916103</v>
      </c>
      <c r="V28" s="317">
        <v>3996.9390264374679</v>
      </c>
      <c r="W28" s="317">
        <v>3991.3541779046855</v>
      </c>
      <c r="X28" s="368">
        <f t="shared" si="0"/>
        <v>4022.6939393379457</v>
      </c>
    </row>
    <row r="29" spans="1:49"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8">
        <f t="shared" si="0"/>
        <v>0</v>
      </c>
      <c r="Y29" s="745"/>
      <c r="Z29" s="745"/>
      <c r="AA29" s="745"/>
      <c r="AB29" s="745"/>
      <c r="AC29" s="745"/>
      <c r="AD29" s="745"/>
      <c r="AE29" s="745"/>
      <c r="AF29" s="745"/>
      <c r="AG29" s="745"/>
      <c r="AH29" s="745"/>
      <c r="AI29" s="745"/>
      <c r="AJ29" s="745"/>
      <c r="AK29" s="745"/>
      <c r="AL29" s="745"/>
      <c r="AM29" s="745"/>
      <c r="AN29" s="745"/>
      <c r="AO29" s="745"/>
      <c r="AP29" s="745"/>
      <c r="AQ29" s="745"/>
      <c r="AR29" s="745"/>
      <c r="AS29" s="745"/>
      <c r="AT29" s="745"/>
      <c r="AU29" s="745"/>
      <c r="AV29" s="745"/>
      <c r="AW29" s="745"/>
    </row>
    <row r="30" spans="1:49">
      <c r="A30" s="318" t="s">
        <v>420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8">
        <f t="shared" si="0"/>
        <v>0</v>
      </c>
      <c r="Y30" s="745"/>
      <c r="Z30" s="745"/>
      <c r="AA30" s="745"/>
      <c r="AB30" s="745"/>
      <c r="AC30" s="745"/>
      <c r="AD30" s="745"/>
      <c r="AE30" s="745"/>
      <c r="AF30" s="745"/>
      <c r="AG30" s="745"/>
      <c r="AH30" s="745"/>
      <c r="AI30" s="745"/>
      <c r="AJ30" s="745"/>
      <c r="AK30" s="745"/>
      <c r="AL30" s="745"/>
      <c r="AM30" s="745"/>
      <c r="AN30" s="745"/>
      <c r="AO30" s="745"/>
      <c r="AP30" s="745"/>
      <c r="AQ30" s="745"/>
      <c r="AR30" s="745"/>
      <c r="AS30" s="745"/>
      <c r="AT30" s="745"/>
      <c r="AU30" s="745"/>
      <c r="AV30" s="745"/>
      <c r="AW30" s="745"/>
    </row>
    <row r="31" spans="1:49" ht="15.75" thickBot="1">
      <c r="A31" s="318" t="s">
        <v>421</v>
      </c>
      <c r="B31" s="747">
        <v>-1.0475184292370084E-11</v>
      </c>
      <c r="C31" s="747">
        <v>-5.1618984463961279E-12</v>
      </c>
      <c r="D31" s="747">
        <v>-4.2194982717347697E-12</v>
      </c>
      <c r="E31" s="747">
        <v>-8.8409703812957482E-12</v>
      </c>
      <c r="F31" s="747">
        <v>2.0143474326528804E-11</v>
      </c>
      <c r="G31" s="747">
        <v>1.6033978925493701E-11</v>
      </c>
      <c r="H31" s="747">
        <v>-1.2707169175287635E-11</v>
      </c>
      <c r="I31" s="747">
        <v>-8.5701905408792868E-13</v>
      </c>
      <c r="J31" s="747">
        <v>-6.7780666159106431E-12</v>
      </c>
      <c r="K31" s="747">
        <v>1.5364798541511529E-11</v>
      </c>
      <c r="L31" s="747">
        <v>-8.9631229064143676E-12</v>
      </c>
      <c r="M31" s="747">
        <v>-1.1481721287209281E-13</v>
      </c>
      <c r="N31" s="747">
        <v>2.7661601990062181E-12</v>
      </c>
      <c r="O31" s="747">
        <v>-2.2117044404265687E-12</v>
      </c>
      <c r="P31" s="747">
        <v>-2.6597938001443645E-12</v>
      </c>
      <c r="Q31" s="747">
        <v>7.4918306851279091E-13</v>
      </c>
      <c r="R31" s="747">
        <v>-1.0271428888893517E-11</v>
      </c>
      <c r="S31" s="747">
        <v>-8.3890172401823474E-13</v>
      </c>
      <c r="T31" s="747">
        <v>3.1725612339362619E-13</v>
      </c>
      <c r="U31" s="747">
        <v>-1.0869945555598361E-12</v>
      </c>
      <c r="V31" s="747">
        <v>5.0692088862243697E-12</v>
      </c>
      <c r="W31" s="747">
        <v>2.3728714570160862E-13</v>
      </c>
      <c r="X31" s="368">
        <f t="shared" si="0"/>
        <v>-1.2637458184452598E-13</v>
      </c>
    </row>
    <row r="32" spans="1:49">
      <c r="A32" s="318" t="s">
        <v>420</v>
      </c>
      <c r="B32" s="317">
        <v>-1.0475184292370084E-11</v>
      </c>
      <c r="C32" s="317">
        <v>-5.1618984463961279E-12</v>
      </c>
      <c r="D32" s="317">
        <v>-4.2194982717347697E-12</v>
      </c>
      <c r="E32" s="317">
        <v>-8.8409703812957482E-12</v>
      </c>
      <c r="F32" s="317">
        <v>2.0143474326528804E-11</v>
      </c>
      <c r="G32" s="317">
        <v>1.6033978925493701E-11</v>
      </c>
      <c r="H32" s="317">
        <v>-1.2707169175287635E-11</v>
      </c>
      <c r="I32" s="317">
        <v>-8.5701905408792868E-13</v>
      </c>
      <c r="J32" s="317">
        <v>-6.7780666159106431E-12</v>
      </c>
      <c r="K32" s="317">
        <v>1.5364798541511529E-11</v>
      </c>
      <c r="L32" s="317">
        <v>-8.9631229064143676E-12</v>
      </c>
      <c r="M32" s="317">
        <v>-1.1481721287209281E-13</v>
      </c>
      <c r="N32" s="317">
        <v>2.7661601990062181E-12</v>
      </c>
      <c r="O32" s="317">
        <v>-2.2117044404265687E-12</v>
      </c>
      <c r="P32" s="317">
        <v>-2.6597938001443645E-12</v>
      </c>
      <c r="Q32" s="317">
        <v>7.4918306851279091E-13</v>
      </c>
      <c r="R32" s="317">
        <v>-1.0271428888893517E-11</v>
      </c>
      <c r="S32" s="317">
        <v>-8.3890172401823474E-13</v>
      </c>
      <c r="T32" s="317">
        <v>3.1725612339362619E-13</v>
      </c>
      <c r="U32" s="317">
        <v>-1.0869945555598361E-12</v>
      </c>
      <c r="V32" s="317">
        <v>5.0692088862243697E-12</v>
      </c>
      <c r="W32" s="317">
        <v>2.3728714570160862E-13</v>
      </c>
      <c r="X32" s="368">
        <f t="shared" si="0"/>
        <v>-1.2637458184452598E-13</v>
      </c>
    </row>
    <row r="33" spans="1:49"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8">
        <f t="shared" si="0"/>
        <v>0</v>
      </c>
      <c r="Y33" s="745"/>
      <c r="Z33" s="745"/>
      <c r="AA33" s="745"/>
      <c r="AB33" s="745"/>
      <c r="AC33" s="745"/>
      <c r="AD33" s="745"/>
      <c r="AE33" s="745"/>
      <c r="AF33" s="745"/>
      <c r="AG33" s="745"/>
      <c r="AH33" s="745"/>
      <c r="AI33" s="745"/>
      <c r="AJ33" s="745"/>
      <c r="AK33" s="745"/>
      <c r="AL33" s="745"/>
      <c r="AM33" s="745"/>
      <c r="AN33" s="745"/>
      <c r="AO33" s="745"/>
      <c r="AP33" s="745"/>
      <c r="AQ33" s="745"/>
      <c r="AR33" s="745"/>
      <c r="AS33" s="745"/>
      <c r="AT33" s="745"/>
      <c r="AU33" s="745"/>
      <c r="AV33" s="745"/>
      <c r="AW33" s="745"/>
    </row>
    <row r="34" spans="1:49">
      <c r="A34" s="318" t="s">
        <v>422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8">
        <f t="shared" si="0"/>
        <v>0</v>
      </c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</row>
    <row r="35" spans="1:49">
      <c r="A35" s="318" t="s">
        <v>424</v>
      </c>
      <c r="B35" s="317">
        <v>93869.376180253021</v>
      </c>
      <c r="C35" s="317">
        <v>97100.74678858713</v>
      </c>
      <c r="D35" s="317">
        <v>91340.183970878817</v>
      </c>
      <c r="E35" s="317">
        <v>80847.371367514468</v>
      </c>
      <c r="F35" s="317">
        <v>80047.904731761504</v>
      </c>
      <c r="G35" s="317">
        <v>90274.174871878349</v>
      </c>
      <c r="H35" s="317">
        <v>99874.941567728776</v>
      </c>
      <c r="I35" s="317">
        <v>107612.37554830105</v>
      </c>
      <c r="J35" s="317">
        <v>93833.633392750227</v>
      </c>
      <c r="K35" s="317">
        <v>84718.822690236455</v>
      </c>
      <c r="L35" s="317">
        <v>77813.871265893875</v>
      </c>
      <c r="M35" s="317">
        <v>84901.148594047467</v>
      </c>
      <c r="N35" s="317">
        <v>94958.81608664032</v>
      </c>
      <c r="O35" s="317">
        <v>97149.767091085538</v>
      </c>
      <c r="P35" s="317">
        <v>90947.042276941807</v>
      </c>
      <c r="Q35" s="317">
        <v>80233.272932481836</v>
      </c>
      <c r="R35" s="317">
        <v>79446.148672249852</v>
      </c>
      <c r="S35" s="317">
        <v>89017.791163715199</v>
      </c>
      <c r="T35" s="317">
        <v>99289.199637413185</v>
      </c>
      <c r="U35" s="317">
        <v>107990.04120876291</v>
      </c>
      <c r="V35" s="317">
        <v>93663.472238424103</v>
      </c>
      <c r="W35" s="317">
        <v>86084.096292483402</v>
      </c>
      <c r="X35" s="368">
        <f t="shared" si="0"/>
        <v>89708.730011567372</v>
      </c>
    </row>
    <row r="36" spans="1:49">
      <c r="A36" s="318" t="s">
        <v>425</v>
      </c>
      <c r="B36" s="317">
        <v>7039.18442056208</v>
      </c>
      <c r="C36" s="317">
        <v>7031.6276881091771</v>
      </c>
      <c r="D36" s="317">
        <v>7018.1221628535914</v>
      </c>
      <c r="E36" s="317">
        <v>7004.1433204354526</v>
      </c>
      <c r="F36" s="317">
        <v>6994.4563949363419</v>
      </c>
      <c r="G36" s="317">
        <v>6985.5715647532215</v>
      </c>
      <c r="H36" s="317">
        <v>6980.8280152208872</v>
      </c>
      <c r="I36" s="317">
        <v>6973.12481283132</v>
      </c>
      <c r="J36" s="317">
        <v>6964.2908073426488</v>
      </c>
      <c r="K36" s="317">
        <v>6955.7491305022459</v>
      </c>
      <c r="L36" s="317">
        <v>6936.6284935498252</v>
      </c>
      <c r="M36" s="317">
        <v>6913.1452402097739</v>
      </c>
      <c r="N36" s="317">
        <v>6882.2531461522003</v>
      </c>
      <c r="O36" s="317">
        <v>6864.2649893178268</v>
      </c>
      <c r="P36" s="317">
        <v>6843.8548919242003</v>
      </c>
      <c r="Q36" s="317">
        <v>6834.5936548738191</v>
      </c>
      <c r="R36" s="317">
        <v>6826.0795775383376</v>
      </c>
      <c r="S36" s="317">
        <v>6825.7133833553589</v>
      </c>
      <c r="T36" s="317">
        <v>6822.1405524962966</v>
      </c>
      <c r="U36" s="317">
        <v>6817.4948195282932</v>
      </c>
      <c r="V36" s="317">
        <v>6812.8818015118013</v>
      </c>
      <c r="W36" s="317">
        <v>6803.3622885341156</v>
      </c>
      <c r="X36" s="368">
        <f t="shared" si="0"/>
        <v>6856.7816899610834</v>
      </c>
    </row>
    <row r="37" spans="1:49">
      <c r="A37" s="318" t="s">
        <v>426</v>
      </c>
      <c r="B37" s="317">
        <v>3491.1425694378427</v>
      </c>
      <c r="C37" s="317">
        <v>3487.3947445797357</v>
      </c>
      <c r="D37" s="317">
        <v>3480.6965660230462</v>
      </c>
      <c r="E37" s="317">
        <v>3473.7636418486386</v>
      </c>
      <c r="F37" s="317">
        <v>3468.9593298777613</v>
      </c>
      <c r="G37" s="317">
        <v>3464.552823808122</v>
      </c>
      <c r="H37" s="317">
        <v>3462.2002206209977</v>
      </c>
      <c r="I37" s="317">
        <v>3458.3797527689758</v>
      </c>
      <c r="J37" s="317">
        <v>3453.998453632948</v>
      </c>
      <c r="K37" s="317">
        <v>3449.7621373425541</v>
      </c>
      <c r="L37" s="317">
        <v>3440.2790970311835</v>
      </c>
      <c r="M37" s="317">
        <v>3428.6323805216875</v>
      </c>
      <c r="N37" s="317">
        <v>3413.3111873010021</v>
      </c>
      <c r="O37" s="317">
        <v>3404.3898100052511</v>
      </c>
      <c r="P37" s="317">
        <v>3394.2672509699855</v>
      </c>
      <c r="Q37" s="317">
        <v>3389.6740627566187</v>
      </c>
      <c r="R37" s="317">
        <v>3385.4514346722399</v>
      </c>
      <c r="S37" s="317">
        <v>3385.2698175949627</v>
      </c>
      <c r="T37" s="317">
        <v>3383.4978421557294</v>
      </c>
      <c r="U37" s="317">
        <v>3381.193751914328</v>
      </c>
      <c r="V37" s="317">
        <v>3378.9058869275955</v>
      </c>
      <c r="W37" s="317">
        <v>3374.1846046012461</v>
      </c>
      <c r="X37" s="368">
        <f t="shared" si="0"/>
        <v>3400.6784049072598</v>
      </c>
    </row>
    <row r="38" spans="1:49">
      <c r="A38" s="318" t="s">
        <v>427</v>
      </c>
      <c r="B38" s="317">
        <v>0</v>
      </c>
      <c r="C38" s="317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7">
        <v>0</v>
      </c>
      <c r="T38" s="317">
        <v>0</v>
      </c>
      <c r="U38" s="317">
        <v>0</v>
      </c>
      <c r="V38" s="317">
        <v>0</v>
      </c>
      <c r="W38" s="317">
        <v>0</v>
      </c>
      <c r="X38" s="368">
        <f t="shared" si="0"/>
        <v>0</v>
      </c>
    </row>
    <row r="39" spans="1:49">
      <c r="A39" s="318" t="s">
        <v>428</v>
      </c>
      <c r="B39" s="317">
        <v>-670.97454171512265</v>
      </c>
      <c r="C39" s="317">
        <v>-670.25423453299527</v>
      </c>
      <c r="D39" s="317">
        <v>-668.96688885804485</v>
      </c>
      <c r="E39" s="317">
        <v>-667.63442662594025</v>
      </c>
      <c r="F39" s="317">
        <v>-666.71106959917893</v>
      </c>
      <c r="G39" s="317">
        <v>-665.86416823899845</v>
      </c>
      <c r="H39" s="317">
        <v>-665.41201344614149</v>
      </c>
      <c r="I39" s="317">
        <v>-664.67774476041416</v>
      </c>
      <c r="J39" s="317">
        <v>-663.83568800637374</v>
      </c>
      <c r="K39" s="317">
        <v>-663.02149599760537</v>
      </c>
      <c r="L39" s="317">
        <v>-661.19891828832192</v>
      </c>
      <c r="M39" s="317">
        <v>-658.96049630554307</v>
      </c>
      <c r="N39" s="317">
        <v>-656.01586416998578</v>
      </c>
      <c r="O39" s="317">
        <v>-654.30123438233784</v>
      </c>
      <c r="P39" s="317">
        <v>-652.35574539855065</v>
      </c>
      <c r="Q39" s="317">
        <v>-651.47296496344188</v>
      </c>
      <c r="R39" s="317">
        <v>-650.66140373745463</v>
      </c>
      <c r="S39" s="317">
        <v>-650.62649813484177</v>
      </c>
      <c r="T39" s="317">
        <v>-650.2859361598945</v>
      </c>
      <c r="U39" s="317">
        <v>-649.84310523476177</v>
      </c>
      <c r="V39" s="317">
        <v>-649.40339269640333</v>
      </c>
      <c r="W39" s="317">
        <v>-648.49599341888245</v>
      </c>
      <c r="X39" s="368">
        <f t="shared" si="0"/>
        <v>-653.58792683754041</v>
      </c>
    </row>
    <row r="40" spans="1:49">
      <c r="A40" s="318" t="s">
        <v>429</v>
      </c>
      <c r="B40" s="317">
        <v>-311.92217693110325</v>
      </c>
      <c r="C40" s="317">
        <v>-311.58732103070804</v>
      </c>
      <c r="D40" s="317">
        <v>-310.98886067129274</v>
      </c>
      <c r="E40" s="317">
        <v>-310.36942655825743</v>
      </c>
      <c r="F40" s="317">
        <v>-309.94017698772114</v>
      </c>
      <c r="G40" s="317">
        <v>-309.54647007413513</v>
      </c>
      <c r="H40" s="317">
        <v>-309.33627266942102</v>
      </c>
      <c r="I40" s="317">
        <v>-308.99492635497074</v>
      </c>
      <c r="J40" s="317">
        <v>-308.60347159850795</v>
      </c>
      <c r="K40" s="317">
        <v>-308.22497058539091</v>
      </c>
      <c r="L40" s="317">
        <v>-307.37769193119249</v>
      </c>
      <c r="M40" s="317">
        <v>-306.33709588119319</v>
      </c>
      <c r="N40" s="317">
        <v>-304.96819734796946</v>
      </c>
      <c r="O40" s="317">
        <v>-304.17110144828462</v>
      </c>
      <c r="P40" s="317">
        <v>-303.26668388652854</v>
      </c>
      <c r="Q40" s="317">
        <v>-302.8562975336165</v>
      </c>
      <c r="R40" s="317">
        <v>-302.47901951696366</v>
      </c>
      <c r="S40" s="317">
        <v>-302.4627926247685</v>
      </c>
      <c r="T40" s="317">
        <v>-302.30447241140547</v>
      </c>
      <c r="U40" s="317">
        <v>-302.09860947981531</v>
      </c>
      <c r="V40" s="317">
        <v>-301.89419622169368</v>
      </c>
      <c r="W40" s="317">
        <v>-301.47236507849334</v>
      </c>
      <c r="X40" s="368">
        <f t="shared" si="0"/>
        <v>-303.8394995344089</v>
      </c>
    </row>
    <row r="41" spans="1:49">
      <c r="A41" s="318" t="s">
        <v>430</v>
      </c>
      <c r="B41" s="317">
        <v>0</v>
      </c>
      <c r="C41" s="317">
        <v>0</v>
      </c>
      <c r="D41" s="317">
        <v>0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v>0</v>
      </c>
      <c r="K41" s="317">
        <v>0</v>
      </c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68">
        <f t="shared" si="0"/>
        <v>0</v>
      </c>
    </row>
    <row r="42" spans="1:49">
      <c r="A42" s="318" t="s">
        <v>431</v>
      </c>
      <c r="B42" s="317">
        <v>1105.882976290985</v>
      </c>
      <c r="C42" s="317">
        <v>1104.6957845260356</v>
      </c>
      <c r="D42" s="317">
        <v>1102.5740145064306</v>
      </c>
      <c r="E42" s="317">
        <v>1100.3778845381182</v>
      </c>
      <c r="F42" s="317">
        <v>1098.8560312434704</v>
      </c>
      <c r="G42" s="317">
        <v>1097.4601902113691</v>
      </c>
      <c r="H42" s="317">
        <v>1096.7149603151786</v>
      </c>
      <c r="I42" s="317">
        <v>1095.5047575592084</v>
      </c>
      <c r="J42" s="317">
        <v>1094.1169012823013</v>
      </c>
      <c r="K42" s="317">
        <v>1092.7749709616257</v>
      </c>
      <c r="L42" s="317">
        <v>1089.7710452739059</v>
      </c>
      <c r="M42" s="317">
        <v>1086.0817357537817</v>
      </c>
      <c r="N42" s="317">
        <v>1081.2284688297816</v>
      </c>
      <c r="O42" s="317">
        <v>1078.4024601291319</v>
      </c>
      <c r="P42" s="317">
        <v>1075.1959552411338</v>
      </c>
      <c r="Q42" s="317">
        <v>1073.740979240861</v>
      </c>
      <c r="R42" s="317">
        <v>1072.4033849086779</v>
      </c>
      <c r="S42" s="317">
        <v>1072.3458543925306</v>
      </c>
      <c r="T42" s="317">
        <v>1071.7845489076703</v>
      </c>
      <c r="U42" s="317">
        <v>1071.054686370371</v>
      </c>
      <c r="V42" s="317">
        <v>1070.3299634779207</v>
      </c>
      <c r="W42" s="317">
        <v>1068.8344113349972</v>
      </c>
      <c r="X42" s="368">
        <f t="shared" si="0"/>
        <v>1077.2268049863376</v>
      </c>
    </row>
    <row r="43" spans="1:49" ht="15.75" thickBot="1">
      <c r="A43" s="318" t="s">
        <v>432</v>
      </c>
      <c r="B43" s="316">
        <v>48783.525062500543</v>
      </c>
      <c r="C43" s="316">
        <v>51189.068319961007</v>
      </c>
      <c r="D43" s="316">
        <v>45523.764414922516</v>
      </c>
      <c r="E43" s="316">
        <v>43838.517001910775</v>
      </c>
      <c r="F43" s="316">
        <v>50070.232408101729</v>
      </c>
      <c r="G43" s="316">
        <v>62384.194771841234</v>
      </c>
      <c r="H43" s="316">
        <v>70171.968945137007</v>
      </c>
      <c r="I43" s="316">
        <v>56442.838229316912</v>
      </c>
      <c r="J43" s="316">
        <v>57529.801953372684</v>
      </c>
      <c r="K43" s="316">
        <v>45756.81233317373</v>
      </c>
      <c r="L43" s="316">
        <v>51417.269758307579</v>
      </c>
      <c r="M43" s="316">
        <v>50596.096393640742</v>
      </c>
      <c r="N43" s="316">
        <v>52113.157840287204</v>
      </c>
      <c r="O43" s="316">
        <v>54671.545278574464</v>
      </c>
      <c r="P43" s="316">
        <v>49144.76115519998</v>
      </c>
      <c r="Q43" s="316">
        <v>47100.530340781275</v>
      </c>
      <c r="R43" s="316">
        <v>53928.288338543069</v>
      </c>
      <c r="S43" s="316">
        <v>65970.089445870966</v>
      </c>
      <c r="T43" s="316">
        <v>73904.360363192245</v>
      </c>
      <c r="U43" s="316">
        <v>59350.881188467538</v>
      </c>
      <c r="V43" s="316">
        <v>61738.82969986945</v>
      </c>
      <c r="W43" s="316">
        <v>48798.367225005633</v>
      </c>
      <c r="X43" s="368">
        <f t="shared" si="0"/>
        <v>54960.845335454913</v>
      </c>
    </row>
    <row r="44" spans="1:49">
      <c r="A44" s="318" t="s">
        <v>422</v>
      </c>
      <c r="B44" s="317">
        <v>153306.21449039824</v>
      </c>
      <c r="C44" s="317">
        <v>158931.6917701994</v>
      </c>
      <c r="D44" s="317">
        <v>147485.38537965505</v>
      </c>
      <c r="E44" s="317">
        <v>135286.16936306324</v>
      </c>
      <c r="F44" s="317">
        <v>140703.75764933391</v>
      </c>
      <c r="G44" s="317">
        <v>163230.54358417916</v>
      </c>
      <c r="H44" s="317">
        <v>180611.90542290729</v>
      </c>
      <c r="I44" s="317">
        <v>174608.55042966208</v>
      </c>
      <c r="J44" s="317">
        <v>161903.40234877591</v>
      </c>
      <c r="K44" s="317">
        <v>141002.67479563362</v>
      </c>
      <c r="L44" s="317">
        <v>139729.24304983683</v>
      </c>
      <c r="M44" s="317">
        <v>145959.8067519867</v>
      </c>
      <c r="N44" s="317">
        <v>157487.78266769255</v>
      </c>
      <c r="O44" s="317">
        <v>162209.8972932816</v>
      </c>
      <c r="P44" s="317">
        <v>150449.49910099202</v>
      </c>
      <c r="Q44" s="317">
        <v>137677.48270763736</v>
      </c>
      <c r="R44" s="317">
        <v>143705.23098465777</v>
      </c>
      <c r="S44" s="317">
        <v>165318.12037416943</v>
      </c>
      <c r="T44" s="317">
        <v>183518.39253559383</v>
      </c>
      <c r="U44" s="317">
        <v>177658.72394032887</v>
      </c>
      <c r="V44" s="317">
        <v>165713.12200129277</v>
      </c>
      <c r="W44" s="317">
        <v>145178.87646346205</v>
      </c>
      <c r="X44" s="368">
        <f t="shared" si="0"/>
        <v>155046.83482050506</v>
      </c>
    </row>
    <row r="45" spans="1:49"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8">
        <f t="shared" si="0"/>
        <v>0</v>
      </c>
      <c r="Y45" s="745"/>
      <c r="Z45" s="745"/>
      <c r="AA45" s="745"/>
      <c r="AB45" s="745"/>
      <c r="AC45" s="745"/>
      <c r="AD45" s="745"/>
      <c r="AE45" s="745"/>
      <c r="AF45" s="745"/>
      <c r="AG45" s="745"/>
      <c r="AH45" s="745"/>
      <c r="AI45" s="745"/>
      <c r="AJ45" s="745"/>
      <c r="AK45" s="745"/>
      <c r="AL45" s="745"/>
      <c r="AM45" s="745"/>
      <c r="AN45" s="745"/>
      <c r="AO45" s="745"/>
      <c r="AP45" s="745"/>
      <c r="AQ45" s="745"/>
      <c r="AR45" s="745"/>
      <c r="AS45" s="745"/>
      <c r="AT45" s="745"/>
      <c r="AU45" s="745"/>
      <c r="AV45" s="745"/>
      <c r="AW45" s="745"/>
    </row>
    <row r="46" spans="1:49">
      <c r="A46" s="318" t="s">
        <v>433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8">
        <f t="shared" si="0"/>
        <v>0</v>
      </c>
      <c r="Y46" s="745"/>
      <c r="Z46" s="745"/>
      <c r="AA46" s="745"/>
      <c r="AB46" s="745"/>
      <c r="AC46" s="745"/>
      <c r="AD46" s="745"/>
      <c r="AE46" s="745"/>
      <c r="AF46" s="745"/>
      <c r="AG46" s="745"/>
      <c r="AH46" s="745"/>
      <c r="AI46" s="745"/>
      <c r="AJ46" s="745"/>
      <c r="AK46" s="745"/>
      <c r="AL46" s="745"/>
      <c r="AM46" s="745"/>
      <c r="AN46" s="745"/>
      <c r="AO46" s="745"/>
      <c r="AP46" s="745"/>
      <c r="AQ46" s="745"/>
      <c r="AR46" s="745"/>
      <c r="AS46" s="745"/>
      <c r="AT46" s="745"/>
      <c r="AU46" s="745"/>
      <c r="AV46" s="745"/>
      <c r="AW46" s="745"/>
    </row>
    <row r="47" spans="1:49">
      <c r="A47" s="318" t="s">
        <v>434</v>
      </c>
      <c r="B47" s="368">
        <v>18501.383146100896</v>
      </c>
      <c r="C47" s="368">
        <v>18990.467941821542</v>
      </c>
      <c r="D47" s="368">
        <v>20427.416329642529</v>
      </c>
      <c r="E47" s="368">
        <v>19968.715266572508</v>
      </c>
      <c r="F47" s="368">
        <v>21113.848313772429</v>
      </c>
      <c r="G47" s="368">
        <v>24564.357891559495</v>
      </c>
      <c r="H47" s="368">
        <v>24817.468838138935</v>
      </c>
      <c r="I47" s="368">
        <v>23290.293659282434</v>
      </c>
      <c r="J47" s="368">
        <v>22679.842188606413</v>
      </c>
      <c r="K47" s="368">
        <v>21133.435709007827</v>
      </c>
      <c r="L47" s="368">
        <v>20872.064749005214</v>
      </c>
      <c r="M47" s="368">
        <v>20196.35506580913</v>
      </c>
      <c r="N47" s="368">
        <v>20141.616528063802</v>
      </c>
      <c r="O47" s="368">
        <v>20303.116071518722</v>
      </c>
      <c r="P47" s="368">
        <v>21113.227246609353</v>
      </c>
      <c r="Q47" s="368">
        <v>21678.39217032072</v>
      </c>
      <c r="R47" s="368">
        <v>24206.349240673964</v>
      </c>
      <c r="S47" s="368">
        <v>25458.324623807115</v>
      </c>
      <c r="T47" s="368">
        <v>25785.392819675017</v>
      </c>
      <c r="U47" s="368">
        <v>24103.851877025263</v>
      </c>
      <c r="V47" s="368">
        <v>28290.227327746012</v>
      </c>
      <c r="W47" s="368">
        <v>22266.941231899087</v>
      </c>
      <c r="X47" s="368">
        <f t="shared" si="0"/>
        <v>22734.561127781632</v>
      </c>
    </row>
    <row r="48" spans="1:49" ht="15.75" thickBot="1">
      <c r="A48" s="318" t="s">
        <v>435</v>
      </c>
      <c r="B48" s="316">
        <v>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316">
        <v>0</v>
      </c>
      <c r="T48" s="316">
        <v>0</v>
      </c>
      <c r="U48" s="316">
        <v>0</v>
      </c>
      <c r="V48" s="316">
        <v>0</v>
      </c>
      <c r="W48" s="316">
        <v>0</v>
      </c>
      <c r="X48" s="368">
        <f t="shared" si="0"/>
        <v>0</v>
      </c>
    </row>
    <row r="49" spans="1:49">
      <c r="A49" s="318" t="s">
        <v>433</v>
      </c>
      <c r="B49" s="317">
        <v>18501.383146100896</v>
      </c>
      <c r="C49" s="317">
        <v>18990.467941821542</v>
      </c>
      <c r="D49" s="317">
        <v>20427.416329642529</v>
      </c>
      <c r="E49" s="317">
        <v>19968.715266572508</v>
      </c>
      <c r="F49" s="317">
        <v>21113.848313772429</v>
      </c>
      <c r="G49" s="317">
        <v>24564.357891559495</v>
      </c>
      <c r="H49" s="317">
        <v>24817.468838138935</v>
      </c>
      <c r="I49" s="317">
        <v>23290.293659282434</v>
      </c>
      <c r="J49" s="317">
        <v>22679.842188606413</v>
      </c>
      <c r="K49" s="317">
        <v>21133.435709007827</v>
      </c>
      <c r="L49" s="317">
        <v>20872.064749005214</v>
      </c>
      <c r="M49" s="317">
        <v>20196.35506580913</v>
      </c>
      <c r="N49" s="317">
        <v>20141.616528063802</v>
      </c>
      <c r="O49" s="317">
        <v>20303.116071518722</v>
      </c>
      <c r="P49" s="317">
        <v>21113.227246609353</v>
      </c>
      <c r="Q49" s="317">
        <v>21678.39217032072</v>
      </c>
      <c r="R49" s="317">
        <v>24206.349240673964</v>
      </c>
      <c r="S49" s="317">
        <v>25458.324623807115</v>
      </c>
      <c r="T49" s="317">
        <v>25785.392819675017</v>
      </c>
      <c r="U49" s="317">
        <v>24103.851877025263</v>
      </c>
      <c r="V49" s="317">
        <v>28290.227327746012</v>
      </c>
      <c r="W49" s="317">
        <v>22266.941231899087</v>
      </c>
      <c r="X49" s="368">
        <f t="shared" si="0"/>
        <v>22734.561127781632</v>
      </c>
    </row>
    <row r="50" spans="1:49"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8">
        <f t="shared" si="0"/>
        <v>0</v>
      </c>
      <c r="Y50" s="745"/>
      <c r="Z50" s="745"/>
      <c r="AA50" s="745"/>
      <c r="AB50" s="745"/>
      <c r="AC50" s="745"/>
      <c r="AD50" s="745"/>
      <c r="AE50" s="745"/>
      <c r="AF50" s="745"/>
      <c r="AG50" s="745"/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</row>
    <row r="51" spans="1:49">
      <c r="A51" s="318" t="s">
        <v>436</v>
      </c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8">
        <f t="shared" si="0"/>
        <v>0</v>
      </c>
      <c r="Y51" s="745"/>
      <c r="Z51" s="745"/>
      <c r="AA51" s="745"/>
      <c r="AB51" s="745"/>
      <c r="AC51" s="745"/>
      <c r="AD51" s="745"/>
      <c r="AE51" s="745"/>
      <c r="AF51" s="745"/>
      <c r="AG51" s="745"/>
      <c r="AH51" s="745"/>
      <c r="AI51" s="745"/>
      <c r="AJ51" s="745"/>
      <c r="AK51" s="745"/>
      <c r="AL51" s="745"/>
      <c r="AM51" s="745"/>
      <c r="AN51" s="745"/>
      <c r="AO51" s="745"/>
      <c r="AP51" s="745"/>
      <c r="AQ51" s="745"/>
      <c r="AR51" s="745"/>
      <c r="AS51" s="745"/>
      <c r="AT51" s="745"/>
      <c r="AU51" s="745"/>
      <c r="AV51" s="745"/>
      <c r="AW51" s="745"/>
    </row>
    <row r="52" spans="1:49">
      <c r="A52" s="318" t="s">
        <v>437</v>
      </c>
      <c r="B52" s="368">
        <v>37503.155004883301</v>
      </c>
      <c r="C52" s="368">
        <v>30747.461391899302</v>
      </c>
      <c r="D52" s="368">
        <v>39391.619584096799</v>
      </c>
      <c r="E52" s="368">
        <v>40522.766288974497</v>
      </c>
      <c r="F52" s="368">
        <v>41119.755209223898</v>
      </c>
      <c r="G52" s="368">
        <v>38121.0405845653</v>
      </c>
      <c r="H52" s="368">
        <v>34702.972615425999</v>
      </c>
      <c r="I52" s="368">
        <v>33122.081266173598</v>
      </c>
      <c r="J52" s="368">
        <v>33631.574076286699</v>
      </c>
      <c r="K52" s="368">
        <v>38156.313696621102</v>
      </c>
      <c r="L52" s="368">
        <v>37513.084014191103</v>
      </c>
      <c r="M52" s="368">
        <v>36496.021667492401</v>
      </c>
      <c r="N52" s="368">
        <v>33358.826645398403</v>
      </c>
      <c r="O52" s="368">
        <v>30853.209203817099</v>
      </c>
      <c r="P52" s="368">
        <v>30682.781866276298</v>
      </c>
      <c r="Q52" s="368">
        <v>34574.388003396598</v>
      </c>
      <c r="R52" s="368">
        <v>38627.981848324198</v>
      </c>
      <c r="S52" s="368">
        <v>37479.930749208601</v>
      </c>
      <c r="T52" s="368">
        <v>34507.322255361498</v>
      </c>
      <c r="U52" s="368">
        <v>33429.674094089998</v>
      </c>
      <c r="V52" s="368">
        <v>31214.513367185002</v>
      </c>
      <c r="W52" s="368">
        <v>36661.446817203701</v>
      </c>
      <c r="X52" s="368">
        <f t="shared" si="0"/>
        <v>34888.884171428152</v>
      </c>
    </row>
    <row r="53" spans="1:49">
      <c r="A53" s="318" t="s">
        <v>438</v>
      </c>
      <c r="B53" s="368">
        <v>36675.567031167004</v>
      </c>
      <c r="C53" s="368">
        <v>36655.913031167001</v>
      </c>
      <c r="D53" s="368">
        <v>36636.259031166999</v>
      </c>
      <c r="E53" s="368">
        <v>36248.092531167</v>
      </c>
      <c r="F53" s="368">
        <v>36228.438531166998</v>
      </c>
      <c r="G53" s="368">
        <v>36208.784531167003</v>
      </c>
      <c r="H53" s="368">
        <v>36189.130688399004</v>
      </c>
      <c r="I53" s="368">
        <v>36169.476845630998</v>
      </c>
      <c r="J53" s="368">
        <v>36149.823002863006</v>
      </c>
      <c r="K53" s="368">
        <v>36130.169160095</v>
      </c>
      <c r="L53" s="368">
        <v>36110.515317327001</v>
      </c>
      <c r="M53" s="368">
        <v>36061.380160095003</v>
      </c>
      <c r="N53" s="368">
        <v>36012.245002863005</v>
      </c>
      <c r="O53" s="368">
        <v>35963.109845630999</v>
      </c>
      <c r="P53" s="368">
        <v>35845.185688399004</v>
      </c>
      <c r="Q53" s="368">
        <v>35825.531845630998</v>
      </c>
      <c r="R53" s="368">
        <v>35805.878002863006</v>
      </c>
      <c r="S53" s="368">
        <v>35786.224160095</v>
      </c>
      <c r="T53" s="368">
        <v>35766.569963554997</v>
      </c>
      <c r="U53" s="368">
        <v>35746.915767015002</v>
      </c>
      <c r="V53" s="368">
        <v>35727.261570474999</v>
      </c>
      <c r="W53" s="368">
        <v>35707.607373934996</v>
      </c>
      <c r="X53" s="368">
        <f t="shared" si="0"/>
        <v>35883.737989075307</v>
      </c>
    </row>
    <row r="54" spans="1:49">
      <c r="A54" s="318" t="s">
        <v>439</v>
      </c>
      <c r="B54" s="368">
        <v>0.14491999999999999</v>
      </c>
      <c r="C54" s="368">
        <v>0.14491999999999999</v>
      </c>
      <c r="D54" s="368">
        <v>0.14491999999999999</v>
      </c>
      <c r="E54" s="368">
        <v>0.14491999999999999</v>
      </c>
      <c r="F54" s="368">
        <v>0.14491999999999999</v>
      </c>
      <c r="G54" s="368">
        <v>0.14491999999999999</v>
      </c>
      <c r="H54" s="368">
        <v>0.14491999999999999</v>
      </c>
      <c r="I54" s="368">
        <v>0.14491999999999999</v>
      </c>
      <c r="J54" s="368">
        <v>0.14491999999999999</v>
      </c>
      <c r="K54" s="368">
        <v>0.14491999999999999</v>
      </c>
      <c r="L54" s="368">
        <v>0.14491999999999999</v>
      </c>
      <c r="M54" s="368">
        <v>0.14491999999999999</v>
      </c>
      <c r="N54" s="368">
        <v>0.14491999999999999</v>
      </c>
      <c r="O54" s="368">
        <v>0.14491999999999999</v>
      </c>
      <c r="P54" s="368">
        <v>0.14491999999999999</v>
      </c>
      <c r="Q54" s="368">
        <v>0.14491999999999999</v>
      </c>
      <c r="R54" s="368">
        <v>0.14491999999999999</v>
      </c>
      <c r="S54" s="368">
        <v>0.14491999999999999</v>
      </c>
      <c r="T54" s="368">
        <v>0.14491999999999999</v>
      </c>
      <c r="U54" s="368">
        <v>0.14491999999999999</v>
      </c>
      <c r="V54" s="368">
        <v>0.14491999999999999</v>
      </c>
      <c r="W54" s="368">
        <v>0.14491999999999999</v>
      </c>
      <c r="X54" s="368">
        <f t="shared" si="0"/>
        <v>0.14491999999999997</v>
      </c>
    </row>
    <row r="55" spans="1:49">
      <c r="A55" s="318" t="s">
        <v>440</v>
      </c>
      <c r="B55" s="368">
        <v>7751.8060048509997</v>
      </c>
      <c r="C55" s="368">
        <v>7751.8060048509997</v>
      </c>
      <c r="D55" s="368">
        <v>7751.8060048509997</v>
      </c>
      <c r="E55" s="368">
        <v>7751.8060048509997</v>
      </c>
      <c r="F55" s="368">
        <v>7751.8060048509997</v>
      </c>
      <c r="G55" s="368">
        <v>7751.8060048509997</v>
      </c>
      <c r="H55" s="368">
        <v>7751.8060048509997</v>
      </c>
      <c r="I55" s="368">
        <v>7751.8060048509997</v>
      </c>
      <c r="J55" s="368">
        <v>7751.8060048509997</v>
      </c>
      <c r="K55" s="368">
        <v>7751.8060048509997</v>
      </c>
      <c r="L55" s="368">
        <v>7751.8060048509997</v>
      </c>
      <c r="M55" s="368">
        <v>7751.8060048509997</v>
      </c>
      <c r="N55" s="368">
        <v>7751.8060048509997</v>
      </c>
      <c r="O55" s="368">
        <v>7751.8060048509997</v>
      </c>
      <c r="P55" s="368">
        <v>7751.8060048509997</v>
      </c>
      <c r="Q55" s="368">
        <v>7751.8060048509997</v>
      </c>
      <c r="R55" s="368">
        <v>7751.8060048509997</v>
      </c>
      <c r="S55" s="368">
        <v>7751.8060048509997</v>
      </c>
      <c r="T55" s="368">
        <v>7751.8060048509997</v>
      </c>
      <c r="U55" s="368">
        <v>7751.8060048509997</v>
      </c>
      <c r="V55" s="368">
        <v>7751.8060048509997</v>
      </c>
      <c r="W55" s="368">
        <v>7751.8060048509997</v>
      </c>
      <c r="X55" s="368">
        <f t="shared" si="0"/>
        <v>7751.8060048509988</v>
      </c>
    </row>
    <row r="56" spans="1:49" ht="16.5" thickBot="1">
      <c r="A56" s="318" t="s">
        <v>563</v>
      </c>
      <c r="B56" s="748">
        <v>0</v>
      </c>
      <c r="C56" s="748">
        <v>0</v>
      </c>
      <c r="D56" s="748">
        <v>0</v>
      </c>
      <c r="E56" s="748">
        <v>0</v>
      </c>
      <c r="F56" s="748">
        <v>0</v>
      </c>
      <c r="G56" s="748">
        <v>0</v>
      </c>
      <c r="H56" s="748">
        <v>0</v>
      </c>
      <c r="I56" s="748">
        <v>0</v>
      </c>
      <c r="J56" s="748">
        <v>0</v>
      </c>
      <c r="K56" s="748">
        <v>0</v>
      </c>
      <c r="L56" s="748">
        <v>0</v>
      </c>
      <c r="M56" s="748">
        <v>0</v>
      </c>
      <c r="N56" s="748">
        <v>0</v>
      </c>
      <c r="O56" s="748">
        <v>0</v>
      </c>
      <c r="P56" s="748">
        <v>0</v>
      </c>
      <c r="Q56" s="748">
        <v>0</v>
      </c>
      <c r="R56" s="748">
        <v>0</v>
      </c>
      <c r="S56" s="748">
        <v>0</v>
      </c>
      <c r="T56" s="748">
        <v>0</v>
      </c>
      <c r="U56" s="748">
        <v>0</v>
      </c>
      <c r="V56" s="748">
        <v>0</v>
      </c>
      <c r="W56" s="748">
        <v>0</v>
      </c>
      <c r="X56" s="368">
        <f t="shared" si="0"/>
        <v>0</v>
      </c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  <c r="AU56" s="355"/>
      <c r="AV56" s="355"/>
      <c r="AW56" s="355"/>
    </row>
    <row r="57" spans="1:49">
      <c r="A57" s="318" t="s">
        <v>436</v>
      </c>
      <c r="B57" s="317">
        <v>81930.672960901313</v>
      </c>
      <c r="C57" s="317">
        <v>75155.3253479173</v>
      </c>
      <c r="D57" s="317">
        <v>83779.829540114792</v>
      </c>
      <c r="E57" s="317">
        <v>84522.809744992497</v>
      </c>
      <c r="F57" s="317">
        <v>85100.144665241896</v>
      </c>
      <c r="G57" s="317">
        <v>82081.776040583296</v>
      </c>
      <c r="H57" s="317">
        <v>78644.054228676003</v>
      </c>
      <c r="I57" s="317">
        <v>77043.509036655596</v>
      </c>
      <c r="J57" s="317">
        <v>77533.348004000698</v>
      </c>
      <c r="K57" s="317">
        <v>82038.433781567102</v>
      </c>
      <c r="L57" s="317">
        <v>81375.550256369112</v>
      </c>
      <c r="M57" s="317">
        <v>80309.352752438397</v>
      </c>
      <c r="N57" s="317">
        <v>77123.022573112408</v>
      </c>
      <c r="O57" s="317">
        <v>74568.269974299095</v>
      </c>
      <c r="P57" s="317">
        <v>74279.918479526299</v>
      </c>
      <c r="Q57" s="317">
        <v>78151.870773878589</v>
      </c>
      <c r="R57" s="317">
        <v>82185.810776038212</v>
      </c>
      <c r="S57" s="317">
        <v>81018.105834154601</v>
      </c>
      <c r="T57" s="317">
        <v>78025.843143767503</v>
      </c>
      <c r="U57" s="317">
        <v>76928.540785955993</v>
      </c>
      <c r="V57" s="317">
        <v>74693.725862510997</v>
      </c>
      <c r="W57" s="317">
        <v>80121.005115989698</v>
      </c>
      <c r="X57" s="368">
        <f t="shared" si="0"/>
        <v>78524.573085354466</v>
      </c>
    </row>
    <row r="58" spans="1:49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8">
        <f t="shared" si="0"/>
        <v>0</v>
      </c>
      <c r="Y58" s="745"/>
      <c r="Z58" s="745"/>
      <c r="AA58" s="745"/>
      <c r="AB58" s="745"/>
      <c r="AC58" s="745"/>
      <c r="AD58" s="745"/>
      <c r="AE58" s="745"/>
      <c r="AF58" s="745"/>
      <c r="AG58" s="745"/>
      <c r="AH58" s="745"/>
      <c r="AI58" s="745"/>
      <c r="AJ58" s="745"/>
      <c r="AK58" s="745"/>
      <c r="AL58" s="745"/>
      <c r="AM58" s="745"/>
      <c r="AN58" s="745"/>
      <c r="AO58" s="745"/>
      <c r="AP58" s="745"/>
      <c r="AQ58" s="745"/>
      <c r="AR58" s="745"/>
      <c r="AS58" s="745"/>
      <c r="AT58" s="745"/>
      <c r="AU58" s="745"/>
      <c r="AV58" s="745"/>
      <c r="AW58" s="745"/>
    </row>
    <row r="59" spans="1:49">
      <c r="A59" s="318" t="s">
        <v>441</v>
      </c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8">
        <f t="shared" si="0"/>
        <v>0</v>
      </c>
      <c r="Y59" s="745"/>
      <c r="Z59" s="745"/>
      <c r="AA59" s="745"/>
      <c r="AB59" s="745"/>
      <c r="AC59" s="745"/>
      <c r="AD59" s="745"/>
      <c r="AE59" s="745"/>
      <c r="AF59" s="745"/>
      <c r="AG59" s="745"/>
      <c r="AH59" s="745"/>
      <c r="AI59" s="745"/>
      <c r="AJ59" s="745"/>
      <c r="AK59" s="745"/>
      <c r="AL59" s="745"/>
      <c r="AM59" s="745"/>
      <c r="AN59" s="745"/>
      <c r="AO59" s="745"/>
      <c r="AP59" s="745"/>
      <c r="AQ59" s="745"/>
      <c r="AR59" s="745"/>
      <c r="AS59" s="745"/>
      <c r="AT59" s="745"/>
      <c r="AU59" s="745"/>
      <c r="AV59" s="745"/>
      <c r="AW59" s="745"/>
    </row>
    <row r="60" spans="1:49">
      <c r="A60" s="318" t="s">
        <v>442</v>
      </c>
      <c r="B60" s="317">
        <v>11711.402306086216</v>
      </c>
      <c r="C60" s="317">
        <v>10664.750149604077</v>
      </c>
      <c r="D60" s="317">
        <v>10452.387222887854</v>
      </c>
      <c r="E60" s="317">
        <v>9884.5504730976227</v>
      </c>
      <c r="F60" s="317">
        <v>9406.7225274827724</v>
      </c>
      <c r="G60" s="317">
        <v>9122.3273966413235</v>
      </c>
      <c r="H60" s="317">
        <v>11711.269496773109</v>
      </c>
      <c r="I60" s="317">
        <v>10565.350413680042</v>
      </c>
      <c r="J60" s="317">
        <v>9359.3099224228135</v>
      </c>
      <c r="K60" s="317">
        <v>12893.242581001228</v>
      </c>
      <c r="L60" s="317">
        <v>11765.262022989016</v>
      </c>
      <c r="M60" s="317">
        <v>11619.037846879804</v>
      </c>
      <c r="N60" s="317">
        <v>10517.421227461591</v>
      </c>
      <c r="O60" s="317">
        <v>9391.5423063591043</v>
      </c>
      <c r="P60" s="317">
        <v>9053.5687724400595</v>
      </c>
      <c r="Q60" s="317">
        <v>8640.2562276550943</v>
      </c>
      <c r="R60" s="317">
        <v>8097.1347552408861</v>
      </c>
      <c r="S60" s="317">
        <v>8268.5474030609494</v>
      </c>
      <c r="T60" s="317">
        <v>11459.331992028396</v>
      </c>
      <c r="U60" s="317">
        <v>10572.804920298458</v>
      </c>
      <c r="V60" s="317">
        <v>9271.2314023945237</v>
      </c>
      <c r="W60" s="317">
        <v>13619.015763915731</v>
      </c>
      <c r="X60" s="368">
        <f t="shared" si="0"/>
        <v>10397.569017055757</v>
      </c>
    </row>
    <row r="61" spans="1:49">
      <c r="A61" s="489" t="s">
        <v>1753</v>
      </c>
      <c r="B61" s="317">
        <v>2800.3458894529999</v>
      </c>
      <c r="C61" s="317">
        <v>2800.3458894529999</v>
      </c>
      <c r="D61" s="317">
        <v>2800.3458894529999</v>
      </c>
      <c r="E61" s="317">
        <v>2800.3458894529999</v>
      </c>
      <c r="F61" s="317">
        <v>2800.3458894529999</v>
      </c>
      <c r="G61" s="317">
        <v>2800.3458894529999</v>
      </c>
      <c r="H61" s="317">
        <v>2800.3458894529999</v>
      </c>
      <c r="I61" s="317">
        <v>2800.3458894529999</v>
      </c>
      <c r="J61" s="317">
        <v>2800.3458894529999</v>
      </c>
      <c r="K61" s="317">
        <v>2800.3458894529999</v>
      </c>
      <c r="L61" s="317">
        <v>2800.3458894529999</v>
      </c>
      <c r="M61" s="317">
        <v>2800.3458894529999</v>
      </c>
      <c r="N61" s="317">
        <v>2800.3458894529999</v>
      </c>
      <c r="O61" s="317">
        <v>2800.3458894529999</v>
      </c>
      <c r="P61" s="317">
        <v>2800.3458894529999</v>
      </c>
      <c r="Q61" s="317">
        <v>2800.3458894529999</v>
      </c>
      <c r="R61" s="317">
        <v>2800.3458894529999</v>
      </c>
      <c r="S61" s="317">
        <v>2800.3458894529999</v>
      </c>
      <c r="T61" s="317">
        <v>2800.3458894529999</v>
      </c>
      <c r="U61" s="317">
        <v>2800.3458894529999</v>
      </c>
      <c r="V61" s="317">
        <v>2800.3458894529999</v>
      </c>
      <c r="W61" s="317">
        <v>2800.3458894529999</v>
      </c>
      <c r="X61" s="368">
        <f t="shared" si="0"/>
        <v>2800.3458894530004</v>
      </c>
    </row>
    <row r="62" spans="1:49" ht="15.75" thickBot="1">
      <c r="A62" s="318" t="s">
        <v>443</v>
      </c>
      <c r="B62" s="316">
        <v>2119.845122185</v>
      </c>
      <c r="C62" s="316">
        <v>1927.1319314570001</v>
      </c>
      <c r="D62" s="316">
        <v>1734.4187407290001</v>
      </c>
      <c r="E62" s="316">
        <v>1541.7055500009999</v>
      </c>
      <c r="F62" s="316">
        <v>1348.9923592729999</v>
      </c>
      <c r="G62" s="316">
        <v>1156.2791685449999</v>
      </c>
      <c r="H62" s="316">
        <v>963.56597781699986</v>
      </c>
      <c r="I62" s="316">
        <v>770.852787089</v>
      </c>
      <c r="J62" s="316">
        <v>578.13959636099992</v>
      </c>
      <c r="K62" s="316">
        <v>385.426405633</v>
      </c>
      <c r="L62" s="316">
        <v>192.71321490499997</v>
      </c>
      <c r="M62" s="316">
        <v>2.4177000442870095E-5</v>
      </c>
      <c r="N62" s="316">
        <v>2162.2420463879998</v>
      </c>
      <c r="O62" s="316">
        <v>1965.6745905559999</v>
      </c>
      <c r="P62" s="316">
        <v>1769.1071347239999</v>
      </c>
      <c r="Q62" s="316">
        <v>1572.5396788919998</v>
      </c>
      <c r="R62" s="316">
        <v>1375.9722230599998</v>
      </c>
      <c r="S62" s="316">
        <v>1179.4047672279999</v>
      </c>
      <c r="T62" s="316">
        <v>982.8373113959999</v>
      </c>
      <c r="U62" s="316">
        <v>786.26985556399995</v>
      </c>
      <c r="V62" s="316">
        <v>589.702399732</v>
      </c>
      <c r="W62" s="316">
        <v>393.1349439</v>
      </c>
      <c r="X62" s="368">
        <f t="shared" si="0"/>
        <v>1027.3095843196154</v>
      </c>
    </row>
    <row r="63" spans="1:49">
      <c r="A63" s="318" t="s">
        <v>441</v>
      </c>
      <c r="B63" s="317">
        <v>16631.593317724215</v>
      </c>
      <c r="C63" s="317">
        <v>15392.227970514075</v>
      </c>
      <c r="D63" s="317">
        <v>14987.151853069852</v>
      </c>
      <c r="E63" s="317">
        <v>14226.601912551621</v>
      </c>
      <c r="F63" s="317">
        <v>13556.060776208771</v>
      </c>
      <c r="G63" s="317">
        <v>13078.952454639322</v>
      </c>
      <c r="H63" s="317">
        <v>15475.181364043108</v>
      </c>
      <c r="I63" s="317">
        <v>14136.549090222041</v>
      </c>
      <c r="J63" s="317">
        <v>12737.795408236812</v>
      </c>
      <c r="K63" s="317">
        <v>16079.014876087227</v>
      </c>
      <c r="L63" s="317">
        <v>14758.321127347015</v>
      </c>
      <c r="M63" s="317">
        <v>14419.383760509805</v>
      </c>
      <c r="N63" s="317">
        <v>15480.009163302591</v>
      </c>
      <c r="O63" s="317">
        <v>14157.562786368104</v>
      </c>
      <c r="P63" s="317">
        <v>13623.021796617058</v>
      </c>
      <c r="Q63" s="317">
        <v>13013.141796000094</v>
      </c>
      <c r="R63" s="317">
        <v>12273.452867753886</v>
      </c>
      <c r="S63" s="317">
        <v>12248.298059741948</v>
      </c>
      <c r="T63" s="317">
        <v>15242.515192877396</v>
      </c>
      <c r="U63" s="317">
        <v>14159.420665315458</v>
      </c>
      <c r="V63" s="317">
        <v>12661.279691579522</v>
      </c>
      <c r="W63" s="317">
        <v>16812.496597268731</v>
      </c>
      <c r="X63" s="368">
        <f t="shared" si="0"/>
        <v>14225.224490828374</v>
      </c>
    </row>
    <row r="64" spans="1:49"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8">
        <f t="shared" si="0"/>
        <v>0</v>
      </c>
      <c r="Y64" s="745"/>
      <c r="Z64" s="745"/>
      <c r="AA64" s="745"/>
      <c r="AB64" s="745"/>
      <c r="AC64" s="745"/>
      <c r="AD64" s="745"/>
      <c r="AE64" s="745"/>
      <c r="AF64" s="745"/>
      <c r="AG64" s="745"/>
      <c r="AH64" s="745"/>
      <c r="AI64" s="745"/>
      <c r="AJ64" s="745"/>
      <c r="AK64" s="745"/>
      <c r="AL64" s="745"/>
      <c r="AM64" s="745"/>
      <c r="AN64" s="745"/>
      <c r="AO64" s="745"/>
      <c r="AP64" s="745"/>
      <c r="AQ64" s="745"/>
      <c r="AR64" s="745"/>
      <c r="AS64" s="745"/>
      <c r="AT64" s="745"/>
      <c r="AU64" s="745"/>
      <c r="AV64" s="745"/>
      <c r="AW64" s="745"/>
    </row>
    <row r="65" spans="1:49">
      <c r="A65" s="318" t="s">
        <v>444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8">
        <f t="shared" si="0"/>
        <v>0</v>
      </c>
      <c r="Y65" s="745"/>
      <c r="Z65" s="745"/>
      <c r="AA65" s="745"/>
      <c r="AB65" s="745"/>
      <c r="AC65" s="745"/>
      <c r="AD65" s="745"/>
      <c r="AE65" s="745"/>
      <c r="AF65" s="745"/>
      <c r="AG65" s="745"/>
      <c r="AH65" s="745"/>
      <c r="AI65" s="745"/>
      <c r="AJ65" s="745"/>
      <c r="AK65" s="745"/>
      <c r="AL65" s="745"/>
      <c r="AM65" s="745"/>
      <c r="AN65" s="745"/>
      <c r="AO65" s="745"/>
      <c r="AP65" s="745"/>
      <c r="AQ65" s="745"/>
      <c r="AR65" s="745"/>
      <c r="AS65" s="745"/>
      <c r="AT65" s="745"/>
      <c r="AU65" s="745"/>
      <c r="AV65" s="745"/>
      <c r="AW65" s="745"/>
    </row>
    <row r="66" spans="1:49" ht="15.75" thickBot="1">
      <c r="A66" s="318" t="s">
        <v>445</v>
      </c>
      <c r="B66" s="316">
        <v>0</v>
      </c>
      <c r="C66" s="316">
        <v>0</v>
      </c>
      <c r="D66" s="316">
        <v>0</v>
      </c>
      <c r="E66" s="316">
        <v>0</v>
      </c>
      <c r="F66" s="316">
        <v>0</v>
      </c>
      <c r="G66" s="316">
        <v>0</v>
      </c>
      <c r="H66" s="316">
        <v>0</v>
      </c>
      <c r="I66" s="316">
        <v>0</v>
      </c>
      <c r="J66" s="316">
        <v>0</v>
      </c>
      <c r="K66" s="316">
        <v>0</v>
      </c>
      <c r="L66" s="316">
        <v>0</v>
      </c>
      <c r="M66" s="316">
        <v>0</v>
      </c>
      <c r="N66" s="316">
        <v>0</v>
      </c>
      <c r="O66" s="316">
        <v>0</v>
      </c>
      <c r="P66" s="316">
        <v>0</v>
      </c>
      <c r="Q66" s="316">
        <v>0</v>
      </c>
      <c r="R66" s="316">
        <v>0</v>
      </c>
      <c r="S66" s="316">
        <v>0</v>
      </c>
      <c r="T66" s="316">
        <v>0</v>
      </c>
      <c r="U66" s="316">
        <v>0</v>
      </c>
      <c r="V66" s="316">
        <v>0</v>
      </c>
      <c r="W66" s="316">
        <v>0</v>
      </c>
      <c r="X66" s="368">
        <f t="shared" si="0"/>
        <v>0</v>
      </c>
    </row>
    <row r="67" spans="1:49">
      <c r="A67" s="318" t="s">
        <v>444</v>
      </c>
      <c r="B67" s="317">
        <v>0</v>
      </c>
      <c r="C67" s="317">
        <v>0</v>
      </c>
      <c r="D67" s="317">
        <v>0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v>0</v>
      </c>
      <c r="K67" s="317">
        <v>0</v>
      </c>
      <c r="L67" s="317">
        <v>0</v>
      </c>
      <c r="M67" s="317">
        <v>0</v>
      </c>
      <c r="N67" s="317">
        <v>0</v>
      </c>
      <c r="O67" s="317">
        <v>0</v>
      </c>
      <c r="P67" s="317">
        <v>0</v>
      </c>
      <c r="Q67" s="317">
        <v>0</v>
      </c>
      <c r="R67" s="317">
        <v>0</v>
      </c>
      <c r="S67" s="317">
        <v>0</v>
      </c>
      <c r="T67" s="317">
        <v>0</v>
      </c>
      <c r="U67" s="317">
        <v>0</v>
      </c>
      <c r="V67" s="317">
        <v>0</v>
      </c>
      <c r="W67" s="317">
        <v>0</v>
      </c>
      <c r="X67" s="368">
        <f t="shared" si="0"/>
        <v>0</v>
      </c>
    </row>
    <row r="68" spans="1:49"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8">
        <f t="shared" si="0"/>
        <v>0</v>
      </c>
      <c r="Y68" s="745"/>
      <c r="Z68" s="745"/>
      <c r="AA68" s="745"/>
      <c r="AB68" s="745"/>
      <c r="AC68" s="745"/>
      <c r="AD68" s="745"/>
      <c r="AE68" s="745"/>
      <c r="AF68" s="745"/>
      <c r="AG68" s="745"/>
      <c r="AH68" s="745"/>
      <c r="AI68" s="745"/>
      <c r="AJ68" s="745"/>
      <c r="AK68" s="745"/>
      <c r="AL68" s="745"/>
      <c r="AM68" s="745"/>
      <c r="AN68" s="745"/>
      <c r="AO68" s="745"/>
      <c r="AP68" s="745"/>
      <c r="AQ68" s="745"/>
      <c r="AR68" s="745"/>
      <c r="AS68" s="745"/>
      <c r="AT68" s="745"/>
      <c r="AU68" s="745"/>
      <c r="AV68" s="745"/>
      <c r="AW68" s="745"/>
    </row>
    <row r="69" spans="1:49" ht="15.75" thickBot="1">
      <c r="A69" s="353" t="s">
        <v>446</v>
      </c>
      <c r="B69" s="364">
        <v>274499.56875142345</v>
      </c>
      <c r="C69" s="364">
        <v>272594.98453006137</v>
      </c>
      <c r="D69" s="364">
        <v>270797.13126472256</v>
      </c>
      <c r="E69" s="364">
        <v>258113.44342928904</v>
      </c>
      <c r="F69" s="364">
        <v>264577.27548159898</v>
      </c>
      <c r="G69" s="364">
        <v>287053.88155121589</v>
      </c>
      <c r="H69" s="364">
        <v>303644.07851794985</v>
      </c>
      <c r="I69" s="364">
        <v>293169.85161324748</v>
      </c>
      <c r="J69" s="364">
        <v>278940.15466777288</v>
      </c>
      <c r="K69" s="364">
        <v>264334.31470272562</v>
      </c>
      <c r="L69" s="364">
        <v>260804.71714689143</v>
      </c>
      <c r="M69" s="364">
        <v>264940.65928639326</v>
      </c>
      <c r="N69" s="364">
        <v>274270.06830664829</v>
      </c>
      <c r="O69" s="364">
        <v>275265.93032022408</v>
      </c>
      <c r="P69" s="364">
        <v>263480.77674979105</v>
      </c>
      <c r="Q69" s="364">
        <v>254530.56424906134</v>
      </c>
      <c r="R69" s="364">
        <v>266375.52568453073</v>
      </c>
      <c r="S69" s="364">
        <v>288047.31587075943</v>
      </c>
      <c r="T69" s="364">
        <v>306574.51458466332</v>
      </c>
      <c r="U69" s="364">
        <v>296850.18263171718</v>
      </c>
      <c r="V69" s="364">
        <v>285355.29390956677</v>
      </c>
      <c r="W69" s="364">
        <v>268370.67358652421</v>
      </c>
      <c r="X69" s="368">
        <f t="shared" si="0"/>
        <v>274553.88746380748</v>
      </c>
      <c r="Y69" s="746"/>
      <c r="Z69" s="746"/>
      <c r="AA69" s="746"/>
      <c r="AB69" s="746"/>
      <c r="AC69" s="746"/>
      <c r="AD69" s="746"/>
      <c r="AE69" s="746"/>
      <c r="AF69" s="746"/>
      <c r="AG69" s="746"/>
      <c r="AH69" s="746"/>
      <c r="AI69" s="746"/>
      <c r="AJ69" s="746"/>
      <c r="AK69" s="746"/>
      <c r="AL69" s="746"/>
      <c r="AM69" s="746"/>
      <c r="AN69" s="746"/>
      <c r="AO69" s="746"/>
      <c r="AP69" s="746"/>
      <c r="AQ69" s="746"/>
      <c r="AR69" s="746"/>
      <c r="AS69" s="746"/>
      <c r="AT69" s="746"/>
      <c r="AU69" s="746"/>
      <c r="AV69" s="746"/>
      <c r="AW69" s="746"/>
    </row>
    <row r="70" spans="1:49">
      <c r="B70" s="317"/>
      <c r="X70" s="368">
        <f t="shared" si="0"/>
        <v>0</v>
      </c>
    </row>
    <row r="71" spans="1:49">
      <c r="A71" s="353" t="s">
        <v>447</v>
      </c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8">
        <f t="shared" si="0"/>
        <v>0</v>
      </c>
      <c r="Y71" s="745"/>
      <c r="Z71" s="745"/>
      <c r="AA71" s="745"/>
      <c r="AB71" s="745"/>
      <c r="AC71" s="745"/>
      <c r="AD71" s="745"/>
      <c r="AE71" s="745"/>
      <c r="AF71" s="745"/>
      <c r="AG71" s="745"/>
      <c r="AH71" s="745"/>
      <c r="AI71" s="745"/>
      <c r="AJ71" s="745"/>
      <c r="AK71" s="745"/>
      <c r="AL71" s="745"/>
      <c r="AM71" s="745"/>
      <c r="AN71" s="745"/>
      <c r="AO71" s="745"/>
      <c r="AP71" s="745"/>
      <c r="AQ71" s="745"/>
      <c r="AR71" s="745"/>
      <c r="AS71" s="745"/>
      <c r="AT71" s="745"/>
      <c r="AU71" s="745"/>
      <c r="AV71" s="745"/>
      <c r="AW71" s="745"/>
    </row>
    <row r="72" spans="1:49">
      <c r="A72" s="318" t="s">
        <v>448</v>
      </c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8">
        <f t="shared" si="0"/>
        <v>0</v>
      </c>
      <c r="Y72" s="745"/>
      <c r="Z72" s="745"/>
      <c r="AA72" s="745"/>
      <c r="AB72" s="745"/>
      <c r="AC72" s="745"/>
      <c r="AD72" s="745"/>
      <c r="AE72" s="745"/>
      <c r="AF72" s="745"/>
      <c r="AG72" s="745"/>
      <c r="AH72" s="745"/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5"/>
      <c r="AV72" s="745"/>
      <c r="AW72" s="745"/>
    </row>
    <row r="73" spans="1:49">
      <c r="A73" s="318" t="s">
        <v>449</v>
      </c>
      <c r="B73" s="368">
        <v>9750.7594228631369</v>
      </c>
      <c r="C73" s="368">
        <v>9637.5404812472807</v>
      </c>
      <c r="D73" s="368">
        <v>9518.4936984631167</v>
      </c>
      <c r="E73" s="368">
        <v>9394.4896372363382</v>
      </c>
      <c r="F73" s="368">
        <v>9278.6292341276312</v>
      </c>
      <c r="G73" s="368">
        <v>9159.2509044578201</v>
      </c>
      <c r="H73" s="368">
        <v>9044.0819428951509</v>
      </c>
      <c r="I73" s="368">
        <v>8934.4949156054117</v>
      </c>
      <c r="J73" s="368">
        <v>8811.5523077370381</v>
      </c>
      <c r="K73" s="368">
        <v>9291.8344806956065</v>
      </c>
      <c r="L73" s="368">
        <v>13063.766214038666</v>
      </c>
      <c r="M73" s="368">
        <v>13628.187430801676</v>
      </c>
      <c r="N73" s="368">
        <v>13437.837239836364</v>
      </c>
      <c r="O73" s="368">
        <v>13641.654778337244</v>
      </c>
      <c r="P73" s="368">
        <v>13467.225189723376</v>
      </c>
      <c r="Q73" s="368">
        <v>13311.837916203209</v>
      </c>
      <c r="R73" s="368">
        <v>13165.04054246387</v>
      </c>
      <c r="S73" s="368">
        <v>13029.864354741545</v>
      </c>
      <c r="T73" s="368">
        <v>12633.176737595917</v>
      </c>
      <c r="U73" s="368">
        <v>12497.957329839142</v>
      </c>
      <c r="V73" s="368">
        <v>12354.407744750608</v>
      </c>
      <c r="W73" s="368">
        <v>12205.949888221141</v>
      </c>
      <c r="X73" s="368">
        <f t="shared" si="0"/>
        <v>12748.364603634489</v>
      </c>
    </row>
    <row r="74" spans="1:49">
      <c r="A74" s="489" t="s">
        <v>1798</v>
      </c>
      <c r="B74" s="368">
        <v>1774.4335019797384</v>
      </c>
      <c r="C74" s="368">
        <v>1739.0030442660011</v>
      </c>
      <c r="D74" s="368">
        <v>1703.2811995717859</v>
      </c>
      <c r="E74" s="368">
        <v>1666.4940562753914</v>
      </c>
      <c r="F74" s="368">
        <v>1631.9166711802156</v>
      </c>
      <c r="G74" s="368">
        <v>1596.5377270462618</v>
      </c>
      <c r="H74" s="368">
        <v>1891.0016870449481</v>
      </c>
      <c r="I74" s="368">
        <v>1856.9359500417427</v>
      </c>
      <c r="J74" s="368">
        <v>1819.2229292622908</v>
      </c>
      <c r="K74" s="368">
        <v>1782.813762262788</v>
      </c>
      <c r="L74" s="368">
        <v>1742.6929177980915</v>
      </c>
      <c r="M74" s="368">
        <v>1702.8246498288061</v>
      </c>
      <c r="N74" s="368">
        <v>1660.2714166980784</v>
      </c>
      <c r="O74" s="368">
        <v>1621.0792999509067</v>
      </c>
      <c r="P74" s="368">
        <v>1582.6311170583494</v>
      </c>
      <c r="Q74" s="368">
        <v>1545.7874688717375</v>
      </c>
      <c r="R74" s="368">
        <v>1510.3210806293582</v>
      </c>
      <c r="S74" s="368">
        <v>1475.5831450752419</v>
      </c>
      <c r="T74" s="368">
        <v>1764.9442240231433</v>
      </c>
      <c r="U74" s="368">
        <v>1737.5808772637931</v>
      </c>
      <c r="V74" s="368">
        <v>1707.6532812920427</v>
      </c>
      <c r="W74" s="368">
        <v>1677.4816988436758</v>
      </c>
      <c r="X74" s="368">
        <f t="shared" ref="X74:X137" si="1">SUM(K74:W74)/13</f>
        <v>1654.7434568920009</v>
      </c>
    </row>
    <row r="75" spans="1:49" ht="15.75" thickBot="1">
      <c r="A75" s="318" t="s">
        <v>450</v>
      </c>
      <c r="B75" s="316">
        <v>12314.620311490695</v>
      </c>
      <c r="C75" s="316">
        <v>12229.823776877663</v>
      </c>
      <c r="D75" s="316">
        <v>12137.199604568876</v>
      </c>
      <c r="E75" s="316">
        <v>12041.727750326634</v>
      </c>
      <c r="F75" s="316">
        <v>11956.172312174034</v>
      </c>
      <c r="G75" s="316">
        <v>11869.877054658478</v>
      </c>
      <c r="H75" s="316">
        <v>11790.757416590121</v>
      </c>
      <c r="I75" s="316">
        <v>11713.634710446333</v>
      </c>
      <c r="J75" s="316">
        <v>11627.90404533871</v>
      </c>
      <c r="K75" s="316">
        <v>11545.122338458343</v>
      </c>
      <c r="L75" s="316">
        <v>11442.776509902133</v>
      </c>
      <c r="M75" s="316">
        <v>11335.937716184786</v>
      </c>
      <c r="N75" s="316">
        <v>11215.225943909081</v>
      </c>
      <c r="O75" s="316">
        <v>11116.039822816896</v>
      </c>
      <c r="P75" s="316">
        <v>11015.569710118001</v>
      </c>
      <c r="Q75" s="316">
        <v>10931.09238496967</v>
      </c>
      <c r="R75" s="316">
        <v>10850.232412034578</v>
      </c>
      <c r="S75" s="316">
        <v>10780.169880283347</v>
      </c>
      <c r="T75" s="316">
        <v>10959.731352075558</v>
      </c>
      <c r="U75" s="316">
        <v>10882.714303576959</v>
      </c>
      <c r="V75" s="316">
        <v>10800.941171335842</v>
      </c>
      <c r="W75" s="316">
        <v>10713.940735549053</v>
      </c>
      <c r="X75" s="368">
        <f t="shared" si="1"/>
        <v>11045.345713939556</v>
      </c>
    </row>
    <row r="76" spans="1:49">
      <c r="A76" s="318" t="s">
        <v>448</v>
      </c>
      <c r="B76" s="317">
        <v>23839.813236333568</v>
      </c>
      <c r="C76" s="317">
        <v>23606.367302390943</v>
      </c>
      <c r="D76" s="317">
        <v>23358.974502603778</v>
      </c>
      <c r="E76" s="317">
        <v>23102.711443838365</v>
      </c>
      <c r="F76" s="317">
        <v>22866.718217481881</v>
      </c>
      <c r="G76" s="317">
        <v>22625.66568616256</v>
      </c>
      <c r="H76" s="317">
        <v>22725.841046530219</v>
      </c>
      <c r="I76" s="317">
        <v>22505.06557609349</v>
      </c>
      <c r="J76" s="317">
        <v>22258.679282338038</v>
      </c>
      <c r="K76" s="317">
        <v>22619.770581416735</v>
      </c>
      <c r="L76" s="317">
        <v>26249.235641738887</v>
      </c>
      <c r="M76" s="317">
        <v>26666.949796815268</v>
      </c>
      <c r="N76" s="317">
        <v>26313.334600443523</v>
      </c>
      <c r="O76" s="317">
        <v>26378.773901105047</v>
      </c>
      <c r="P76" s="317">
        <v>26065.426016899728</v>
      </c>
      <c r="Q76" s="317">
        <v>25788.717770044615</v>
      </c>
      <c r="R76" s="317">
        <v>25525.594035127804</v>
      </c>
      <c r="S76" s="317">
        <v>25285.617380100135</v>
      </c>
      <c r="T76" s="317">
        <v>25357.852313694617</v>
      </c>
      <c r="U76" s="317">
        <v>25118.252510679893</v>
      </c>
      <c r="V76" s="317">
        <v>24863.002197378493</v>
      </c>
      <c r="W76" s="317">
        <v>24597.372322613868</v>
      </c>
      <c r="X76" s="368">
        <f t="shared" si="1"/>
        <v>25448.453774466045</v>
      </c>
    </row>
    <row r="77" spans="1:49"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8">
        <f t="shared" si="1"/>
        <v>0</v>
      </c>
      <c r="Y77" s="745"/>
      <c r="Z77" s="745"/>
      <c r="AA77" s="745"/>
      <c r="AB77" s="745"/>
      <c r="AC77" s="745"/>
      <c r="AD77" s="745"/>
      <c r="AE77" s="745"/>
      <c r="AF77" s="745"/>
      <c r="AG77" s="745"/>
      <c r="AH77" s="745"/>
      <c r="AI77" s="745"/>
      <c r="AJ77" s="745"/>
      <c r="AK77" s="745"/>
      <c r="AL77" s="745"/>
      <c r="AM77" s="745"/>
      <c r="AN77" s="745"/>
      <c r="AO77" s="745"/>
      <c r="AP77" s="745"/>
      <c r="AQ77" s="745"/>
      <c r="AR77" s="745"/>
      <c r="AS77" s="745"/>
      <c r="AT77" s="745"/>
      <c r="AU77" s="745"/>
      <c r="AV77" s="745"/>
      <c r="AW77" s="745"/>
    </row>
    <row r="78" spans="1:49">
      <c r="A78" s="318" t="s">
        <v>451</v>
      </c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8">
        <f t="shared" si="1"/>
        <v>0</v>
      </c>
      <c r="Y78" s="745"/>
      <c r="Z78" s="745"/>
      <c r="AA78" s="745"/>
      <c r="AB78" s="745"/>
      <c r="AC78" s="745"/>
      <c r="AD78" s="745"/>
      <c r="AE78" s="745"/>
      <c r="AF78" s="745"/>
      <c r="AG78" s="745"/>
      <c r="AH78" s="745"/>
      <c r="AI78" s="745"/>
      <c r="AJ78" s="745"/>
      <c r="AK78" s="745"/>
      <c r="AL78" s="745"/>
      <c r="AM78" s="745"/>
      <c r="AN78" s="745"/>
      <c r="AO78" s="745"/>
      <c r="AP78" s="745"/>
      <c r="AQ78" s="745"/>
      <c r="AR78" s="745"/>
      <c r="AS78" s="745"/>
      <c r="AT78" s="745"/>
      <c r="AU78" s="745"/>
      <c r="AV78" s="745"/>
      <c r="AW78" s="745"/>
    </row>
    <row r="79" spans="1:49">
      <c r="A79" s="318" t="s">
        <v>452</v>
      </c>
      <c r="B79" s="317">
        <v>121589.11468</v>
      </c>
      <c r="C79" s="317">
        <v>121589.11468</v>
      </c>
      <c r="D79" s="317">
        <v>121589.11468</v>
      </c>
      <c r="E79" s="317">
        <v>121589.11468</v>
      </c>
      <c r="F79" s="317">
        <v>121589.11468</v>
      </c>
      <c r="G79" s="317">
        <v>121589.11468</v>
      </c>
      <c r="H79" s="317">
        <v>121589.11468</v>
      </c>
      <c r="I79" s="317">
        <v>121589.11468</v>
      </c>
      <c r="J79" s="317">
        <v>121589.11468</v>
      </c>
      <c r="K79" s="317">
        <v>121589.11468</v>
      </c>
      <c r="L79" s="317">
        <v>121589.11468</v>
      </c>
      <c r="M79" s="317">
        <v>121589.11468</v>
      </c>
      <c r="N79" s="317">
        <v>121589.11468</v>
      </c>
      <c r="O79" s="317">
        <v>121589.11468</v>
      </c>
      <c r="P79" s="317">
        <v>121589.11468</v>
      </c>
      <c r="Q79" s="317">
        <v>121589.11468</v>
      </c>
      <c r="R79" s="317">
        <v>121589.11468</v>
      </c>
      <c r="S79" s="317">
        <v>121589.11468</v>
      </c>
      <c r="T79" s="317">
        <v>121589.11468</v>
      </c>
      <c r="U79" s="317">
        <v>121589.11468</v>
      </c>
      <c r="V79" s="317">
        <v>121589.11468</v>
      </c>
      <c r="W79" s="317">
        <v>121589.11468</v>
      </c>
      <c r="X79" s="368">
        <f t="shared" si="1"/>
        <v>121589.11468000004</v>
      </c>
    </row>
    <row r="80" spans="1:49">
      <c r="A80" s="318" t="s">
        <v>453</v>
      </c>
      <c r="B80" s="368">
        <v>124696.3685</v>
      </c>
      <c r="C80" s="368">
        <v>124696.3685</v>
      </c>
      <c r="D80" s="368">
        <v>124696.3685</v>
      </c>
      <c r="E80" s="368">
        <v>124696.3685</v>
      </c>
      <c r="F80" s="368">
        <v>124696.3685</v>
      </c>
      <c r="G80" s="368">
        <v>124696.3685</v>
      </c>
      <c r="H80" s="368">
        <v>124696.3685</v>
      </c>
      <c r="I80" s="368">
        <v>124696.3685</v>
      </c>
      <c r="J80" s="368">
        <v>124696.3685</v>
      </c>
      <c r="K80" s="368">
        <v>124696.3685</v>
      </c>
      <c r="L80" s="368">
        <v>124696.3685</v>
      </c>
      <c r="M80" s="368">
        <v>124696.3685</v>
      </c>
      <c r="N80" s="368">
        <v>124696.3685</v>
      </c>
      <c r="O80" s="368">
        <v>124696.3685</v>
      </c>
      <c r="P80" s="368">
        <v>124696.3685</v>
      </c>
      <c r="Q80" s="368">
        <v>124696.3685</v>
      </c>
      <c r="R80" s="368">
        <v>124696.3685</v>
      </c>
      <c r="S80" s="368">
        <v>124696.3685</v>
      </c>
      <c r="T80" s="368">
        <v>124696.3685</v>
      </c>
      <c r="U80" s="368">
        <v>124696.3685</v>
      </c>
      <c r="V80" s="368">
        <v>124696.3685</v>
      </c>
      <c r="W80" s="368">
        <v>124696.3685</v>
      </c>
      <c r="X80" s="368">
        <f t="shared" si="1"/>
        <v>124696.36850000003</v>
      </c>
    </row>
    <row r="81" spans="1:49" ht="15.75" thickBot="1">
      <c r="A81" s="318" t="s">
        <v>454</v>
      </c>
      <c r="B81" s="316">
        <v>0</v>
      </c>
      <c r="C81" s="316">
        <v>0</v>
      </c>
      <c r="D81" s="316">
        <v>0</v>
      </c>
      <c r="E81" s="316">
        <v>0</v>
      </c>
      <c r="F81" s="316">
        <v>0</v>
      </c>
      <c r="G81" s="316">
        <v>0</v>
      </c>
      <c r="H81" s="316">
        <v>0</v>
      </c>
      <c r="I81" s="316">
        <v>0</v>
      </c>
      <c r="J81" s="316">
        <v>0</v>
      </c>
      <c r="K81" s="316">
        <v>0</v>
      </c>
      <c r="L81" s="316">
        <v>0</v>
      </c>
      <c r="M81" s="316">
        <v>0</v>
      </c>
      <c r="N81" s="316">
        <v>0</v>
      </c>
      <c r="O81" s="316">
        <v>0</v>
      </c>
      <c r="P81" s="316">
        <v>0</v>
      </c>
      <c r="Q81" s="316">
        <v>0</v>
      </c>
      <c r="R81" s="316">
        <v>0</v>
      </c>
      <c r="S81" s="316">
        <v>0</v>
      </c>
      <c r="T81" s="316">
        <v>0</v>
      </c>
      <c r="U81" s="316">
        <v>0</v>
      </c>
      <c r="V81" s="316">
        <v>0</v>
      </c>
      <c r="W81" s="316">
        <v>0</v>
      </c>
      <c r="X81" s="368">
        <f t="shared" si="1"/>
        <v>0</v>
      </c>
    </row>
    <row r="82" spans="1:49">
      <c r="A82" s="318" t="s">
        <v>451</v>
      </c>
      <c r="B82" s="317">
        <v>246285.48317999998</v>
      </c>
      <c r="C82" s="317">
        <v>246285.48317999998</v>
      </c>
      <c r="D82" s="317">
        <v>246285.48317999998</v>
      </c>
      <c r="E82" s="317">
        <v>246285.48317999998</v>
      </c>
      <c r="F82" s="317">
        <v>246285.48317999998</v>
      </c>
      <c r="G82" s="317">
        <v>246285.48317999998</v>
      </c>
      <c r="H82" s="317">
        <v>246285.48317999998</v>
      </c>
      <c r="I82" s="317">
        <v>246285.48317999998</v>
      </c>
      <c r="J82" s="317">
        <v>246285.48317999998</v>
      </c>
      <c r="K82" s="317">
        <v>246285.48317999998</v>
      </c>
      <c r="L82" s="317">
        <v>246285.48317999998</v>
      </c>
      <c r="M82" s="317">
        <v>246285.48317999998</v>
      </c>
      <c r="N82" s="317">
        <v>246285.48317999998</v>
      </c>
      <c r="O82" s="317">
        <v>246285.48317999998</v>
      </c>
      <c r="P82" s="317">
        <v>246285.48317999998</v>
      </c>
      <c r="Q82" s="317">
        <v>246285.48317999998</v>
      </c>
      <c r="R82" s="317">
        <v>246285.48317999998</v>
      </c>
      <c r="S82" s="317">
        <v>246285.48317999998</v>
      </c>
      <c r="T82" s="317">
        <v>246285.48317999998</v>
      </c>
      <c r="U82" s="317">
        <v>246285.48317999998</v>
      </c>
      <c r="V82" s="317">
        <v>246285.48317999998</v>
      </c>
      <c r="W82" s="317">
        <v>246285.48317999998</v>
      </c>
      <c r="X82" s="368">
        <f t="shared" si="1"/>
        <v>246285.48317999998</v>
      </c>
    </row>
    <row r="83" spans="1:49"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8">
        <f t="shared" si="1"/>
        <v>0</v>
      </c>
      <c r="Y83" s="745"/>
      <c r="Z83" s="745"/>
      <c r="AA83" s="745"/>
      <c r="AB83" s="745"/>
      <c r="AC83" s="745"/>
      <c r="AD83" s="745"/>
      <c r="AE83" s="745"/>
      <c r="AF83" s="745"/>
      <c r="AG83" s="745"/>
      <c r="AH83" s="745"/>
      <c r="AI83" s="745"/>
      <c r="AJ83" s="745"/>
      <c r="AK83" s="745"/>
      <c r="AL83" s="745"/>
      <c r="AM83" s="745"/>
      <c r="AN83" s="745"/>
      <c r="AO83" s="745"/>
      <c r="AP83" s="745"/>
      <c r="AQ83" s="745"/>
      <c r="AR83" s="745"/>
      <c r="AS83" s="745"/>
      <c r="AT83" s="745"/>
      <c r="AU83" s="745"/>
      <c r="AV83" s="745"/>
      <c r="AW83" s="745"/>
    </row>
    <row r="84" spans="1:49">
      <c r="A84" s="318" t="s">
        <v>455</v>
      </c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8">
        <f t="shared" si="1"/>
        <v>0</v>
      </c>
      <c r="Y84" s="745"/>
      <c r="Z84" s="745"/>
      <c r="AA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O84" s="745"/>
      <c r="AP84" s="745"/>
      <c r="AQ84" s="745"/>
      <c r="AR84" s="745"/>
      <c r="AS84" s="745"/>
      <c r="AT84" s="745"/>
      <c r="AU84" s="745"/>
      <c r="AV84" s="745"/>
      <c r="AW84" s="745"/>
    </row>
    <row r="85" spans="1:49">
      <c r="A85" s="318" t="s">
        <v>456</v>
      </c>
      <c r="B85" s="317">
        <v>7128.8410000000003</v>
      </c>
      <c r="C85" s="317">
        <v>7128.8410000000003</v>
      </c>
      <c r="D85" s="317">
        <v>7080.3296621297204</v>
      </c>
      <c r="E85" s="317">
        <v>7080.3296621297204</v>
      </c>
      <c r="F85" s="317">
        <v>7080.3296621297204</v>
      </c>
      <c r="G85" s="317">
        <v>7031.8183242594396</v>
      </c>
      <c r="H85" s="317">
        <v>7031.8183242594396</v>
      </c>
      <c r="I85" s="317">
        <v>7031.8183242594396</v>
      </c>
      <c r="J85" s="317">
        <v>6983.3069863891596</v>
      </c>
      <c r="K85" s="317">
        <v>6983.3069863891596</v>
      </c>
      <c r="L85" s="317">
        <v>6983.3069863891596</v>
      </c>
      <c r="M85" s="317">
        <v>6934.7956485188797</v>
      </c>
      <c r="N85" s="317">
        <v>6934.7956485188797</v>
      </c>
      <c r="O85" s="317">
        <v>6934.7956485188797</v>
      </c>
      <c r="P85" s="317">
        <v>6886.2843106486098</v>
      </c>
      <c r="Q85" s="317">
        <v>6886.2843106486098</v>
      </c>
      <c r="R85" s="317">
        <v>6886.2843106486098</v>
      </c>
      <c r="S85" s="317">
        <v>6837.7729727783299</v>
      </c>
      <c r="T85" s="317">
        <v>6837.7729727783299</v>
      </c>
      <c r="U85" s="317">
        <v>6837.7729727783299</v>
      </c>
      <c r="V85" s="317">
        <v>6789.2616349080499</v>
      </c>
      <c r="W85" s="317">
        <v>6789.2616349080499</v>
      </c>
      <c r="X85" s="368">
        <f t="shared" si="1"/>
        <v>6886.2843106486062</v>
      </c>
    </row>
    <row r="86" spans="1:49">
      <c r="A86" s="318" t="s">
        <v>457</v>
      </c>
      <c r="B86" s="317">
        <v>188348.77405982997</v>
      </c>
      <c r="C86" s="317">
        <v>186922.32488313038</v>
      </c>
      <c r="D86" s="317">
        <v>185764.3932359576</v>
      </c>
      <c r="E86" s="317">
        <v>184174.91676927597</v>
      </c>
      <c r="F86" s="317">
        <v>182702.41721588754</v>
      </c>
      <c r="G86" s="317">
        <v>181675.12852458959</v>
      </c>
      <c r="H86" s="317">
        <v>180573.21384397402</v>
      </c>
      <c r="I86" s="317">
        <v>179396.48650793446</v>
      </c>
      <c r="J86" s="317">
        <v>178323.77216944686</v>
      </c>
      <c r="K86" s="317">
        <v>177130.02593704942</v>
      </c>
      <c r="L86" s="317">
        <v>175670.76124194413</v>
      </c>
      <c r="M86" s="317">
        <v>174236.81131448777</v>
      </c>
      <c r="N86" s="317">
        <v>172493.48599064691</v>
      </c>
      <c r="O86" s="317">
        <v>171080.43061316607</v>
      </c>
      <c r="P86" s="317">
        <v>169740.92003439498</v>
      </c>
      <c r="Q86" s="317">
        <v>168553.17369940961</v>
      </c>
      <c r="R86" s="317">
        <v>167386.34532704853</v>
      </c>
      <c r="S86" s="317">
        <v>166548.74526386723</v>
      </c>
      <c r="T86" s="317">
        <v>165526.64294405922</v>
      </c>
      <c r="U86" s="317">
        <v>164479.63492992587</v>
      </c>
      <c r="V86" s="317">
        <v>163502.44631820178</v>
      </c>
      <c r="W86" s="317">
        <v>162341.63626999807</v>
      </c>
      <c r="X86" s="368">
        <f t="shared" si="1"/>
        <v>169130.08152955381</v>
      </c>
    </row>
    <row r="87" spans="1:49">
      <c r="A87" s="318" t="s">
        <v>458</v>
      </c>
      <c r="B87" s="317">
        <v>13442.20719267238</v>
      </c>
      <c r="C87" s="317">
        <v>12882.115244008572</v>
      </c>
      <c r="D87" s="317">
        <v>12322.023295344759</v>
      </c>
      <c r="E87" s="317">
        <v>11761.931346680951</v>
      </c>
      <c r="F87" s="317">
        <v>13592.31139801714</v>
      </c>
      <c r="G87" s="317">
        <v>13032.21944935333</v>
      </c>
      <c r="H87" s="317">
        <v>12472.127500689521</v>
      </c>
      <c r="I87" s="317">
        <v>11912.035552025711</v>
      </c>
      <c r="J87" s="317">
        <v>11351.9436033619</v>
      </c>
      <c r="K87" s="317">
        <v>10791.85165469809</v>
      </c>
      <c r="L87" s="317">
        <v>10428.880470455777</v>
      </c>
      <c r="M87" s="317">
        <v>10065.909286213471</v>
      </c>
      <c r="N87" s="317">
        <v>9702.9381019711655</v>
      </c>
      <c r="O87" s="317">
        <v>9339.9669177288597</v>
      </c>
      <c r="P87" s="317">
        <v>8976.9957334865558</v>
      </c>
      <c r="Q87" s="317">
        <v>8614.0245492442518</v>
      </c>
      <c r="R87" s="317">
        <v>8251.0533650019443</v>
      </c>
      <c r="S87" s="317">
        <v>7888.0821807596403</v>
      </c>
      <c r="T87" s="317">
        <v>7525.1109965173364</v>
      </c>
      <c r="U87" s="317">
        <v>7162.1398122750306</v>
      </c>
      <c r="V87" s="317">
        <v>6799.1686280327158</v>
      </c>
      <c r="W87" s="317">
        <v>6436.1974437904119</v>
      </c>
      <c r="X87" s="368">
        <f t="shared" si="1"/>
        <v>8614.02454924425</v>
      </c>
      <c r="Y87" s="749"/>
      <c r="Z87" s="749"/>
      <c r="AA87" s="749"/>
      <c r="AB87" s="749"/>
      <c r="AC87" s="749"/>
      <c r="AD87" s="749"/>
      <c r="AE87" s="749"/>
      <c r="AF87" s="749"/>
      <c r="AG87" s="749"/>
      <c r="AH87" s="749"/>
      <c r="AI87" s="749"/>
      <c r="AJ87" s="749"/>
      <c r="AK87" s="749"/>
      <c r="AL87" s="749"/>
      <c r="AM87" s="749"/>
      <c r="AN87" s="749"/>
      <c r="AO87" s="749"/>
      <c r="AP87" s="749"/>
      <c r="AQ87" s="749"/>
      <c r="AR87" s="749"/>
      <c r="AS87" s="749"/>
      <c r="AT87" s="749"/>
      <c r="AU87" s="749"/>
      <c r="AV87" s="749"/>
      <c r="AW87" s="749"/>
    </row>
    <row r="88" spans="1:49">
      <c r="A88" s="318" t="s">
        <v>459</v>
      </c>
      <c r="B88" s="366">
        <v>0</v>
      </c>
      <c r="C88" s="366">
        <v>34.1826510562667</v>
      </c>
      <c r="D88" s="366">
        <v>0</v>
      </c>
      <c r="E88" s="366">
        <v>0</v>
      </c>
      <c r="F88" s="366">
        <v>27.608390323968099</v>
      </c>
      <c r="G88" s="366">
        <v>0</v>
      </c>
      <c r="H88" s="366">
        <v>0</v>
      </c>
      <c r="I88" s="366">
        <v>0</v>
      </c>
      <c r="J88" s="366">
        <v>0</v>
      </c>
      <c r="K88" s="366">
        <v>7.4087974792658997</v>
      </c>
      <c r="L88" s="366">
        <v>93.649835277236505</v>
      </c>
      <c r="M88" s="366">
        <v>74.190035459710415</v>
      </c>
      <c r="N88" s="366">
        <v>64.436310883293331</v>
      </c>
      <c r="O88" s="366">
        <v>200.26401972354833</v>
      </c>
      <c r="P88" s="366">
        <v>76.55721848685782</v>
      </c>
      <c r="Q88" s="366">
        <v>107.90071230659893</v>
      </c>
      <c r="R88" s="366">
        <v>164.69341417595294</v>
      </c>
      <c r="S88" s="366">
        <v>3.9999999927431397E-5</v>
      </c>
      <c r="T88" s="366">
        <v>3.9999999927431397E-5</v>
      </c>
      <c r="U88" s="366">
        <v>3.9999999927431397E-5</v>
      </c>
      <c r="V88" s="366">
        <v>62.823080699873827</v>
      </c>
      <c r="W88" s="366">
        <v>103.18039648437693</v>
      </c>
      <c r="X88" s="368">
        <f t="shared" si="1"/>
        <v>73.469533921285745</v>
      </c>
      <c r="Y88" s="749"/>
      <c r="Z88" s="749"/>
      <c r="AA88" s="749"/>
      <c r="AB88" s="749"/>
      <c r="AC88" s="749"/>
      <c r="AD88" s="749"/>
      <c r="AE88" s="749"/>
      <c r="AF88" s="749"/>
      <c r="AG88" s="749"/>
      <c r="AH88" s="749"/>
      <c r="AI88" s="749"/>
      <c r="AJ88" s="749"/>
      <c r="AK88" s="749"/>
      <c r="AL88" s="749"/>
      <c r="AM88" s="749"/>
      <c r="AN88" s="749"/>
      <c r="AO88" s="749"/>
      <c r="AP88" s="749"/>
      <c r="AQ88" s="749"/>
      <c r="AR88" s="749"/>
      <c r="AS88" s="749"/>
      <c r="AT88" s="749"/>
      <c r="AU88" s="749"/>
      <c r="AV88" s="749"/>
      <c r="AW88" s="749"/>
    </row>
    <row r="89" spans="1:49">
      <c r="A89" s="318" t="s">
        <v>564</v>
      </c>
      <c r="B89" s="317">
        <v>29146.899683056879</v>
      </c>
      <c r="C89" s="317">
        <v>28734.561783280042</v>
      </c>
      <c r="D89" s="317">
        <v>28302.776361297318</v>
      </c>
      <c r="E89" s="317">
        <v>27877.797039536825</v>
      </c>
      <c r="F89" s="317">
        <v>27477.159305544697</v>
      </c>
      <c r="G89" s="317">
        <v>27086.40281570439</v>
      </c>
      <c r="H89" s="317">
        <v>26720.378549232446</v>
      </c>
      <c r="I89" s="317">
        <v>26352.983444384285</v>
      </c>
      <c r="J89" s="317">
        <v>25983.542285558418</v>
      </c>
      <c r="K89" s="317">
        <v>25623.352851500476</v>
      </c>
      <c r="L89" s="317">
        <v>25229.478763227929</v>
      </c>
      <c r="M89" s="317">
        <v>24827.523867589673</v>
      </c>
      <c r="N89" s="317">
        <v>24404.763836130649</v>
      </c>
      <c r="O89" s="317">
        <v>24034.522516830941</v>
      </c>
      <c r="P89" s="317">
        <v>23662.365457659282</v>
      </c>
      <c r="Q89" s="317">
        <v>23331.92665885211</v>
      </c>
      <c r="R89" s="317">
        <v>23010.217475163401</v>
      </c>
      <c r="S89" s="317">
        <v>22718.177359670208</v>
      </c>
      <c r="T89" s="317">
        <v>22418.128169981486</v>
      </c>
      <c r="U89" s="317">
        <v>22120.655734838114</v>
      </c>
      <c r="V89" s="317">
        <v>21821.271330133015</v>
      </c>
      <c r="W89" s="317">
        <v>21508.551857529623</v>
      </c>
      <c r="X89" s="368">
        <f t="shared" si="1"/>
        <v>23439.302759931299</v>
      </c>
    </row>
    <row r="90" spans="1:49">
      <c r="A90" s="318" t="s">
        <v>460</v>
      </c>
      <c r="B90" s="317">
        <v>105539.29506063924</v>
      </c>
      <c r="C90" s="317">
        <v>106691.85985451934</v>
      </c>
      <c r="D90" s="317">
        <v>107781.27903561422</v>
      </c>
      <c r="E90" s="317">
        <v>109540.43435642078</v>
      </c>
      <c r="F90" s="317">
        <v>110581.14793091295</v>
      </c>
      <c r="G90" s="317">
        <v>111662.69691365183</v>
      </c>
      <c r="H90" s="317">
        <v>112689.30953599747</v>
      </c>
      <c r="I90" s="317">
        <v>113716.52340098876</v>
      </c>
      <c r="J90" s="317">
        <v>114733.48254282674</v>
      </c>
      <c r="K90" s="317">
        <v>115696.92483507711</v>
      </c>
      <c r="L90" s="317">
        <v>116648.9453136435</v>
      </c>
      <c r="M90" s="317">
        <v>117549.31389367789</v>
      </c>
      <c r="N90" s="317">
        <v>118437.42628045594</v>
      </c>
      <c r="O90" s="317">
        <v>119315.66843434419</v>
      </c>
      <c r="P90" s="317">
        <v>120191.82678487748</v>
      </c>
      <c r="Q90" s="317">
        <v>121055.70694988743</v>
      </c>
      <c r="R90" s="317">
        <v>121924.70404429054</v>
      </c>
      <c r="S90" s="317">
        <v>122785.68783841218</v>
      </c>
      <c r="T90" s="317">
        <v>123265.70366575751</v>
      </c>
      <c r="U90" s="317">
        <v>123757.42431142343</v>
      </c>
      <c r="V90" s="317">
        <v>124233.85905068433</v>
      </c>
      <c r="W90" s="317">
        <v>124712.40174804513</v>
      </c>
      <c r="X90" s="368">
        <f t="shared" si="1"/>
        <v>120736.58408850592</v>
      </c>
      <c r="Y90" s="749"/>
      <c r="Z90" s="749"/>
      <c r="AA90" s="749"/>
      <c r="AB90" s="749"/>
      <c r="AC90" s="749"/>
      <c r="AD90" s="749"/>
      <c r="AE90" s="749"/>
      <c r="AF90" s="749"/>
      <c r="AG90" s="749"/>
      <c r="AH90" s="749"/>
      <c r="AI90" s="749"/>
      <c r="AJ90" s="749"/>
      <c r="AK90" s="749"/>
      <c r="AL90" s="749"/>
      <c r="AM90" s="749"/>
      <c r="AN90" s="749"/>
      <c r="AO90" s="749"/>
      <c r="AP90" s="749"/>
      <c r="AQ90" s="749"/>
      <c r="AR90" s="749"/>
      <c r="AS90" s="749"/>
      <c r="AT90" s="749"/>
      <c r="AU90" s="749"/>
      <c r="AV90" s="749"/>
      <c r="AW90" s="749"/>
    </row>
    <row r="91" spans="1:49">
      <c r="A91" s="318" t="s">
        <v>1731</v>
      </c>
      <c r="B91" s="317">
        <v>0</v>
      </c>
      <c r="C91" s="317">
        <v>0</v>
      </c>
      <c r="D91" s="317">
        <v>0</v>
      </c>
      <c r="E91" s="317">
        <v>0</v>
      </c>
      <c r="F91" s="317">
        <v>0</v>
      </c>
      <c r="G91" s="317">
        <v>0</v>
      </c>
      <c r="H91" s="317">
        <v>0</v>
      </c>
      <c r="I91" s="317">
        <v>0</v>
      </c>
      <c r="J91" s="317">
        <v>0</v>
      </c>
      <c r="K91" s="317">
        <v>0</v>
      </c>
      <c r="L91" s="317">
        <v>0</v>
      </c>
      <c r="M91" s="317">
        <v>0</v>
      </c>
      <c r="N91" s="317">
        <v>0</v>
      </c>
      <c r="O91" s="317">
        <v>0</v>
      </c>
      <c r="P91" s="317">
        <v>0</v>
      </c>
      <c r="Q91" s="317">
        <v>0</v>
      </c>
      <c r="R91" s="317">
        <v>0</v>
      </c>
      <c r="S91" s="317">
        <v>0</v>
      </c>
      <c r="T91" s="317">
        <v>0</v>
      </c>
      <c r="U91" s="317">
        <v>0</v>
      </c>
      <c r="V91" s="317">
        <v>0</v>
      </c>
      <c r="W91" s="317">
        <v>0</v>
      </c>
      <c r="X91" s="368">
        <f t="shared" si="1"/>
        <v>0</v>
      </c>
    </row>
    <row r="92" spans="1:49" ht="15.75" thickBot="1">
      <c r="A92" s="318" t="s">
        <v>461</v>
      </c>
      <c r="B92" s="750">
        <v>6318.7248508893699</v>
      </c>
      <c r="C92" s="750">
        <v>6277.1530088643703</v>
      </c>
      <c r="D92" s="750">
        <v>5866.5292004706198</v>
      </c>
      <c r="E92" s="750">
        <v>5895.3354545374996</v>
      </c>
      <c r="F92" s="750">
        <v>5784.0952097787504</v>
      </c>
      <c r="G92" s="750">
        <v>6352.6843164818702</v>
      </c>
      <c r="H92" s="750">
        <v>6303.74387781937</v>
      </c>
      <c r="I92" s="750">
        <v>6165.0633649637502</v>
      </c>
      <c r="J92" s="750">
        <v>5394.3548899512498</v>
      </c>
      <c r="K92" s="750">
        <v>7439.1540372612499</v>
      </c>
      <c r="L92" s="750">
        <v>9278.8945833036996</v>
      </c>
      <c r="M92" s="750">
        <v>9146.453718574292</v>
      </c>
      <c r="N92" s="750">
        <v>9048.7315554061188</v>
      </c>
      <c r="O92" s="750">
        <v>8952.7731702267101</v>
      </c>
      <c r="P92" s="750">
        <v>9714.3904305004198</v>
      </c>
      <c r="Q92" s="750">
        <v>12125.6721336628</v>
      </c>
      <c r="R92" s="750">
        <v>13632.9474948309</v>
      </c>
      <c r="S92" s="750">
        <v>13659.899955520301</v>
      </c>
      <c r="T92" s="750">
        <v>13503.9887650283</v>
      </c>
      <c r="U92" s="750">
        <v>13626.6116195308</v>
      </c>
      <c r="V92" s="750">
        <v>14016.0180204551</v>
      </c>
      <c r="W92" s="750">
        <v>15239.142612498201</v>
      </c>
      <c r="X92" s="368">
        <f t="shared" si="1"/>
        <v>11491.129084369146</v>
      </c>
    </row>
    <row r="93" spans="1:49">
      <c r="A93" s="318" t="s">
        <v>455</v>
      </c>
      <c r="B93" s="317">
        <v>349924.7418470878</v>
      </c>
      <c r="C93" s="317">
        <v>348671.038424859</v>
      </c>
      <c r="D93" s="317">
        <v>347117.33079081419</v>
      </c>
      <c r="E93" s="317">
        <v>346330.74462858168</v>
      </c>
      <c r="F93" s="317">
        <v>347245.06911259476</v>
      </c>
      <c r="G93" s="317">
        <v>346840.95034404047</v>
      </c>
      <c r="H93" s="317">
        <v>345790.59163197229</v>
      </c>
      <c r="I93" s="317">
        <v>344574.91059455642</v>
      </c>
      <c r="J93" s="317">
        <v>342770.40247753431</v>
      </c>
      <c r="K93" s="317">
        <v>343672.0250994548</v>
      </c>
      <c r="L93" s="317">
        <v>344333.91719424143</v>
      </c>
      <c r="M93" s="317">
        <v>342834.99776452169</v>
      </c>
      <c r="N93" s="317">
        <v>341086.57772401295</v>
      </c>
      <c r="O93" s="317">
        <v>339858.4213205392</v>
      </c>
      <c r="P93" s="317">
        <v>339249.33997005416</v>
      </c>
      <c r="Q93" s="317">
        <v>340674.68901401141</v>
      </c>
      <c r="R93" s="317">
        <v>341256.24543115986</v>
      </c>
      <c r="S93" s="317">
        <v>340438.3656110079</v>
      </c>
      <c r="T93" s="317">
        <v>339077.34755412216</v>
      </c>
      <c r="U93" s="317">
        <v>337984.2394207716</v>
      </c>
      <c r="V93" s="317">
        <v>337224.84806311486</v>
      </c>
      <c r="W93" s="317">
        <v>337130.37196325389</v>
      </c>
      <c r="X93" s="368">
        <f t="shared" si="1"/>
        <v>340370.87585617427</v>
      </c>
    </row>
    <row r="94" spans="1:49"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8">
        <f t="shared" si="1"/>
        <v>0</v>
      </c>
      <c r="Y94" s="745"/>
      <c r="Z94" s="745"/>
      <c r="AA94" s="745"/>
      <c r="AB94" s="745"/>
      <c r="AC94" s="745"/>
      <c r="AD94" s="745"/>
      <c r="AE94" s="745"/>
      <c r="AF94" s="745"/>
      <c r="AG94" s="745"/>
      <c r="AH94" s="745"/>
      <c r="AI94" s="745"/>
      <c r="AJ94" s="745"/>
      <c r="AK94" s="745"/>
      <c r="AL94" s="745"/>
      <c r="AM94" s="745"/>
      <c r="AN94" s="745"/>
      <c r="AO94" s="745"/>
      <c r="AP94" s="745"/>
      <c r="AQ94" s="745"/>
      <c r="AR94" s="745"/>
      <c r="AS94" s="745"/>
      <c r="AT94" s="745"/>
      <c r="AU94" s="745"/>
      <c r="AV94" s="745"/>
      <c r="AW94" s="745"/>
    </row>
    <row r="95" spans="1:49">
      <c r="A95" s="318" t="s">
        <v>462</v>
      </c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8">
        <f t="shared" si="1"/>
        <v>0</v>
      </c>
      <c r="Y95" s="745"/>
      <c r="Z95" s="745"/>
      <c r="AA95" s="745"/>
      <c r="AB95" s="745"/>
      <c r="AC95" s="745"/>
      <c r="AD95" s="745"/>
      <c r="AE95" s="745"/>
      <c r="AF95" s="745"/>
      <c r="AG95" s="745"/>
      <c r="AH95" s="745"/>
      <c r="AI95" s="745"/>
      <c r="AJ95" s="745"/>
      <c r="AK95" s="745"/>
      <c r="AL95" s="745"/>
      <c r="AM95" s="745"/>
      <c r="AN95" s="745"/>
      <c r="AO95" s="745"/>
      <c r="AP95" s="745"/>
      <c r="AQ95" s="745"/>
      <c r="AR95" s="745"/>
      <c r="AS95" s="745"/>
      <c r="AT95" s="745"/>
      <c r="AU95" s="745"/>
      <c r="AV95" s="745"/>
      <c r="AW95" s="745"/>
    </row>
    <row r="96" spans="1:49">
      <c r="A96" s="318" t="s">
        <v>464</v>
      </c>
      <c r="B96" s="368">
        <v>2174.4459899999924</v>
      </c>
      <c r="C96" s="368">
        <v>2174.4459899999924</v>
      </c>
      <c r="D96" s="368">
        <v>2174.4459899999924</v>
      </c>
      <c r="E96" s="368">
        <v>2174.4459899999924</v>
      </c>
      <c r="F96" s="368">
        <v>2174.4459899999924</v>
      </c>
      <c r="G96" s="368">
        <v>2174.4459899999924</v>
      </c>
      <c r="H96" s="368">
        <v>2174.4459899999924</v>
      </c>
      <c r="I96" s="368">
        <v>2174.4459899999924</v>
      </c>
      <c r="J96" s="368">
        <v>2174.4459899999924</v>
      </c>
      <c r="K96" s="368">
        <v>2174.4459899999924</v>
      </c>
      <c r="L96" s="368">
        <v>2174.4459899999924</v>
      </c>
      <c r="M96" s="368">
        <v>2174.4459899999924</v>
      </c>
      <c r="N96" s="368">
        <v>2174.4459899999924</v>
      </c>
      <c r="O96" s="368">
        <v>2174.4459899999924</v>
      </c>
      <c r="P96" s="368">
        <v>2174.4459899999924</v>
      </c>
      <c r="Q96" s="368">
        <v>2174.4459899999924</v>
      </c>
      <c r="R96" s="368">
        <v>2174.4459899999924</v>
      </c>
      <c r="S96" s="368">
        <v>2174.4459899999924</v>
      </c>
      <c r="T96" s="368">
        <v>2174.4459899999924</v>
      </c>
      <c r="U96" s="368">
        <v>2174.4459899999924</v>
      </c>
      <c r="V96" s="368">
        <v>2174.4459899999924</v>
      </c>
      <c r="W96" s="368">
        <v>2174.4459899999924</v>
      </c>
      <c r="X96" s="368">
        <f t="shared" si="1"/>
        <v>2174.4459899999924</v>
      </c>
    </row>
    <row r="97" spans="1:49">
      <c r="A97" s="318" t="s">
        <v>465</v>
      </c>
      <c r="B97" s="751">
        <v>193.83372747299933</v>
      </c>
      <c r="C97" s="751">
        <v>193.83372747299933</v>
      </c>
      <c r="D97" s="751">
        <v>193.83372747299933</v>
      </c>
      <c r="E97" s="751">
        <v>193.83372747299933</v>
      </c>
      <c r="F97" s="751">
        <v>193.83372747299933</v>
      </c>
      <c r="G97" s="751">
        <v>193.83372747299933</v>
      </c>
      <c r="H97" s="751">
        <v>193.83372747299933</v>
      </c>
      <c r="I97" s="751">
        <v>193.83372747299933</v>
      </c>
      <c r="J97" s="751">
        <v>193.83372747299933</v>
      </c>
      <c r="K97" s="751">
        <v>193.83372747299933</v>
      </c>
      <c r="L97" s="751">
        <v>193.83372747299933</v>
      </c>
      <c r="M97" s="751">
        <v>193.83372747299933</v>
      </c>
      <c r="N97" s="751">
        <v>193.83372747299933</v>
      </c>
      <c r="O97" s="751">
        <v>193.83372747299933</v>
      </c>
      <c r="P97" s="751">
        <v>193.83372747299933</v>
      </c>
      <c r="Q97" s="751">
        <v>193.83372747299933</v>
      </c>
      <c r="R97" s="751">
        <v>193.83372747299933</v>
      </c>
      <c r="S97" s="751">
        <v>193.83372747299933</v>
      </c>
      <c r="T97" s="751">
        <v>193.83372747299933</v>
      </c>
      <c r="U97" s="751">
        <v>193.83372747299933</v>
      </c>
      <c r="V97" s="751">
        <v>193.83372747299933</v>
      </c>
      <c r="W97" s="751">
        <v>193.83372747299933</v>
      </c>
      <c r="X97" s="368">
        <f t="shared" si="1"/>
        <v>193.8337274729993</v>
      </c>
    </row>
    <row r="98" spans="1:49">
      <c r="A98" s="318" t="s">
        <v>466</v>
      </c>
      <c r="B98" s="751">
        <v>5400.7717635809995</v>
      </c>
      <c r="C98" s="751">
        <v>5400.7717635809995</v>
      </c>
      <c r="D98" s="751">
        <v>5400.7717635809995</v>
      </c>
      <c r="E98" s="751">
        <v>5400.7717635809995</v>
      </c>
      <c r="F98" s="751">
        <v>5400.7717635809995</v>
      </c>
      <c r="G98" s="751">
        <v>5400.7717635809995</v>
      </c>
      <c r="H98" s="751">
        <v>5400.7717635809995</v>
      </c>
      <c r="I98" s="751">
        <v>5400.7717635809995</v>
      </c>
      <c r="J98" s="751">
        <v>5400.7717635809995</v>
      </c>
      <c r="K98" s="751">
        <v>5400.7717635809995</v>
      </c>
      <c r="L98" s="751">
        <v>5400.7717635809995</v>
      </c>
      <c r="M98" s="751">
        <v>5400.7717635809995</v>
      </c>
      <c r="N98" s="751">
        <v>5400.7717635809995</v>
      </c>
      <c r="O98" s="751">
        <v>5400.7717635809995</v>
      </c>
      <c r="P98" s="751">
        <v>5400.7717635809995</v>
      </c>
      <c r="Q98" s="751">
        <v>5400.7717635809995</v>
      </c>
      <c r="R98" s="751">
        <v>5400.7717635809995</v>
      </c>
      <c r="S98" s="751">
        <v>5400.7717635809995</v>
      </c>
      <c r="T98" s="751">
        <v>5400.7717635809995</v>
      </c>
      <c r="U98" s="751">
        <v>5400.7717635809995</v>
      </c>
      <c r="V98" s="751">
        <v>5400.7717635809995</v>
      </c>
      <c r="W98" s="751">
        <v>5400.7717635809995</v>
      </c>
      <c r="X98" s="368">
        <f t="shared" si="1"/>
        <v>5400.7717635809986</v>
      </c>
    </row>
    <row r="99" spans="1:49">
      <c r="A99" s="318" t="s">
        <v>467</v>
      </c>
      <c r="B99" s="751">
        <v>-293.96435027454459</v>
      </c>
      <c r="C99" s="751">
        <v>-293.64877252959627</v>
      </c>
      <c r="D99" s="751">
        <v>-293.08476642893532</v>
      </c>
      <c r="E99" s="751">
        <v>-292.50099406504688</v>
      </c>
      <c r="F99" s="751">
        <v>-292.09645703484972</v>
      </c>
      <c r="G99" s="751">
        <v>-291.72541641763684</v>
      </c>
      <c r="H99" s="751">
        <v>-291.5273203921663</v>
      </c>
      <c r="I99" s="751">
        <v>-291.20562589601587</v>
      </c>
      <c r="J99" s="751">
        <v>-290.83670777586929</v>
      </c>
      <c r="K99" s="751">
        <v>-290.47999763267291</v>
      </c>
      <c r="L99" s="751">
        <v>-289.68149807892701</v>
      </c>
      <c r="M99" s="751">
        <v>-288.70081070124223</v>
      </c>
      <c r="N99" s="751">
        <v>-287.4107217057433</v>
      </c>
      <c r="O99" s="751">
        <v>-286.65951581021272</v>
      </c>
      <c r="P99" s="751">
        <v>-285.80716692135121</v>
      </c>
      <c r="Q99" s="751">
        <v>-285.42040712510243</v>
      </c>
      <c r="R99" s="751">
        <v>-285.06484956863312</v>
      </c>
      <c r="S99" s="751">
        <v>-285.04955688291244</v>
      </c>
      <c r="T99" s="751">
        <v>-284.9003514012295</v>
      </c>
      <c r="U99" s="751">
        <v>-284.70634030677667</v>
      </c>
      <c r="V99" s="751">
        <v>-284.51369542592067</v>
      </c>
      <c r="W99" s="751">
        <v>-284.11614973309281</v>
      </c>
      <c r="X99" s="368">
        <f t="shared" si="1"/>
        <v>-286.34700471490896</v>
      </c>
    </row>
    <row r="100" spans="1:49">
      <c r="A100" s="318" t="s">
        <v>468</v>
      </c>
      <c r="B100" s="751">
        <v>0</v>
      </c>
      <c r="C100" s="751">
        <v>0</v>
      </c>
      <c r="D100" s="751">
        <v>0</v>
      </c>
      <c r="E100" s="751">
        <v>0</v>
      </c>
      <c r="F100" s="751">
        <v>0</v>
      </c>
      <c r="G100" s="751">
        <v>0</v>
      </c>
      <c r="H100" s="751">
        <v>0</v>
      </c>
      <c r="I100" s="751">
        <v>0</v>
      </c>
      <c r="J100" s="751">
        <v>0</v>
      </c>
      <c r="K100" s="751">
        <v>0</v>
      </c>
      <c r="L100" s="751">
        <v>0</v>
      </c>
      <c r="M100" s="751">
        <v>0</v>
      </c>
      <c r="N100" s="751">
        <v>0</v>
      </c>
      <c r="O100" s="751">
        <v>0</v>
      </c>
      <c r="P100" s="751">
        <v>0</v>
      </c>
      <c r="Q100" s="751">
        <v>0</v>
      </c>
      <c r="R100" s="751">
        <v>0</v>
      </c>
      <c r="S100" s="751">
        <v>0</v>
      </c>
      <c r="T100" s="751">
        <v>0</v>
      </c>
      <c r="U100" s="751">
        <v>0</v>
      </c>
      <c r="V100" s="751">
        <v>0</v>
      </c>
      <c r="W100" s="751">
        <v>0</v>
      </c>
      <c r="X100" s="368">
        <f t="shared" si="1"/>
        <v>0</v>
      </c>
    </row>
    <row r="101" spans="1:49">
      <c r="A101" s="318" t="s">
        <v>469</v>
      </c>
      <c r="B101" s="368">
        <v>-1066.002808602</v>
      </c>
      <c r="C101" s="368">
        <v>-1066.002808602</v>
      </c>
      <c r="D101" s="368">
        <v>-1066.002808602</v>
      </c>
      <c r="E101" s="368">
        <v>-1066.002808602</v>
      </c>
      <c r="F101" s="368">
        <v>-1066.002808602</v>
      </c>
      <c r="G101" s="368">
        <v>-1066.002808602</v>
      </c>
      <c r="H101" s="368">
        <v>-1066.002808602</v>
      </c>
      <c r="I101" s="368">
        <v>-1066.002808602</v>
      </c>
      <c r="J101" s="368">
        <v>-1066.002808602</v>
      </c>
      <c r="K101" s="368">
        <v>-1066.002808602</v>
      </c>
      <c r="L101" s="368">
        <v>-1066.002808602</v>
      </c>
      <c r="M101" s="368">
        <v>-1066.002808602</v>
      </c>
      <c r="N101" s="368">
        <v>-1066.002808602</v>
      </c>
      <c r="O101" s="368">
        <v>-1066.002808602</v>
      </c>
      <c r="P101" s="368">
        <v>-1066.002808602</v>
      </c>
      <c r="Q101" s="368">
        <v>-1066.002808602</v>
      </c>
      <c r="R101" s="368">
        <v>-1066.002808602</v>
      </c>
      <c r="S101" s="368">
        <v>-1066.002808602</v>
      </c>
      <c r="T101" s="368">
        <v>-1066.002808602</v>
      </c>
      <c r="U101" s="368">
        <v>-1066.002808602</v>
      </c>
      <c r="V101" s="368">
        <v>-1066.002808602</v>
      </c>
      <c r="W101" s="368">
        <v>-1066.002808602</v>
      </c>
      <c r="X101" s="368">
        <f t="shared" si="1"/>
        <v>-1066.0028086019997</v>
      </c>
    </row>
    <row r="102" spans="1:49">
      <c r="A102" s="318" t="s">
        <v>1922</v>
      </c>
      <c r="B102" s="368">
        <v>0</v>
      </c>
      <c r="C102" s="368">
        <v>0</v>
      </c>
      <c r="D102" s="368">
        <v>0</v>
      </c>
      <c r="E102" s="368">
        <v>0</v>
      </c>
      <c r="F102" s="368">
        <v>0</v>
      </c>
      <c r="G102" s="368">
        <v>0</v>
      </c>
      <c r="H102" s="368">
        <v>13.551214490604348</v>
      </c>
      <c r="I102" s="368">
        <v>22.323478150613955</v>
      </c>
      <c r="J102" s="368">
        <v>30.861165124706236</v>
      </c>
      <c r="K102" s="368">
        <v>-0.62747396978624415</v>
      </c>
      <c r="L102" s="368">
        <v>8.2706673293437198</v>
      </c>
      <c r="M102" s="368">
        <v>17.149269321129037</v>
      </c>
      <c r="N102" s="368">
        <v>26.006302597849011</v>
      </c>
      <c r="O102" s="368">
        <v>34.839912709746272</v>
      </c>
      <c r="P102" s="368">
        <v>43.647163997839812</v>
      </c>
      <c r="Q102" s="368">
        <v>52.426512992387295</v>
      </c>
      <c r="R102" s="368">
        <v>57.680997414446011</v>
      </c>
      <c r="S102" s="368">
        <v>66.418823712591859</v>
      </c>
      <c r="T102" s="368">
        <v>73.301160120767392</v>
      </c>
      <c r="U102" s="368">
        <v>80.153100883456034</v>
      </c>
      <c r="V102" s="368">
        <v>86.972448539130042</v>
      </c>
      <c r="W102" s="368">
        <v>57.734494257639625</v>
      </c>
      <c r="X102" s="368">
        <f t="shared" si="1"/>
        <v>46.459490762041533</v>
      </c>
    </row>
    <row r="103" spans="1:49">
      <c r="A103" s="318" t="s">
        <v>470</v>
      </c>
      <c r="B103" s="368">
        <v>276.66760842739103</v>
      </c>
      <c r="C103" s="368">
        <v>276.37059914757117</v>
      </c>
      <c r="D103" s="368">
        <v>275.83977893463515</v>
      </c>
      <c r="E103" s="368">
        <v>275.29035549729593</v>
      </c>
      <c r="F103" s="368">
        <v>274.90962126009873</v>
      </c>
      <c r="G103" s="368">
        <v>274.56041252067899</v>
      </c>
      <c r="H103" s="368">
        <v>274.37397238412933</v>
      </c>
      <c r="I103" s="368">
        <v>274.07120626024033</v>
      </c>
      <c r="J103" s="368">
        <v>273.72399513102971</v>
      </c>
      <c r="K103" s="368">
        <v>273.38827366641073</v>
      </c>
      <c r="L103" s="368">
        <v>272.63675749902893</v>
      </c>
      <c r="M103" s="368">
        <v>271.71377336457323</v>
      </c>
      <c r="N103" s="368">
        <v>270.49959267664343</v>
      </c>
      <c r="O103" s="368">
        <v>269.79258742801755</v>
      </c>
      <c r="P103" s="368">
        <v>268.99039039832047</v>
      </c>
      <c r="Q103" s="368">
        <v>268.62638738991461</v>
      </c>
      <c r="R103" s="368">
        <v>268.2917506942922</v>
      </c>
      <c r="S103" s="368">
        <v>268.27735782392944</v>
      </c>
      <c r="T103" s="368">
        <v>268.13693153161569</v>
      </c>
      <c r="U103" s="368">
        <v>267.95433597041756</v>
      </c>
      <c r="V103" s="368">
        <v>267.77302623536826</v>
      </c>
      <c r="W103" s="368">
        <v>267.39887196811588</v>
      </c>
      <c r="X103" s="368">
        <f t="shared" si="1"/>
        <v>269.4984643574345</v>
      </c>
    </row>
    <row r="104" spans="1:49">
      <c r="A104" s="318" t="s">
        <v>471</v>
      </c>
      <c r="B104" s="368">
        <v>5936.3037460147298</v>
      </c>
      <c r="C104" s="368">
        <v>6142.0070320294699</v>
      </c>
      <c r="D104" s="368">
        <v>6294.9700090081296</v>
      </c>
      <c r="E104" s="368">
        <v>6371.4530236789496</v>
      </c>
      <c r="F104" s="368">
        <v>6510.1160194100303</v>
      </c>
      <c r="G104" s="368">
        <v>6647.6742854247595</v>
      </c>
      <c r="H104" s="368">
        <v>6861.7576953806501</v>
      </c>
      <c r="I104" s="368">
        <v>10706.1361141708</v>
      </c>
      <c r="J104" s="368">
        <v>9774.0956837434605</v>
      </c>
      <c r="K104" s="368">
        <v>6583.3669797376897</v>
      </c>
      <c r="L104" s="368">
        <v>5900.3877410576897</v>
      </c>
      <c r="M104" s="368">
        <v>6047.92480078876</v>
      </c>
      <c r="N104" s="368">
        <v>6209.8762318510899</v>
      </c>
      <c r="O104" s="368">
        <v>6378.5989192922598</v>
      </c>
      <c r="P104" s="368">
        <v>6506.8674892093604</v>
      </c>
      <c r="Q104" s="368">
        <v>6637.7365391168196</v>
      </c>
      <c r="R104" s="368">
        <v>6825.1128710478997</v>
      </c>
      <c r="S104" s="368">
        <v>6968.0420874626298</v>
      </c>
      <c r="T104" s="368">
        <v>7191.2590965711397</v>
      </c>
      <c r="U104" s="368">
        <v>7288.3484375198104</v>
      </c>
      <c r="V104" s="368">
        <v>3208.5855477844202</v>
      </c>
      <c r="W104" s="368">
        <v>2228.3220499260701</v>
      </c>
      <c r="X104" s="368">
        <f t="shared" si="1"/>
        <v>5998.0329839512033</v>
      </c>
    </row>
    <row r="105" spans="1:49" ht="15.75" thickBot="1">
      <c r="A105" s="489" t="s">
        <v>1799</v>
      </c>
      <c r="B105" s="316">
        <v>645.66972999999996</v>
      </c>
      <c r="C105" s="316">
        <v>630.27504999999996</v>
      </c>
      <c r="D105" s="316">
        <v>614.88036999999997</v>
      </c>
      <c r="E105" s="316">
        <v>599.48568999999998</v>
      </c>
      <c r="F105" s="316">
        <v>584.09100999999998</v>
      </c>
      <c r="G105" s="316">
        <v>568.69632999999999</v>
      </c>
      <c r="H105" s="316">
        <v>553.30165</v>
      </c>
      <c r="I105" s="316">
        <v>537.90697</v>
      </c>
      <c r="J105" s="316">
        <v>522.51229000000001</v>
      </c>
      <c r="K105" s="316">
        <v>507.11761000000001</v>
      </c>
      <c r="L105" s="316">
        <v>491.72293000000002</v>
      </c>
      <c r="M105" s="316">
        <v>476.32825000000003</v>
      </c>
      <c r="N105" s="316">
        <v>460.93356999999997</v>
      </c>
      <c r="O105" s="316">
        <v>445.53888999999998</v>
      </c>
      <c r="P105" s="316">
        <v>430.14420999999999</v>
      </c>
      <c r="Q105" s="316">
        <v>414.74952999999999</v>
      </c>
      <c r="R105" s="316">
        <v>399.35485</v>
      </c>
      <c r="S105" s="316">
        <v>383.96017000000001</v>
      </c>
      <c r="T105" s="316">
        <v>368.56549000000001</v>
      </c>
      <c r="U105" s="316">
        <v>353.17081000000002</v>
      </c>
      <c r="V105" s="316">
        <v>337.77613000000002</v>
      </c>
      <c r="W105" s="316">
        <v>322.38144999999997</v>
      </c>
      <c r="X105" s="368">
        <f t="shared" si="1"/>
        <v>414.74952999999999</v>
      </c>
    </row>
    <row r="106" spans="1:49">
      <c r="A106" s="318" t="s">
        <v>462</v>
      </c>
      <c r="B106" s="317">
        <v>13267.725406619567</v>
      </c>
      <c r="C106" s="317">
        <v>13458.052581099437</v>
      </c>
      <c r="D106" s="317">
        <v>13595.654063965821</v>
      </c>
      <c r="E106" s="317">
        <v>13656.77674756319</v>
      </c>
      <c r="F106" s="317">
        <v>13780.068866087271</v>
      </c>
      <c r="G106" s="317">
        <v>13902.254283979795</v>
      </c>
      <c r="H106" s="317">
        <v>14114.505884315209</v>
      </c>
      <c r="I106" s="317">
        <v>17952.28081513763</v>
      </c>
      <c r="J106" s="317">
        <v>17013.405098675317</v>
      </c>
      <c r="K106" s="317">
        <v>13775.814064253633</v>
      </c>
      <c r="L106" s="317">
        <v>13086.385270259127</v>
      </c>
      <c r="M106" s="317">
        <v>13227.463955225212</v>
      </c>
      <c r="N106" s="317">
        <v>13382.953647871829</v>
      </c>
      <c r="O106" s="317">
        <v>13545.159466071802</v>
      </c>
      <c r="P106" s="317">
        <v>13666.890759136162</v>
      </c>
      <c r="Q106" s="317">
        <v>13791.167234826009</v>
      </c>
      <c r="R106" s="317">
        <v>13968.424292039996</v>
      </c>
      <c r="S106" s="317">
        <v>14104.697554568231</v>
      </c>
      <c r="T106" s="317">
        <v>14319.410999274285</v>
      </c>
      <c r="U106" s="317">
        <v>14407.969016518899</v>
      </c>
      <c r="V106" s="317">
        <v>10319.642129584989</v>
      </c>
      <c r="W106" s="317">
        <v>9294.7693888707236</v>
      </c>
      <c r="X106" s="368">
        <f t="shared" si="1"/>
        <v>13145.442136807764</v>
      </c>
    </row>
    <row r="107" spans="1:49"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8">
        <f t="shared" si="1"/>
        <v>0</v>
      </c>
      <c r="Y107" s="745"/>
      <c r="Z107" s="745"/>
      <c r="AA107" s="745"/>
      <c r="AB107" s="745"/>
      <c r="AC107" s="745"/>
      <c r="AD107" s="745"/>
      <c r="AE107" s="745"/>
      <c r="AF107" s="745"/>
      <c r="AG107" s="745"/>
      <c r="AH107" s="745"/>
      <c r="AI107" s="745"/>
      <c r="AJ107" s="745"/>
      <c r="AK107" s="745"/>
      <c r="AL107" s="745"/>
      <c r="AM107" s="745"/>
      <c r="AN107" s="745"/>
      <c r="AO107" s="745"/>
      <c r="AP107" s="745"/>
      <c r="AQ107" s="745"/>
      <c r="AR107" s="745"/>
      <c r="AS107" s="745"/>
      <c r="AT107" s="745"/>
      <c r="AU107" s="745"/>
      <c r="AV107" s="745"/>
      <c r="AW107" s="745"/>
    </row>
    <row r="108" spans="1:49"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8">
        <f t="shared" si="1"/>
        <v>0</v>
      </c>
      <c r="Y108" s="745"/>
      <c r="Z108" s="745"/>
      <c r="AA108" s="745"/>
      <c r="AB108" s="745"/>
      <c r="AC108" s="745"/>
      <c r="AD108" s="745"/>
      <c r="AE108" s="745"/>
      <c r="AF108" s="745"/>
      <c r="AG108" s="745"/>
      <c r="AH108" s="745"/>
      <c r="AI108" s="745"/>
      <c r="AJ108" s="745"/>
      <c r="AK108" s="745"/>
      <c r="AL108" s="745"/>
      <c r="AM108" s="745"/>
      <c r="AN108" s="745"/>
      <c r="AO108" s="745"/>
      <c r="AP108" s="745"/>
      <c r="AQ108" s="745"/>
      <c r="AR108" s="745"/>
      <c r="AS108" s="745"/>
      <c r="AT108" s="745"/>
      <c r="AU108" s="745"/>
      <c r="AV108" s="745"/>
      <c r="AW108" s="745"/>
    </row>
    <row r="109" spans="1:49" ht="15.75" thickBot="1">
      <c r="A109" s="353" t="s">
        <v>472</v>
      </c>
      <c r="B109" s="364">
        <v>633317.76367004088</v>
      </c>
      <c r="C109" s="364">
        <v>632020.94148834934</v>
      </c>
      <c r="D109" s="364">
        <v>630357.44253738376</v>
      </c>
      <c r="E109" s="364">
        <v>629375.71599998325</v>
      </c>
      <c r="F109" s="364">
        <v>630177.33937616379</v>
      </c>
      <c r="G109" s="364">
        <v>629654.35349418269</v>
      </c>
      <c r="H109" s="364">
        <v>628916.42174281774</v>
      </c>
      <c r="I109" s="364">
        <v>631317.74016578763</v>
      </c>
      <c r="J109" s="364">
        <v>628327.97003854765</v>
      </c>
      <c r="K109" s="364">
        <v>626353.09292512503</v>
      </c>
      <c r="L109" s="364">
        <v>629955.02128623938</v>
      </c>
      <c r="M109" s="364">
        <v>629014.89469656209</v>
      </c>
      <c r="N109" s="364">
        <v>627068.34915232833</v>
      </c>
      <c r="O109" s="364">
        <v>626067.83786771598</v>
      </c>
      <c r="P109" s="364">
        <v>625267.13992609002</v>
      </c>
      <c r="Q109" s="364">
        <v>626540.05719888199</v>
      </c>
      <c r="R109" s="364">
        <v>627035.74693832756</v>
      </c>
      <c r="S109" s="364">
        <v>626114.16372567613</v>
      </c>
      <c r="T109" s="364">
        <v>625040.09404709097</v>
      </c>
      <c r="U109" s="364">
        <v>623795.94412797038</v>
      </c>
      <c r="V109" s="364">
        <v>618692.97557007836</v>
      </c>
      <c r="W109" s="364">
        <v>617307.99685473845</v>
      </c>
      <c r="X109" s="368">
        <f t="shared" si="1"/>
        <v>625250.25494744792</v>
      </c>
      <c r="Y109" s="746"/>
      <c r="Z109" s="746"/>
      <c r="AA109" s="746"/>
      <c r="AB109" s="746"/>
      <c r="AC109" s="746"/>
      <c r="AD109" s="746"/>
      <c r="AE109" s="746"/>
      <c r="AF109" s="746"/>
      <c r="AG109" s="746"/>
      <c r="AH109" s="746"/>
      <c r="AI109" s="746"/>
      <c r="AJ109" s="746"/>
      <c r="AK109" s="746"/>
      <c r="AL109" s="746"/>
      <c r="AM109" s="746"/>
      <c r="AN109" s="746"/>
      <c r="AO109" s="746"/>
      <c r="AP109" s="746"/>
      <c r="AQ109" s="746"/>
      <c r="AR109" s="746"/>
      <c r="AS109" s="746"/>
      <c r="AT109" s="746"/>
      <c r="AU109" s="746"/>
      <c r="AV109" s="746"/>
      <c r="AW109" s="746"/>
    </row>
    <row r="110" spans="1:49">
      <c r="B110" s="317"/>
      <c r="X110" s="368">
        <f t="shared" si="1"/>
        <v>0</v>
      </c>
    </row>
    <row r="111" spans="1:49" ht="15.75" thickBot="1">
      <c r="A111" s="353" t="s">
        <v>473</v>
      </c>
      <c r="B111" s="364">
        <v>5158889.4460552437</v>
      </c>
      <c r="C111" s="364">
        <v>5184751.8242777921</v>
      </c>
      <c r="D111" s="364">
        <v>5203813.3722379906</v>
      </c>
      <c r="E111" s="364">
        <v>5214785.9330410156</v>
      </c>
      <c r="F111" s="364">
        <v>5239500.0179885384</v>
      </c>
      <c r="G111" s="364">
        <v>5282517.8776849415</v>
      </c>
      <c r="H111" s="364">
        <v>5326025.0492175771</v>
      </c>
      <c r="I111" s="364">
        <v>5328011.4536581999</v>
      </c>
      <c r="J111" s="364">
        <v>5332030.489940431</v>
      </c>
      <c r="K111" s="364">
        <v>5338964.3400422931</v>
      </c>
      <c r="L111" s="364">
        <v>5347415.7976425523</v>
      </c>
      <c r="M111" s="364">
        <v>5359452.2944347635</v>
      </c>
      <c r="N111" s="364">
        <v>5375805.7921478255</v>
      </c>
      <c r="O111" s="364">
        <v>5387349.8902847162</v>
      </c>
      <c r="P111" s="364">
        <v>5384764.7872942183</v>
      </c>
      <c r="Q111" s="364">
        <v>5402682.1343061561</v>
      </c>
      <c r="R111" s="364">
        <v>5427823.6291680597</v>
      </c>
      <c r="S111" s="364">
        <v>5454118.5749385348</v>
      </c>
      <c r="T111" s="364">
        <v>5469325.5842226055</v>
      </c>
      <c r="U111" s="364">
        <v>5457356.2470134962</v>
      </c>
      <c r="V111" s="364">
        <v>5446460.4909323137</v>
      </c>
      <c r="W111" s="364">
        <v>5437864.5195292858</v>
      </c>
      <c r="X111" s="368">
        <f t="shared" si="1"/>
        <v>5406875.6986120641</v>
      </c>
      <c r="Y111" s="746"/>
      <c r="Z111" s="746"/>
      <c r="AA111" s="746"/>
      <c r="AB111" s="746"/>
      <c r="AC111" s="746"/>
      <c r="AD111" s="746"/>
      <c r="AE111" s="746"/>
      <c r="AF111" s="746"/>
      <c r="AG111" s="746"/>
      <c r="AH111" s="746"/>
      <c r="AI111" s="746"/>
      <c r="AJ111" s="746"/>
      <c r="AK111" s="746"/>
      <c r="AL111" s="746"/>
      <c r="AM111" s="746"/>
      <c r="AN111" s="746"/>
      <c r="AO111" s="746"/>
      <c r="AP111" s="746"/>
      <c r="AQ111" s="746"/>
      <c r="AR111" s="746"/>
      <c r="AS111" s="746"/>
      <c r="AT111" s="746"/>
      <c r="AU111" s="746"/>
      <c r="AV111" s="746"/>
      <c r="AW111" s="746"/>
    </row>
    <row r="112" spans="1:49">
      <c r="B112" s="317"/>
      <c r="X112" s="368">
        <f t="shared" si="1"/>
        <v>0</v>
      </c>
    </row>
    <row r="113" spans="1:49">
      <c r="A113" s="353" t="s">
        <v>474</v>
      </c>
      <c r="B113" s="317"/>
      <c r="X113" s="368">
        <f t="shared" si="1"/>
        <v>0</v>
      </c>
    </row>
    <row r="114" spans="1:49">
      <c r="B114" s="317"/>
      <c r="X114" s="368">
        <f t="shared" si="1"/>
        <v>0</v>
      </c>
    </row>
    <row r="115" spans="1:49">
      <c r="A115" s="353" t="s">
        <v>475</v>
      </c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8">
        <f t="shared" si="1"/>
        <v>0</v>
      </c>
      <c r="Y115" s="745"/>
      <c r="Z115" s="745"/>
      <c r="AA115" s="745"/>
      <c r="AB115" s="745"/>
      <c r="AC115" s="745"/>
      <c r="AD115" s="745"/>
      <c r="AE115" s="745"/>
      <c r="AF115" s="745"/>
      <c r="AG115" s="745"/>
      <c r="AH115" s="745"/>
      <c r="AI115" s="745"/>
      <c r="AJ115" s="745"/>
      <c r="AK115" s="745"/>
      <c r="AL115" s="745"/>
      <c r="AM115" s="745"/>
      <c r="AN115" s="745"/>
      <c r="AO115" s="745"/>
      <c r="AP115" s="745"/>
      <c r="AQ115" s="745"/>
      <c r="AR115" s="745"/>
      <c r="AS115" s="745"/>
      <c r="AT115" s="745"/>
      <c r="AU115" s="745"/>
      <c r="AV115" s="745"/>
      <c r="AW115" s="745"/>
    </row>
    <row r="116" spans="1:49">
      <c r="A116" s="318" t="s">
        <v>476</v>
      </c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8">
        <f t="shared" si="1"/>
        <v>0</v>
      </c>
      <c r="Y116" s="745"/>
      <c r="Z116" s="745"/>
      <c r="AA116" s="745"/>
      <c r="AB116" s="745"/>
      <c r="AC116" s="745"/>
      <c r="AD116" s="745"/>
      <c r="AE116" s="745"/>
      <c r="AF116" s="745"/>
      <c r="AG116" s="745"/>
      <c r="AH116" s="745"/>
      <c r="AI116" s="745"/>
      <c r="AJ116" s="745"/>
      <c r="AK116" s="745"/>
      <c r="AL116" s="745"/>
      <c r="AM116" s="745"/>
      <c r="AN116" s="745"/>
      <c r="AO116" s="745"/>
      <c r="AP116" s="745"/>
      <c r="AQ116" s="745"/>
      <c r="AR116" s="745"/>
      <c r="AS116" s="745"/>
      <c r="AT116" s="745"/>
      <c r="AU116" s="745"/>
      <c r="AV116" s="745"/>
      <c r="AW116" s="745"/>
    </row>
    <row r="117" spans="1:49" ht="15.75" thickBot="1">
      <c r="A117" s="318" t="s">
        <v>477</v>
      </c>
      <c r="B117" s="316">
        <v>349781.23718635115</v>
      </c>
      <c r="C117" s="316">
        <v>349405.73868133378</v>
      </c>
      <c r="D117" s="316">
        <v>348734.64114353509</v>
      </c>
      <c r="E117" s="316">
        <v>348040.02419598546</v>
      </c>
      <c r="F117" s="316">
        <v>347558.67513859842</v>
      </c>
      <c r="G117" s="316">
        <v>347117.1826718626</v>
      </c>
      <c r="H117" s="316">
        <v>346881.47289002652</v>
      </c>
      <c r="I117" s="316">
        <v>346498.6962072266</v>
      </c>
      <c r="J117" s="316">
        <v>346059.72924961819</v>
      </c>
      <c r="K117" s="316">
        <v>345635.28827544017</v>
      </c>
      <c r="L117" s="316">
        <v>344685.17251636554</v>
      </c>
      <c r="M117" s="316">
        <v>343518.27576871822</v>
      </c>
      <c r="N117" s="316">
        <v>341983.22934385517</v>
      </c>
      <c r="O117" s="316">
        <v>341089.38719165215</v>
      </c>
      <c r="P117" s="316">
        <v>340075.19738060207</v>
      </c>
      <c r="Q117" s="316">
        <v>339615.00103400601</v>
      </c>
      <c r="R117" s="316">
        <v>339191.93149555125</v>
      </c>
      <c r="S117" s="316">
        <v>339173.73509001336</v>
      </c>
      <c r="T117" s="316">
        <v>338996.19901147427</v>
      </c>
      <c r="U117" s="316">
        <v>338765.34979257337</v>
      </c>
      <c r="V117" s="316">
        <v>338536.12619896245</v>
      </c>
      <c r="W117" s="316">
        <v>338063.09596878121</v>
      </c>
      <c r="X117" s="368">
        <f t="shared" si="1"/>
        <v>340717.53762061498</v>
      </c>
    </row>
    <row r="118" spans="1:49">
      <c r="A118" s="318" t="s">
        <v>478</v>
      </c>
      <c r="B118" s="317">
        <v>349781.23718635115</v>
      </c>
      <c r="C118" s="317">
        <v>349405.73868133378</v>
      </c>
      <c r="D118" s="317">
        <v>348734.64114353509</v>
      </c>
      <c r="E118" s="317">
        <v>348040.02419598546</v>
      </c>
      <c r="F118" s="317">
        <v>347558.67513859842</v>
      </c>
      <c r="G118" s="317">
        <v>347117.1826718626</v>
      </c>
      <c r="H118" s="317">
        <v>346881.47289002652</v>
      </c>
      <c r="I118" s="317">
        <v>346498.6962072266</v>
      </c>
      <c r="J118" s="317">
        <v>346059.72924961819</v>
      </c>
      <c r="K118" s="317">
        <v>345635.28827544017</v>
      </c>
      <c r="L118" s="317">
        <v>344685.17251636554</v>
      </c>
      <c r="M118" s="317">
        <v>343518.27576871822</v>
      </c>
      <c r="N118" s="317">
        <v>341983.22934385517</v>
      </c>
      <c r="O118" s="317">
        <v>341089.38719165215</v>
      </c>
      <c r="P118" s="317">
        <v>340075.19738060207</v>
      </c>
      <c r="Q118" s="317">
        <v>339615.00103400601</v>
      </c>
      <c r="R118" s="317">
        <v>339191.93149555125</v>
      </c>
      <c r="S118" s="317">
        <v>339173.73509001336</v>
      </c>
      <c r="T118" s="317">
        <v>338996.19901147427</v>
      </c>
      <c r="U118" s="317">
        <v>338765.34979257337</v>
      </c>
      <c r="V118" s="317">
        <v>338536.12619896245</v>
      </c>
      <c r="W118" s="317">
        <v>338063.09596878121</v>
      </c>
      <c r="X118" s="368">
        <f t="shared" si="1"/>
        <v>340717.53762061498</v>
      </c>
    </row>
    <row r="119" spans="1:49"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8">
        <f t="shared" si="1"/>
        <v>0</v>
      </c>
      <c r="Y119" s="745"/>
      <c r="Z119" s="745"/>
      <c r="AA119" s="745"/>
      <c r="AB119" s="745"/>
      <c r="AC119" s="745"/>
      <c r="AD119" s="745"/>
      <c r="AE119" s="745"/>
      <c r="AF119" s="745"/>
      <c r="AG119" s="745"/>
      <c r="AH119" s="745"/>
      <c r="AI119" s="745"/>
      <c r="AJ119" s="745"/>
      <c r="AK119" s="745"/>
      <c r="AL119" s="745"/>
      <c r="AM119" s="745"/>
      <c r="AN119" s="745"/>
      <c r="AO119" s="745"/>
      <c r="AP119" s="745"/>
      <c r="AQ119" s="745"/>
      <c r="AR119" s="745"/>
      <c r="AS119" s="745"/>
      <c r="AT119" s="745"/>
      <c r="AU119" s="745"/>
      <c r="AV119" s="745"/>
      <c r="AW119" s="745"/>
    </row>
    <row r="120" spans="1:49">
      <c r="A120" s="318" t="s">
        <v>479</v>
      </c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8">
        <f t="shared" si="1"/>
        <v>0</v>
      </c>
      <c r="Y120" s="745"/>
      <c r="Z120" s="745"/>
      <c r="AA120" s="745"/>
      <c r="AB120" s="745"/>
      <c r="AC120" s="745"/>
      <c r="AD120" s="745"/>
      <c r="AE120" s="745"/>
      <c r="AF120" s="745"/>
      <c r="AG120" s="745"/>
      <c r="AH120" s="745"/>
      <c r="AI120" s="745"/>
      <c r="AJ120" s="745"/>
      <c r="AK120" s="745"/>
      <c r="AL120" s="745"/>
      <c r="AM120" s="745"/>
      <c r="AN120" s="745"/>
      <c r="AO120" s="745"/>
      <c r="AP120" s="745"/>
      <c r="AQ120" s="745"/>
      <c r="AR120" s="745"/>
      <c r="AS120" s="745"/>
      <c r="AT120" s="745"/>
      <c r="AU120" s="745"/>
      <c r="AV120" s="745"/>
      <c r="AW120" s="745"/>
    </row>
    <row r="121" spans="1:49" ht="15.75" thickBot="1">
      <c r="A121" s="318" t="s">
        <v>480</v>
      </c>
      <c r="B121" s="316">
        <v>-687.67286265266171</v>
      </c>
      <c r="C121" s="316">
        <v>-686.93462942453255</v>
      </c>
      <c r="D121" s="316">
        <v>-685.6152460046286</v>
      </c>
      <c r="E121" s="316">
        <v>-684.24962322677209</v>
      </c>
      <c r="F121" s="316">
        <v>-683.30328691985301</v>
      </c>
      <c r="G121" s="316">
        <v>-682.43530900633777</v>
      </c>
      <c r="H121" s="316">
        <v>-681.97190158707667</v>
      </c>
      <c r="I121" s="316">
        <v>-681.21935940003686</v>
      </c>
      <c r="J121" s="316">
        <v>-680.3563466587683</v>
      </c>
      <c r="K121" s="316">
        <v>-679.52189212344808</v>
      </c>
      <c r="L121" s="316">
        <v>-677.65395652704501</v>
      </c>
      <c r="M121" s="316">
        <v>-675.35982767859798</v>
      </c>
      <c r="N121" s="316">
        <v>-672.3419134594659</v>
      </c>
      <c r="O121" s="316">
        <v>-670.58461224883069</v>
      </c>
      <c r="P121" s="316">
        <v>-668.59070652579044</v>
      </c>
      <c r="Q121" s="316">
        <v>-667.68595662670589</v>
      </c>
      <c r="R121" s="316">
        <v>-666.85419834558547</v>
      </c>
      <c r="S121" s="316">
        <v>-666.81842405881434</v>
      </c>
      <c r="T121" s="316">
        <v>-666.46938663092033</v>
      </c>
      <c r="U121" s="316">
        <v>-666.01553511938789</v>
      </c>
      <c r="V121" s="316">
        <v>-665.56487960088748</v>
      </c>
      <c r="W121" s="316">
        <v>-664.63489817842299</v>
      </c>
      <c r="X121" s="368">
        <f t="shared" si="1"/>
        <v>-669.85355285568471</v>
      </c>
    </row>
    <row r="122" spans="1:49">
      <c r="A122" s="318" t="s">
        <v>481</v>
      </c>
      <c r="B122" s="317">
        <v>-687.67286265266171</v>
      </c>
      <c r="C122" s="317">
        <v>-686.93462942453255</v>
      </c>
      <c r="D122" s="317">
        <v>-685.6152460046286</v>
      </c>
      <c r="E122" s="317">
        <v>-684.24962322677209</v>
      </c>
      <c r="F122" s="317">
        <v>-683.30328691985301</v>
      </c>
      <c r="G122" s="317">
        <v>-682.43530900633777</v>
      </c>
      <c r="H122" s="317">
        <v>-681.97190158707667</v>
      </c>
      <c r="I122" s="317">
        <v>-681.21935940003686</v>
      </c>
      <c r="J122" s="317">
        <v>-680.3563466587683</v>
      </c>
      <c r="K122" s="317">
        <v>-679.52189212344808</v>
      </c>
      <c r="L122" s="317">
        <v>-677.65395652704501</v>
      </c>
      <c r="M122" s="317">
        <v>-675.35982767859798</v>
      </c>
      <c r="N122" s="317">
        <v>-672.3419134594659</v>
      </c>
      <c r="O122" s="317">
        <v>-670.58461224883069</v>
      </c>
      <c r="P122" s="317">
        <v>-668.59070652579044</v>
      </c>
      <c r="Q122" s="317">
        <v>-667.68595662670589</v>
      </c>
      <c r="R122" s="317">
        <v>-666.85419834558547</v>
      </c>
      <c r="S122" s="317">
        <v>-666.81842405881434</v>
      </c>
      <c r="T122" s="317">
        <v>-666.46938663092033</v>
      </c>
      <c r="U122" s="317">
        <v>-666.01553511938789</v>
      </c>
      <c r="V122" s="317">
        <v>-665.56487960088748</v>
      </c>
      <c r="W122" s="317">
        <v>-664.63489817842299</v>
      </c>
      <c r="X122" s="368">
        <f t="shared" si="1"/>
        <v>-669.85355285568471</v>
      </c>
    </row>
    <row r="123" spans="1:49"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8">
        <f t="shared" si="1"/>
        <v>0</v>
      </c>
      <c r="Y123" s="745"/>
      <c r="Z123" s="745"/>
      <c r="AA123" s="745"/>
      <c r="AB123" s="745"/>
      <c r="AC123" s="745"/>
      <c r="AD123" s="745"/>
      <c r="AE123" s="745"/>
      <c r="AF123" s="745"/>
      <c r="AG123" s="745"/>
      <c r="AH123" s="745"/>
      <c r="AI123" s="745"/>
      <c r="AJ123" s="745"/>
      <c r="AK123" s="745"/>
      <c r="AL123" s="745"/>
      <c r="AM123" s="745"/>
      <c r="AN123" s="745"/>
      <c r="AO123" s="745"/>
      <c r="AP123" s="745"/>
      <c r="AQ123" s="745"/>
      <c r="AR123" s="745"/>
      <c r="AS123" s="745"/>
      <c r="AT123" s="745"/>
      <c r="AU123" s="745"/>
      <c r="AV123" s="745"/>
      <c r="AW123" s="745"/>
    </row>
    <row r="124" spans="1:49">
      <c r="A124" s="318" t="s">
        <v>482</v>
      </c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8">
        <f t="shared" si="1"/>
        <v>0</v>
      </c>
      <c r="Y124" s="745"/>
      <c r="Z124" s="745"/>
      <c r="AA124" s="745"/>
      <c r="AB124" s="745"/>
      <c r="AC124" s="745"/>
      <c r="AD124" s="745"/>
      <c r="AE124" s="745"/>
      <c r="AF124" s="745"/>
      <c r="AG124" s="745"/>
      <c r="AH124" s="745"/>
      <c r="AI124" s="745"/>
      <c r="AJ124" s="745"/>
      <c r="AK124" s="745"/>
      <c r="AL124" s="745"/>
      <c r="AM124" s="745"/>
      <c r="AN124" s="745"/>
      <c r="AO124" s="745"/>
      <c r="AP124" s="745"/>
      <c r="AQ124" s="745"/>
      <c r="AR124" s="745"/>
      <c r="AS124" s="745"/>
      <c r="AT124" s="745"/>
      <c r="AU124" s="745"/>
      <c r="AV124" s="745"/>
      <c r="AW124" s="745"/>
    </row>
    <row r="125" spans="1:49" ht="15.75" thickBot="1">
      <c r="A125" s="318" t="s">
        <v>483</v>
      </c>
      <c r="B125" s="316">
        <v>461593.21007015544</v>
      </c>
      <c r="C125" s="316">
        <v>461097.67874405638</v>
      </c>
      <c r="D125" s="316">
        <v>473752.82791770069</v>
      </c>
      <c r="E125" s="316">
        <v>472809.19713257963</v>
      </c>
      <c r="F125" s="316">
        <v>472155.28883025306</v>
      </c>
      <c r="G125" s="316">
        <v>525898.5614950544</v>
      </c>
      <c r="H125" s="316">
        <v>525541.45029057935</v>
      </c>
      <c r="I125" s="316">
        <v>524961.52593964734</v>
      </c>
      <c r="J125" s="316">
        <v>524296.4707275338</v>
      </c>
      <c r="K125" s="316">
        <v>523653.42305112188</v>
      </c>
      <c r="L125" s="316">
        <v>522213.9538001183</v>
      </c>
      <c r="M125" s="316">
        <v>552939.53492283402</v>
      </c>
      <c r="N125" s="316">
        <v>550468.66825831868</v>
      </c>
      <c r="O125" s="316">
        <v>549029.90735738096</v>
      </c>
      <c r="P125" s="316">
        <v>548489.41010183643</v>
      </c>
      <c r="Q125" s="316">
        <v>547747.1836042275</v>
      </c>
      <c r="R125" s="316">
        <v>547064.8369839316</v>
      </c>
      <c r="S125" s="316">
        <v>590820.09194672399</v>
      </c>
      <c r="T125" s="316">
        <v>590510.83485693636</v>
      </c>
      <c r="U125" s="316">
        <v>590108.70950751728</v>
      </c>
      <c r="V125" s="316">
        <v>589709.41589883738</v>
      </c>
      <c r="W125" s="316">
        <v>588885.42590440251</v>
      </c>
      <c r="X125" s="368">
        <f t="shared" si="1"/>
        <v>560895.49201493745</v>
      </c>
    </row>
    <row r="126" spans="1:49">
      <c r="A126" s="318" t="s">
        <v>484</v>
      </c>
      <c r="B126" s="317">
        <v>461593.21007015544</v>
      </c>
      <c r="C126" s="317">
        <v>461097.67874405638</v>
      </c>
      <c r="D126" s="317">
        <v>473752.82791770069</v>
      </c>
      <c r="E126" s="317">
        <v>472809.19713257963</v>
      </c>
      <c r="F126" s="317">
        <v>472155.28883025306</v>
      </c>
      <c r="G126" s="317">
        <v>525898.5614950544</v>
      </c>
      <c r="H126" s="317">
        <v>525541.45029057935</v>
      </c>
      <c r="I126" s="317">
        <v>524961.52593964734</v>
      </c>
      <c r="J126" s="317">
        <v>524296.4707275338</v>
      </c>
      <c r="K126" s="317">
        <v>523653.42305112188</v>
      </c>
      <c r="L126" s="317">
        <v>522213.9538001183</v>
      </c>
      <c r="M126" s="317">
        <v>552939.53492283402</v>
      </c>
      <c r="N126" s="317">
        <v>550468.66825831868</v>
      </c>
      <c r="O126" s="317">
        <v>549029.90735738096</v>
      </c>
      <c r="P126" s="317">
        <v>548489.41010183643</v>
      </c>
      <c r="Q126" s="317">
        <v>547747.1836042275</v>
      </c>
      <c r="R126" s="317">
        <v>547064.8369839316</v>
      </c>
      <c r="S126" s="317">
        <v>590820.09194672399</v>
      </c>
      <c r="T126" s="317">
        <v>590510.83485693636</v>
      </c>
      <c r="U126" s="317">
        <v>590108.70950751728</v>
      </c>
      <c r="V126" s="317">
        <v>589709.41589883738</v>
      </c>
      <c r="W126" s="317">
        <v>588885.42590440251</v>
      </c>
      <c r="X126" s="368">
        <f t="shared" si="1"/>
        <v>560895.49201493745</v>
      </c>
    </row>
    <row r="127" spans="1:49"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8">
        <f t="shared" si="1"/>
        <v>0</v>
      </c>
      <c r="Y127" s="745"/>
      <c r="Z127" s="745"/>
      <c r="AA127" s="745"/>
      <c r="AB127" s="745"/>
      <c r="AC127" s="745"/>
      <c r="AD127" s="745"/>
      <c r="AE127" s="745"/>
      <c r="AF127" s="745"/>
      <c r="AG127" s="745"/>
      <c r="AH127" s="745"/>
      <c r="AI127" s="745"/>
      <c r="AJ127" s="745"/>
      <c r="AK127" s="745"/>
      <c r="AL127" s="745"/>
      <c r="AM127" s="745"/>
      <c r="AN127" s="745"/>
      <c r="AO127" s="745"/>
      <c r="AP127" s="745"/>
      <c r="AQ127" s="745"/>
      <c r="AR127" s="745"/>
      <c r="AS127" s="745"/>
      <c r="AT127" s="745"/>
      <c r="AU127" s="745"/>
      <c r="AV127" s="745"/>
      <c r="AW127" s="745"/>
    </row>
    <row r="128" spans="1:49">
      <c r="A128" s="318" t="s">
        <v>485</v>
      </c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8">
        <f t="shared" si="1"/>
        <v>0</v>
      </c>
      <c r="Y128" s="745"/>
      <c r="Z128" s="745"/>
      <c r="AA128" s="745"/>
      <c r="AB128" s="745"/>
      <c r="AC128" s="745"/>
      <c r="AD128" s="745"/>
      <c r="AE128" s="745"/>
      <c r="AF128" s="745"/>
      <c r="AG128" s="745"/>
      <c r="AH128" s="745"/>
      <c r="AI128" s="745"/>
      <c r="AJ128" s="745"/>
      <c r="AK128" s="745"/>
      <c r="AL128" s="745"/>
      <c r="AM128" s="745"/>
      <c r="AN128" s="745"/>
      <c r="AO128" s="745"/>
      <c r="AP128" s="745"/>
      <c r="AQ128" s="745"/>
      <c r="AR128" s="745"/>
      <c r="AS128" s="745"/>
      <c r="AT128" s="745"/>
      <c r="AU128" s="745"/>
      <c r="AV128" s="745"/>
      <c r="AW128" s="745"/>
    </row>
    <row r="129" spans="1:49" ht="15.75" thickBot="1">
      <c r="A129" s="318" t="s">
        <v>486</v>
      </c>
      <c r="B129" s="316">
        <v>1034292.1593867277</v>
      </c>
      <c r="C129" s="316">
        <v>1050028.4836903242</v>
      </c>
      <c r="D129" s="316">
        <v>1035719.7450219782</v>
      </c>
      <c r="E129" s="316">
        <v>1039070.8526777676</v>
      </c>
      <c r="F129" s="316">
        <v>1048977.7078232528</v>
      </c>
      <c r="G129" s="316">
        <v>1035033.2438828206</v>
      </c>
      <c r="H129" s="316">
        <v>1054657.8655674267</v>
      </c>
      <c r="I129" s="316">
        <v>1070788.408450071</v>
      </c>
      <c r="J129" s="316">
        <v>1043887.7110829731</v>
      </c>
      <c r="K129" s="316">
        <v>1048672.3371812997</v>
      </c>
      <c r="L129" s="316">
        <v>1055736.9668384402</v>
      </c>
      <c r="M129" s="316">
        <v>1032098.5608543897</v>
      </c>
      <c r="N129" s="316">
        <v>1043268.9536332061</v>
      </c>
      <c r="O129" s="316">
        <v>1057030.8179194105</v>
      </c>
      <c r="P129" s="316">
        <v>1045913.0781391143</v>
      </c>
      <c r="Q129" s="316">
        <v>1050137.5984937444</v>
      </c>
      <c r="R129" s="316">
        <v>1059532.9642940878</v>
      </c>
      <c r="S129" s="316">
        <v>1050849.320649998</v>
      </c>
      <c r="T129" s="316">
        <v>1071901.6507508268</v>
      </c>
      <c r="U129" s="316">
        <v>1089876.2047788671</v>
      </c>
      <c r="V129" s="316">
        <v>1035022.8374388338</v>
      </c>
      <c r="W129" s="316">
        <v>1039965.415256749</v>
      </c>
      <c r="X129" s="368">
        <f t="shared" si="1"/>
        <v>1052308.2081714591</v>
      </c>
    </row>
    <row r="130" spans="1:49">
      <c r="A130" s="318" t="s">
        <v>485</v>
      </c>
      <c r="B130" s="317">
        <v>1034292.1593867277</v>
      </c>
      <c r="C130" s="317">
        <v>1050028.4836903242</v>
      </c>
      <c r="D130" s="317">
        <v>1035719.7450219782</v>
      </c>
      <c r="E130" s="317">
        <v>1039070.8526777676</v>
      </c>
      <c r="F130" s="317">
        <v>1048977.7078232528</v>
      </c>
      <c r="G130" s="317">
        <v>1035033.2438828206</v>
      </c>
      <c r="H130" s="317">
        <v>1054657.8655674267</v>
      </c>
      <c r="I130" s="317">
        <v>1070788.408450071</v>
      </c>
      <c r="J130" s="317">
        <v>1043887.7110829731</v>
      </c>
      <c r="K130" s="317">
        <v>1048672.3371812997</v>
      </c>
      <c r="L130" s="317">
        <v>1055736.9668384402</v>
      </c>
      <c r="M130" s="317">
        <v>1032098.5608543897</v>
      </c>
      <c r="N130" s="317">
        <v>1043268.9536332061</v>
      </c>
      <c r="O130" s="317">
        <v>1057030.8179194105</v>
      </c>
      <c r="P130" s="317">
        <v>1045913.0781391143</v>
      </c>
      <c r="Q130" s="317">
        <v>1050137.5984937444</v>
      </c>
      <c r="R130" s="317">
        <v>1059532.9642940878</v>
      </c>
      <c r="S130" s="317">
        <v>1050849.320649998</v>
      </c>
      <c r="T130" s="317">
        <v>1071901.6507508268</v>
      </c>
      <c r="U130" s="317">
        <v>1089876.2047788671</v>
      </c>
      <c r="V130" s="317">
        <v>1035022.8374388338</v>
      </c>
      <c r="W130" s="317">
        <v>1039965.415256749</v>
      </c>
      <c r="X130" s="368">
        <f t="shared" si="1"/>
        <v>1052308.2081714591</v>
      </c>
    </row>
    <row r="131" spans="1:49"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8">
        <f t="shared" si="1"/>
        <v>0</v>
      </c>
      <c r="Y131" s="745"/>
      <c r="Z131" s="745"/>
      <c r="AA131" s="745"/>
      <c r="AB131" s="745"/>
      <c r="AC131" s="745"/>
      <c r="AD131" s="745"/>
      <c r="AE131" s="745"/>
      <c r="AF131" s="745"/>
      <c r="AG131" s="745"/>
      <c r="AH131" s="745"/>
      <c r="AI131" s="745"/>
      <c r="AJ131" s="745"/>
      <c r="AK131" s="745"/>
      <c r="AL131" s="745"/>
      <c r="AM131" s="745"/>
      <c r="AN131" s="745"/>
      <c r="AO131" s="745"/>
      <c r="AP131" s="745"/>
      <c r="AQ131" s="745"/>
      <c r="AR131" s="745"/>
      <c r="AS131" s="745"/>
      <c r="AT131" s="745"/>
      <c r="AU131" s="745"/>
      <c r="AV131" s="745"/>
      <c r="AW131" s="745"/>
    </row>
    <row r="132" spans="1:49">
      <c r="A132" s="318" t="s">
        <v>487</v>
      </c>
      <c r="B132" s="317">
        <v>0</v>
      </c>
      <c r="C132" s="317">
        <v>0</v>
      </c>
      <c r="D132" s="317">
        <v>0</v>
      </c>
      <c r="E132" s="317">
        <v>0</v>
      </c>
      <c r="F132" s="317">
        <v>0</v>
      </c>
      <c r="G132" s="317">
        <v>0</v>
      </c>
      <c r="H132" s="317">
        <v>0</v>
      </c>
      <c r="I132" s="317">
        <v>0</v>
      </c>
      <c r="J132" s="317">
        <v>0</v>
      </c>
      <c r="K132" s="317">
        <v>0</v>
      </c>
      <c r="L132" s="317">
        <v>0</v>
      </c>
      <c r="M132" s="317">
        <v>0</v>
      </c>
      <c r="N132" s="317">
        <v>0</v>
      </c>
      <c r="O132" s="317">
        <v>0</v>
      </c>
      <c r="P132" s="317">
        <v>0</v>
      </c>
      <c r="Q132" s="317">
        <v>0</v>
      </c>
      <c r="R132" s="317">
        <v>0</v>
      </c>
      <c r="S132" s="317">
        <v>0</v>
      </c>
      <c r="T132" s="317">
        <v>0</v>
      </c>
      <c r="U132" s="317">
        <v>0</v>
      </c>
      <c r="V132" s="317">
        <v>0</v>
      </c>
      <c r="W132" s="317">
        <v>0</v>
      </c>
      <c r="X132" s="368">
        <f t="shared" si="1"/>
        <v>0</v>
      </c>
    </row>
    <row r="133" spans="1:49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8">
        <f t="shared" si="1"/>
        <v>0</v>
      </c>
      <c r="Y133" s="745"/>
      <c r="Z133" s="745"/>
      <c r="AA133" s="745"/>
      <c r="AB133" s="745"/>
      <c r="AC133" s="745"/>
      <c r="AD133" s="745"/>
      <c r="AE133" s="745"/>
      <c r="AF133" s="745"/>
      <c r="AG133" s="745"/>
      <c r="AH133" s="745"/>
      <c r="AI133" s="745"/>
      <c r="AJ133" s="745"/>
      <c r="AK133" s="745"/>
      <c r="AL133" s="745"/>
      <c r="AM133" s="745"/>
      <c r="AN133" s="745"/>
      <c r="AO133" s="745"/>
      <c r="AP133" s="745"/>
      <c r="AQ133" s="745"/>
      <c r="AR133" s="745"/>
      <c r="AS133" s="745"/>
      <c r="AT133" s="745"/>
      <c r="AU133" s="745"/>
      <c r="AV133" s="745"/>
      <c r="AW133" s="745"/>
    </row>
    <row r="134" spans="1:49"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8">
        <f t="shared" si="1"/>
        <v>0</v>
      </c>
      <c r="Y134" s="745"/>
      <c r="Z134" s="745"/>
      <c r="AA134" s="745"/>
      <c r="AB134" s="745"/>
      <c r="AC134" s="745"/>
      <c r="AD134" s="745"/>
      <c r="AE134" s="745"/>
      <c r="AF134" s="745"/>
      <c r="AG134" s="745"/>
      <c r="AH134" s="745"/>
      <c r="AI134" s="745"/>
      <c r="AJ134" s="745"/>
      <c r="AK134" s="745"/>
      <c r="AL134" s="745"/>
      <c r="AM134" s="745"/>
      <c r="AN134" s="745"/>
      <c r="AO134" s="745"/>
      <c r="AP134" s="745"/>
      <c r="AQ134" s="745"/>
      <c r="AR134" s="745"/>
      <c r="AS134" s="745"/>
      <c r="AT134" s="745"/>
      <c r="AU134" s="745"/>
      <c r="AV134" s="745"/>
      <c r="AW134" s="745"/>
    </row>
    <row r="135" spans="1:49" ht="15.75" thickBot="1">
      <c r="A135" s="353" t="s">
        <v>488</v>
      </c>
      <c r="B135" s="364">
        <v>1844978.9337805817</v>
      </c>
      <c r="C135" s="364">
        <v>1859844.9664862899</v>
      </c>
      <c r="D135" s="364">
        <v>1857521.5988372094</v>
      </c>
      <c r="E135" s="364">
        <v>1859235.8243831061</v>
      </c>
      <c r="F135" s="364">
        <v>1868008.3685051845</v>
      </c>
      <c r="G135" s="364">
        <v>1907366.5527407313</v>
      </c>
      <c r="H135" s="364">
        <v>1926398.8168464454</v>
      </c>
      <c r="I135" s="364">
        <v>1941567.4112375448</v>
      </c>
      <c r="J135" s="364">
        <v>1913563.5547134662</v>
      </c>
      <c r="K135" s="364">
        <v>1917281.5266157384</v>
      </c>
      <c r="L135" s="364">
        <v>1921958.4391983969</v>
      </c>
      <c r="M135" s="364">
        <v>1927881.0117182634</v>
      </c>
      <c r="N135" s="364">
        <v>1935048.5093219206</v>
      </c>
      <c r="O135" s="364">
        <v>1946479.5278561949</v>
      </c>
      <c r="P135" s="364">
        <v>1933809.094915027</v>
      </c>
      <c r="Q135" s="364">
        <v>1936832.0971753511</v>
      </c>
      <c r="R135" s="364">
        <v>1945122.8785752251</v>
      </c>
      <c r="S135" s="364">
        <v>1980176.3292626766</v>
      </c>
      <c r="T135" s="364">
        <v>2000742.2152326065</v>
      </c>
      <c r="U135" s="364">
        <v>2018084.2485438383</v>
      </c>
      <c r="V135" s="364">
        <v>1962602.8146570327</v>
      </c>
      <c r="W135" s="364">
        <v>1966249.3022317542</v>
      </c>
      <c r="X135" s="368">
        <f t="shared" si="1"/>
        <v>1953251.3842541559</v>
      </c>
      <c r="Y135" s="746"/>
      <c r="Z135" s="746"/>
      <c r="AA135" s="746"/>
      <c r="AB135" s="746"/>
      <c r="AC135" s="746"/>
      <c r="AD135" s="746"/>
      <c r="AE135" s="746"/>
      <c r="AF135" s="746"/>
      <c r="AG135" s="746"/>
      <c r="AH135" s="746"/>
      <c r="AI135" s="746"/>
      <c r="AJ135" s="746"/>
      <c r="AK135" s="746"/>
      <c r="AL135" s="746"/>
      <c r="AM135" s="746"/>
      <c r="AN135" s="746"/>
      <c r="AO135" s="746"/>
      <c r="AP135" s="746"/>
      <c r="AQ135" s="746"/>
      <c r="AR135" s="746"/>
      <c r="AS135" s="746"/>
      <c r="AT135" s="746"/>
      <c r="AU135" s="746"/>
      <c r="AV135" s="746"/>
      <c r="AW135" s="746"/>
    </row>
    <row r="136" spans="1:49">
      <c r="B136" s="317"/>
      <c r="X136" s="368">
        <f t="shared" si="1"/>
        <v>0</v>
      </c>
    </row>
    <row r="137" spans="1:49">
      <c r="A137" s="353" t="s">
        <v>489</v>
      </c>
      <c r="B137" s="363"/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8">
        <f t="shared" si="1"/>
        <v>0</v>
      </c>
      <c r="Y137" s="745"/>
      <c r="Z137" s="745"/>
      <c r="AA137" s="745"/>
      <c r="AB137" s="745"/>
      <c r="AC137" s="745"/>
      <c r="AD137" s="745"/>
      <c r="AE137" s="745"/>
      <c r="AF137" s="745"/>
      <c r="AG137" s="745"/>
      <c r="AH137" s="745"/>
      <c r="AI137" s="745"/>
      <c r="AJ137" s="745"/>
      <c r="AK137" s="745"/>
      <c r="AL137" s="745"/>
      <c r="AM137" s="745"/>
      <c r="AN137" s="745"/>
      <c r="AO137" s="745"/>
      <c r="AP137" s="745"/>
      <c r="AQ137" s="745"/>
      <c r="AR137" s="745"/>
      <c r="AS137" s="745"/>
      <c r="AT137" s="745"/>
      <c r="AU137" s="745"/>
      <c r="AV137" s="745"/>
      <c r="AW137" s="745"/>
    </row>
    <row r="138" spans="1:49">
      <c r="A138" s="318" t="s">
        <v>490</v>
      </c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8">
        <f t="shared" ref="X138:X201" si="2">SUM(K138:W138)/13</f>
        <v>0</v>
      </c>
      <c r="Y138" s="745"/>
      <c r="Z138" s="745"/>
      <c r="AA138" s="745"/>
      <c r="AB138" s="745"/>
      <c r="AC138" s="745"/>
      <c r="AD138" s="745"/>
      <c r="AE138" s="745"/>
      <c r="AF138" s="745"/>
      <c r="AG138" s="745"/>
      <c r="AH138" s="745"/>
      <c r="AI138" s="745"/>
      <c r="AJ138" s="745"/>
      <c r="AK138" s="745"/>
      <c r="AL138" s="745"/>
      <c r="AM138" s="745"/>
      <c r="AN138" s="745"/>
      <c r="AO138" s="745"/>
      <c r="AP138" s="745"/>
      <c r="AQ138" s="745"/>
      <c r="AR138" s="745"/>
      <c r="AS138" s="745"/>
      <c r="AT138" s="745"/>
      <c r="AU138" s="745"/>
      <c r="AV138" s="745"/>
      <c r="AW138" s="745"/>
    </row>
    <row r="139" spans="1:49">
      <c r="A139" s="318" t="s">
        <v>491</v>
      </c>
      <c r="B139" s="317">
        <v>159765.38445019053</v>
      </c>
      <c r="C139" s="317">
        <v>159593.87249747073</v>
      </c>
      <c r="D139" s="317">
        <v>159287.34331656768</v>
      </c>
      <c r="E139" s="317">
        <v>158970.07145669445</v>
      </c>
      <c r="F139" s="317">
        <v>158750.21141552474</v>
      </c>
      <c r="G139" s="317">
        <v>158548.55619168456</v>
      </c>
      <c r="H139" s="317">
        <v>158440.89385903164</v>
      </c>
      <c r="I139" s="317">
        <v>158266.057540257</v>
      </c>
      <c r="J139" s="317">
        <v>158065.55586295898</v>
      </c>
      <c r="K139" s="317">
        <v>53816.198840281242</v>
      </c>
      <c r="L139" s="317">
        <v>53668.263660205244</v>
      </c>
      <c r="M139" s="317">
        <v>0</v>
      </c>
      <c r="N139" s="317">
        <v>0</v>
      </c>
      <c r="O139" s="317">
        <v>-32089.662673192004</v>
      </c>
      <c r="P139" s="317">
        <v>-31994.247775674539</v>
      </c>
      <c r="Q139" s="317">
        <v>-31950.952539644801</v>
      </c>
      <c r="R139" s="317">
        <v>-31911.150190799839</v>
      </c>
      <c r="S139" s="317">
        <v>-31909.438274400491</v>
      </c>
      <c r="T139" s="317">
        <v>-31892.73569411927</v>
      </c>
      <c r="U139" s="317">
        <v>-31871.017417793257</v>
      </c>
      <c r="V139" s="317">
        <v>-31849.452080166444</v>
      </c>
      <c r="W139" s="317">
        <v>-31804.949433380167</v>
      </c>
      <c r="X139" s="368">
        <f t="shared" si="2"/>
        <v>-13829.934121437254</v>
      </c>
    </row>
    <row r="140" spans="1:49">
      <c r="A140" s="318" t="s">
        <v>492</v>
      </c>
      <c r="B140" s="317">
        <v>1176439.2366826595</v>
      </c>
      <c r="C140" s="317">
        <v>1175176.3010884817</v>
      </c>
      <c r="D140" s="317">
        <v>1172919.1603640155</v>
      </c>
      <c r="E140" s="317">
        <v>1170582.9154638159</v>
      </c>
      <c r="F140" s="317">
        <v>1168963.966653967</v>
      </c>
      <c r="G140" s="317">
        <v>1167479.0697945876</v>
      </c>
      <c r="H140" s="317">
        <v>1166686.2936066696</v>
      </c>
      <c r="I140" s="317">
        <v>1165398.8789009654</v>
      </c>
      <c r="J140" s="317">
        <v>1163922.4762308514</v>
      </c>
      <c r="K140" s="317">
        <v>1266550.4198362262</v>
      </c>
      <c r="L140" s="317">
        <v>1668418.2267779817</v>
      </c>
      <c r="M140" s="317">
        <v>1716256.5410087137</v>
      </c>
      <c r="N140" s="317">
        <v>1708587.2737433033</v>
      </c>
      <c r="O140" s="317">
        <v>1736211.1989330533</v>
      </c>
      <c r="P140" s="317">
        <v>1731048.775902871</v>
      </c>
      <c r="Q140" s="317">
        <v>1728706.2871574818</v>
      </c>
      <c r="R140" s="317">
        <v>1726552.7810732252</v>
      </c>
      <c r="S140" s="317">
        <v>1726460.1578364386</v>
      </c>
      <c r="T140" s="317">
        <v>1725556.4647303231</v>
      </c>
      <c r="U140" s="317">
        <v>1724381.3973897041</v>
      </c>
      <c r="V140" s="317">
        <v>1723214.6047974054</v>
      </c>
      <c r="W140" s="317">
        <v>1720806.7890930339</v>
      </c>
      <c r="X140" s="368">
        <f t="shared" si="2"/>
        <v>1684826.9937138276</v>
      </c>
    </row>
    <row r="141" spans="1:49">
      <c r="A141" s="318" t="s">
        <v>1923</v>
      </c>
      <c r="B141" s="317">
        <v>164536.95617939293</v>
      </c>
      <c r="C141" s="317">
        <v>164360.3218305569</v>
      </c>
      <c r="D141" s="317">
        <v>164044.63781314902</v>
      </c>
      <c r="E141" s="317">
        <v>163717.89027465958</v>
      </c>
      <c r="F141" s="317">
        <v>163491.46386768768</v>
      </c>
      <c r="G141" s="317">
        <v>163283.78598525701</v>
      </c>
      <c r="H141" s="317">
        <v>163172.908196737</v>
      </c>
      <c r="I141" s="317">
        <v>162992.85019593925</v>
      </c>
      <c r="J141" s="317">
        <v>162786.36031200719</v>
      </c>
      <c r="K141" s="317">
        <v>162586.70344495843</v>
      </c>
      <c r="L141" s="317">
        <v>0</v>
      </c>
      <c r="M141" s="317">
        <v>0</v>
      </c>
      <c r="N141" s="317">
        <v>0</v>
      </c>
      <c r="O141" s="317">
        <v>0</v>
      </c>
      <c r="P141" s="317">
        <v>0</v>
      </c>
      <c r="Q141" s="317">
        <v>0</v>
      </c>
      <c r="R141" s="317">
        <v>0</v>
      </c>
      <c r="S141" s="317">
        <v>0</v>
      </c>
      <c r="T141" s="317">
        <v>0</v>
      </c>
      <c r="U141" s="317">
        <v>0</v>
      </c>
      <c r="V141" s="317">
        <v>0</v>
      </c>
      <c r="W141" s="317">
        <v>0</v>
      </c>
      <c r="X141" s="368">
        <f t="shared" si="2"/>
        <v>12506.669495766033</v>
      </c>
    </row>
    <row r="142" spans="1:49">
      <c r="A142" s="318" t="s">
        <v>493</v>
      </c>
      <c r="B142" s="365">
        <v>-3374.3979389572705</v>
      </c>
      <c r="C142" s="365">
        <v>-3357.9999116623731</v>
      </c>
      <c r="D142" s="365">
        <v>-3339.210592196619</v>
      </c>
      <c r="E142" s="365">
        <v>-3319.83389577856</v>
      </c>
      <c r="F142" s="365">
        <v>-3302.94440796356</v>
      </c>
      <c r="G142" s="365">
        <v>-3286.0569406630302</v>
      </c>
      <c r="H142" s="365">
        <v>-3271.1423188448234</v>
      </c>
      <c r="I142" s="365">
        <v>-3256.0894975332799</v>
      </c>
      <c r="J142" s="365">
        <v>-3239.3112843319659</v>
      </c>
      <c r="K142" s="365">
        <v>-3223.10829786247</v>
      </c>
      <c r="L142" s="365">
        <v>-3201.6453758739244</v>
      </c>
      <c r="M142" s="365">
        <v>-3178.6514388261635</v>
      </c>
      <c r="N142" s="365">
        <v>-3151.9431820195318</v>
      </c>
      <c r="O142" s="365">
        <v>-3131.2334878668335</v>
      </c>
      <c r="P142" s="365">
        <v>-3109.8898669889018</v>
      </c>
      <c r="Q142" s="365">
        <v>-3093.2639657507252</v>
      </c>
      <c r="R142" s="365">
        <v>-3077.4085784749018</v>
      </c>
      <c r="S142" s="365">
        <v>-3064.8420830179348</v>
      </c>
      <c r="T142" s="365">
        <v>-3050.8429189092608</v>
      </c>
      <c r="U142" s="365">
        <v>-3037.1780058421682</v>
      </c>
      <c r="V142" s="365">
        <v>-3022.744826607116</v>
      </c>
      <c r="W142" s="365">
        <v>-3006.5591294356805</v>
      </c>
      <c r="X142" s="368">
        <f t="shared" si="2"/>
        <v>-3103.793165959662</v>
      </c>
    </row>
    <row r="143" spans="1:49">
      <c r="A143" s="318" t="s">
        <v>490</v>
      </c>
      <c r="B143" s="317">
        <v>1497367.1793732857</v>
      </c>
      <c r="C143" s="317">
        <v>1495772.495504847</v>
      </c>
      <c r="D143" s="317">
        <v>1492911.9309015356</v>
      </c>
      <c r="E143" s="317">
        <v>1489951.0432993914</v>
      </c>
      <c r="F143" s="317">
        <v>1487902.6975292158</v>
      </c>
      <c r="G143" s="317">
        <v>1486025.3550308659</v>
      </c>
      <c r="H143" s="317">
        <v>1485028.9533435935</v>
      </c>
      <c r="I143" s="317">
        <v>1483401.6971396282</v>
      </c>
      <c r="J143" s="317">
        <v>1481535.0811214854</v>
      </c>
      <c r="K143" s="317">
        <v>1479730.2138236032</v>
      </c>
      <c r="L143" s="317">
        <v>1718884.8450623131</v>
      </c>
      <c r="M143" s="317">
        <v>1713077.8895698874</v>
      </c>
      <c r="N143" s="317">
        <v>1705435.3305612837</v>
      </c>
      <c r="O143" s="317">
        <v>1700990.3027719944</v>
      </c>
      <c r="P143" s="317">
        <v>1695944.6382602076</v>
      </c>
      <c r="Q143" s="317">
        <v>1693662.0706520861</v>
      </c>
      <c r="R143" s="317">
        <v>1691564.2223039505</v>
      </c>
      <c r="S143" s="317">
        <v>1691485.87747902</v>
      </c>
      <c r="T143" s="317">
        <v>1690612.8861172947</v>
      </c>
      <c r="U143" s="317">
        <v>1689473.2019660687</v>
      </c>
      <c r="V143" s="317">
        <v>1688342.4078906318</v>
      </c>
      <c r="W143" s="317">
        <v>1685995.280530218</v>
      </c>
      <c r="X143" s="368">
        <f t="shared" si="2"/>
        <v>1680399.9359221971</v>
      </c>
    </row>
    <row r="144" spans="1:49"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8">
        <f t="shared" si="2"/>
        <v>0</v>
      </c>
      <c r="Y144" s="745"/>
      <c r="Z144" s="745"/>
      <c r="AA144" s="745"/>
      <c r="AB144" s="745"/>
      <c r="AC144" s="745"/>
      <c r="AD144" s="745"/>
      <c r="AE144" s="745"/>
      <c r="AF144" s="745"/>
      <c r="AG144" s="745"/>
      <c r="AH144" s="745"/>
      <c r="AI144" s="745"/>
      <c r="AJ144" s="745"/>
      <c r="AK144" s="745"/>
      <c r="AL144" s="745"/>
      <c r="AM144" s="745"/>
      <c r="AN144" s="745"/>
      <c r="AO144" s="745"/>
      <c r="AP144" s="745"/>
      <c r="AQ144" s="745"/>
      <c r="AR144" s="745"/>
      <c r="AS144" s="745"/>
      <c r="AT144" s="745"/>
      <c r="AU144" s="745"/>
      <c r="AV144" s="745"/>
      <c r="AW144" s="745"/>
    </row>
    <row r="145" spans="1:49">
      <c r="A145" s="318" t="s">
        <v>494</v>
      </c>
      <c r="B145" s="317"/>
      <c r="X145" s="368">
        <f t="shared" si="2"/>
        <v>0</v>
      </c>
    </row>
    <row r="146" spans="1:49"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8">
        <f t="shared" si="2"/>
        <v>0</v>
      </c>
      <c r="Y146" s="745"/>
      <c r="Z146" s="745"/>
      <c r="AA146" s="745"/>
      <c r="AB146" s="745"/>
      <c r="AC146" s="745"/>
      <c r="AD146" s="745"/>
      <c r="AE146" s="745"/>
      <c r="AF146" s="745"/>
      <c r="AG146" s="745"/>
      <c r="AH146" s="745"/>
      <c r="AI146" s="745"/>
      <c r="AJ146" s="745"/>
      <c r="AK146" s="745"/>
      <c r="AL146" s="745"/>
      <c r="AM146" s="745"/>
      <c r="AN146" s="745"/>
      <c r="AO146" s="745"/>
      <c r="AP146" s="745"/>
      <c r="AQ146" s="745"/>
      <c r="AR146" s="745"/>
      <c r="AS146" s="745"/>
      <c r="AT146" s="745"/>
      <c r="AU146" s="745"/>
      <c r="AV146" s="745"/>
      <c r="AW146" s="745"/>
    </row>
    <row r="147" spans="1:49" ht="15.75" thickBot="1">
      <c r="A147" s="353" t="s">
        <v>495</v>
      </c>
      <c r="B147" s="364">
        <v>1497367.1793732857</v>
      </c>
      <c r="C147" s="364">
        <v>1495772.495504847</v>
      </c>
      <c r="D147" s="364">
        <v>1492911.9309015356</v>
      </c>
      <c r="E147" s="364">
        <v>1489951.0432993914</v>
      </c>
      <c r="F147" s="364">
        <v>1487902.6975292158</v>
      </c>
      <c r="G147" s="364">
        <v>1486025.3550308659</v>
      </c>
      <c r="H147" s="364">
        <v>1485028.9533435935</v>
      </c>
      <c r="I147" s="364">
        <v>1483401.6971396282</v>
      </c>
      <c r="J147" s="364">
        <v>1481535.0811214854</v>
      </c>
      <c r="K147" s="364">
        <v>1479730.2138236032</v>
      </c>
      <c r="L147" s="364">
        <v>1718884.8450623131</v>
      </c>
      <c r="M147" s="364">
        <v>1713077.8895698874</v>
      </c>
      <c r="N147" s="364">
        <v>1705435.3305612837</v>
      </c>
      <c r="O147" s="364">
        <v>1700990.3027719944</v>
      </c>
      <c r="P147" s="364">
        <v>1695944.6382602076</v>
      </c>
      <c r="Q147" s="364">
        <v>1693662.0706520861</v>
      </c>
      <c r="R147" s="364">
        <v>1691564.2223039505</v>
      </c>
      <c r="S147" s="364">
        <v>1691485.87747902</v>
      </c>
      <c r="T147" s="364">
        <v>1690612.8861172947</v>
      </c>
      <c r="U147" s="364">
        <v>1689473.2019660687</v>
      </c>
      <c r="V147" s="364">
        <v>1688342.4078906318</v>
      </c>
      <c r="W147" s="364">
        <v>1685995.280530218</v>
      </c>
      <c r="X147" s="368">
        <f t="shared" si="2"/>
        <v>1680399.9359221971</v>
      </c>
      <c r="Y147" s="746"/>
      <c r="Z147" s="746"/>
      <c r="AA147" s="746"/>
      <c r="AB147" s="746"/>
      <c r="AC147" s="746"/>
      <c r="AD147" s="746"/>
      <c r="AE147" s="746"/>
      <c r="AF147" s="746"/>
      <c r="AG147" s="746"/>
      <c r="AH147" s="746"/>
      <c r="AI147" s="746"/>
      <c r="AJ147" s="746"/>
      <c r="AK147" s="746"/>
      <c r="AL147" s="746"/>
      <c r="AM147" s="746"/>
      <c r="AN147" s="746"/>
      <c r="AO147" s="746"/>
      <c r="AP147" s="746"/>
      <c r="AQ147" s="746"/>
      <c r="AR147" s="746"/>
      <c r="AS147" s="746"/>
      <c r="AT147" s="746"/>
      <c r="AU147" s="746"/>
      <c r="AV147" s="746"/>
      <c r="AW147" s="746"/>
    </row>
    <row r="148" spans="1:49">
      <c r="B148" s="317"/>
      <c r="X148" s="368">
        <f t="shared" si="2"/>
        <v>0</v>
      </c>
    </row>
    <row r="149" spans="1:49">
      <c r="A149" s="353" t="s">
        <v>496</v>
      </c>
      <c r="B149" s="367">
        <v>3342346.1131538674</v>
      </c>
      <c r="C149" s="367">
        <v>3355617.4619911369</v>
      </c>
      <c r="D149" s="367">
        <v>3350433.5297387447</v>
      </c>
      <c r="E149" s="367">
        <v>3349186.8676824975</v>
      </c>
      <c r="F149" s="367">
        <v>3355911.0660344004</v>
      </c>
      <c r="G149" s="367">
        <v>3393391.9077715972</v>
      </c>
      <c r="H149" s="367">
        <v>3411427.7701900387</v>
      </c>
      <c r="I149" s="367">
        <v>3424969.1083771731</v>
      </c>
      <c r="J149" s="367">
        <v>3395098.6358349519</v>
      </c>
      <c r="K149" s="367">
        <v>3397011.7404393414</v>
      </c>
      <c r="L149" s="367">
        <v>3640843.2842607098</v>
      </c>
      <c r="M149" s="367">
        <v>3640958.9012881508</v>
      </c>
      <c r="N149" s="367">
        <v>3640483.8398832045</v>
      </c>
      <c r="O149" s="367">
        <v>3647469.8306281893</v>
      </c>
      <c r="P149" s="367">
        <v>3629753.7331752349</v>
      </c>
      <c r="Q149" s="367">
        <v>3630494.1678274372</v>
      </c>
      <c r="R149" s="367">
        <v>3636687.1008791756</v>
      </c>
      <c r="S149" s="367">
        <v>3671662.2067416967</v>
      </c>
      <c r="T149" s="367">
        <v>3691355.1013499014</v>
      </c>
      <c r="U149" s="367">
        <v>3707557.4505099067</v>
      </c>
      <c r="V149" s="367">
        <v>3650945.2225476643</v>
      </c>
      <c r="W149" s="367">
        <v>3652244.5827619722</v>
      </c>
      <c r="X149" s="368">
        <f t="shared" si="2"/>
        <v>3633651.3201763527</v>
      </c>
      <c r="Y149" s="746"/>
      <c r="Z149" s="746"/>
      <c r="AA149" s="746"/>
      <c r="AB149" s="746"/>
      <c r="AC149" s="746"/>
      <c r="AD149" s="746"/>
      <c r="AE149" s="746"/>
      <c r="AF149" s="746"/>
      <c r="AG149" s="746"/>
      <c r="AH149" s="746"/>
      <c r="AI149" s="746"/>
      <c r="AJ149" s="746"/>
      <c r="AK149" s="746"/>
      <c r="AL149" s="746"/>
      <c r="AM149" s="746"/>
      <c r="AN149" s="746"/>
      <c r="AO149" s="746"/>
      <c r="AP149" s="746"/>
      <c r="AQ149" s="746"/>
      <c r="AR149" s="746"/>
      <c r="AS149" s="746"/>
      <c r="AT149" s="746"/>
      <c r="AU149" s="746"/>
      <c r="AV149" s="746"/>
      <c r="AW149" s="746"/>
    </row>
    <row r="150" spans="1:49">
      <c r="B150" s="317"/>
      <c r="X150" s="368">
        <f t="shared" si="2"/>
        <v>0</v>
      </c>
    </row>
    <row r="151" spans="1:49">
      <c r="A151" s="353" t="s">
        <v>497</v>
      </c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8">
        <f t="shared" si="2"/>
        <v>0</v>
      </c>
      <c r="Y151" s="745"/>
      <c r="Z151" s="745"/>
      <c r="AA151" s="745"/>
      <c r="AB151" s="745"/>
      <c r="AC151" s="745"/>
      <c r="AD151" s="745"/>
      <c r="AE151" s="745"/>
      <c r="AF151" s="745"/>
      <c r="AG151" s="745"/>
      <c r="AH151" s="745"/>
      <c r="AI151" s="745"/>
      <c r="AJ151" s="745"/>
      <c r="AK151" s="745"/>
      <c r="AL151" s="745"/>
      <c r="AM151" s="745"/>
      <c r="AN151" s="745"/>
      <c r="AO151" s="745"/>
      <c r="AP151" s="745"/>
      <c r="AQ151" s="745"/>
      <c r="AR151" s="745"/>
      <c r="AS151" s="745"/>
      <c r="AT151" s="745"/>
      <c r="AU151" s="745"/>
      <c r="AV151" s="745"/>
      <c r="AW151" s="745"/>
    </row>
    <row r="152" spans="1:49">
      <c r="A152" s="318" t="s">
        <v>498</v>
      </c>
      <c r="B152" s="317">
        <v>0</v>
      </c>
      <c r="C152" s="317">
        <v>0</v>
      </c>
      <c r="D152" s="317">
        <v>0</v>
      </c>
      <c r="E152" s="317">
        <v>0</v>
      </c>
      <c r="F152" s="317">
        <v>0</v>
      </c>
      <c r="G152" s="317">
        <v>0</v>
      </c>
      <c r="H152" s="317">
        <v>0</v>
      </c>
      <c r="I152" s="317">
        <v>0</v>
      </c>
      <c r="J152" s="317">
        <v>0</v>
      </c>
      <c r="K152" s="317">
        <v>0</v>
      </c>
      <c r="L152" s="317">
        <v>0</v>
      </c>
      <c r="M152" s="317">
        <v>0</v>
      </c>
      <c r="N152" s="317">
        <v>0</v>
      </c>
      <c r="O152" s="317">
        <v>0</v>
      </c>
      <c r="P152" s="317">
        <v>0</v>
      </c>
      <c r="Q152" s="317">
        <v>0</v>
      </c>
      <c r="R152" s="317">
        <v>0</v>
      </c>
      <c r="S152" s="317">
        <v>0</v>
      </c>
      <c r="T152" s="317">
        <v>0</v>
      </c>
      <c r="U152" s="317">
        <v>0</v>
      </c>
      <c r="V152" s="317">
        <v>0</v>
      </c>
      <c r="W152" s="317">
        <v>0</v>
      </c>
      <c r="X152" s="368">
        <f t="shared" si="2"/>
        <v>0</v>
      </c>
    </row>
    <row r="153" spans="1:49"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8">
        <f t="shared" si="2"/>
        <v>0</v>
      </c>
      <c r="Y153" s="745"/>
      <c r="Z153" s="745"/>
      <c r="AA153" s="745"/>
      <c r="AB153" s="745"/>
      <c r="AC153" s="745"/>
      <c r="AD153" s="745"/>
      <c r="AE153" s="745"/>
      <c r="AF153" s="745"/>
      <c r="AG153" s="745"/>
      <c r="AH153" s="745"/>
      <c r="AI153" s="745"/>
      <c r="AJ153" s="745"/>
      <c r="AK153" s="745"/>
      <c r="AL153" s="745"/>
      <c r="AM153" s="745"/>
      <c r="AN153" s="745"/>
      <c r="AO153" s="745"/>
      <c r="AP153" s="745"/>
      <c r="AQ153" s="745"/>
      <c r="AR153" s="745"/>
      <c r="AS153" s="745"/>
      <c r="AT153" s="745"/>
      <c r="AU153" s="745"/>
      <c r="AV153" s="745"/>
      <c r="AW153" s="745"/>
    </row>
    <row r="154" spans="1:49">
      <c r="A154" s="318" t="s">
        <v>499</v>
      </c>
      <c r="B154" s="363"/>
      <c r="C154" s="363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8">
        <f t="shared" si="2"/>
        <v>0</v>
      </c>
      <c r="Y154" s="745"/>
      <c r="Z154" s="745"/>
      <c r="AA154" s="745"/>
      <c r="AB154" s="745"/>
      <c r="AC154" s="745"/>
      <c r="AD154" s="745"/>
      <c r="AE154" s="745"/>
      <c r="AF154" s="745"/>
      <c r="AG154" s="745"/>
      <c r="AH154" s="745"/>
      <c r="AI154" s="745"/>
      <c r="AJ154" s="745"/>
      <c r="AK154" s="745"/>
      <c r="AL154" s="745"/>
      <c r="AM154" s="745"/>
      <c r="AN154" s="745"/>
      <c r="AO154" s="745"/>
      <c r="AP154" s="745"/>
      <c r="AQ154" s="745"/>
      <c r="AR154" s="745"/>
      <c r="AS154" s="745"/>
      <c r="AT154" s="745"/>
      <c r="AU154" s="745"/>
      <c r="AV154" s="745"/>
      <c r="AW154" s="745"/>
    </row>
    <row r="155" spans="1:49" ht="15.75" thickBot="1">
      <c r="A155" s="318" t="s">
        <v>500</v>
      </c>
      <c r="B155" s="316">
        <v>148928.3596032029</v>
      </c>
      <c r="C155" s="316">
        <v>156668.37802773705</v>
      </c>
      <c r="D155" s="316">
        <v>177779.1251014501</v>
      </c>
      <c r="E155" s="316">
        <v>210732.42821414548</v>
      </c>
      <c r="F155" s="316">
        <v>236767.86485185288</v>
      </c>
      <c r="G155" s="316">
        <v>227869.13745294869</v>
      </c>
      <c r="H155" s="316">
        <v>222628.91566382488</v>
      </c>
      <c r="I155" s="316">
        <v>209755.01815570152</v>
      </c>
      <c r="J155" s="316">
        <v>237795.32266691249</v>
      </c>
      <c r="K155" s="316">
        <v>245913.17127503769</v>
      </c>
      <c r="L155" s="316">
        <v>17906.637332331578</v>
      </c>
      <c r="M155" s="316">
        <v>23091.412263311442</v>
      </c>
      <c r="N155" s="316">
        <v>27135.154841147476</v>
      </c>
      <c r="O155" s="316">
        <v>27001.842756533355</v>
      </c>
      <c r="P155" s="316">
        <v>45090.141134775382</v>
      </c>
      <c r="Q155" s="316">
        <v>71585.823736579143</v>
      </c>
      <c r="R155" s="316">
        <v>108513.77229762354</v>
      </c>
      <c r="S155" s="316">
        <v>89743.545695097389</v>
      </c>
      <c r="T155" s="316">
        <v>65338.924029856018</v>
      </c>
      <c r="U155" s="316">
        <v>36017.49797423261</v>
      </c>
      <c r="V155" s="316">
        <v>76869.397338257957</v>
      </c>
      <c r="W155" s="316">
        <v>77140.667468590837</v>
      </c>
      <c r="X155" s="368">
        <f t="shared" si="2"/>
        <v>70103.691395644186</v>
      </c>
    </row>
    <row r="156" spans="1:49">
      <c r="A156" s="318" t="s">
        <v>499</v>
      </c>
      <c r="B156" s="317">
        <v>148928.3596032029</v>
      </c>
      <c r="C156" s="317">
        <v>156668.37802773705</v>
      </c>
      <c r="D156" s="317">
        <v>177779.1251014501</v>
      </c>
      <c r="E156" s="317">
        <v>210732.42821414548</v>
      </c>
      <c r="F156" s="317">
        <v>236767.86485185288</v>
      </c>
      <c r="G156" s="317">
        <v>227869.13745294869</v>
      </c>
      <c r="H156" s="317">
        <v>222628.91566382488</v>
      </c>
      <c r="I156" s="317">
        <v>209755.01815570152</v>
      </c>
      <c r="J156" s="317">
        <v>237795.32266691249</v>
      </c>
      <c r="K156" s="317">
        <v>245913.17127503769</v>
      </c>
      <c r="L156" s="317">
        <v>17906.637332331578</v>
      </c>
      <c r="M156" s="317">
        <v>23091.412263311442</v>
      </c>
      <c r="N156" s="317">
        <v>27135.154841147476</v>
      </c>
      <c r="O156" s="317">
        <v>27001.842756533355</v>
      </c>
      <c r="P156" s="317">
        <v>45090.141134775382</v>
      </c>
      <c r="Q156" s="317">
        <v>71585.823736579143</v>
      </c>
      <c r="R156" s="317">
        <v>108513.77229762354</v>
      </c>
      <c r="S156" s="317">
        <v>89743.545695097389</v>
      </c>
      <c r="T156" s="317">
        <v>65338.924029856018</v>
      </c>
      <c r="U156" s="317">
        <v>36017.49797423261</v>
      </c>
      <c r="V156" s="317">
        <v>76869.397338257957</v>
      </c>
      <c r="W156" s="317">
        <v>77140.667468590837</v>
      </c>
      <c r="X156" s="368">
        <f t="shared" si="2"/>
        <v>70103.691395644186</v>
      </c>
    </row>
    <row r="157" spans="1:49"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8">
        <f t="shared" si="2"/>
        <v>0</v>
      </c>
      <c r="Y157" s="745"/>
      <c r="Z157" s="745"/>
      <c r="AA157" s="745"/>
      <c r="AB157" s="745"/>
      <c r="AC157" s="745"/>
      <c r="AD157" s="745"/>
      <c r="AE157" s="745"/>
      <c r="AF157" s="745"/>
      <c r="AG157" s="745"/>
      <c r="AH157" s="745"/>
      <c r="AI157" s="745"/>
      <c r="AJ157" s="745"/>
      <c r="AK157" s="745"/>
      <c r="AL157" s="745"/>
      <c r="AM157" s="745"/>
      <c r="AN157" s="745"/>
      <c r="AO157" s="745"/>
      <c r="AP157" s="745"/>
      <c r="AQ157" s="745"/>
      <c r="AR157" s="745"/>
      <c r="AS157" s="745"/>
      <c r="AT157" s="745"/>
      <c r="AU157" s="745"/>
      <c r="AV157" s="745"/>
      <c r="AW157" s="745"/>
    </row>
    <row r="158" spans="1:49">
      <c r="A158" s="318" t="s">
        <v>501</v>
      </c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8">
        <f t="shared" si="2"/>
        <v>0</v>
      </c>
      <c r="Y158" s="745"/>
      <c r="Z158" s="745"/>
      <c r="AA158" s="745"/>
      <c r="AB158" s="745"/>
      <c r="AC158" s="745"/>
      <c r="AD158" s="745"/>
      <c r="AE158" s="745"/>
      <c r="AF158" s="745"/>
      <c r="AG158" s="745"/>
      <c r="AH158" s="745"/>
      <c r="AI158" s="745"/>
      <c r="AJ158" s="745"/>
      <c r="AK158" s="745"/>
      <c r="AL158" s="745"/>
      <c r="AM158" s="745"/>
      <c r="AN158" s="745"/>
      <c r="AO158" s="745"/>
      <c r="AP158" s="745"/>
      <c r="AQ158" s="745"/>
      <c r="AR158" s="745"/>
      <c r="AS158" s="745"/>
      <c r="AT158" s="745"/>
      <c r="AU158" s="745"/>
      <c r="AV158" s="745"/>
      <c r="AW158" s="745"/>
    </row>
    <row r="159" spans="1:49">
      <c r="A159" s="318" t="s">
        <v>502</v>
      </c>
      <c r="B159" s="368">
        <v>7136.4631515751234</v>
      </c>
      <c r="C159" s="368">
        <v>7695.7202855434816</v>
      </c>
      <c r="D159" s="368">
        <v>8152.8117382148139</v>
      </c>
      <c r="E159" s="368">
        <v>8699.1461444376837</v>
      </c>
      <c r="F159" s="368">
        <v>9187.4873721824642</v>
      </c>
      <c r="G159" s="368">
        <v>9620.5936318520835</v>
      </c>
      <c r="H159" s="368">
        <v>10184.447402781792</v>
      </c>
      <c r="I159" s="368">
        <v>10669.131256396246</v>
      </c>
      <c r="J159" s="368">
        <v>5128.5671213387013</v>
      </c>
      <c r="K159" s="368">
        <v>5653.6118080666674</v>
      </c>
      <c r="L159" s="368">
        <v>6206.5395119539562</v>
      </c>
      <c r="M159" s="368">
        <v>6671.9766348964395</v>
      </c>
      <c r="N159" s="368">
        <v>7208.0570655982119</v>
      </c>
      <c r="O159" s="368">
        <v>7755.9806400352309</v>
      </c>
      <c r="P159" s="368">
        <v>8258.8143216565441</v>
      </c>
      <c r="Q159" s="368">
        <v>8844.9135125771209</v>
      </c>
      <c r="R159" s="368">
        <v>9335.2145541221889</v>
      </c>
      <c r="S159" s="368">
        <v>9831.0961177852732</v>
      </c>
      <c r="T159" s="368">
        <v>10413.279535075719</v>
      </c>
      <c r="U159" s="368">
        <v>10916.411444421356</v>
      </c>
      <c r="V159" s="368">
        <v>5126.7272003162052</v>
      </c>
      <c r="W159" s="368">
        <v>5660.9860995571789</v>
      </c>
      <c r="X159" s="368">
        <f t="shared" si="2"/>
        <v>7837.2006496970844</v>
      </c>
    </row>
    <row r="160" spans="1:49">
      <c r="A160" s="318" t="s">
        <v>503</v>
      </c>
      <c r="B160" s="368">
        <v>109928.14661173134</v>
      </c>
      <c r="C160" s="368">
        <v>114923.54824629686</v>
      </c>
      <c r="D160" s="368">
        <v>117388.85184438957</v>
      </c>
      <c r="E160" s="368">
        <v>115053.65255241381</v>
      </c>
      <c r="F160" s="368">
        <v>110289.03103368169</v>
      </c>
      <c r="G160" s="368">
        <v>116587.22019975647</v>
      </c>
      <c r="H160" s="368">
        <v>109005.38935279458</v>
      </c>
      <c r="I160" s="368">
        <v>108232.81780622907</v>
      </c>
      <c r="J160" s="368">
        <v>110197.3806258407</v>
      </c>
      <c r="K160" s="368">
        <v>107592.08604751449</v>
      </c>
      <c r="L160" s="368">
        <v>102977.19676595154</v>
      </c>
      <c r="M160" s="368">
        <v>106384.68766351679</v>
      </c>
      <c r="N160" s="368">
        <v>108970.59389652517</v>
      </c>
      <c r="O160" s="368">
        <v>110465.87054458694</v>
      </c>
      <c r="P160" s="368">
        <v>107984.00839757069</v>
      </c>
      <c r="Q160" s="368">
        <v>113652.66740210008</v>
      </c>
      <c r="R160" s="368">
        <v>107666.8025274698</v>
      </c>
      <c r="S160" s="368">
        <v>102829.2475753129</v>
      </c>
      <c r="T160" s="368">
        <v>100796.14751283424</v>
      </c>
      <c r="U160" s="368">
        <v>99430.723042022844</v>
      </c>
      <c r="V160" s="368">
        <v>100531.09815290454</v>
      </c>
      <c r="W160" s="368">
        <v>99072.374773071802</v>
      </c>
      <c r="X160" s="368">
        <f t="shared" si="2"/>
        <v>105257.96186933706</v>
      </c>
    </row>
    <row r="161" spans="1:49" ht="15.75" thickBot="1">
      <c r="A161" s="318" t="s">
        <v>504</v>
      </c>
      <c r="B161" s="316">
        <v>7027.5994968802061</v>
      </c>
      <c r="C161" s="316">
        <v>7020.0552011193286</v>
      </c>
      <c r="D161" s="316">
        <v>7006.5719029386455</v>
      </c>
      <c r="E161" s="316">
        <v>6992.6160665696316</v>
      </c>
      <c r="F161" s="316">
        <v>6982.9450835840153</v>
      </c>
      <c r="G161" s="316">
        <v>6974.074875844839</v>
      </c>
      <c r="H161" s="316">
        <v>6969.3391331344365</v>
      </c>
      <c r="I161" s="316">
        <v>6961.6486084936614</v>
      </c>
      <c r="J161" s="316">
        <v>6952.8291418028502</v>
      </c>
      <c r="K161" s="316">
        <v>6944.3015226527132</v>
      </c>
      <c r="L161" s="316">
        <v>6925.2123539935792</v>
      </c>
      <c r="M161" s="316">
        <v>6901.7677488379613</v>
      </c>
      <c r="N161" s="316">
        <v>6870.9264962601173</v>
      </c>
      <c r="O161" s="316">
        <v>6852.9679439099646</v>
      </c>
      <c r="P161" s="316">
        <v>6832.5914369732027</v>
      </c>
      <c r="Q161" s="316">
        <v>6823.3454418483088</v>
      </c>
      <c r="R161" s="316">
        <v>6814.8453767804785</v>
      </c>
      <c r="S161" s="316">
        <v>6814.4797852712491</v>
      </c>
      <c r="T161" s="316">
        <v>6810.9128344929404</v>
      </c>
      <c r="U161" s="316">
        <v>6806.2747473626732</v>
      </c>
      <c r="V161" s="316">
        <v>6801.6693213424242</v>
      </c>
      <c r="W161" s="316">
        <v>6792.1654753546536</v>
      </c>
      <c r="X161" s="368">
        <f t="shared" si="2"/>
        <v>6845.4969603907894</v>
      </c>
    </row>
    <row r="162" spans="1:49">
      <c r="A162" s="318" t="s">
        <v>501</v>
      </c>
      <c r="B162" s="317">
        <v>124092.20926018668</v>
      </c>
      <c r="C162" s="317">
        <v>129639.32373295969</v>
      </c>
      <c r="D162" s="317">
        <v>132548.23548554303</v>
      </c>
      <c r="E162" s="317">
        <v>130745.41476342114</v>
      </c>
      <c r="F162" s="317">
        <v>126459.46348944817</v>
      </c>
      <c r="G162" s="317">
        <v>133181.88870745338</v>
      </c>
      <c r="H162" s="317">
        <v>126159.1758887108</v>
      </c>
      <c r="I162" s="317">
        <v>125863.59767111897</v>
      </c>
      <c r="J162" s="317">
        <v>122278.77688898225</v>
      </c>
      <c r="K162" s="317">
        <v>120189.99937823386</v>
      </c>
      <c r="L162" s="317">
        <v>116108.94863189908</v>
      </c>
      <c r="M162" s="317">
        <v>119958.43204725118</v>
      </c>
      <c r="N162" s="317">
        <v>123049.5774583835</v>
      </c>
      <c r="O162" s="317">
        <v>125074.81912853214</v>
      </c>
      <c r="P162" s="317">
        <v>123075.41415620044</v>
      </c>
      <c r="Q162" s="317">
        <v>129320.92635652551</v>
      </c>
      <c r="R162" s="317">
        <v>123816.86245837246</v>
      </c>
      <c r="S162" s="317">
        <v>119474.82347836942</v>
      </c>
      <c r="T162" s="317">
        <v>118020.3398824029</v>
      </c>
      <c r="U162" s="317">
        <v>117153.40923380689</v>
      </c>
      <c r="V162" s="317">
        <v>112459.49467456318</v>
      </c>
      <c r="W162" s="317">
        <v>111525.52634798363</v>
      </c>
      <c r="X162" s="368">
        <f t="shared" si="2"/>
        <v>119940.65947942495</v>
      </c>
    </row>
    <row r="163" spans="1:49"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8">
        <f t="shared" si="2"/>
        <v>0</v>
      </c>
      <c r="Y163" s="745"/>
      <c r="Z163" s="745"/>
      <c r="AA163" s="745"/>
      <c r="AB163" s="745"/>
      <c r="AC163" s="745"/>
      <c r="AD163" s="745"/>
      <c r="AE163" s="745"/>
      <c r="AF163" s="745"/>
      <c r="AG163" s="745"/>
      <c r="AH163" s="745"/>
      <c r="AI163" s="745"/>
      <c r="AJ163" s="745"/>
      <c r="AK163" s="745"/>
      <c r="AL163" s="745"/>
      <c r="AM163" s="745"/>
      <c r="AN163" s="745"/>
      <c r="AO163" s="745"/>
      <c r="AP163" s="745"/>
      <c r="AQ163" s="745"/>
      <c r="AR163" s="745"/>
      <c r="AS163" s="745"/>
      <c r="AT163" s="745"/>
      <c r="AU163" s="745"/>
      <c r="AV163" s="745"/>
      <c r="AW163" s="745"/>
    </row>
    <row r="164" spans="1:49">
      <c r="A164" s="318" t="s">
        <v>505</v>
      </c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8">
        <f t="shared" si="2"/>
        <v>0</v>
      </c>
      <c r="Y164" s="745"/>
      <c r="Z164" s="745"/>
      <c r="AA164" s="745"/>
      <c r="AB164" s="745"/>
      <c r="AC164" s="745"/>
      <c r="AD164" s="745"/>
      <c r="AE164" s="745"/>
      <c r="AF164" s="745"/>
      <c r="AG164" s="745"/>
      <c r="AH164" s="745"/>
      <c r="AI164" s="745"/>
      <c r="AJ164" s="745"/>
      <c r="AK164" s="745"/>
      <c r="AL164" s="745"/>
      <c r="AM164" s="745"/>
      <c r="AN164" s="745"/>
      <c r="AO164" s="745"/>
      <c r="AP164" s="745"/>
      <c r="AQ164" s="745"/>
      <c r="AR164" s="745"/>
      <c r="AS164" s="745"/>
      <c r="AT164" s="745"/>
      <c r="AU164" s="745"/>
      <c r="AV164" s="745"/>
      <c r="AW164" s="745"/>
    </row>
    <row r="165" spans="1:49">
      <c r="A165" s="318" t="s">
        <v>506</v>
      </c>
      <c r="B165" s="368">
        <v>1002.5970599999901</v>
      </c>
      <c r="C165" s="368">
        <v>1007.66205999999</v>
      </c>
      <c r="D165" s="368">
        <v>740.51606000000004</v>
      </c>
      <c r="E165" s="368">
        <v>1275.9489599999899</v>
      </c>
      <c r="F165" s="368">
        <v>1590.1022599999999</v>
      </c>
      <c r="G165" s="368">
        <v>2154.5393599999902</v>
      </c>
      <c r="H165" s="368">
        <v>2538.8347599999902</v>
      </c>
      <c r="I165" s="368">
        <v>2849.3138599999902</v>
      </c>
      <c r="J165" s="368">
        <v>3203.7324599999902</v>
      </c>
      <c r="K165" s="368">
        <v>3710.43336</v>
      </c>
      <c r="L165" s="368">
        <v>4381.7328600000001</v>
      </c>
      <c r="M165" s="368">
        <v>4465.0239600000004</v>
      </c>
      <c r="N165" s="368">
        <v>4719.3179600000003</v>
      </c>
      <c r="O165" s="368">
        <v>5188.2871599999999</v>
      </c>
      <c r="P165" s="368">
        <v>5031.6399600000004</v>
      </c>
      <c r="Q165" s="368">
        <v>4309.90996</v>
      </c>
      <c r="R165" s="368">
        <v>4007.3603600000001</v>
      </c>
      <c r="S165" s="368">
        <v>4424.91716</v>
      </c>
      <c r="T165" s="368">
        <v>4629.4026599999997</v>
      </c>
      <c r="U165" s="368">
        <v>4835.7541599999904</v>
      </c>
      <c r="V165" s="368">
        <v>4844.6405599999998</v>
      </c>
      <c r="W165" s="368">
        <v>5417.5252599999903</v>
      </c>
      <c r="X165" s="368">
        <f t="shared" si="2"/>
        <v>4612.7650292307671</v>
      </c>
    </row>
    <row r="166" spans="1:49" ht="15.75" thickBot="1">
      <c r="A166" s="318" t="s">
        <v>507</v>
      </c>
      <c r="B166" s="316">
        <v>16712.951280828147</v>
      </c>
      <c r="C166" s="316">
        <v>16695.009528803763</v>
      </c>
      <c r="D166" s="316">
        <v>17085.93140471938</v>
      </c>
      <c r="E166" s="316">
        <v>16629.754114188749</v>
      </c>
      <c r="F166" s="316">
        <v>16606.754700584137</v>
      </c>
      <c r="G166" s="316">
        <v>17006.685521929081</v>
      </c>
      <c r="H166" s="316">
        <v>16574.397195422647</v>
      </c>
      <c r="I166" s="316">
        <v>16556.107683662289</v>
      </c>
      <c r="J166" s="316">
        <v>16665.92019848881</v>
      </c>
      <c r="K166" s="316">
        <v>16514.853056011296</v>
      </c>
      <c r="L166" s="316">
        <v>16469.455428281763</v>
      </c>
      <c r="M166" s="316">
        <v>16543.526122204079</v>
      </c>
      <c r="N166" s="316">
        <v>16340.353464525846</v>
      </c>
      <c r="O166" s="316">
        <v>16297.64465469177</v>
      </c>
      <c r="P166" s="316">
        <v>16377.710614638638</v>
      </c>
      <c r="Q166" s="316">
        <v>16227.196782129815</v>
      </c>
      <c r="R166" s="316">
        <v>16206.982031214431</v>
      </c>
      <c r="S166" s="316">
        <v>16334.297014826043</v>
      </c>
      <c r="T166" s="316">
        <v>16197.629707182505</v>
      </c>
      <c r="U166" s="316">
        <v>16186.599465023884</v>
      </c>
      <c r="V166" s="316">
        <v>16243.408170771825</v>
      </c>
      <c r="W166" s="316">
        <v>16153.044966680223</v>
      </c>
      <c r="X166" s="368">
        <f t="shared" si="2"/>
        <v>16314.823190629391</v>
      </c>
    </row>
    <row r="167" spans="1:49">
      <c r="A167" s="318" t="s">
        <v>505</v>
      </c>
      <c r="B167" s="317">
        <v>17715.548340828136</v>
      </c>
      <c r="C167" s="317">
        <v>17702.671588803754</v>
      </c>
      <c r="D167" s="317">
        <v>17826.447464719382</v>
      </c>
      <c r="E167" s="317">
        <v>17905.703074188739</v>
      </c>
      <c r="F167" s="317">
        <v>18196.856960584137</v>
      </c>
      <c r="G167" s="317">
        <v>19161.224881929073</v>
      </c>
      <c r="H167" s="317">
        <v>19113.231955422638</v>
      </c>
      <c r="I167" s="317">
        <v>19405.42154366228</v>
      </c>
      <c r="J167" s="317">
        <v>19869.652658488798</v>
      </c>
      <c r="K167" s="317">
        <v>20225.286416011295</v>
      </c>
      <c r="L167" s="317">
        <v>20851.188288281763</v>
      </c>
      <c r="M167" s="317">
        <v>21008.550082204078</v>
      </c>
      <c r="N167" s="317">
        <v>21059.671424525848</v>
      </c>
      <c r="O167" s="317">
        <v>21485.931814691772</v>
      </c>
      <c r="P167" s="317">
        <v>21409.350574638636</v>
      </c>
      <c r="Q167" s="317">
        <v>20537.106742129814</v>
      </c>
      <c r="R167" s="317">
        <v>20214.342391214432</v>
      </c>
      <c r="S167" s="317">
        <v>20759.214174826044</v>
      </c>
      <c r="T167" s="317">
        <v>20827.032367182503</v>
      </c>
      <c r="U167" s="317">
        <v>21022.353625023876</v>
      </c>
      <c r="V167" s="317">
        <v>21088.048730771825</v>
      </c>
      <c r="W167" s="317">
        <v>21570.570226680215</v>
      </c>
      <c r="X167" s="368">
        <f t="shared" si="2"/>
        <v>20927.588219860161</v>
      </c>
    </row>
    <row r="168" spans="1:49">
      <c r="B168" s="363"/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8">
        <f t="shared" si="2"/>
        <v>0</v>
      </c>
      <c r="Y168" s="745"/>
      <c r="Z168" s="745"/>
      <c r="AA168" s="745"/>
      <c r="AB168" s="745"/>
      <c r="AC168" s="745"/>
      <c r="AD168" s="745"/>
      <c r="AE168" s="745"/>
      <c r="AF168" s="745"/>
      <c r="AG168" s="745"/>
      <c r="AH168" s="745"/>
      <c r="AI168" s="745"/>
      <c r="AJ168" s="745"/>
      <c r="AK168" s="745"/>
      <c r="AL168" s="745"/>
      <c r="AM168" s="745"/>
      <c r="AN168" s="745"/>
      <c r="AO168" s="745"/>
      <c r="AP168" s="745"/>
      <c r="AQ168" s="745"/>
      <c r="AR168" s="745"/>
      <c r="AS168" s="745"/>
      <c r="AT168" s="745"/>
      <c r="AU168" s="745"/>
      <c r="AV168" s="745"/>
      <c r="AW168" s="745"/>
    </row>
    <row r="169" spans="1:49">
      <c r="A169" s="318" t="s">
        <v>508</v>
      </c>
      <c r="B169" s="317">
        <v>23421.442641575119</v>
      </c>
      <c r="C169" s="317">
        <v>23396.299163988937</v>
      </c>
      <c r="D169" s="317">
        <v>23351.362298264259</v>
      </c>
      <c r="E169" s="317">
        <v>23304.850566743818</v>
      </c>
      <c r="F169" s="317">
        <v>23272.619308632737</v>
      </c>
      <c r="G169" s="317">
        <v>23243.056858200805</v>
      </c>
      <c r="H169" s="317">
        <v>23227.273669886476</v>
      </c>
      <c r="I169" s="317">
        <v>23201.642843622474</v>
      </c>
      <c r="J169" s="317">
        <v>23172.249501938757</v>
      </c>
      <c r="K169" s="317">
        <v>23143.828823884636</v>
      </c>
      <c r="L169" s="317">
        <v>23080.20882547355</v>
      </c>
      <c r="M169" s="317">
        <v>23002.073115669591</v>
      </c>
      <c r="N169" s="317">
        <v>22899.286007700935</v>
      </c>
      <c r="O169" s="317">
        <v>22839.434104646192</v>
      </c>
      <c r="P169" s="317">
        <v>22771.523691045233</v>
      </c>
      <c r="Q169" s="317">
        <v>22740.708823951838</v>
      </c>
      <c r="R169" s="317">
        <v>22712.379977590543</v>
      </c>
      <c r="S169" s="317">
        <v>22711.161541541722</v>
      </c>
      <c r="T169" s="317">
        <v>22699.273679534708</v>
      </c>
      <c r="U169" s="317">
        <v>22683.81595577905</v>
      </c>
      <c r="V169" s="317">
        <v>22668.467084315729</v>
      </c>
      <c r="W169" s="317">
        <v>22636.792857038588</v>
      </c>
      <c r="X169" s="368">
        <f t="shared" si="2"/>
        <v>22814.534960628644</v>
      </c>
    </row>
    <row r="170" spans="1:49"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8">
        <f t="shared" si="2"/>
        <v>0</v>
      </c>
      <c r="Y170" s="745"/>
      <c r="Z170" s="745"/>
      <c r="AA170" s="745"/>
      <c r="AB170" s="745"/>
      <c r="AC170" s="745"/>
      <c r="AD170" s="745"/>
      <c r="AE170" s="745"/>
      <c r="AF170" s="745"/>
      <c r="AG170" s="745"/>
      <c r="AH170" s="745"/>
      <c r="AI170" s="745"/>
      <c r="AJ170" s="745"/>
      <c r="AK170" s="745"/>
      <c r="AL170" s="745"/>
      <c r="AM170" s="745"/>
      <c r="AN170" s="745"/>
      <c r="AO170" s="745"/>
      <c r="AP170" s="745"/>
      <c r="AQ170" s="745"/>
      <c r="AR170" s="745"/>
      <c r="AS170" s="745"/>
      <c r="AT170" s="745"/>
      <c r="AU170" s="745"/>
      <c r="AV170" s="745"/>
      <c r="AW170" s="745"/>
    </row>
    <row r="171" spans="1:49">
      <c r="A171" s="318" t="s">
        <v>509</v>
      </c>
      <c r="B171" s="317">
        <v>27121.061695126442</v>
      </c>
      <c r="C171" s="317">
        <v>34997.687953389206</v>
      </c>
      <c r="D171" s="317">
        <v>17375.39461276248</v>
      </c>
      <c r="E171" s="317">
        <v>12531.679646749189</v>
      </c>
      <c r="F171" s="317">
        <v>18578.455593095783</v>
      </c>
      <c r="G171" s="317">
        <v>11568.869132491574</v>
      </c>
      <c r="H171" s="317">
        <v>19732.173296693854</v>
      </c>
      <c r="I171" s="317">
        <v>11064.470124586536</v>
      </c>
      <c r="J171" s="317">
        <v>4770.1044641257477</v>
      </c>
      <c r="K171" s="317">
        <v>9058.0185660298193</v>
      </c>
      <c r="L171" s="317">
        <v>14838.150058873378</v>
      </c>
      <c r="M171" s="317">
        <v>8829.1812296705921</v>
      </c>
      <c r="N171" s="317">
        <v>16515.890415672919</v>
      </c>
      <c r="O171" s="317">
        <v>24426.255003251033</v>
      </c>
      <c r="P171" s="317">
        <v>17208.747322319512</v>
      </c>
      <c r="Q171" s="317">
        <v>11949.70905121065</v>
      </c>
      <c r="R171" s="317">
        <v>17950.084940078359</v>
      </c>
      <c r="S171" s="317">
        <v>13118.177551254937</v>
      </c>
      <c r="T171" s="317">
        <v>21742.943717098613</v>
      </c>
      <c r="U171" s="317">
        <v>12376.193905046906</v>
      </c>
      <c r="V171" s="317">
        <v>14302.197766214173</v>
      </c>
      <c r="W171" s="317">
        <v>5603.7377336128766</v>
      </c>
      <c r="X171" s="368">
        <f t="shared" si="2"/>
        <v>14455.329789256446</v>
      </c>
    </row>
    <row r="172" spans="1:49"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8">
        <f t="shared" si="2"/>
        <v>0</v>
      </c>
      <c r="Y172" s="745"/>
      <c r="Z172" s="745"/>
      <c r="AA172" s="745"/>
      <c r="AB172" s="745"/>
      <c r="AC172" s="745"/>
      <c r="AD172" s="745"/>
      <c r="AE172" s="745"/>
      <c r="AF172" s="745"/>
      <c r="AG172" s="745"/>
      <c r="AH172" s="745"/>
      <c r="AI172" s="745"/>
      <c r="AJ172" s="745"/>
      <c r="AK172" s="745"/>
      <c r="AL172" s="745"/>
      <c r="AM172" s="745"/>
      <c r="AN172" s="745"/>
      <c r="AO172" s="745"/>
      <c r="AP172" s="745"/>
      <c r="AQ172" s="745"/>
      <c r="AR172" s="745"/>
      <c r="AS172" s="745"/>
      <c r="AT172" s="745"/>
      <c r="AU172" s="745"/>
      <c r="AV172" s="745"/>
      <c r="AW172" s="745"/>
    </row>
    <row r="173" spans="1:49">
      <c r="A173" s="318" t="s">
        <v>510</v>
      </c>
      <c r="B173" s="317"/>
      <c r="X173" s="368">
        <f t="shared" si="2"/>
        <v>0</v>
      </c>
    </row>
    <row r="174" spans="1:49" ht="15.75" thickBot="1">
      <c r="A174" s="318" t="s">
        <v>511</v>
      </c>
      <c r="B174" s="316">
        <v>12600.419449842877</v>
      </c>
      <c r="C174" s="316">
        <v>15302.260156355367</v>
      </c>
      <c r="D174" s="316">
        <v>18924.378971191225</v>
      </c>
      <c r="E174" s="316">
        <v>14003.594498755498</v>
      </c>
      <c r="F174" s="316">
        <v>6321.0457993793661</v>
      </c>
      <c r="G174" s="316">
        <v>8874.1599873778941</v>
      </c>
      <c r="H174" s="316">
        <v>12504.730005532836</v>
      </c>
      <c r="I174" s="316">
        <v>15174.945933090896</v>
      </c>
      <c r="J174" s="316">
        <v>18785.41383512532</v>
      </c>
      <c r="K174" s="316">
        <v>13918.830578204115</v>
      </c>
      <c r="L174" s="316">
        <v>7923.9622510954459</v>
      </c>
      <c r="M174" s="316">
        <v>12086.772223547656</v>
      </c>
      <c r="N174" s="316">
        <v>17285.601815173359</v>
      </c>
      <c r="O174" s="316">
        <v>21530.526716680903</v>
      </c>
      <c r="P174" s="316">
        <v>26692.28288337979</v>
      </c>
      <c r="Q174" s="316">
        <v>23553.132770525863</v>
      </c>
      <c r="R174" s="316">
        <v>6273.2397171152925</v>
      </c>
      <c r="S174" s="316">
        <v>10312.613024740924</v>
      </c>
      <c r="T174" s="316">
        <v>15518.446981338779</v>
      </c>
      <c r="U174" s="316">
        <v>19757.077056331629</v>
      </c>
      <c r="V174" s="316">
        <v>24948.401223152148</v>
      </c>
      <c r="W174" s="316">
        <v>21826.857249512032</v>
      </c>
      <c r="X174" s="368">
        <f t="shared" si="2"/>
        <v>17048.288037753686</v>
      </c>
    </row>
    <row r="175" spans="1:49">
      <c r="A175" s="318" t="s">
        <v>510</v>
      </c>
      <c r="B175" s="317">
        <v>12600.419449842877</v>
      </c>
      <c r="C175" s="317">
        <v>15302.260156355367</v>
      </c>
      <c r="D175" s="317">
        <v>18924.378971191225</v>
      </c>
      <c r="E175" s="317">
        <v>14003.594498755498</v>
      </c>
      <c r="F175" s="317">
        <v>6321.0457993793661</v>
      </c>
      <c r="G175" s="317">
        <v>8874.1599873778941</v>
      </c>
      <c r="H175" s="317">
        <v>12504.730005532836</v>
      </c>
      <c r="I175" s="317">
        <v>15174.945933090896</v>
      </c>
      <c r="J175" s="317">
        <v>18785.41383512532</v>
      </c>
      <c r="K175" s="317">
        <v>13918.830578204115</v>
      </c>
      <c r="L175" s="317">
        <v>7923.9622510954459</v>
      </c>
      <c r="M175" s="317">
        <v>12086.772223547656</v>
      </c>
      <c r="N175" s="317">
        <v>17285.601815173359</v>
      </c>
      <c r="O175" s="317">
        <v>21530.526716680903</v>
      </c>
      <c r="P175" s="317">
        <v>26692.28288337979</v>
      </c>
      <c r="Q175" s="317">
        <v>23553.132770525863</v>
      </c>
      <c r="R175" s="317">
        <v>6273.2397171152925</v>
      </c>
      <c r="S175" s="317">
        <v>10312.613024740924</v>
      </c>
      <c r="T175" s="317">
        <v>15518.446981338779</v>
      </c>
      <c r="U175" s="317">
        <v>19757.077056331629</v>
      </c>
      <c r="V175" s="317">
        <v>24948.401223152148</v>
      </c>
      <c r="W175" s="317">
        <v>21826.857249512032</v>
      </c>
      <c r="X175" s="368">
        <f t="shared" si="2"/>
        <v>17048.288037753686</v>
      </c>
    </row>
    <row r="176" spans="1:49">
      <c r="B176" s="363"/>
      <c r="C176" s="363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8">
        <f t="shared" si="2"/>
        <v>0</v>
      </c>
      <c r="Y176" s="745"/>
      <c r="Z176" s="745"/>
      <c r="AA176" s="745"/>
      <c r="AB176" s="745"/>
      <c r="AC176" s="745"/>
      <c r="AD176" s="745"/>
      <c r="AE176" s="745"/>
      <c r="AF176" s="745"/>
      <c r="AG176" s="745"/>
      <c r="AH176" s="745"/>
      <c r="AI176" s="745"/>
      <c r="AJ176" s="745"/>
      <c r="AK176" s="745"/>
      <c r="AL176" s="745"/>
      <c r="AM176" s="745"/>
      <c r="AN176" s="745"/>
      <c r="AO176" s="745"/>
      <c r="AP176" s="745"/>
      <c r="AQ176" s="745"/>
      <c r="AR176" s="745"/>
      <c r="AS176" s="745"/>
      <c r="AT176" s="745"/>
      <c r="AU176" s="745"/>
      <c r="AV176" s="745"/>
      <c r="AW176" s="745"/>
    </row>
    <row r="177" spans="1:49"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8">
        <f t="shared" si="2"/>
        <v>0</v>
      </c>
      <c r="Y177" s="745"/>
      <c r="Z177" s="745"/>
      <c r="AA177" s="745"/>
      <c r="AB177" s="745"/>
      <c r="AC177" s="745"/>
      <c r="AD177" s="745"/>
      <c r="AE177" s="745"/>
      <c r="AF177" s="745"/>
      <c r="AG177" s="745"/>
      <c r="AH177" s="745"/>
      <c r="AI177" s="745"/>
      <c r="AJ177" s="745"/>
      <c r="AK177" s="745"/>
      <c r="AL177" s="745"/>
      <c r="AM177" s="745"/>
      <c r="AN177" s="745"/>
      <c r="AO177" s="745"/>
      <c r="AP177" s="745"/>
      <c r="AQ177" s="745"/>
      <c r="AR177" s="745"/>
      <c r="AS177" s="745"/>
      <c r="AT177" s="745"/>
      <c r="AU177" s="745"/>
      <c r="AV177" s="745"/>
      <c r="AW177" s="745"/>
    </row>
    <row r="178" spans="1:49">
      <c r="A178" s="318" t="s">
        <v>513</v>
      </c>
      <c r="B178" s="363"/>
      <c r="C178" s="363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8">
        <f t="shared" si="2"/>
        <v>0</v>
      </c>
      <c r="Y178" s="745"/>
      <c r="Z178" s="745"/>
      <c r="AA178" s="745"/>
      <c r="AB178" s="745"/>
      <c r="AC178" s="745"/>
      <c r="AD178" s="745"/>
      <c r="AE178" s="745"/>
      <c r="AF178" s="745"/>
      <c r="AG178" s="745"/>
      <c r="AH178" s="745"/>
      <c r="AI178" s="745"/>
      <c r="AJ178" s="745"/>
      <c r="AK178" s="745"/>
      <c r="AL178" s="745"/>
      <c r="AM178" s="745"/>
      <c r="AN178" s="745"/>
      <c r="AO178" s="745"/>
      <c r="AP178" s="745"/>
      <c r="AQ178" s="745"/>
      <c r="AR178" s="745"/>
      <c r="AS178" s="745"/>
      <c r="AT178" s="745"/>
      <c r="AU178" s="745"/>
      <c r="AV178" s="745"/>
      <c r="AW178" s="745"/>
    </row>
    <row r="179" spans="1:49">
      <c r="A179" s="318" t="s">
        <v>514</v>
      </c>
      <c r="B179" s="368">
        <v>1119.4455025565703</v>
      </c>
      <c r="C179" s="368">
        <v>1118.2437510960297</v>
      </c>
      <c r="D179" s="368">
        <v>1116.0959597321798</v>
      </c>
      <c r="E179" s="368">
        <v>1113.8728964707284</v>
      </c>
      <c r="F179" s="368">
        <v>1112.3323791983148</v>
      </c>
      <c r="G179" s="368">
        <v>1110.9194196002654</v>
      </c>
      <c r="H179" s="368">
        <v>1110.1650502198279</v>
      </c>
      <c r="I179" s="368">
        <v>1108.9400055619419</v>
      </c>
      <c r="J179" s="368">
        <v>1107.5351286439616</v>
      </c>
      <c r="K179" s="368">
        <v>1106.1767409172032</v>
      </c>
      <c r="L179" s="368">
        <v>1103.1359751461175</v>
      </c>
      <c r="M179" s="368">
        <v>1099.4014200092859</v>
      </c>
      <c r="N179" s="368">
        <v>1094.4886327187173</v>
      </c>
      <c r="O179" s="368">
        <v>1091.6279659050022</v>
      </c>
      <c r="P179" s="368">
        <v>1088.3821365064578</v>
      </c>
      <c r="Q179" s="368">
        <v>1086.9093167101935</v>
      </c>
      <c r="R179" s="368">
        <v>1085.5553181484022</v>
      </c>
      <c r="S179" s="368">
        <v>1085.497082079178</v>
      </c>
      <c r="T179" s="368">
        <v>1084.9288927553</v>
      </c>
      <c r="U179" s="368">
        <v>1084.1900791987296</v>
      </c>
      <c r="V179" s="368">
        <v>1083.4564683195076</v>
      </c>
      <c r="W179" s="368">
        <v>1081.9425747556068</v>
      </c>
      <c r="X179" s="368">
        <f t="shared" si="2"/>
        <v>1090.4378925515157</v>
      </c>
    </row>
    <row r="180" spans="1:49">
      <c r="A180" s="318" t="s">
        <v>515</v>
      </c>
      <c r="B180" s="368">
        <v>124.42097054155649</v>
      </c>
      <c r="C180" s="368">
        <v>124.28740166059825</v>
      </c>
      <c r="D180" s="368">
        <v>124.04868500543222</v>
      </c>
      <c r="E180" s="368">
        <v>123.80160224174844</v>
      </c>
      <c r="F180" s="368">
        <v>123.63038117405733</v>
      </c>
      <c r="G180" s="368">
        <v>123.47333752689111</v>
      </c>
      <c r="H180" s="368">
        <v>123.38949300721907</v>
      </c>
      <c r="I180" s="368">
        <v>123.25333519967701</v>
      </c>
      <c r="J180" s="368">
        <v>123.09718990343228</v>
      </c>
      <c r="K180" s="368">
        <v>122.94621165665828</v>
      </c>
      <c r="L180" s="368">
        <v>122.60824520133376</v>
      </c>
      <c r="M180" s="368">
        <v>122.19316740290195</v>
      </c>
      <c r="N180" s="368">
        <v>121.64713478107195</v>
      </c>
      <c r="O180" s="368">
        <v>121.32918545656659</v>
      </c>
      <c r="P180" s="368">
        <v>120.96842716770222</v>
      </c>
      <c r="Q180" s="368">
        <v>120.80473034810223</v>
      </c>
      <c r="R180" s="368">
        <v>120.65423993585331</v>
      </c>
      <c r="S180" s="368">
        <v>120.64776727752661</v>
      </c>
      <c r="T180" s="368">
        <v>120.58461577353039</v>
      </c>
      <c r="U180" s="368">
        <v>120.50250020868349</v>
      </c>
      <c r="V180" s="368">
        <v>120.42096289634075</v>
      </c>
      <c r="W180" s="368">
        <v>120.2527009254927</v>
      </c>
      <c r="X180" s="368">
        <f t="shared" si="2"/>
        <v>121.19691454090494</v>
      </c>
    </row>
    <row r="181" spans="1:49">
      <c r="A181" s="318" t="s">
        <v>516</v>
      </c>
      <c r="B181" s="368">
        <v>4225.1053235380768</v>
      </c>
      <c r="C181" s="368">
        <v>4195.3520494373352</v>
      </c>
      <c r="D181" s="368">
        <v>4256.1457836152867</v>
      </c>
      <c r="E181" s="368">
        <v>4221.4708002671714</v>
      </c>
      <c r="F181" s="368">
        <v>4189.4711171127628</v>
      </c>
      <c r="G181" s="368">
        <v>4158.0213288582481</v>
      </c>
      <c r="H181" s="368">
        <v>4129.0875288740863</v>
      </c>
      <c r="I181" s="368">
        <v>4098.4496792723603</v>
      </c>
      <c r="J181" s="368">
        <v>4067.2090547640191</v>
      </c>
      <c r="K181" s="368">
        <v>4036.2041428713896</v>
      </c>
      <c r="L181" s="368">
        <v>3999.1640555586523</v>
      </c>
      <c r="M181" s="368">
        <v>3959.7681463005929</v>
      </c>
      <c r="N181" s="368">
        <v>3916.3319197486171</v>
      </c>
      <c r="O181" s="368">
        <v>3880.4214781331666</v>
      </c>
      <c r="P181" s="368">
        <v>3843.2855154776971</v>
      </c>
      <c r="Q181" s="368">
        <v>3812.5213681723135</v>
      </c>
      <c r="R181" s="368">
        <v>3782.2404915528778</v>
      </c>
      <c r="S181" s="368">
        <v>3756.5074640793991</v>
      </c>
      <c r="T181" s="368">
        <v>3729.0244084199712</v>
      </c>
      <c r="U181" s="368">
        <v>3700.9856375863378</v>
      </c>
      <c r="V181" s="368">
        <v>3672.9992569671349</v>
      </c>
      <c r="W181" s="368">
        <v>3642.4205188309875</v>
      </c>
      <c r="X181" s="368">
        <f t="shared" si="2"/>
        <v>3825.5288002845491</v>
      </c>
    </row>
    <row r="182" spans="1:49">
      <c r="A182" s="318" t="s">
        <v>517</v>
      </c>
      <c r="B182" s="368">
        <v>1540.4023303265701</v>
      </c>
      <c r="C182" s="368">
        <v>1538.7486716660433</v>
      </c>
      <c r="D182" s="368">
        <v>1535.7932237997795</v>
      </c>
      <c r="E182" s="368">
        <v>1532.7341987551638</v>
      </c>
      <c r="F182" s="368">
        <v>1530.6143846231539</v>
      </c>
      <c r="G182" s="368">
        <v>1528.6700950150205</v>
      </c>
      <c r="H182" s="368">
        <v>1527.6320522082028</v>
      </c>
      <c r="I182" s="368">
        <v>1525.9463411651443</v>
      </c>
      <c r="J182" s="368">
        <v>1524.0131736519993</v>
      </c>
      <c r="K182" s="368">
        <v>1522.1439771480095</v>
      </c>
      <c r="L182" s="368">
        <v>1517.9597603468699</v>
      </c>
      <c r="M182" s="368">
        <v>1512.8208612916046</v>
      </c>
      <c r="N182" s="368">
        <v>1506.0606670941136</v>
      </c>
      <c r="O182" s="368">
        <v>1502.1242737493094</v>
      </c>
      <c r="P182" s="368">
        <v>1497.6578810951412</v>
      </c>
      <c r="Q182" s="368">
        <v>1495.6312214309276</v>
      </c>
      <c r="R182" s="368">
        <v>1493.7680645956204</v>
      </c>
      <c r="S182" s="368">
        <v>1493.6879294067819</v>
      </c>
      <c r="T182" s="368">
        <v>1492.9060778949668</v>
      </c>
      <c r="U182" s="368">
        <v>1491.8894405315409</v>
      </c>
      <c r="V182" s="368">
        <v>1490.8799622627682</v>
      </c>
      <c r="W182" s="368">
        <v>1488.7967834314866</v>
      </c>
      <c r="X182" s="368">
        <f t="shared" si="2"/>
        <v>1500.4866846368568</v>
      </c>
    </row>
    <row r="183" spans="1:49">
      <c r="A183" s="318" t="s">
        <v>518</v>
      </c>
      <c r="B183" s="368">
        <v>3060.1881816453083</v>
      </c>
      <c r="C183" s="368">
        <v>3175.3557506338861</v>
      </c>
      <c r="D183" s="368">
        <v>3267.8506411158273</v>
      </c>
      <c r="E183" s="368">
        <v>3378.8865815173995</v>
      </c>
      <c r="F183" s="368">
        <v>3478.762039982968</v>
      </c>
      <c r="G183" s="368">
        <v>3567.2754147207916</v>
      </c>
      <c r="H183" s="368">
        <v>3688.6507940605306</v>
      </c>
      <c r="I183" s="368">
        <v>3791.4750998494219</v>
      </c>
      <c r="J183" s="368">
        <v>2634.235730801005</v>
      </c>
      <c r="K183" s="368">
        <v>2744.6808370121994</v>
      </c>
      <c r="L183" s="368">
        <v>2860.4931038299392</v>
      </c>
      <c r="M183" s="368">
        <v>2954.0338783030352</v>
      </c>
      <c r="N183" s="368">
        <v>3061.2345324339331</v>
      </c>
      <c r="O183" s="368">
        <v>3176.8218067923326</v>
      </c>
      <c r="P183" s="368">
        <v>3279.0523640968404</v>
      </c>
      <c r="Q183" s="368">
        <v>3403.2141312797057</v>
      </c>
      <c r="R183" s="368">
        <v>3503.7721208118505</v>
      </c>
      <c r="S183" s="368">
        <v>3607.6080538630313</v>
      </c>
      <c r="T183" s="368">
        <v>3741.9217244322617</v>
      </c>
      <c r="U183" s="368">
        <v>3856.9014247492205</v>
      </c>
      <c r="V183" s="368">
        <v>2625.2715303083287</v>
      </c>
      <c r="W183" s="368">
        <v>2745.2169103245383</v>
      </c>
      <c r="X183" s="368">
        <f t="shared" si="2"/>
        <v>3196.9401860182479</v>
      </c>
    </row>
    <row r="184" spans="1:49">
      <c r="A184" s="318" t="s">
        <v>1924</v>
      </c>
      <c r="B184" s="368">
        <v>0</v>
      </c>
      <c r="C184" s="368">
        <v>0</v>
      </c>
      <c r="D184" s="368">
        <v>0</v>
      </c>
      <c r="E184" s="368">
        <v>0</v>
      </c>
      <c r="F184" s="368">
        <v>0</v>
      </c>
      <c r="G184" s="368">
        <v>0</v>
      </c>
      <c r="H184" s="368">
        <v>4938.8101997842468</v>
      </c>
      <c r="I184" s="368">
        <v>4344.133546608944</v>
      </c>
      <c r="J184" s="368">
        <v>3752.6032750007794</v>
      </c>
      <c r="K184" s="368">
        <v>3166.6351147891273</v>
      </c>
      <c r="L184" s="368">
        <v>3131.6617336699228</v>
      </c>
      <c r="M184" s="368">
        <v>3099.3391928871474</v>
      </c>
      <c r="N184" s="368">
        <v>3068.5383181590973</v>
      </c>
      <c r="O184" s="368">
        <v>3039.9680558617251</v>
      </c>
      <c r="P184" s="368">
        <v>3018.4043143611343</v>
      </c>
      <c r="Q184" s="368">
        <v>2995.3408854463414</v>
      </c>
      <c r="R184" s="368">
        <v>2914.0629112832198</v>
      </c>
      <c r="S184" s="368">
        <v>2837.7382718077902</v>
      </c>
      <c r="T184" s="368">
        <v>2757.8625732145092</v>
      </c>
      <c r="U184" s="368">
        <v>2677.6318832282782</v>
      </c>
      <c r="V184" s="368">
        <v>2598.7319440706633</v>
      </c>
      <c r="W184" s="368">
        <v>2518.7403928206631</v>
      </c>
      <c r="X184" s="368">
        <f t="shared" si="2"/>
        <v>2909.5888916615086</v>
      </c>
    </row>
    <row r="185" spans="1:49">
      <c r="A185" s="318" t="s">
        <v>519</v>
      </c>
      <c r="B185" s="368">
        <v>5358.5960030107772</v>
      </c>
      <c r="C185" s="368">
        <v>5352.8434223283239</v>
      </c>
      <c r="D185" s="368">
        <v>5342.5623088740804</v>
      </c>
      <c r="E185" s="368">
        <v>5331.9208815959792</v>
      </c>
      <c r="F185" s="368">
        <v>5324.5466863540742</v>
      </c>
      <c r="G185" s="368">
        <v>5317.7830880929432</v>
      </c>
      <c r="H185" s="368">
        <v>5314.1720496479493</v>
      </c>
      <c r="I185" s="368">
        <v>5308.3079683753322</v>
      </c>
      <c r="J185" s="368">
        <v>5301.5830605346036</v>
      </c>
      <c r="K185" s="368">
        <v>5295.0806885776638</v>
      </c>
      <c r="L185" s="368">
        <v>5280.5250578928117</v>
      </c>
      <c r="M185" s="368">
        <v>5262.6483750319248</v>
      </c>
      <c r="N185" s="368">
        <v>5239.1316944264281</v>
      </c>
      <c r="O185" s="368">
        <v>5225.4381669443756</v>
      </c>
      <c r="P185" s="368">
        <v>5209.9009314096629</v>
      </c>
      <c r="Q185" s="368">
        <v>5202.8507925191207</v>
      </c>
      <c r="R185" s="368">
        <v>5196.3694307514179</v>
      </c>
      <c r="S185" s="368">
        <v>5196.0906645523819</v>
      </c>
      <c r="T185" s="368">
        <v>5193.3708385019554</v>
      </c>
      <c r="U185" s="368">
        <v>5189.834263150884</v>
      </c>
      <c r="V185" s="368">
        <v>5186.3225921350231</v>
      </c>
      <c r="W185" s="368">
        <v>5179.0758400761015</v>
      </c>
      <c r="X185" s="368">
        <f t="shared" si="2"/>
        <v>5219.7414873822891</v>
      </c>
    </row>
    <row r="186" spans="1:49">
      <c r="A186" s="318" t="s">
        <v>520</v>
      </c>
      <c r="B186" s="368">
        <v>1878.083853691468</v>
      </c>
      <c r="C186" s="368">
        <v>1876.0676858574491</v>
      </c>
      <c r="D186" s="368">
        <v>1872.4643552153302</v>
      </c>
      <c r="E186" s="368">
        <v>1868.7347415739948</v>
      </c>
      <c r="F186" s="368">
        <v>1866.150229323023</v>
      </c>
      <c r="G186" s="368">
        <v>1863.7797194581351</v>
      </c>
      <c r="H186" s="368">
        <v>1862.5141205970172</v>
      </c>
      <c r="I186" s="368">
        <v>1860.4588739711007</v>
      </c>
      <c r="J186" s="368">
        <v>1858.1019243473302</v>
      </c>
      <c r="K186" s="368">
        <v>1855.8229692299515</v>
      </c>
      <c r="L186" s="368">
        <v>1850.7215032948154</v>
      </c>
      <c r="M186" s="368">
        <v>1844.4560730553028</v>
      </c>
      <c r="N186" s="368">
        <v>1836.2139331155149</v>
      </c>
      <c r="O186" s="368">
        <v>1831.4146176139034</v>
      </c>
      <c r="P186" s="368">
        <v>1825.9691182382555</v>
      </c>
      <c r="Q186" s="368">
        <v>1823.4981814463847</v>
      </c>
      <c r="R186" s="368">
        <v>1821.2265899923891</v>
      </c>
      <c r="S186" s="368">
        <v>1821.1288878523003</v>
      </c>
      <c r="T186" s="368">
        <v>1820.1756416312219</v>
      </c>
      <c r="U186" s="368">
        <v>1818.9361406387086</v>
      </c>
      <c r="V186" s="368">
        <v>1817.7053681321306</v>
      </c>
      <c r="W186" s="368">
        <v>1815.1655222422894</v>
      </c>
      <c r="X186" s="368">
        <f t="shared" si="2"/>
        <v>1829.4180420371667</v>
      </c>
    </row>
    <row r="187" spans="1:49">
      <c r="A187" s="318" t="s">
        <v>565</v>
      </c>
      <c r="B187" s="368">
        <v>3158.3928521169223</v>
      </c>
      <c r="C187" s="368">
        <v>3155.0022420208306</v>
      </c>
      <c r="D187" s="368">
        <v>3148.9424839746107</v>
      </c>
      <c r="E187" s="368">
        <v>3142.6703545152163</v>
      </c>
      <c r="F187" s="368">
        <v>3138.3239537921422</v>
      </c>
      <c r="G187" s="368">
        <v>3134.3374430735612</v>
      </c>
      <c r="H187" s="368">
        <v>3132.2090725065364</v>
      </c>
      <c r="I187" s="368">
        <v>3128.7527432058646</v>
      </c>
      <c r="J187" s="368">
        <v>3124.7890368836552</v>
      </c>
      <c r="K187" s="368">
        <v>3120.9564947216659</v>
      </c>
      <c r="L187" s="368">
        <v>3112.377307209254</v>
      </c>
      <c r="M187" s="368">
        <v>3101.8406690048319</v>
      </c>
      <c r="N187" s="368">
        <v>3087.9797778519655</v>
      </c>
      <c r="O187" s="368">
        <v>3079.9087198182415</v>
      </c>
      <c r="P187" s="368">
        <v>3070.7509677453254</v>
      </c>
      <c r="Q187" s="368">
        <v>3066.5955680350635</v>
      </c>
      <c r="R187" s="368">
        <v>3062.7754094212037</v>
      </c>
      <c r="S187" s="368">
        <v>3062.6111027315501</v>
      </c>
      <c r="T187" s="368">
        <v>3061.0080187983999</v>
      </c>
      <c r="U187" s="368">
        <v>3058.9235372843018</v>
      </c>
      <c r="V187" s="368">
        <v>3056.8537345543982</v>
      </c>
      <c r="W187" s="368">
        <v>3052.5824497083113</v>
      </c>
      <c r="X187" s="368">
        <f t="shared" si="2"/>
        <v>3076.5510582218849</v>
      </c>
    </row>
    <row r="188" spans="1:49">
      <c r="A188" s="318" t="s">
        <v>566</v>
      </c>
      <c r="B188" s="368">
        <v>2933.9055162628197</v>
      </c>
      <c r="C188" s="368">
        <v>2615.3375641820785</v>
      </c>
      <c r="D188" s="368">
        <v>2297.9664369026004</v>
      </c>
      <c r="E188" s="368">
        <v>1990.1571867879209</v>
      </c>
      <c r="F188" s="368">
        <v>1689.3536857934751</v>
      </c>
      <c r="G188" s="368">
        <v>1396.5544139115434</v>
      </c>
      <c r="H188" s="368">
        <v>1113.1303629167269</v>
      </c>
      <c r="I188" s="368">
        <v>835.33193949559882</v>
      </c>
      <c r="J188" s="368">
        <v>563.21937629608897</v>
      </c>
      <c r="K188" s="368">
        <v>297.88443277283545</v>
      </c>
      <c r="L188" s="368">
        <v>38.370443421387279</v>
      </c>
      <c r="M188" s="368">
        <v>-215.01596539834955</v>
      </c>
      <c r="N188" s="368">
        <v>-461.63536925186884</v>
      </c>
      <c r="O188" s="368">
        <v>-702.81574460664217</v>
      </c>
      <c r="P188" s="368">
        <v>-938.76697134154563</v>
      </c>
      <c r="Q188" s="368">
        <v>-1172.1243846013513</v>
      </c>
      <c r="R188" s="368">
        <v>-1400.818572724118</v>
      </c>
      <c r="S188" s="368">
        <v>-1627.8413530137004</v>
      </c>
      <c r="T188" s="368">
        <v>-1851.472510510921</v>
      </c>
      <c r="U188" s="368">
        <v>-2071.2271137709831</v>
      </c>
      <c r="V188" s="368">
        <v>-2290.6542134161919</v>
      </c>
      <c r="W188" s="368">
        <v>-2507.4010110139102</v>
      </c>
      <c r="X188" s="368">
        <f t="shared" si="2"/>
        <v>-1146.4244871888736</v>
      </c>
    </row>
    <row r="189" spans="1:49" ht="15.75" thickBot="1">
      <c r="A189" s="318" t="s">
        <v>567</v>
      </c>
      <c r="B189" s="316">
        <v>10458.219162565172</v>
      </c>
      <c r="C189" s="316">
        <v>10446.992014727635</v>
      </c>
      <c r="D189" s="316">
        <v>10426.926658488937</v>
      </c>
      <c r="E189" s="316">
        <v>10406.158088024891</v>
      </c>
      <c r="F189" s="316">
        <v>10391.766081248479</v>
      </c>
      <c r="G189" s="316">
        <v>10378.565759204663</v>
      </c>
      <c r="H189" s="316">
        <v>10371.518198343389</v>
      </c>
      <c r="I189" s="316">
        <v>10360.073437980474</v>
      </c>
      <c r="J189" s="316">
        <v>10346.948626927939</v>
      </c>
      <c r="K189" s="316">
        <v>10334.258132820156</v>
      </c>
      <c r="L189" s="316">
        <v>10305.850323075587</v>
      </c>
      <c r="M189" s="316">
        <v>10270.960910409698</v>
      </c>
      <c r="N189" s="316">
        <v>10225.06407481878</v>
      </c>
      <c r="O189" s="316">
        <v>10198.338807335385</v>
      </c>
      <c r="P189" s="316">
        <v>10168.015227369455</v>
      </c>
      <c r="Q189" s="316">
        <v>10154.255672142228</v>
      </c>
      <c r="R189" s="316">
        <v>10141.606183022239</v>
      </c>
      <c r="S189" s="316">
        <v>10141.062122973115</v>
      </c>
      <c r="T189" s="316">
        <v>10135.753915953323</v>
      </c>
      <c r="U189" s="316">
        <v>10128.851682591141</v>
      </c>
      <c r="V189" s="316">
        <v>10121.998054310512</v>
      </c>
      <c r="W189" s="316">
        <v>10107.854774763708</v>
      </c>
      <c r="X189" s="368">
        <f t="shared" si="2"/>
        <v>10187.220760121949</v>
      </c>
    </row>
    <row r="190" spans="1:49">
      <c r="A190" s="318" t="s">
        <v>521</v>
      </c>
      <c r="B190" s="317">
        <v>33856.759696255242</v>
      </c>
      <c r="C190" s="317">
        <v>33598.230553610207</v>
      </c>
      <c r="D190" s="317">
        <v>33388.796536724061</v>
      </c>
      <c r="E190" s="317">
        <v>33110.407331750212</v>
      </c>
      <c r="F190" s="317">
        <v>32844.950938602451</v>
      </c>
      <c r="G190" s="317">
        <v>32579.380019462064</v>
      </c>
      <c r="H190" s="317">
        <v>37311.278922165729</v>
      </c>
      <c r="I190" s="317">
        <v>36485.122970685858</v>
      </c>
      <c r="J190" s="317">
        <v>34403.335577754813</v>
      </c>
      <c r="K190" s="317">
        <v>33602.789742516856</v>
      </c>
      <c r="L190" s="317">
        <v>33322.86750864669</v>
      </c>
      <c r="M190" s="317">
        <v>33012.446728297975</v>
      </c>
      <c r="N190" s="317">
        <v>32695.05531589637</v>
      </c>
      <c r="O190" s="317">
        <v>32444.577333003366</v>
      </c>
      <c r="P190" s="317">
        <v>32183.619912126123</v>
      </c>
      <c r="Q190" s="317">
        <v>31989.49748292903</v>
      </c>
      <c r="R190" s="317">
        <v>31721.212186790952</v>
      </c>
      <c r="S190" s="317">
        <v>31494.737993609353</v>
      </c>
      <c r="T190" s="317">
        <v>31286.064196864514</v>
      </c>
      <c r="U190" s="317">
        <v>31057.41947539684</v>
      </c>
      <c r="V190" s="317">
        <v>29483.985660540617</v>
      </c>
      <c r="W190" s="317">
        <v>29244.647456865277</v>
      </c>
      <c r="X190" s="368">
        <f t="shared" si="2"/>
        <v>31810.686230267998</v>
      </c>
    </row>
    <row r="191" spans="1:49">
      <c r="B191" s="363"/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8">
        <f t="shared" si="2"/>
        <v>0</v>
      </c>
      <c r="Y191" s="745"/>
      <c r="Z191" s="745"/>
      <c r="AA191" s="745"/>
      <c r="AB191" s="745"/>
      <c r="AC191" s="745"/>
      <c r="AD191" s="745"/>
      <c r="AE191" s="745"/>
      <c r="AF191" s="745"/>
      <c r="AG191" s="745"/>
      <c r="AH191" s="745"/>
      <c r="AI191" s="745"/>
      <c r="AJ191" s="745"/>
      <c r="AK191" s="745"/>
      <c r="AL191" s="745"/>
      <c r="AM191" s="745"/>
      <c r="AN191" s="745"/>
      <c r="AO191" s="745"/>
      <c r="AP191" s="745"/>
      <c r="AQ191" s="745"/>
      <c r="AR191" s="745"/>
      <c r="AS191" s="745"/>
      <c r="AT191" s="745"/>
      <c r="AU191" s="745"/>
      <c r="AV191" s="745"/>
      <c r="AW191" s="745"/>
    </row>
    <row r="192" spans="1:49" ht="15.75" thickBot="1">
      <c r="A192" s="353" t="s">
        <v>522</v>
      </c>
      <c r="B192" s="364">
        <v>387735.80068701738</v>
      </c>
      <c r="C192" s="364">
        <v>411304.85117684421</v>
      </c>
      <c r="D192" s="364">
        <v>421193.74047065456</v>
      </c>
      <c r="E192" s="364">
        <v>442334.07809575408</v>
      </c>
      <c r="F192" s="364">
        <v>462441.25694159552</v>
      </c>
      <c r="G192" s="364">
        <v>456477.71703986346</v>
      </c>
      <c r="H192" s="364">
        <v>460676.77940223721</v>
      </c>
      <c r="I192" s="364">
        <v>440950.21924246853</v>
      </c>
      <c r="J192" s="364">
        <v>461074.85559332813</v>
      </c>
      <c r="K192" s="364">
        <v>466051.92477991828</v>
      </c>
      <c r="L192" s="364">
        <v>234031.96289660147</v>
      </c>
      <c r="M192" s="364">
        <v>240988.86768995252</v>
      </c>
      <c r="N192" s="364">
        <v>260640.23727850043</v>
      </c>
      <c r="O192" s="364">
        <v>274803.38685733872</v>
      </c>
      <c r="P192" s="364">
        <v>288431.07967448508</v>
      </c>
      <c r="Q192" s="364">
        <v>311676.90496385185</v>
      </c>
      <c r="R192" s="364">
        <v>331201.89396878553</v>
      </c>
      <c r="S192" s="364">
        <v>307614.27345943975</v>
      </c>
      <c r="T192" s="364">
        <v>295433.02485427802</v>
      </c>
      <c r="U192" s="364">
        <v>260067.76722561778</v>
      </c>
      <c r="V192" s="364">
        <v>301819.9924778156</v>
      </c>
      <c r="W192" s="364">
        <v>289548.79934028344</v>
      </c>
      <c r="X192" s="368">
        <f t="shared" si="2"/>
        <v>297100.77811283607</v>
      </c>
      <c r="Y192" s="746"/>
      <c r="Z192" s="746"/>
      <c r="AA192" s="746"/>
      <c r="AB192" s="746"/>
      <c r="AC192" s="746"/>
      <c r="AD192" s="746"/>
      <c r="AE192" s="746"/>
      <c r="AF192" s="746"/>
      <c r="AG192" s="746"/>
      <c r="AH192" s="746"/>
      <c r="AI192" s="746"/>
      <c r="AJ192" s="746"/>
      <c r="AK192" s="746"/>
      <c r="AL192" s="746"/>
      <c r="AM192" s="746"/>
      <c r="AN192" s="746"/>
      <c r="AO192" s="746"/>
      <c r="AP192" s="746"/>
      <c r="AQ192" s="746"/>
      <c r="AR192" s="746"/>
      <c r="AS192" s="746"/>
      <c r="AT192" s="746"/>
      <c r="AU192" s="746"/>
      <c r="AV192" s="746"/>
      <c r="AW192" s="746"/>
    </row>
    <row r="193" spans="1:49">
      <c r="B193" s="317"/>
      <c r="X193" s="368">
        <f t="shared" si="2"/>
        <v>0</v>
      </c>
    </row>
    <row r="194" spans="1:49">
      <c r="A194" s="353" t="s">
        <v>523</v>
      </c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8">
        <f t="shared" si="2"/>
        <v>0</v>
      </c>
      <c r="Y194" s="745"/>
      <c r="Z194" s="745"/>
      <c r="AA194" s="745"/>
      <c r="AB194" s="745"/>
      <c r="AC194" s="745"/>
      <c r="AD194" s="745"/>
      <c r="AE194" s="745"/>
      <c r="AF194" s="745"/>
      <c r="AG194" s="745"/>
      <c r="AH194" s="745"/>
      <c r="AI194" s="745"/>
      <c r="AJ194" s="745"/>
      <c r="AK194" s="745"/>
      <c r="AL194" s="745"/>
      <c r="AM194" s="745"/>
      <c r="AN194" s="745"/>
      <c r="AO194" s="745"/>
      <c r="AP194" s="745"/>
      <c r="AQ194" s="745"/>
      <c r="AR194" s="745"/>
      <c r="AS194" s="745"/>
      <c r="AT194" s="745"/>
      <c r="AU194" s="745"/>
      <c r="AV194" s="745"/>
      <c r="AW194" s="745"/>
    </row>
    <row r="195" spans="1:49">
      <c r="A195" s="318" t="s">
        <v>524</v>
      </c>
      <c r="B195" s="363"/>
      <c r="C195" s="363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8">
        <f t="shared" si="2"/>
        <v>0</v>
      </c>
      <c r="Y195" s="745"/>
      <c r="Z195" s="745"/>
      <c r="AA195" s="745"/>
      <c r="AB195" s="745"/>
      <c r="AC195" s="745"/>
      <c r="AD195" s="745"/>
      <c r="AE195" s="745"/>
      <c r="AF195" s="745"/>
      <c r="AG195" s="745"/>
      <c r="AH195" s="745"/>
      <c r="AI195" s="745"/>
      <c r="AJ195" s="745"/>
      <c r="AK195" s="745"/>
      <c r="AL195" s="745"/>
      <c r="AM195" s="745"/>
      <c r="AN195" s="745"/>
      <c r="AO195" s="745"/>
      <c r="AP195" s="745"/>
      <c r="AQ195" s="745"/>
      <c r="AR195" s="745"/>
      <c r="AS195" s="745"/>
      <c r="AT195" s="745"/>
      <c r="AU195" s="745"/>
      <c r="AV195" s="745"/>
      <c r="AW195" s="745"/>
    </row>
    <row r="196" spans="1:49">
      <c r="A196" s="318" t="s">
        <v>525</v>
      </c>
      <c r="B196" s="317">
        <v>588215.29148999997</v>
      </c>
      <c r="C196" s="317">
        <v>588215.29148999997</v>
      </c>
      <c r="D196" s="317">
        <v>588166.78015212971</v>
      </c>
      <c r="E196" s="317">
        <v>588166.78015212971</v>
      </c>
      <c r="F196" s="317">
        <v>588166.78015212971</v>
      </c>
      <c r="G196" s="317">
        <v>588118.26881425944</v>
      </c>
      <c r="H196" s="317">
        <v>588118.26881425944</v>
      </c>
      <c r="I196" s="317">
        <v>588118.26881425944</v>
      </c>
      <c r="J196" s="317">
        <v>588069.75747638918</v>
      </c>
      <c r="K196" s="317">
        <v>588069.75747638918</v>
      </c>
      <c r="L196" s="317">
        <v>588069.75747638918</v>
      </c>
      <c r="M196" s="317">
        <v>588021.24613851891</v>
      </c>
      <c r="N196" s="317">
        <v>588021.24613851891</v>
      </c>
      <c r="O196" s="317">
        <v>588021.24613851891</v>
      </c>
      <c r="P196" s="317">
        <v>587972.73480064864</v>
      </c>
      <c r="Q196" s="317">
        <v>587972.73480064864</v>
      </c>
      <c r="R196" s="317">
        <v>587972.73480064864</v>
      </c>
      <c r="S196" s="317">
        <v>587924.22346277838</v>
      </c>
      <c r="T196" s="317">
        <v>587924.22346277838</v>
      </c>
      <c r="U196" s="317">
        <v>587924.22346277838</v>
      </c>
      <c r="V196" s="317">
        <v>587875.71212490811</v>
      </c>
      <c r="W196" s="317">
        <v>587875.71212490811</v>
      </c>
      <c r="X196" s="368">
        <f t="shared" si="2"/>
        <v>587972.73480064864</v>
      </c>
    </row>
    <row r="197" spans="1:49">
      <c r="A197" s="318" t="s">
        <v>526</v>
      </c>
      <c r="B197" s="317">
        <v>124084.94813913484</v>
      </c>
      <c r="C197" s="317">
        <v>124096.13373826967</v>
      </c>
      <c r="D197" s="317">
        <v>148474.72296175564</v>
      </c>
      <c r="E197" s="317">
        <v>148485.90856089047</v>
      </c>
      <c r="F197" s="317">
        <v>148497.0941600253</v>
      </c>
      <c r="G197" s="317">
        <v>163931.73744528921</v>
      </c>
      <c r="H197" s="317">
        <v>163942.92304442404</v>
      </c>
      <c r="I197" s="317">
        <v>163954.10864355887</v>
      </c>
      <c r="J197" s="317">
        <v>177225.26885659684</v>
      </c>
      <c r="K197" s="317">
        <v>177461.82675659514</v>
      </c>
      <c r="L197" s="317">
        <v>177473.01235572997</v>
      </c>
      <c r="M197" s="317">
        <v>192310.16805855359</v>
      </c>
      <c r="N197" s="317">
        <v>192321.35365768842</v>
      </c>
      <c r="O197" s="317">
        <v>192332.53925682325</v>
      </c>
      <c r="P197" s="317">
        <v>206318.27437139698</v>
      </c>
      <c r="Q197" s="317">
        <v>206329.45997053181</v>
      </c>
      <c r="R197" s="317">
        <v>206340.64556966664</v>
      </c>
      <c r="S197" s="317">
        <v>220916.84775302833</v>
      </c>
      <c r="T197" s="317">
        <v>220928.03335216315</v>
      </c>
      <c r="U197" s="317">
        <v>220939.21895129798</v>
      </c>
      <c r="V197" s="317">
        <v>224707.39660141338</v>
      </c>
      <c r="W197" s="317">
        <v>225271.81273309537</v>
      </c>
      <c r="X197" s="368">
        <f t="shared" si="2"/>
        <v>204896.19918369109</v>
      </c>
    </row>
    <row r="198" spans="1:49" ht="15.75" thickBot="1">
      <c r="A198" s="318" t="s">
        <v>527</v>
      </c>
      <c r="B198" s="316">
        <v>1778.6458300000002</v>
      </c>
      <c r="C198" s="316">
        <v>1778.6458300000002</v>
      </c>
      <c r="D198" s="316">
        <v>1778.6458300000002</v>
      </c>
      <c r="E198" s="316">
        <v>1778.6458300000002</v>
      </c>
      <c r="F198" s="316">
        <v>1778.6458300000002</v>
      </c>
      <c r="G198" s="316">
        <v>1778.6458300000002</v>
      </c>
      <c r="H198" s="316">
        <v>1778.6458300000002</v>
      </c>
      <c r="I198" s="316">
        <v>1778.6458300000002</v>
      </c>
      <c r="J198" s="316">
        <v>1778.6458300000002</v>
      </c>
      <c r="K198" s="316">
        <v>1778.6458300000002</v>
      </c>
      <c r="L198" s="316">
        <v>1778.6458300000002</v>
      </c>
      <c r="M198" s="316">
        <v>1778.6458300000002</v>
      </c>
      <c r="N198" s="316">
        <v>1778.6458300000002</v>
      </c>
      <c r="O198" s="316">
        <v>1778.6458300000002</v>
      </c>
      <c r="P198" s="316">
        <v>1778.6458300000002</v>
      </c>
      <c r="Q198" s="316">
        <v>1778.6458300000002</v>
      </c>
      <c r="R198" s="316">
        <v>1778.6458300000002</v>
      </c>
      <c r="S198" s="316">
        <v>1778.6458300000002</v>
      </c>
      <c r="T198" s="316">
        <v>1778.6458300000002</v>
      </c>
      <c r="U198" s="316">
        <v>1778.6458300000002</v>
      </c>
      <c r="V198" s="316">
        <v>1778.6458300000002</v>
      </c>
      <c r="W198" s="316">
        <v>1778.6458300000002</v>
      </c>
      <c r="X198" s="368">
        <f t="shared" si="2"/>
        <v>1778.6458300000002</v>
      </c>
    </row>
    <row r="199" spans="1:49">
      <c r="A199" s="318" t="s">
        <v>524</v>
      </c>
      <c r="B199" s="317">
        <v>714078.88545913482</v>
      </c>
      <c r="C199" s="317">
        <v>714090.07105826971</v>
      </c>
      <c r="D199" s="317">
        <v>738420.14894388546</v>
      </c>
      <c r="E199" s="317">
        <v>738431.33454302023</v>
      </c>
      <c r="F199" s="317">
        <v>738442.520142155</v>
      </c>
      <c r="G199" s="317">
        <v>753828.65208954876</v>
      </c>
      <c r="H199" s="317">
        <v>753839.83768868353</v>
      </c>
      <c r="I199" s="317">
        <v>753851.0232878183</v>
      </c>
      <c r="J199" s="317">
        <v>767073.67216298613</v>
      </c>
      <c r="K199" s="317">
        <v>767310.2300629844</v>
      </c>
      <c r="L199" s="317">
        <v>767321.41566211917</v>
      </c>
      <c r="M199" s="317">
        <v>782110.06002707256</v>
      </c>
      <c r="N199" s="317">
        <v>782121.24562620744</v>
      </c>
      <c r="O199" s="317">
        <v>782132.43122534221</v>
      </c>
      <c r="P199" s="317">
        <v>796069.65500204568</v>
      </c>
      <c r="Q199" s="317">
        <v>796080.84060118045</v>
      </c>
      <c r="R199" s="317">
        <v>796092.02620031533</v>
      </c>
      <c r="S199" s="317">
        <v>810619.71704580681</v>
      </c>
      <c r="T199" s="317">
        <v>810630.90264494158</v>
      </c>
      <c r="U199" s="317">
        <v>810642.08824407635</v>
      </c>
      <c r="V199" s="317">
        <v>814361.75455632154</v>
      </c>
      <c r="W199" s="317">
        <v>814926.17068800353</v>
      </c>
      <c r="X199" s="368">
        <f t="shared" si="2"/>
        <v>794647.57981433976</v>
      </c>
    </row>
    <row r="200" spans="1:49"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8">
        <f t="shared" si="2"/>
        <v>0</v>
      </c>
      <c r="Y200" s="745"/>
      <c r="Z200" s="745"/>
      <c r="AA200" s="745"/>
      <c r="AB200" s="745"/>
      <c r="AC200" s="745"/>
      <c r="AD200" s="745"/>
      <c r="AE200" s="745"/>
      <c r="AF200" s="745"/>
      <c r="AG200" s="745"/>
      <c r="AH200" s="745"/>
      <c r="AI200" s="745"/>
      <c r="AJ200" s="745"/>
      <c r="AK200" s="745"/>
      <c r="AL200" s="745"/>
      <c r="AM200" s="745"/>
      <c r="AN200" s="745"/>
      <c r="AO200" s="745"/>
      <c r="AP200" s="745"/>
      <c r="AQ200" s="745"/>
      <c r="AR200" s="745"/>
      <c r="AS200" s="745"/>
      <c r="AT200" s="745"/>
      <c r="AU200" s="745"/>
      <c r="AV200" s="745"/>
      <c r="AW200" s="745"/>
    </row>
    <row r="201" spans="1:49">
      <c r="A201" s="318" t="s">
        <v>528</v>
      </c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8">
        <f t="shared" si="2"/>
        <v>0</v>
      </c>
      <c r="Y201" s="745"/>
      <c r="Z201" s="745"/>
      <c r="AA201" s="745"/>
      <c r="AB201" s="745"/>
      <c r="AC201" s="745"/>
      <c r="AD201" s="745"/>
      <c r="AE201" s="745"/>
      <c r="AF201" s="745"/>
      <c r="AG201" s="745"/>
      <c r="AH201" s="745"/>
      <c r="AI201" s="745"/>
      <c r="AJ201" s="745"/>
      <c r="AK201" s="745"/>
      <c r="AL201" s="745"/>
      <c r="AM201" s="745"/>
      <c r="AN201" s="745"/>
      <c r="AO201" s="745"/>
      <c r="AP201" s="745"/>
      <c r="AQ201" s="745"/>
      <c r="AR201" s="745"/>
      <c r="AS201" s="745"/>
      <c r="AT201" s="745"/>
      <c r="AU201" s="745"/>
      <c r="AV201" s="745"/>
      <c r="AW201" s="745"/>
    </row>
    <row r="202" spans="1:49">
      <c r="A202" s="318" t="s">
        <v>529</v>
      </c>
      <c r="B202" s="317">
        <v>22869.451338947401</v>
      </c>
      <c r="C202" s="317">
        <v>22777.577337894898</v>
      </c>
      <c r="D202" s="317">
        <v>22685.703336842402</v>
      </c>
      <c r="E202" s="317">
        <v>22593.829335789898</v>
      </c>
      <c r="F202" s="317">
        <v>22501.955334737399</v>
      </c>
      <c r="G202" s="317">
        <v>22410.081333684899</v>
      </c>
      <c r="H202" s="317">
        <v>22324.615442632334</v>
      </c>
      <c r="I202" s="317">
        <v>22239.149551579867</v>
      </c>
      <c r="J202" s="317">
        <v>22153.683660527298</v>
      </c>
      <c r="K202" s="317">
        <v>22068.217769474835</v>
      </c>
      <c r="L202" s="317">
        <v>21982.751878422267</v>
      </c>
      <c r="M202" s="317">
        <v>21897.2859873698</v>
      </c>
      <c r="N202" s="317">
        <v>21811.820096317231</v>
      </c>
      <c r="O202" s="317">
        <v>21726.354205264768</v>
      </c>
      <c r="P202" s="317">
        <v>21640.888314212203</v>
      </c>
      <c r="Q202" s="317">
        <v>21555.422423159733</v>
      </c>
      <c r="R202" s="317">
        <v>21469.956532107168</v>
      </c>
      <c r="S202" s="317">
        <v>21384.490641054697</v>
      </c>
      <c r="T202" s="317">
        <v>21304.392250002165</v>
      </c>
      <c r="U202" s="317">
        <v>21224.293858949633</v>
      </c>
      <c r="V202" s="317">
        <v>21144.195467897098</v>
      </c>
      <c r="W202" s="317">
        <v>21064.097076844566</v>
      </c>
      <c r="X202" s="368">
        <f t="shared" ref="X202:X247" si="3">SUM(K202:W202)/13</f>
        <v>21559.55126931355</v>
      </c>
    </row>
    <row r="203" spans="1:49" ht="15.75" thickBot="1">
      <c r="A203" s="318" t="s">
        <v>530</v>
      </c>
      <c r="B203" s="316">
        <v>11704.050149999999</v>
      </c>
      <c r="C203" s="316">
        <v>11704.050149999999</v>
      </c>
      <c r="D203" s="316">
        <v>11704.050149999999</v>
      </c>
      <c r="E203" s="316">
        <v>11704.050149999999</v>
      </c>
      <c r="F203" s="316">
        <v>11704.050149999999</v>
      </c>
      <c r="G203" s="316">
        <v>11704.050149999999</v>
      </c>
      <c r="H203" s="316">
        <v>11704.050149999999</v>
      </c>
      <c r="I203" s="316">
        <v>11704.050149999999</v>
      </c>
      <c r="J203" s="316">
        <v>11704.050149999999</v>
      </c>
      <c r="K203" s="316">
        <v>11704.050149999999</v>
      </c>
      <c r="L203" s="316">
        <v>11704.050149999999</v>
      </c>
      <c r="M203" s="316">
        <v>11704.050149999999</v>
      </c>
      <c r="N203" s="316">
        <v>11704.050149999999</v>
      </c>
      <c r="O203" s="316">
        <v>11704.050149999999</v>
      </c>
      <c r="P203" s="316">
        <v>11704.050149999999</v>
      </c>
      <c r="Q203" s="316">
        <v>11704.050149999999</v>
      </c>
      <c r="R203" s="316">
        <v>11704.050149999999</v>
      </c>
      <c r="S203" s="316">
        <v>11704.050149999999</v>
      </c>
      <c r="T203" s="316">
        <v>11704.050149999999</v>
      </c>
      <c r="U203" s="316">
        <v>11704.050149999999</v>
      </c>
      <c r="V203" s="316">
        <v>11704.050149999999</v>
      </c>
      <c r="W203" s="316">
        <v>11704.050149999999</v>
      </c>
      <c r="X203" s="368">
        <f t="shared" si="3"/>
        <v>11704.050149999997</v>
      </c>
    </row>
    <row r="204" spans="1:49">
      <c r="A204" s="318" t="s">
        <v>528</v>
      </c>
      <c r="B204" s="317">
        <v>34573.501488947397</v>
      </c>
      <c r="C204" s="317">
        <v>34481.627487894897</v>
      </c>
      <c r="D204" s="317">
        <v>34389.753486842397</v>
      </c>
      <c r="E204" s="317">
        <v>34297.879485789897</v>
      </c>
      <c r="F204" s="317">
        <v>34206.005484737398</v>
      </c>
      <c r="G204" s="317">
        <v>34114.131483684898</v>
      </c>
      <c r="H204" s="317">
        <v>34028.665592632329</v>
      </c>
      <c r="I204" s="317">
        <v>33943.19970157987</v>
      </c>
      <c r="J204" s="317">
        <v>33857.733810527294</v>
      </c>
      <c r="K204" s="317">
        <v>33772.267919474834</v>
      </c>
      <c r="L204" s="317">
        <v>33686.802028422266</v>
      </c>
      <c r="M204" s="317">
        <v>33601.336137369799</v>
      </c>
      <c r="N204" s="317">
        <v>33515.87024631723</v>
      </c>
      <c r="O204" s="317">
        <v>33430.404355264764</v>
      </c>
      <c r="P204" s="317">
        <v>33344.938464212202</v>
      </c>
      <c r="Q204" s="317">
        <v>33259.472573159728</v>
      </c>
      <c r="R204" s="317">
        <v>33174.006682107167</v>
      </c>
      <c r="S204" s="317">
        <v>33088.540791054693</v>
      </c>
      <c r="T204" s="317">
        <v>33008.442400002168</v>
      </c>
      <c r="U204" s="317">
        <v>32928.344008949629</v>
      </c>
      <c r="V204" s="317">
        <v>32848.245617897097</v>
      </c>
      <c r="W204" s="317">
        <v>32768.147226844565</v>
      </c>
      <c r="X204" s="368">
        <f t="shared" si="3"/>
        <v>33263.601419313549</v>
      </c>
    </row>
    <row r="205" spans="1:49"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8">
        <f t="shared" si="3"/>
        <v>0</v>
      </c>
      <c r="Y205" s="745"/>
      <c r="Z205" s="745"/>
      <c r="AA205" s="745"/>
      <c r="AB205" s="745"/>
      <c r="AC205" s="745"/>
      <c r="AD205" s="745"/>
      <c r="AE205" s="745"/>
      <c r="AF205" s="745"/>
      <c r="AG205" s="745"/>
      <c r="AH205" s="745"/>
      <c r="AI205" s="745"/>
      <c r="AJ205" s="745"/>
      <c r="AK205" s="745"/>
      <c r="AL205" s="745"/>
      <c r="AM205" s="745"/>
      <c r="AN205" s="745"/>
      <c r="AO205" s="745"/>
      <c r="AP205" s="745"/>
      <c r="AQ205" s="745"/>
      <c r="AR205" s="745"/>
      <c r="AS205" s="745"/>
      <c r="AT205" s="745"/>
      <c r="AU205" s="745"/>
      <c r="AV205" s="745"/>
      <c r="AW205" s="745"/>
    </row>
    <row r="206" spans="1:49">
      <c r="A206" s="318" t="s">
        <v>531</v>
      </c>
      <c r="B206" s="363"/>
      <c r="C206" s="363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8">
        <f t="shared" si="3"/>
        <v>0</v>
      </c>
      <c r="Y206" s="745"/>
      <c r="Z206" s="745"/>
      <c r="AA206" s="745"/>
      <c r="AB206" s="745"/>
      <c r="AC206" s="745"/>
      <c r="AD206" s="745"/>
      <c r="AE206" s="745"/>
      <c r="AF206" s="745"/>
      <c r="AG206" s="745"/>
      <c r="AH206" s="745"/>
      <c r="AI206" s="745"/>
      <c r="AJ206" s="745"/>
      <c r="AK206" s="745"/>
      <c r="AL206" s="745"/>
      <c r="AM206" s="745"/>
      <c r="AN206" s="745"/>
      <c r="AO206" s="745"/>
      <c r="AP206" s="745"/>
      <c r="AQ206" s="745"/>
      <c r="AR206" s="745"/>
      <c r="AS206" s="745"/>
      <c r="AT206" s="745"/>
      <c r="AU206" s="745"/>
      <c r="AV206" s="745"/>
      <c r="AW206" s="745"/>
    </row>
    <row r="207" spans="1:49" ht="15.75">
      <c r="A207" s="318" t="s">
        <v>532</v>
      </c>
      <c r="B207" s="368">
        <v>13629.872647371318</v>
      </c>
      <c r="C207" s="368">
        <v>12148.859493606556</v>
      </c>
      <c r="D207" s="368">
        <v>10939.883395147841</v>
      </c>
      <c r="E207" s="368">
        <v>9738.2604248724201</v>
      </c>
      <c r="F207" s="368">
        <v>8312.6314567422214</v>
      </c>
      <c r="G207" s="368">
        <v>6465.9883441822212</v>
      </c>
      <c r="H207" s="368">
        <v>4451.1096816873942</v>
      </c>
      <c r="I207" s="368">
        <v>2708.3370851756863</v>
      </c>
      <c r="J207" s="368">
        <v>1182.7395977303106</v>
      </c>
      <c r="K207" s="368">
        <v>0</v>
      </c>
      <c r="L207" s="368">
        <v>0</v>
      </c>
      <c r="M207" s="368">
        <v>0</v>
      </c>
      <c r="N207" s="368">
        <v>0</v>
      </c>
      <c r="O207" s="368">
        <v>0</v>
      </c>
      <c r="P207" s="368">
        <v>0</v>
      </c>
      <c r="Q207" s="368">
        <v>0</v>
      </c>
      <c r="R207" s="368">
        <v>0</v>
      </c>
      <c r="S207" s="368">
        <v>0</v>
      </c>
      <c r="T207" s="368">
        <v>0</v>
      </c>
      <c r="U207" s="368">
        <v>0</v>
      </c>
      <c r="V207" s="368">
        <v>0</v>
      </c>
      <c r="W207" s="368">
        <v>0</v>
      </c>
      <c r="X207" s="368">
        <f t="shared" si="3"/>
        <v>0</v>
      </c>
      <c r="Y207" s="752"/>
      <c r="Z207" s="752"/>
      <c r="AA207" s="752"/>
      <c r="AB207" s="752"/>
      <c r="AC207" s="752"/>
      <c r="AD207" s="752"/>
      <c r="AE207" s="752"/>
      <c r="AF207" s="752"/>
      <c r="AG207" s="752"/>
      <c r="AH207" s="752"/>
      <c r="AI207" s="752"/>
      <c r="AJ207" s="752"/>
      <c r="AK207" s="752"/>
      <c r="AL207" s="752"/>
      <c r="AM207" s="752"/>
      <c r="AN207" s="752"/>
      <c r="AO207" s="752"/>
      <c r="AP207" s="752"/>
      <c r="AQ207" s="752"/>
      <c r="AR207" s="752"/>
      <c r="AS207" s="752"/>
      <c r="AT207" s="752"/>
      <c r="AU207" s="752"/>
      <c r="AV207" s="752"/>
      <c r="AW207" s="752"/>
    </row>
    <row r="208" spans="1:49">
      <c r="A208" s="318" t="s">
        <v>533</v>
      </c>
      <c r="B208" s="368">
        <v>30639.878940090792</v>
      </c>
      <c r="C208" s="368">
        <v>30582.845140337377</v>
      </c>
      <c r="D208" s="368">
        <v>30503.231471842286</v>
      </c>
      <c r="E208" s="368">
        <v>30385.888768586949</v>
      </c>
      <c r="F208" s="368">
        <v>30290.566968296618</v>
      </c>
      <c r="G208" s="368">
        <v>30195.654157507368</v>
      </c>
      <c r="H208" s="368">
        <v>30118.752443468995</v>
      </c>
      <c r="I208" s="368">
        <v>30038.783106643907</v>
      </c>
      <c r="J208" s="368">
        <v>29944.464268484884</v>
      </c>
      <c r="K208" s="368">
        <v>29854.735171876568</v>
      </c>
      <c r="L208" s="368">
        <v>29641.305983508482</v>
      </c>
      <c r="M208" s="368">
        <v>29413.21429592244</v>
      </c>
      <c r="N208" s="368">
        <v>29151.446476497047</v>
      </c>
      <c r="O208" s="368">
        <v>28945.262065856674</v>
      </c>
      <c r="P208" s="368">
        <v>28732.733048439928</v>
      </c>
      <c r="Q208" s="368">
        <v>28564.4220297424</v>
      </c>
      <c r="R208" s="368">
        <v>28402.70322156082</v>
      </c>
      <c r="S208" s="368">
        <v>28271.918362020973</v>
      </c>
      <c r="T208" s="368">
        <v>28127.926295802645</v>
      </c>
      <c r="U208" s="368">
        <v>27985.924217927401</v>
      </c>
      <c r="V208" s="368">
        <v>27837.969544023676</v>
      </c>
      <c r="W208" s="368">
        <v>27673.356675378986</v>
      </c>
      <c r="X208" s="368">
        <f t="shared" si="3"/>
        <v>28661.762876042925</v>
      </c>
    </row>
    <row r="209" spans="1:49">
      <c r="A209" s="318" t="s">
        <v>534</v>
      </c>
      <c r="B209" s="749">
        <v>16060.393392023023</v>
      </c>
      <c r="C209" s="749">
        <v>15705.483001906317</v>
      </c>
      <c r="D209" s="749">
        <v>14992.276559409429</v>
      </c>
      <c r="E209" s="749">
        <v>12716.065500381323</v>
      </c>
      <c r="F209" s="749">
        <v>12162.651518875149</v>
      </c>
      <c r="G209" s="749">
        <v>13363.191081191442</v>
      </c>
      <c r="H209" s="749">
        <v>12862.134372173154</v>
      </c>
      <c r="I209" s="749">
        <v>11126.724879206356</v>
      </c>
      <c r="J209" s="749">
        <v>10869.023981896491</v>
      </c>
      <c r="K209" s="749">
        <v>9065.3994189123005</v>
      </c>
      <c r="L209" s="749">
        <v>5800.5927516743986</v>
      </c>
      <c r="M209" s="749">
        <v>5972.5780090513063</v>
      </c>
      <c r="N209" s="749">
        <v>7823.4220848131226</v>
      </c>
      <c r="O209" s="749">
        <v>8249.4891464561297</v>
      </c>
      <c r="P209" s="749">
        <v>7327.2840555007388</v>
      </c>
      <c r="Q209" s="749">
        <v>5782.8132441690304</v>
      </c>
      <c r="R209" s="749">
        <v>5176.0851814172293</v>
      </c>
      <c r="S209" s="749">
        <v>5621.417262740496</v>
      </c>
      <c r="T209" s="749">
        <v>5630.2791002028789</v>
      </c>
      <c r="U209" s="749">
        <v>4777.5086645137926</v>
      </c>
      <c r="V209" s="749">
        <v>5118.7170572463338</v>
      </c>
      <c r="W209" s="749">
        <v>4253.476195260133</v>
      </c>
      <c r="X209" s="368">
        <f t="shared" si="3"/>
        <v>6199.927859381376</v>
      </c>
      <c r="Y209" s="749"/>
      <c r="Z209" s="749"/>
      <c r="AA209" s="749"/>
      <c r="AB209" s="749"/>
      <c r="AC209" s="749"/>
      <c r="AD209" s="749"/>
      <c r="AE209" s="749"/>
      <c r="AF209" s="749"/>
      <c r="AG209" s="749"/>
      <c r="AH209" s="749"/>
      <c r="AI209" s="749"/>
      <c r="AJ209" s="749"/>
      <c r="AK209" s="749"/>
      <c r="AL209" s="749"/>
      <c r="AM209" s="749"/>
      <c r="AN209" s="749"/>
      <c r="AO209" s="749"/>
      <c r="AP209" s="749"/>
      <c r="AQ209" s="749"/>
      <c r="AR209" s="749"/>
      <c r="AS209" s="749"/>
      <c r="AT209" s="749"/>
      <c r="AU209" s="749"/>
      <c r="AV209" s="749"/>
      <c r="AW209" s="749"/>
    </row>
    <row r="210" spans="1:49" ht="15.75" thickBot="1">
      <c r="A210" s="318" t="s">
        <v>535</v>
      </c>
      <c r="B210" s="750">
        <v>445753.61418999999</v>
      </c>
      <c r="C210" s="750">
        <v>445753.61418999999</v>
      </c>
      <c r="D210" s="750">
        <v>456302.18802398903</v>
      </c>
      <c r="E210" s="750">
        <v>456302.18802398903</v>
      </c>
      <c r="F210" s="750">
        <v>456302.18802398903</v>
      </c>
      <c r="G210" s="750">
        <v>453967.25990514719</v>
      </c>
      <c r="H210" s="750">
        <v>453967.25990514719</v>
      </c>
      <c r="I210" s="750">
        <v>453967.25990514719</v>
      </c>
      <c r="J210" s="750">
        <v>450909.92202688078</v>
      </c>
      <c r="K210" s="750">
        <v>450006.6262318368</v>
      </c>
      <c r="L210" s="750">
        <v>450006.6262318368</v>
      </c>
      <c r="M210" s="750">
        <v>447837.51439878537</v>
      </c>
      <c r="N210" s="750">
        <v>447837.51439878537</v>
      </c>
      <c r="O210" s="750">
        <v>447837.51439878537</v>
      </c>
      <c r="P210" s="750">
        <v>444757.5713592181</v>
      </c>
      <c r="Q210" s="750">
        <v>444757.5713592181</v>
      </c>
      <c r="R210" s="750">
        <v>444757.5713592181</v>
      </c>
      <c r="S210" s="750">
        <v>441677.62831965083</v>
      </c>
      <c r="T210" s="750">
        <v>441677.62831965083</v>
      </c>
      <c r="U210" s="750">
        <v>441677.62831965083</v>
      </c>
      <c r="V210" s="750">
        <v>438416.11519018747</v>
      </c>
      <c r="W210" s="750">
        <v>437447.5364108439</v>
      </c>
      <c r="X210" s="368">
        <f t="shared" si="3"/>
        <v>444515.00356135902</v>
      </c>
      <c r="Y210" s="749"/>
      <c r="Z210" s="749"/>
      <c r="AA210" s="749"/>
      <c r="AB210" s="749"/>
      <c r="AC210" s="749"/>
      <c r="AD210" s="749"/>
      <c r="AE210" s="749"/>
      <c r="AF210" s="749"/>
      <c r="AG210" s="749"/>
      <c r="AH210" s="749"/>
      <c r="AI210" s="749"/>
      <c r="AJ210" s="749"/>
      <c r="AK210" s="749"/>
      <c r="AL210" s="749"/>
      <c r="AM210" s="749"/>
      <c r="AN210" s="749"/>
      <c r="AO210" s="749"/>
      <c r="AP210" s="749"/>
      <c r="AQ210" s="749"/>
      <c r="AR210" s="749"/>
      <c r="AS210" s="749"/>
      <c r="AT210" s="749"/>
      <c r="AU210" s="749"/>
      <c r="AV210" s="749"/>
      <c r="AW210" s="749"/>
    </row>
    <row r="211" spans="1:49">
      <c r="A211" s="318" t="s">
        <v>531</v>
      </c>
      <c r="B211" s="317">
        <v>506083.75916948513</v>
      </c>
      <c r="C211" s="317">
        <v>504190.80182585027</v>
      </c>
      <c r="D211" s="317">
        <v>512737.57945038861</v>
      </c>
      <c r="E211" s="317">
        <v>509142.40271782974</v>
      </c>
      <c r="F211" s="317">
        <v>507068.03796790302</v>
      </c>
      <c r="G211" s="317">
        <v>503992.09348802821</v>
      </c>
      <c r="H211" s="317">
        <v>501399.25640247675</v>
      </c>
      <c r="I211" s="317">
        <v>497841.10497617314</v>
      </c>
      <c r="J211" s="317">
        <v>492906.14987499244</v>
      </c>
      <c r="K211" s="317">
        <v>488926.76082262566</v>
      </c>
      <c r="L211" s="317">
        <v>485448.52496701968</v>
      </c>
      <c r="M211" s="317">
        <v>483223.30670375912</v>
      </c>
      <c r="N211" s="317">
        <v>484812.38296009554</v>
      </c>
      <c r="O211" s="317">
        <v>485032.26561109815</v>
      </c>
      <c r="P211" s="317">
        <v>480817.58846315875</v>
      </c>
      <c r="Q211" s="317">
        <v>479104.80663312954</v>
      </c>
      <c r="R211" s="317">
        <v>478336.35976219614</v>
      </c>
      <c r="S211" s="317">
        <v>475570.9639444123</v>
      </c>
      <c r="T211" s="317">
        <v>475435.83371565636</v>
      </c>
      <c r="U211" s="317">
        <v>474441.06120209204</v>
      </c>
      <c r="V211" s="317">
        <v>471372.80179145746</v>
      </c>
      <c r="W211" s="317">
        <v>469374.369281483</v>
      </c>
      <c r="X211" s="368">
        <f t="shared" si="3"/>
        <v>479376.69429678336</v>
      </c>
    </row>
    <row r="212" spans="1:49">
      <c r="B212" s="363"/>
      <c r="C212" s="363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8">
        <f t="shared" si="3"/>
        <v>0</v>
      </c>
      <c r="Y212" s="745"/>
      <c r="Z212" s="745"/>
      <c r="AA212" s="745"/>
      <c r="AB212" s="745"/>
      <c r="AC212" s="745"/>
      <c r="AD212" s="745"/>
      <c r="AE212" s="745"/>
      <c r="AF212" s="745"/>
      <c r="AG212" s="745"/>
      <c r="AH212" s="745"/>
      <c r="AI212" s="745"/>
      <c r="AJ212" s="745"/>
      <c r="AK212" s="745"/>
      <c r="AL212" s="745"/>
      <c r="AM212" s="745"/>
      <c r="AN212" s="745"/>
      <c r="AO212" s="745"/>
      <c r="AP212" s="745"/>
      <c r="AQ212" s="745"/>
      <c r="AR212" s="745"/>
      <c r="AS212" s="745"/>
      <c r="AT212" s="745"/>
      <c r="AU212" s="745"/>
      <c r="AV212" s="745"/>
      <c r="AW212" s="745"/>
    </row>
    <row r="213" spans="1:49">
      <c r="A213" s="318" t="s">
        <v>536</v>
      </c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8">
        <f t="shared" si="3"/>
        <v>0</v>
      </c>
      <c r="Y213" s="745"/>
      <c r="Z213" s="745"/>
      <c r="AA213" s="745"/>
      <c r="AB213" s="745"/>
      <c r="AC213" s="745"/>
      <c r="AD213" s="745"/>
      <c r="AE213" s="745"/>
      <c r="AF213" s="745"/>
      <c r="AG213" s="745"/>
      <c r="AH213" s="745"/>
      <c r="AI213" s="745"/>
      <c r="AJ213" s="745"/>
      <c r="AK213" s="745"/>
      <c r="AL213" s="745"/>
      <c r="AM213" s="745"/>
      <c r="AN213" s="745"/>
      <c r="AO213" s="745"/>
      <c r="AP213" s="745"/>
      <c r="AQ213" s="745"/>
      <c r="AR213" s="745"/>
      <c r="AS213" s="745"/>
      <c r="AT213" s="745"/>
      <c r="AU213" s="745"/>
      <c r="AV213" s="745"/>
      <c r="AW213" s="745"/>
    </row>
    <row r="214" spans="1:49">
      <c r="A214" s="318" t="s">
        <v>537</v>
      </c>
      <c r="B214" s="317">
        <v>2535.949139057594</v>
      </c>
      <c r="C214" s="317">
        <v>2535.949139057594</v>
      </c>
      <c r="D214" s="317">
        <v>2535.949139057594</v>
      </c>
      <c r="E214" s="317">
        <v>2535.949139057594</v>
      </c>
      <c r="F214" s="317">
        <v>2535.949139057594</v>
      </c>
      <c r="G214" s="317">
        <v>2535.949139057594</v>
      </c>
      <c r="H214" s="317">
        <v>2535.949139057594</v>
      </c>
      <c r="I214" s="317">
        <v>2535.949139057594</v>
      </c>
      <c r="J214" s="317">
        <v>2535.949139057594</v>
      </c>
      <c r="K214" s="317">
        <v>2535.949139057594</v>
      </c>
      <c r="L214" s="317">
        <v>2535.949139057594</v>
      </c>
      <c r="M214" s="317">
        <v>2535.949139057594</v>
      </c>
      <c r="N214" s="317">
        <v>2535.949139057594</v>
      </c>
      <c r="O214" s="317">
        <v>2535.949139057594</v>
      </c>
      <c r="P214" s="317">
        <v>2535.949139057594</v>
      </c>
      <c r="Q214" s="317">
        <v>2535.949139057594</v>
      </c>
      <c r="R214" s="317">
        <v>2535.949139057594</v>
      </c>
      <c r="S214" s="317">
        <v>2535.949139057594</v>
      </c>
      <c r="T214" s="317">
        <v>2535.949139057594</v>
      </c>
      <c r="U214" s="317">
        <v>2535.949139057594</v>
      </c>
      <c r="V214" s="317">
        <v>2535.949139057594</v>
      </c>
      <c r="W214" s="317">
        <v>2535.949139057594</v>
      </c>
      <c r="X214" s="368">
        <f t="shared" si="3"/>
        <v>2535.9491390575936</v>
      </c>
    </row>
    <row r="215" spans="1:49" ht="15.75" thickBot="1">
      <c r="A215" s="318" t="s">
        <v>538</v>
      </c>
      <c r="B215" s="316">
        <v>3926.505808022514</v>
      </c>
      <c r="C215" s="316">
        <v>3926.505808022514</v>
      </c>
      <c r="D215" s="316">
        <v>3926.505808022514</v>
      </c>
      <c r="E215" s="316">
        <v>3926.505808022514</v>
      </c>
      <c r="F215" s="316">
        <v>3926.505808022514</v>
      </c>
      <c r="G215" s="316">
        <v>3926.505808022514</v>
      </c>
      <c r="H215" s="316">
        <v>3926.505808022514</v>
      </c>
      <c r="I215" s="316">
        <v>3926.505808022514</v>
      </c>
      <c r="J215" s="316">
        <v>3926.505808022514</v>
      </c>
      <c r="K215" s="316">
        <v>3926.505808022514</v>
      </c>
      <c r="L215" s="316">
        <v>3926.505808022514</v>
      </c>
      <c r="M215" s="316">
        <v>3926.505808022514</v>
      </c>
      <c r="N215" s="316">
        <v>3926.505808022514</v>
      </c>
      <c r="O215" s="316">
        <v>3926.505808022514</v>
      </c>
      <c r="P215" s="316">
        <v>3926.505808022514</v>
      </c>
      <c r="Q215" s="316">
        <v>3926.505808022514</v>
      </c>
      <c r="R215" s="316">
        <v>3926.505808022514</v>
      </c>
      <c r="S215" s="316">
        <v>3926.505808022514</v>
      </c>
      <c r="T215" s="316">
        <v>3926.505808022514</v>
      </c>
      <c r="U215" s="316">
        <v>3926.505808022514</v>
      </c>
      <c r="V215" s="316">
        <v>3926.505808022514</v>
      </c>
      <c r="W215" s="316">
        <v>3926.505808022514</v>
      </c>
      <c r="X215" s="368">
        <f t="shared" si="3"/>
        <v>3926.505808022514</v>
      </c>
    </row>
    <row r="216" spans="1:49">
      <c r="A216" s="318" t="s">
        <v>536</v>
      </c>
      <c r="B216" s="317">
        <v>6462.4549470801085</v>
      </c>
      <c r="C216" s="317">
        <v>6462.4549470801085</v>
      </c>
      <c r="D216" s="317">
        <v>6462.4549470801085</v>
      </c>
      <c r="E216" s="317">
        <v>6462.4549470801085</v>
      </c>
      <c r="F216" s="317">
        <v>6462.4549470801085</v>
      </c>
      <c r="G216" s="317">
        <v>6462.4549470801085</v>
      </c>
      <c r="H216" s="317">
        <v>6462.4549470801085</v>
      </c>
      <c r="I216" s="317">
        <v>6462.4549470801085</v>
      </c>
      <c r="J216" s="317">
        <v>6462.4549470801085</v>
      </c>
      <c r="K216" s="317">
        <v>6462.4549470801085</v>
      </c>
      <c r="L216" s="317">
        <v>6462.4549470801085</v>
      </c>
      <c r="M216" s="317">
        <v>6462.4549470801085</v>
      </c>
      <c r="N216" s="317">
        <v>6462.4549470801085</v>
      </c>
      <c r="O216" s="317">
        <v>6462.4549470801085</v>
      </c>
      <c r="P216" s="317">
        <v>6462.4549470801085</v>
      </c>
      <c r="Q216" s="317">
        <v>6462.4549470801085</v>
      </c>
      <c r="R216" s="317">
        <v>6462.4549470801085</v>
      </c>
      <c r="S216" s="317">
        <v>6462.4549470801085</v>
      </c>
      <c r="T216" s="317">
        <v>6462.4549470801085</v>
      </c>
      <c r="U216" s="317">
        <v>6462.4549470801085</v>
      </c>
      <c r="V216" s="317">
        <v>6462.4549470801085</v>
      </c>
      <c r="W216" s="317">
        <v>6462.4549470801085</v>
      </c>
      <c r="X216" s="368">
        <f t="shared" si="3"/>
        <v>6462.4549470801085</v>
      </c>
    </row>
    <row r="217" spans="1:49">
      <c r="A217" s="318" t="s">
        <v>539</v>
      </c>
      <c r="B217" s="363"/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8">
        <f t="shared" si="3"/>
        <v>0</v>
      </c>
      <c r="Y217" s="745"/>
      <c r="Z217" s="745"/>
      <c r="AA217" s="745"/>
      <c r="AB217" s="745"/>
      <c r="AC217" s="745"/>
      <c r="AD217" s="745"/>
      <c r="AE217" s="745"/>
      <c r="AF217" s="745"/>
      <c r="AG217" s="745"/>
      <c r="AH217" s="745"/>
      <c r="AI217" s="745"/>
      <c r="AJ217" s="745"/>
      <c r="AK217" s="745"/>
      <c r="AL217" s="745"/>
      <c r="AM217" s="745"/>
      <c r="AN217" s="745"/>
      <c r="AO217" s="745"/>
      <c r="AP217" s="745"/>
      <c r="AQ217" s="745"/>
      <c r="AR217" s="745"/>
      <c r="AS217" s="745"/>
      <c r="AT217" s="745"/>
      <c r="AU217" s="745"/>
      <c r="AV217" s="745"/>
      <c r="AW217" s="745"/>
    </row>
    <row r="218" spans="1:49">
      <c r="A218" s="318" t="s">
        <v>540</v>
      </c>
      <c r="B218" s="363"/>
      <c r="C218" s="363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8">
        <f t="shared" si="3"/>
        <v>0</v>
      </c>
      <c r="Y218" s="745"/>
      <c r="Z218" s="745"/>
      <c r="AA218" s="745"/>
      <c r="AB218" s="745"/>
      <c r="AC218" s="745"/>
      <c r="AD218" s="745"/>
      <c r="AE218" s="745"/>
      <c r="AF218" s="745"/>
      <c r="AG218" s="745"/>
      <c r="AH218" s="745"/>
      <c r="AI218" s="745"/>
      <c r="AJ218" s="745"/>
      <c r="AK218" s="745"/>
      <c r="AL218" s="745"/>
      <c r="AM218" s="745"/>
      <c r="AN218" s="745"/>
      <c r="AO218" s="745"/>
      <c r="AP218" s="745"/>
      <c r="AQ218" s="745"/>
      <c r="AR218" s="745"/>
      <c r="AS218" s="745"/>
      <c r="AT218" s="745"/>
      <c r="AU218" s="745"/>
      <c r="AV218" s="745"/>
      <c r="AW218" s="745"/>
    </row>
    <row r="219" spans="1:49">
      <c r="A219" s="318" t="s">
        <v>541</v>
      </c>
      <c r="B219" s="366">
        <v>88486.650420000005</v>
      </c>
      <c r="C219" s="366">
        <v>88328.430919999999</v>
      </c>
      <c r="D219" s="366">
        <v>87689.714229999998</v>
      </c>
      <c r="E219" s="366">
        <v>86988.446720000007</v>
      </c>
      <c r="F219" s="366">
        <v>86315.760970000003</v>
      </c>
      <c r="G219" s="366">
        <v>84885.22739</v>
      </c>
      <c r="H219" s="366">
        <v>84606.130739999993</v>
      </c>
      <c r="I219" s="366">
        <v>84047.516529999979</v>
      </c>
      <c r="J219" s="366">
        <v>83258.840719999978</v>
      </c>
      <c r="K219" s="366">
        <v>81916.579169999983</v>
      </c>
      <c r="L219" s="366">
        <v>80586.259219999993</v>
      </c>
      <c r="M219" s="366">
        <v>78698.443639999998</v>
      </c>
      <c r="N219" s="366">
        <v>77180.138439999995</v>
      </c>
      <c r="O219" s="366">
        <v>74573.349619999994</v>
      </c>
      <c r="P219" s="366">
        <v>72301.355159999992</v>
      </c>
      <c r="Q219" s="366">
        <v>70798.797179999994</v>
      </c>
      <c r="R219" s="366">
        <v>70419.223669999978</v>
      </c>
      <c r="S219" s="366">
        <v>70035.708789999975</v>
      </c>
      <c r="T219" s="366">
        <v>69677.576909999974</v>
      </c>
      <c r="U219" s="366">
        <v>69320.41479999997</v>
      </c>
      <c r="V219" s="366">
        <v>68765.126919999966</v>
      </c>
      <c r="W219" s="366">
        <v>67636.25662999996</v>
      </c>
      <c r="X219" s="368">
        <f t="shared" si="3"/>
        <v>73223.78693461536</v>
      </c>
      <c r="Y219" s="749"/>
      <c r="Z219" s="749"/>
      <c r="AA219" s="749"/>
      <c r="AB219" s="749"/>
      <c r="AC219" s="749"/>
      <c r="AD219" s="749"/>
      <c r="AE219" s="749"/>
      <c r="AF219" s="749"/>
      <c r="AG219" s="749"/>
      <c r="AH219" s="749"/>
      <c r="AI219" s="749"/>
      <c r="AJ219" s="749"/>
      <c r="AK219" s="749"/>
      <c r="AL219" s="749"/>
      <c r="AM219" s="749"/>
      <c r="AN219" s="749"/>
      <c r="AO219" s="749"/>
      <c r="AP219" s="749"/>
      <c r="AQ219" s="749"/>
      <c r="AR219" s="749"/>
      <c r="AS219" s="749"/>
      <c r="AT219" s="749"/>
      <c r="AU219" s="749"/>
      <c r="AV219" s="749"/>
      <c r="AW219" s="749"/>
    </row>
    <row r="220" spans="1:49" ht="15.75" thickBot="1">
      <c r="A220" s="318" t="s">
        <v>542</v>
      </c>
      <c r="B220" s="316">
        <v>14705.09834</v>
      </c>
      <c r="C220" s="316">
        <v>14705.09834</v>
      </c>
      <c r="D220" s="316">
        <v>14705.09834</v>
      </c>
      <c r="E220" s="316">
        <v>14705.09834</v>
      </c>
      <c r="F220" s="316">
        <v>14705.09834</v>
      </c>
      <c r="G220" s="316">
        <v>14705.09834</v>
      </c>
      <c r="H220" s="316">
        <v>14705.09834</v>
      </c>
      <c r="I220" s="316">
        <v>14705.09834</v>
      </c>
      <c r="J220" s="316">
        <v>14705.09834</v>
      </c>
      <c r="K220" s="316">
        <v>14705.09834</v>
      </c>
      <c r="L220" s="316">
        <v>14705.09834</v>
      </c>
      <c r="M220" s="316">
        <v>14705.09834</v>
      </c>
      <c r="N220" s="316">
        <v>14705.09834</v>
      </c>
      <c r="O220" s="316">
        <v>14705.09834</v>
      </c>
      <c r="P220" s="316">
        <v>14705.09834</v>
      </c>
      <c r="Q220" s="316">
        <v>14705.09834</v>
      </c>
      <c r="R220" s="316">
        <v>14705.09834</v>
      </c>
      <c r="S220" s="316">
        <v>14705.09834</v>
      </c>
      <c r="T220" s="316">
        <v>14705.09834</v>
      </c>
      <c r="U220" s="316">
        <v>14705.09834</v>
      </c>
      <c r="V220" s="316">
        <v>14705.09834</v>
      </c>
      <c r="W220" s="316">
        <v>14705.09834</v>
      </c>
      <c r="X220" s="368">
        <f t="shared" si="3"/>
        <v>14705.098339999999</v>
      </c>
    </row>
    <row r="221" spans="1:49">
      <c r="A221" s="318" t="s">
        <v>540</v>
      </c>
      <c r="B221" s="317">
        <v>103191.74876</v>
      </c>
      <c r="C221" s="317">
        <v>103033.52926</v>
      </c>
      <c r="D221" s="317">
        <v>102394.81256999999</v>
      </c>
      <c r="E221" s="317">
        <v>101693.54506</v>
      </c>
      <c r="F221" s="317">
        <v>101020.85931</v>
      </c>
      <c r="G221" s="317">
        <v>99590.325729999997</v>
      </c>
      <c r="H221" s="317">
        <v>99311.22907999999</v>
      </c>
      <c r="I221" s="317">
        <v>98752.614869999976</v>
      </c>
      <c r="J221" s="317">
        <v>97963.939059999975</v>
      </c>
      <c r="K221" s="317">
        <v>96621.67750999998</v>
      </c>
      <c r="L221" s="317">
        <v>95291.357559999989</v>
      </c>
      <c r="M221" s="317">
        <v>93403.541979999995</v>
      </c>
      <c r="N221" s="317">
        <v>91885.236779999992</v>
      </c>
      <c r="O221" s="317">
        <v>89278.44795999999</v>
      </c>
      <c r="P221" s="317">
        <v>87006.453499999989</v>
      </c>
      <c r="Q221" s="317">
        <v>85503.895519999991</v>
      </c>
      <c r="R221" s="317">
        <v>85124.322009999974</v>
      </c>
      <c r="S221" s="317">
        <v>84740.807129999972</v>
      </c>
      <c r="T221" s="317">
        <v>84382.675249999971</v>
      </c>
      <c r="U221" s="317">
        <v>84025.513139999966</v>
      </c>
      <c r="V221" s="317">
        <v>83470.225259999963</v>
      </c>
      <c r="W221" s="317">
        <v>82341.354969999957</v>
      </c>
      <c r="X221" s="368">
        <f t="shared" si="3"/>
        <v>87928.885274615357</v>
      </c>
    </row>
    <row r="222" spans="1:49"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8">
        <f t="shared" si="3"/>
        <v>0</v>
      </c>
      <c r="Y222" s="745"/>
      <c r="Z222" s="745"/>
      <c r="AA222" s="745"/>
      <c r="AB222" s="745"/>
      <c r="AC222" s="745"/>
      <c r="AD222" s="745"/>
      <c r="AE222" s="745"/>
      <c r="AF222" s="745"/>
      <c r="AG222" s="745"/>
      <c r="AH222" s="745"/>
      <c r="AI222" s="745"/>
      <c r="AJ222" s="745"/>
      <c r="AK222" s="745"/>
      <c r="AL222" s="745"/>
      <c r="AM222" s="745"/>
      <c r="AN222" s="745"/>
      <c r="AO222" s="745"/>
      <c r="AP222" s="745"/>
      <c r="AQ222" s="745"/>
      <c r="AR222" s="745"/>
      <c r="AS222" s="745"/>
      <c r="AT222" s="745"/>
      <c r="AU222" s="745"/>
      <c r="AV222" s="745"/>
      <c r="AW222" s="745"/>
    </row>
    <row r="223" spans="1:49">
      <c r="A223" s="318" t="s">
        <v>543</v>
      </c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8">
        <f t="shared" si="3"/>
        <v>0</v>
      </c>
      <c r="Y223" s="745"/>
      <c r="Z223" s="745"/>
      <c r="AA223" s="745"/>
      <c r="AB223" s="745"/>
      <c r="AC223" s="745"/>
      <c r="AD223" s="745"/>
      <c r="AE223" s="745"/>
      <c r="AF223" s="745"/>
      <c r="AG223" s="745"/>
      <c r="AH223" s="745"/>
      <c r="AI223" s="745"/>
      <c r="AJ223" s="745"/>
      <c r="AK223" s="745"/>
      <c r="AL223" s="745"/>
      <c r="AM223" s="745"/>
      <c r="AN223" s="745"/>
      <c r="AO223" s="745"/>
      <c r="AP223" s="745"/>
      <c r="AQ223" s="745"/>
      <c r="AR223" s="745"/>
      <c r="AS223" s="745"/>
      <c r="AT223" s="745"/>
      <c r="AU223" s="745"/>
      <c r="AV223" s="745"/>
      <c r="AW223" s="745"/>
    </row>
    <row r="224" spans="1:49">
      <c r="A224" s="318" t="s">
        <v>544</v>
      </c>
      <c r="B224" s="317">
        <v>26.063846751748141</v>
      </c>
      <c r="C224" s="317">
        <v>26.035866590293484</v>
      </c>
      <c r="D224" s="317">
        <v>25.985859953226953</v>
      </c>
      <c r="E224" s="317">
        <v>25.93410077421057</v>
      </c>
      <c r="F224" s="317">
        <v>25.898233189754773</v>
      </c>
      <c r="G224" s="317">
        <v>25.865335507513105</v>
      </c>
      <c r="H224" s="317">
        <v>25.847771661947569</v>
      </c>
      <c r="I224" s="317">
        <v>25.819249169200695</v>
      </c>
      <c r="J224" s="317">
        <v>25.786539674534204</v>
      </c>
      <c r="K224" s="317">
        <v>25.754912579281392</v>
      </c>
      <c r="L224" s="317">
        <v>25.684114980930655</v>
      </c>
      <c r="M224" s="317">
        <v>25.59716401051714</v>
      </c>
      <c r="N224" s="317">
        <v>25.482780474406731</v>
      </c>
      <c r="O224" s="317">
        <v>25.416176087439972</v>
      </c>
      <c r="P224" s="317">
        <v>25.340604029816106</v>
      </c>
      <c r="Q224" s="317">
        <v>25.306312633428245</v>
      </c>
      <c r="R224" s="317">
        <v>25.274787730307889</v>
      </c>
      <c r="S224" s="317">
        <v>25.273431830462638</v>
      </c>
      <c r="T224" s="317">
        <v>25.260202781411376</v>
      </c>
      <c r="U224" s="317">
        <v>25.243001119273657</v>
      </c>
      <c r="V224" s="317">
        <v>25.225920590129729</v>
      </c>
      <c r="W224" s="317">
        <v>25.190672880654052</v>
      </c>
      <c r="X224" s="368">
        <f t="shared" si="3"/>
        <v>25.388467825235349</v>
      </c>
    </row>
    <row r="225" spans="1:49">
      <c r="A225" s="318" t="s">
        <v>545</v>
      </c>
      <c r="B225" s="368">
        <v>1676.5226764567187</v>
      </c>
      <c r="C225" s="368">
        <v>1674.7228893563549</v>
      </c>
      <c r="D225" s="368">
        <v>1671.50627817022</v>
      </c>
      <c r="E225" s="368">
        <v>1668.1769370272082</v>
      </c>
      <c r="F225" s="368">
        <v>1665.8698018118037</v>
      </c>
      <c r="G225" s="368">
        <v>1663.7537016518254</v>
      </c>
      <c r="H225" s="368">
        <v>1662.6239303768145</v>
      </c>
      <c r="I225" s="368">
        <v>1660.7892585290761</v>
      </c>
      <c r="J225" s="368">
        <v>1658.6852632874627</v>
      </c>
      <c r="K225" s="368">
        <v>1656.6508919651162</v>
      </c>
      <c r="L225" s="368">
        <v>1652.0969295280204</v>
      </c>
      <c r="M225" s="368">
        <v>1646.5039226696449</v>
      </c>
      <c r="N225" s="368">
        <v>1639.1463520881057</v>
      </c>
      <c r="O225" s="368">
        <v>1634.8621124605156</v>
      </c>
      <c r="P225" s="368">
        <v>1630.0010392076042</v>
      </c>
      <c r="Q225" s="368">
        <v>1627.7952902174725</v>
      </c>
      <c r="R225" s="368">
        <v>1625.7674922696951</v>
      </c>
      <c r="S225" s="368">
        <v>1625.680275794736</v>
      </c>
      <c r="T225" s="368">
        <v>1624.8293346065971</v>
      </c>
      <c r="U225" s="368">
        <v>1623.7228603044223</v>
      </c>
      <c r="V225" s="368">
        <v>1622.6241777228208</v>
      </c>
      <c r="W225" s="368">
        <v>1620.3569151505696</v>
      </c>
      <c r="X225" s="368">
        <f t="shared" si="3"/>
        <v>1633.0798149219477</v>
      </c>
    </row>
    <row r="226" spans="1:49" ht="15.75" thickBot="1">
      <c r="A226" s="318" t="s">
        <v>1925</v>
      </c>
      <c r="B226" s="316">
        <v>12745.051547405736</v>
      </c>
      <c r="C226" s="316">
        <v>12731.369430431947</v>
      </c>
      <c r="D226" s="316">
        <v>1.4919772894531747E-12</v>
      </c>
      <c r="E226" s="316">
        <v>1.4890055379024397E-12</v>
      </c>
      <c r="F226" s="316">
        <v>1.4869462017276156E-12</v>
      </c>
      <c r="G226" s="316">
        <v>1.4850573823901544E-12</v>
      </c>
      <c r="H226" s="316">
        <v>1.4840489547781219E-12</v>
      </c>
      <c r="I226" s="316">
        <v>1.4824113368007479E-12</v>
      </c>
      <c r="J226" s="316">
        <v>1.480533322246689E-12</v>
      </c>
      <c r="K226" s="316">
        <v>1.4787174536191546E-12</v>
      </c>
      <c r="L226" s="316">
        <v>1.4746526118522379E-12</v>
      </c>
      <c r="M226" s="316">
        <v>1.4696603247627829E-12</v>
      </c>
      <c r="N226" s="316">
        <v>1.4630929978214675E-12</v>
      </c>
      <c r="O226" s="316">
        <v>1.4592689091474262E-12</v>
      </c>
      <c r="P226" s="316">
        <v>1.4549299419593092E-12</v>
      </c>
      <c r="Q226" s="316">
        <v>1.4529611025702563E-12</v>
      </c>
      <c r="R226" s="316">
        <v>1.4511511013006258E-12</v>
      </c>
      <c r="S226" s="316">
        <v>1.4510732523558716E-12</v>
      </c>
      <c r="T226" s="316">
        <v>1.4503137069422862E-12</v>
      </c>
      <c r="U226" s="316">
        <v>1.4493260740797789E-12</v>
      </c>
      <c r="V226" s="316">
        <v>1.4483453960641023E-12</v>
      </c>
      <c r="W226" s="316">
        <v>1.4463216499907528E-12</v>
      </c>
      <c r="X226" s="368">
        <f t="shared" si="3"/>
        <v>1.4576780401896965E-12</v>
      </c>
    </row>
    <row r="227" spans="1:49">
      <c r="A227" s="318" t="s">
        <v>543</v>
      </c>
      <c r="B227" s="317">
        <v>14447.638070614203</v>
      </c>
      <c r="C227" s="317">
        <v>14432.128186378595</v>
      </c>
      <c r="D227" s="317">
        <v>1697.4921381234485</v>
      </c>
      <c r="E227" s="317">
        <v>1694.1110378014203</v>
      </c>
      <c r="F227" s="317">
        <v>1691.7680350015601</v>
      </c>
      <c r="G227" s="317">
        <v>1689.61903715934</v>
      </c>
      <c r="H227" s="317">
        <v>1688.4717020387636</v>
      </c>
      <c r="I227" s="317">
        <v>1686.6085076982783</v>
      </c>
      <c r="J227" s="317">
        <v>1684.4718029619985</v>
      </c>
      <c r="K227" s="317">
        <v>1682.4058045443992</v>
      </c>
      <c r="L227" s="317">
        <v>1677.7810445089524</v>
      </c>
      <c r="M227" s="317">
        <v>1672.1010866801635</v>
      </c>
      <c r="N227" s="317">
        <v>1664.6291325625139</v>
      </c>
      <c r="O227" s="317">
        <v>1660.2782885479569</v>
      </c>
      <c r="P227" s="317">
        <v>1655.3416432374217</v>
      </c>
      <c r="Q227" s="317">
        <v>1653.1016028509021</v>
      </c>
      <c r="R227" s="317">
        <v>1651.0422800000044</v>
      </c>
      <c r="S227" s="317">
        <v>1650.9537076252</v>
      </c>
      <c r="T227" s="317">
        <v>1650.0895373880098</v>
      </c>
      <c r="U227" s="317">
        <v>1648.9658614236973</v>
      </c>
      <c r="V227" s="317">
        <v>1647.850098312952</v>
      </c>
      <c r="W227" s="317">
        <v>1645.5475880312251</v>
      </c>
      <c r="X227" s="368">
        <f t="shared" si="3"/>
        <v>1658.4682827471845</v>
      </c>
    </row>
    <row r="228" spans="1:49"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8">
        <f t="shared" si="3"/>
        <v>0</v>
      </c>
      <c r="Y228" s="745"/>
      <c r="Z228" s="745"/>
      <c r="AA228" s="745"/>
      <c r="AB228" s="745"/>
      <c r="AC228" s="745"/>
      <c r="AD228" s="745"/>
      <c r="AE228" s="745"/>
      <c r="AF228" s="745"/>
      <c r="AG228" s="745"/>
      <c r="AH228" s="745"/>
      <c r="AI228" s="745"/>
      <c r="AJ228" s="745"/>
      <c r="AK228" s="745"/>
      <c r="AL228" s="745"/>
      <c r="AM228" s="745"/>
      <c r="AN228" s="745"/>
      <c r="AO228" s="745"/>
      <c r="AP228" s="745"/>
      <c r="AQ228" s="745"/>
      <c r="AR228" s="745"/>
      <c r="AS228" s="745"/>
      <c r="AT228" s="745"/>
      <c r="AU228" s="745"/>
      <c r="AV228" s="745"/>
      <c r="AW228" s="745"/>
    </row>
    <row r="229" spans="1:49">
      <c r="A229" s="318" t="s">
        <v>547</v>
      </c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8">
        <f t="shared" si="3"/>
        <v>0</v>
      </c>
      <c r="Y229" s="745"/>
      <c r="Z229" s="745"/>
      <c r="AA229" s="745"/>
      <c r="AB229" s="745"/>
      <c r="AC229" s="745"/>
      <c r="AD229" s="745"/>
      <c r="AE229" s="745"/>
      <c r="AF229" s="745"/>
      <c r="AG229" s="745"/>
      <c r="AH229" s="745"/>
      <c r="AI229" s="745"/>
      <c r="AJ229" s="745"/>
      <c r="AK229" s="745"/>
      <c r="AL229" s="745"/>
      <c r="AM229" s="745"/>
      <c r="AN229" s="745"/>
      <c r="AO229" s="745"/>
      <c r="AP229" s="745"/>
      <c r="AQ229" s="745"/>
      <c r="AR229" s="745"/>
      <c r="AS229" s="745"/>
      <c r="AT229" s="745"/>
      <c r="AU229" s="745"/>
      <c r="AV229" s="745"/>
      <c r="AW229" s="745"/>
    </row>
    <row r="230" spans="1:49">
      <c r="A230" s="318" t="s">
        <v>548</v>
      </c>
      <c r="B230" s="317">
        <v>493.52693000998386</v>
      </c>
      <c r="C230" s="317">
        <v>492.99711707348877</v>
      </c>
      <c r="D230" s="317">
        <v>492.05022606746667</v>
      </c>
      <c r="E230" s="317">
        <v>491.0701501422551</v>
      </c>
      <c r="F230" s="317">
        <v>490.39098643277094</v>
      </c>
      <c r="G230" s="317">
        <v>489.76805873235065</v>
      </c>
      <c r="H230" s="317">
        <v>489.43548193109444</v>
      </c>
      <c r="I230" s="317">
        <v>488.89539978529024</v>
      </c>
      <c r="J230" s="317">
        <v>488.2760354743084</v>
      </c>
      <c r="K230" s="317">
        <v>487.67716672811281</v>
      </c>
      <c r="L230" s="317">
        <v>486.33659249519474</v>
      </c>
      <c r="M230" s="317">
        <v>484.69014920927833</v>
      </c>
      <c r="N230" s="317">
        <v>482.52426188044535</v>
      </c>
      <c r="O230" s="317">
        <v>481.26308739081639</v>
      </c>
      <c r="P230" s="317">
        <v>479.8321073076043</v>
      </c>
      <c r="Q230" s="317">
        <v>479.1827892024815</v>
      </c>
      <c r="R230" s="317">
        <v>478.58585549564839</v>
      </c>
      <c r="S230" s="317">
        <v>478.56018111632892</v>
      </c>
      <c r="T230" s="317">
        <v>478.30968501621726</v>
      </c>
      <c r="U230" s="317">
        <v>477.98396626922039</v>
      </c>
      <c r="V230" s="317">
        <v>477.66054121260316</v>
      </c>
      <c r="W230" s="317">
        <v>476.99311502593525</v>
      </c>
      <c r="X230" s="368">
        <f t="shared" si="3"/>
        <v>480.73842294999127</v>
      </c>
    </row>
    <row r="231" spans="1:49">
      <c r="A231" s="318" t="s">
        <v>549</v>
      </c>
      <c r="B231" s="368">
        <v>1966.0438543129094</v>
      </c>
      <c r="C231" s="368">
        <v>1963.9332593192169</v>
      </c>
      <c r="D231" s="368">
        <v>1960.1611667951952</v>
      </c>
      <c r="E231" s="368">
        <v>1956.2568768114991</v>
      </c>
      <c r="F231" s="368">
        <v>1953.5513190072338</v>
      </c>
      <c r="G231" s="368">
        <v>1951.0697863843477</v>
      </c>
      <c r="H231" s="368">
        <v>1949.7449132387553</v>
      </c>
      <c r="I231" s="368">
        <v>1947.5934091991257</v>
      </c>
      <c r="J231" s="368">
        <v>1945.1260719108404</v>
      </c>
      <c r="K231" s="368">
        <v>1942.740381999301</v>
      </c>
      <c r="L231" s="368">
        <v>1937.399989061016</v>
      </c>
      <c r="M231" s="368">
        <v>1930.8411175852784</v>
      </c>
      <c r="N231" s="368">
        <v>1922.2129572700953</v>
      </c>
      <c r="O231" s="368">
        <v>1917.1888659717724</v>
      </c>
      <c r="P231" s="368">
        <v>1911.4883267971697</v>
      </c>
      <c r="Q231" s="368">
        <v>1908.9016637552056</v>
      </c>
      <c r="R231" s="368">
        <v>1906.5236823840012</v>
      </c>
      <c r="S231" s="368">
        <v>1906.4214043671295</v>
      </c>
      <c r="T231" s="368">
        <v>1905.4235128880484</v>
      </c>
      <c r="U231" s="368">
        <v>1904.1259599039495</v>
      </c>
      <c r="V231" s="368">
        <v>1902.8375442041613</v>
      </c>
      <c r="W231" s="368">
        <v>1900.1787447087024</v>
      </c>
      <c r="X231" s="368">
        <f t="shared" si="3"/>
        <v>1915.0987808381408</v>
      </c>
    </row>
    <row r="232" spans="1:49" ht="15.75" thickBot="1">
      <c r="A232" s="318" t="s">
        <v>1926</v>
      </c>
      <c r="B232" s="316">
        <v>0</v>
      </c>
      <c r="C232" s="316">
        <v>0</v>
      </c>
      <c r="D232" s="316">
        <v>0</v>
      </c>
      <c r="E232" s="316">
        <v>0</v>
      </c>
      <c r="F232" s="316">
        <v>0</v>
      </c>
      <c r="G232" s="316">
        <v>0</v>
      </c>
      <c r="H232" s="316">
        <v>11462.513584806358</v>
      </c>
      <c r="I232" s="316">
        <v>11082.25469474167</v>
      </c>
      <c r="J232" s="316">
        <v>10694.172649723931</v>
      </c>
      <c r="K232" s="316">
        <v>10259.920679441018</v>
      </c>
      <c r="L232" s="316">
        <v>10001.458083959351</v>
      </c>
      <c r="M232" s="316">
        <v>9744.7043951339128</v>
      </c>
      <c r="N232" s="316">
        <v>9490.7460100387543</v>
      </c>
      <c r="O232" s="316">
        <v>9236.4883857479526</v>
      </c>
      <c r="P232" s="316">
        <v>8982.3602740366387</v>
      </c>
      <c r="Q232" s="316">
        <v>8730.760920345976</v>
      </c>
      <c r="R232" s="316">
        <v>8534.7113484311558</v>
      </c>
      <c r="S232" s="316">
        <v>8340.817482804734</v>
      </c>
      <c r="T232" s="316">
        <v>8154.3543976061892</v>
      </c>
      <c r="U232" s="316">
        <v>7969.3102784551802</v>
      </c>
      <c r="V232" s="316">
        <v>7783.1576097683965</v>
      </c>
      <c r="W232" s="316">
        <v>7562.2611496369118</v>
      </c>
      <c r="X232" s="368">
        <f t="shared" si="3"/>
        <v>8830.0808473389352</v>
      </c>
    </row>
    <row r="233" spans="1:49">
      <c r="A233" s="318" t="s">
        <v>547</v>
      </c>
      <c r="B233" s="317">
        <v>2459.5707843228934</v>
      </c>
      <c r="C233" s="317">
        <v>2456.9303763927055</v>
      </c>
      <c r="D233" s="317">
        <v>2452.2113928626618</v>
      </c>
      <c r="E233" s="317">
        <v>2447.3270269537543</v>
      </c>
      <c r="F233" s="317">
        <v>2443.9423054400049</v>
      </c>
      <c r="G233" s="317">
        <v>2440.8378451166982</v>
      </c>
      <c r="H233" s="317">
        <v>13901.693979976208</v>
      </c>
      <c r="I233" s="317">
        <v>13518.743503726088</v>
      </c>
      <c r="J233" s="317">
        <v>13127.57475710908</v>
      </c>
      <c r="K233" s="317">
        <v>12690.338228168432</v>
      </c>
      <c r="L233" s="317">
        <v>12425.194665515563</v>
      </c>
      <c r="M233" s="317">
        <v>12160.235661928469</v>
      </c>
      <c r="N233" s="317">
        <v>11895.483229189294</v>
      </c>
      <c r="O233" s="317">
        <v>11634.940339110541</v>
      </c>
      <c r="P233" s="317">
        <v>11373.680708141412</v>
      </c>
      <c r="Q233" s="317">
        <v>11118.845373303662</v>
      </c>
      <c r="R233" s="317">
        <v>10919.820886310805</v>
      </c>
      <c r="S233" s="317">
        <v>10725.799068288192</v>
      </c>
      <c r="T233" s="317">
        <v>10538.087595510455</v>
      </c>
      <c r="U233" s="317">
        <v>10351.42020462835</v>
      </c>
      <c r="V233" s="317">
        <v>10163.65569518516</v>
      </c>
      <c r="W233" s="317">
        <v>9939.4330093715489</v>
      </c>
      <c r="X233" s="368">
        <f t="shared" si="3"/>
        <v>11225.918051127066</v>
      </c>
    </row>
    <row r="234" spans="1:49"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8">
        <f t="shared" si="3"/>
        <v>0</v>
      </c>
      <c r="Y234" s="745"/>
      <c r="Z234" s="745"/>
      <c r="AA234" s="745"/>
      <c r="AB234" s="745"/>
      <c r="AC234" s="745"/>
      <c r="AD234" s="745"/>
      <c r="AE234" s="745"/>
      <c r="AF234" s="745"/>
      <c r="AG234" s="745"/>
      <c r="AH234" s="745"/>
      <c r="AI234" s="745"/>
      <c r="AJ234" s="745"/>
      <c r="AK234" s="745"/>
      <c r="AL234" s="745"/>
      <c r="AM234" s="745"/>
      <c r="AN234" s="745"/>
      <c r="AO234" s="745"/>
      <c r="AP234" s="745"/>
      <c r="AQ234" s="745"/>
      <c r="AR234" s="745"/>
      <c r="AS234" s="745"/>
      <c r="AT234" s="745"/>
      <c r="AU234" s="745"/>
      <c r="AV234" s="745"/>
      <c r="AW234" s="745"/>
    </row>
    <row r="235" spans="1:49">
      <c r="A235" s="318" t="s">
        <v>550</v>
      </c>
      <c r="B235" s="317">
        <v>0</v>
      </c>
      <c r="C235" s="317">
        <v>0</v>
      </c>
      <c r="D235" s="317">
        <v>0</v>
      </c>
      <c r="E235" s="317">
        <v>0</v>
      </c>
      <c r="F235" s="317">
        <v>0</v>
      </c>
      <c r="G235" s="317">
        <v>0</v>
      </c>
      <c r="H235" s="317">
        <v>0</v>
      </c>
      <c r="I235" s="317">
        <v>0</v>
      </c>
      <c r="J235" s="317">
        <v>0</v>
      </c>
      <c r="K235" s="317">
        <v>0</v>
      </c>
      <c r="L235" s="317">
        <v>0</v>
      </c>
      <c r="M235" s="317">
        <v>0</v>
      </c>
      <c r="N235" s="317">
        <v>0</v>
      </c>
      <c r="O235" s="317">
        <v>0</v>
      </c>
      <c r="P235" s="317">
        <v>0</v>
      </c>
      <c r="Q235" s="317">
        <v>0</v>
      </c>
      <c r="R235" s="317">
        <v>0</v>
      </c>
      <c r="S235" s="317">
        <v>0</v>
      </c>
      <c r="T235" s="317">
        <v>0</v>
      </c>
      <c r="U235" s="317">
        <v>0</v>
      </c>
      <c r="V235" s="317">
        <v>0</v>
      </c>
      <c r="W235" s="317">
        <v>0</v>
      </c>
      <c r="X235" s="368">
        <f t="shared" si="3"/>
        <v>0</v>
      </c>
    </row>
    <row r="236" spans="1:49"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8">
        <f t="shared" si="3"/>
        <v>0</v>
      </c>
      <c r="Y236" s="745"/>
      <c r="Z236" s="745"/>
      <c r="AA236" s="745"/>
      <c r="AB236" s="745"/>
      <c r="AC236" s="745"/>
      <c r="AD236" s="745"/>
      <c r="AE236" s="745"/>
      <c r="AF236" s="745"/>
      <c r="AG236" s="745"/>
      <c r="AH236" s="745"/>
      <c r="AI236" s="745"/>
      <c r="AJ236" s="745"/>
      <c r="AK236" s="745"/>
      <c r="AL236" s="745"/>
      <c r="AM236" s="745"/>
      <c r="AN236" s="745"/>
      <c r="AO236" s="745"/>
      <c r="AP236" s="745"/>
      <c r="AQ236" s="745"/>
      <c r="AR236" s="745"/>
      <c r="AS236" s="745"/>
      <c r="AT236" s="745"/>
      <c r="AU236" s="745"/>
      <c r="AV236" s="745"/>
      <c r="AW236" s="745"/>
    </row>
    <row r="237" spans="1:49">
      <c r="A237" s="318" t="s">
        <v>551</v>
      </c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8">
        <f t="shared" si="3"/>
        <v>0</v>
      </c>
      <c r="Y237" s="745"/>
      <c r="Z237" s="745"/>
      <c r="AA237" s="745"/>
      <c r="AB237" s="745"/>
      <c r="AC237" s="745"/>
      <c r="AD237" s="745"/>
      <c r="AE237" s="745"/>
      <c r="AF237" s="745"/>
      <c r="AG237" s="745"/>
      <c r="AH237" s="745"/>
      <c r="AI237" s="745"/>
      <c r="AJ237" s="745"/>
      <c r="AK237" s="745"/>
      <c r="AL237" s="745"/>
      <c r="AM237" s="745"/>
      <c r="AN237" s="745"/>
      <c r="AO237" s="745"/>
      <c r="AP237" s="745"/>
      <c r="AQ237" s="745"/>
      <c r="AR237" s="745"/>
      <c r="AS237" s="745"/>
      <c r="AT237" s="745"/>
      <c r="AU237" s="745"/>
      <c r="AV237" s="745"/>
      <c r="AW237" s="745"/>
    </row>
    <row r="238" spans="1:49">
      <c r="A238" s="318" t="s">
        <v>552</v>
      </c>
      <c r="B238" s="317">
        <v>3282.3342330808873</v>
      </c>
      <c r="C238" s="317">
        <v>3300.5846819734652</v>
      </c>
      <c r="D238" s="317">
        <v>3315.9775981194703</v>
      </c>
      <c r="E238" s="317">
        <v>3331.0617696529675</v>
      </c>
      <c r="F238" s="317">
        <v>3348.1138268760701</v>
      </c>
      <c r="G238" s="317">
        <v>3365.4923227063223</v>
      </c>
      <c r="H238" s="317">
        <v>3363.2069865122166</v>
      </c>
      <c r="I238" s="317">
        <v>3359.4957556899385</v>
      </c>
      <c r="J238" s="317">
        <v>3355.2397291965758</v>
      </c>
      <c r="K238" s="317">
        <v>3351.1245401153469</v>
      </c>
      <c r="L238" s="317">
        <v>3341.9126443853947</v>
      </c>
      <c r="M238" s="317">
        <v>3330.5989375404342</v>
      </c>
      <c r="N238" s="317">
        <v>3315.7158167507673</v>
      </c>
      <c r="O238" s="317">
        <v>3307.0495246421615</v>
      </c>
      <c r="P238" s="317">
        <v>3297.2163956780946</v>
      </c>
      <c r="Q238" s="317">
        <v>3292.754538562624</v>
      </c>
      <c r="R238" s="317">
        <v>3288.6526463062951</v>
      </c>
      <c r="S238" s="317">
        <v>3288.4762221296892</v>
      </c>
      <c r="T238" s="317">
        <v>3286.7549120385906</v>
      </c>
      <c r="U238" s="317">
        <v>3284.5167016799637</v>
      </c>
      <c r="V238" s="317">
        <v>3282.2942526541256</v>
      </c>
      <c r="W238" s="317">
        <v>3277.7079639667463</v>
      </c>
      <c r="X238" s="368">
        <f t="shared" si="3"/>
        <v>3303.4442381884783</v>
      </c>
    </row>
    <row r="239" spans="1:49">
      <c r="A239" s="318" t="s">
        <v>553</v>
      </c>
      <c r="B239" s="317">
        <v>0</v>
      </c>
      <c r="C239" s="317">
        <v>0</v>
      </c>
      <c r="D239" s="317">
        <v>0</v>
      </c>
      <c r="E239" s="317">
        <v>0</v>
      </c>
      <c r="F239" s="317">
        <v>0</v>
      </c>
      <c r="G239" s="317">
        <v>0</v>
      </c>
      <c r="H239" s="317">
        <v>0</v>
      </c>
      <c r="I239" s="317">
        <v>0</v>
      </c>
      <c r="J239" s="317">
        <v>0</v>
      </c>
      <c r="K239" s="317">
        <v>0</v>
      </c>
      <c r="L239" s="317">
        <v>0</v>
      </c>
      <c r="M239" s="317">
        <v>0</v>
      </c>
      <c r="N239" s="317">
        <v>0</v>
      </c>
      <c r="O239" s="317">
        <v>0</v>
      </c>
      <c r="P239" s="317">
        <v>0</v>
      </c>
      <c r="Q239" s="317">
        <v>0</v>
      </c>
      <c r="R239" s="317">
        <v>0</v>
      </c>
      <c r="S239" s="317">
        <v>0</v>
      </c>
      <c r="T239" s="317">
        <v>0</v>
      </c>
      <c r="U239" s="317">
        <v>0</v>
      </c>
      <c r="V239" s="317">
        <v>0</v>
      </c>
      <c r="W239" s="317">
        <v>0</v>
      </c>
      <c r="X239" s="368">
        <f t="shared" si="3"/>
        <v>0</v>
      </c>
    </row>
    <row r="240" spans="1:49" ht="15.75" thickBot="1">
      <c r="A240" s="318" t="s">
        <v>554</v>
      </c>
      <c r="B240" s="316">
        <v>54149.318262453649</v>
      </c>
      <c r="C240" s="316">
        <v>54294.187467012867</v>
      </c>
      <c r="D240" s="316">
        <v>53091.734367640514</v>
      </c>
      <c r="E240" s="316">
        <v>53188.191470492522</v>
      </c>
      <c r="F240" s="316">
        <v>53316.557390823575</v>
      </c>
      <c r="G240" s="316">
        <v>52155.75331204378</v>
      </c>
      <c r="H240" s="316">
        <v>52324.331999400099</v>
      </c>
      <c r="I240" s="316">
        <v>52470.36308439479</v>
      </c>
      <c r="J240" s="316">
        <v>51280.491320513662</v>
      </c>
      <c r="K240" s="316">
        <v>51420.858158841307</v>
      </c>
      <c r="L240" s="316">
        <v>51482.210947204694</v>
      </c>
      <c r="M240" s="316">
        <v>50192.774432662991</v>
      </c>
      <c r="N240" s="316">
        <v>50169.597362356901</v>
      </c>
      <c r="O240" s="316">
        <v>50239.057804242075</v>
      </c>
      <c r="P240" s="316">
        <v>48985.706196773623</v>
      </c>
      <c r="Q240" s="316">
        <v>49119.139533250484</v>
      </c>
      <c r="R240" s="316">
        <v>49257.423154497337</v>
      </c>
      <c r="S240" s="316">
        <v>48153.73546821253</v>
      </c>
      <c r="T240" s="316">
        <v>48322.618779776887</v>
      </c>
      <c r="U240" s="316">
        <v>48483.66868919543</v>
      </c>
      <c r="V240" s="316">
        <v>47329.553104712613</v>
      </c>
      <c r="W240" s="316">
        <v>47456.974920177214</v>
      </c>
      <c r="X240" s="368">
        <f t="shared" si="3"/>
        <v>49277.947580915708</v>
      </c>
    </row>
    <row r="241" spans="1:49">
      <c r="A241" s="318" t="s">
        <v>551</v>
      </c>
      <c r="B241" s="317">
        <v>57431.652495534538</v>
      </c>
      <c r="C241" s="317">
        <v>57594.772148986332</v>
      </c>
      <c r="D241" s="317">
        <v>56407.711965759983</v>
      </c>
      <c r="E241" s="317">
        <v>56519.253240145488</v>
      </c>
      <c r="F241" s="317">
        <v>56664.671217699644</v>
      </c>
      <c r="G241" s="317">
        <v>55521.245634750099</v>
      </c>
      <c r="H241" s="317">
        <v>55687.538985912317</v>
      </c>
      <c r="I241" s="317">
        <v>55829.858840084729</v>
      </c>
      <c r="J241" s="317">
        <v>54635.731049710237</v>
      </c>
      <c r="K241" s="317">
        <v>54771.982698956657</v>
      </c>
      <c r="L241" s="317">
        <v>54824.123591590091</v>
      </c>
      <c r="M241" s="317">
        <v>53523.373370203422</v>
      </c>
      <c r="N241" s="317">
        <v>53485.313179107667</v>
      </c>
      <c r="O241" s="317">
        <v>53546.107328884238</v>
      </c>
      <c r="P241" s="317">
        <v>52282.922592451716</v>
      </c>
      <c r="Q241" s="317">
        <v>52411.894071813105</v>
      </c>
      <c r="R241" s="317">
        <v>52546.075800803636</v>
      </c>
      <c r="S241" s="317">
        <v>51442.211690342221</v>
      </c>
      <c r="T241" s="317">
        <v>51609.373691815475</v>
      </c>
      <c r="U241" s="317">
        <v>51768.185390875391</v>
      </c>
      <c r="V241" s="317">
        <v>50611.847357366736</v>
      </c>
      <c r="W241" s="317">
        <v>50734.682884143956</v>
      </c>
      <c r="X241" s="368">
        <f t="shared" si="3"/>
        <v>52581.391819104174</v>
      </c>
    </row>
    <row r="242" spans="1:49"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8">
        <f t="shared" si="3"/>
        <v>0</v>
      </c>
      <c r="Y242" s="745"/>
      <c r="Z242" s="745"/>
      <c r="AA242" s="745"/>
      <c r="AB242" s="745"/>
      <c r="AC242" s="745"/>
      <c r="AD242" s="745"/>
      <c r="AE242" s="745"/>
      <c r="AF242" s="745"/>
      <c r="AG242" s="745"/>
      <c r="AH242" s="745"/>
      <c r="AI242" s="745"/>
      <c r="AJ242" s="745"/>
      <c r="AK242" s="745"/>
      <c r="AL242" s="745"/>
      <c r="AM242" s="745"/>
      <c r="AN242" s="745"/>
      <c r="AO242" s="745"/>
      <c r="AP242" s="745"/>
      <c r="AQ242" s="745"/>
      <c r="AR242" s="745"/>
      <c r="AS242" s="745"/>
      <c r="AT242" s="745"/>
      <c r="AU242" s="745"/>
      <c r="AV242" s="745"/>
      <c r="AW242" s="745"/>
    </row>
    <row r="243" spans="1:49">
      <c r="A243" s="318" t="s">
        <v>1502</v>
      </c>
      <c r="B243" s="369">
        <v>-9921.678960760124</v>
      </c>
      <c r="C243" s="369">
        <v>-18912.804181042127</v>
      </c>
      <c r="D243" s="369">
        <v>-22776.062866351567</v>
      </c>
      <c r="E243" s="369">
        <v>-27423.320795857348</v>
      </c>
      <c r="F243" s="369">
        <v>-26852.56439747382</v>
      </c>
      <c r="G243" s="369">
        <v>-24991.107381888665</v>
      </c>
      <c r="H243" s="369">
        <v>-12398.648753498681</v>
      </c>
      <c r="I243" s="369">
        <v>206.51740439701825</v>
      </c>
      <c r="J243" s="369">
        <v>8145.2710467828438</v>
      </c>
      <c r="K243" s="369">
        <v>13662.556829197332</v>
      </c>
      <c r="L243" s="369">
        <v>15402.896018984728</v>
      </c>
      <c r="M243" s="369">
        <v>11348.115542565472</v>
      </c>
      <c r="N243" s="369">
        <v>8839.0988855604082</v>
      </c>
      <c r="O243" s="369">
        <v>1899.3427438596264</v>
      </c>
      <c r="P243" s="369">
        <v>-2433.0608758283779</v>
      </c>
      <c r="Q243" s="369">
        <v>-5084.2498076492921</v>
      </c>
      <c r="R243" s="369">
        <v>-4371.4742487156764</v>
      </c>
      <c r="S243" s="369">
        <v>540.64641279075295</v>
      </c>
      <c r="T243" s="369">
        <v>8819.598236030899</v>
      </c>
      <c r="U243" s="369">
        <v>17462.996278845705</v>
      </c>
      <c r="V243" s="369">
        <v>22756.440583212301</v>
      </c>
      <c r="W243" s="369">
        <v>27878.976832073182</v>
      </c>
      <c r="X243" s="763">
        <f t="shared" si="3"/>
        <v>8978.6064177636199</v>
      </c>
      <c r="Y243" s="753"/>
      <c r="Z243" s="753"/>
      <c r="AA243" s="753"/>
      <c r="AB243" s="753"/>
      <c r="AC243" s="753"/>
      <c r="AD243" s="753"/>
      <c r="AE243" s="753"/>
      <c r="AF243" s="753"/>
      <c r="AG243" s="753"/>
      <c r="AH243" s="753"/>
      <c r="AI243" s="753"/>
      <c r="AJ243" s="753"/>
      <c r="AK243" s="753"/>
      <c r="AL243" s="753"/>
      <c r="AM243" s="753"/>
      <c r="AN243" s="753"/>
      <c r="AO243" s="753"/>
      <c r="AP243" s="753"/>
      <c r="AQ243" s="753"/>
      <c r="AR243" s="753"/>
      <c r="AS243" s="753"/>
      <c r="AT243" s="753"/>
      <c r="AU243" s="753"/>
      <c r="AV243" s="753"/>
      <c r="AW243" s="753"/>
    </row>
    <row r="244" spans="1:49"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8">
        <f t="shared" si="3"/>
        <v>0</v>
      </c>
      <c r="Y244" s="745"/>
      <c r="Z244" s="745"/>
      <c r="AA244" s="745"/>
      <c r="AB244" s="745"/>
      <c r="AC244" s="745"/>
      <c r="AD244" s="745"/>
      <c r="AE244" s="745"/>
      <c r="AF244" s="745"/>
      <c r="AG244" s="745"/>
      <c r="AH244" s="745"/>
      <c r="AI244" s="745"/>
      <c r="AJ244" s="745"/>
      <c r="AK244" s="745"/>
      <c r="AL244" s="745"/>
      <c r="AM244" s="745"/>
      <c r="AN244" s="745"/>
      <c r="AO244" s="745"/>
      <c r="AP244" s="745"/>
      <c r="AQ244" s="745"/>
      <c r="AR244" s="745"/>
      <c r="AS244" s="745"/>
      <c r="AT244" s="745"/>
      <c r="AU244" s="745"/>
      <c r="AV244" s="745"/>
      <c r="AW244" s="745"/>
    </row>
    <row r="245" spans="1:49" ht="15.75" thickBot="1">
      <c r="A245" s="353" t="s">
        <v>555</v>
      </c>
      <c r="B245" s="364">
        <v>1428807.5322143589</v>
      </c>
      <c r="C245" s="364">
        <v>1417829.5111098103</v>
      </c>
      <c r="D245" s="364">
        <v>1432186.1020285911</v>
      </c>
      <c r="E245" s="364">
        <v>1423264.9872627633</v>
      </c>
      <c r="F245" s="364">
        <v>1421147.6950125429</v>
      </c>
      <c r="G245" s="364">
        <v>1432648.2528734794</v>
      </c>
      <c r="H245" s="364">
        <v>1453920.4996253015</v>
      </c>
      <c r="I245" s="364">
        <v>1462092.1260385574</v>
      </c>
      <c r="J245" s="364">
        <v>1475856.99851215</v>
      </c>
      <c r="K245" s="364">
        <v>1475900.6748230318</v>
      </c>
      <c r="L245" s="364">
        <v>1472540.5504852405</v>
      </c>
      <c r="M245" s="364">
        <v>1477504.525456659</v>
      </c>
      <c r="N245" s="364">
        <v>1474681.7149861204</v>
      </c>
      <c r="O245" s="364">
        <v>1465076.6727991875</v>
      </c>
      <c r="P245" s="364">
        <v>1466579.974444499</v>
      </c>
      <c r="Q245" s="364">
        <v>1460511.0615148682</v>
      </c>
      <c r="R245" s="364">
        <v>1459934.6343200975</v>
      </c>
      <c r="S245" s="364">
        <v>1474842.0947374003</v>
      </c>
      <c r="T245" s="364">
        <v>1482537.4580184249</v>
      </c>
      <c r="U245" s="364">
        <v>1489731.0292779712</v>
      </c>
      <c r="V245" s="364">
        <v>1493695.2759068334</v>
      </c>
      <c r="W245" s="364">
        <v>1496071.1374270311</v>
      </c>
      <c r="X245" s="368">
        <f t="shared" si="3"/>
        <v>1476123.600322874</v>
      </c>
      <c r="Y245" s="746"/>
      <c r="Z245" s="746"/>
      <c r="AA245" s="746"/>
      <c r="AB245" s="746"/>
      <c r="AC245" s="746"/>
      <c r="AD245" s="746"/>
      <c r="AE245" s="746"/>
      <c r="AF245" s="746"/>
      <c r="AG245" s="746"/>
      <c r="AH245" s="746"/>
      <c r="AI245" s="746"/>
      <c r="AJ245" s="746"/>
      <c r="AK245" s="746"/>
      <c r="AL245" s="746"/>
      <c r="AM245" s="746"/>
      <c r="AN245" s="746"/>
      <c r="AO245" s="746"/>
      <c r="AP245" s="746"/>
      <c r="AQ245" s="746"/>
      <c r="AR245" s="746"/>
      <c r="AS245" s="746"/>
      <c r="AT245" s="746"/>
      <c r="AU245" s="746"/>
      <c r="AV245" s="746"/>
      <c r="AW245" s="746"/>
    </row>
    <row r="246" spans="1:49">
      <c r="B246" s="317"/>
      <c r="X246" s="368">
        <f t="shared" si="3"/>
        <v>0</v>
      </c>
    </row>
    <row r="247" spans="1:49" ht="15.75" thickBot="1">
      <c r="A247" s="353" t="s">
        <v>556</v>
      </c>
      <c r="B247" s="364">
        <v>5158889.4460552437</v>
      </c>
      <c r="C247" s="364">
        <v>5184751.8242777912</v>
      </c>
      <c r="D247" s="364">
        <v>5203813.3722379906</v>
      </c>
      <c r="E247" s="364">
        <v>5214785.9330410147</v>
      </c>
      <c r="F247" s="364">
        <v>5239500.0179885384</v>
      </c>
      <c r="G247" s="364">
        <v>5282517.8776849397</v>
      </c>
      <c r="H247" s="364">
        <v>5326025.0492175771</v>
      </c>
      <c r="I247" s="364">
        <v>5328011.4536581989</v>
      </c>
      <c r="J247" s="364">
        <v>5332030.48994043</v>
      </c>
      <c r="K247" s="364">
        <v>5338964.3400422912</v>
      </c>
      <c r="L247" s="364">
        <v>5347415.7976425514</v>
      </c>
      <c r="M247" s="364">
        <v>5359452.2944347626</v>
      </c>
      <c r="N247" s="364">
        <v>5375805.7921478255</v>
      </c>
      <c r="O247" s="364">
        <v>5387349.8902847152</v>
      </c>
      <c r="P247" s="364">
        <v>5384764.7872942192</v>
      </c>
      <c r="Q247" s="364">
        <v>5402682.134306157</v>
      </c>
      <c r="R247" s="364">
        <v>5427823.6291680587</v>
      </c>
      <c r="S247" s="364">
        <v>5454118.5749385366</v>
      </c>
      <c r="T247" s="364">
        <v>5469325.5842226045</v>
      </c>
      <c r="U247" s="364">
        <v>5457356.2470134962</v>
      </c>
      <c r="V247" s="364">
        <v>5446460.4909323137</v>
      </c>
      <c r="W247" s="364">
        <v>5437864.5195292868</v>
      </c>
      <c r="X247" s="368">
        <f t="shared" si="3"/>
        <v>5406875.6986120632</v>
      </c>
      <c r="Y247" s="746"/>
      <c r="Z247" s="746"/>
      <c r="AA247" s="746"/>
      <c r="AB247" s="746"/>
      <c r="AC247" s="746"/>
      <c r="AD247" s="746"/>
      <c r="AE247" s="746"/>
      <c r="AF247" s="746"/>
      <c r="AG247" s="746"/>
      <c r="AH247" s="746"/>
      <c r="AI247" s="746"/>
      <c r="AJ247" s="746"/>
      <c r="AK247" s="746"/>
      <c r="AL247" s="746"/>
      <c r="AM247" s="746"/>
      <c r="AN247" s="746"/>
      <c r="AO247" s="746"/>
      <c r="AP247" s="746"/>
      <c r="AQ247" s="746"/>
      <c r="AR247" s="746"/>
      <c r="AS247" s="746"/>
      <c r="AT247" s="746"/>
      <c r="AU247" s="746"/>
      <c r="AV247" s="746"/>
      <c r="AW247" s="746"/>
    </row>
    <row r="248" spans="1:49">
      <c r="C248" s="317">
        <v>0</v>
      </c>
      <c r="D248" s="317">
        <v>0</v>
      </c>
      <c r="E248" s="317">
        <v>0</v>
      </c>
      <c r="F248" s="317">
        <v>0</v>
      </c>
      <c r="G248" s="317">
        <v>0</v>
      </c>
      <c r="H248" s="317">
        <v>0</v>
      </c>
      <c r="I248" s="317">
        <v>0</v>
      </c>
      <c r="J248" s="317">
        <v>0</v>
      </c>
      <c r="K248" s="317">
        <v>0</v>
      </c>
      <c r="L248" s="317">
        <v>0</v>
      </c>
      <c r="M248" s="317">
        <v>0</v>
      </c>
      <c r="N248" s="317">
        <v>0</v>
      </c>
      <c r="O248" s="317">
        <v>0</v>
      </c>
      <c r="P248" s="317">
        <v>0</v>
      </c>
      <c r="Q248" s="317">
        <v>0</v>
      </c>
      <c r="R248" s="317">
        <v>0</v>
      </c>
      <c r="S248" s="317">
        <v>0</v>
      </c>
      <c r="T248" s="317">
        <v>0</v>
      </c>
      <c r="U248" s="317">
        <v>0</v>
      </c>
      <c r="V248" s="317">
        <v>0</v>
      </c>
      <c r="W248" s="317">
        <v>0</v>
      </c>
    </row>
    <row r="249" spans="1:49">
      <c r="B249" s="755">
        <v>0</v>
      </c>
      <c r="C249" s="755">
        <v>0</v>
      </c>
      <c r="D249" s="755">
        <v>0</v>
      </c>
      <c r="E249" s="755">
        <v>0</v>
      </c>
      <c r="F249" s="755">
        <v>0</v>
      </c>
      <c r="G249" s="755">
        <v>0</v>
      </c>
      <c r="H249" s="755">
        <v>0</v>
      </c>
      <c r="I249" s="755">
        <v>0</v>
      </c>
      <c r="J249" s="755">
        <v>0</v>
      </c>
      <c r="K249" s="755">
        <v>0</v>
      </c>
      <c r="L249" s="755">
        <v>0</v>
      </c>
      <c r="M249" s="755">
        <v>0</v>
      </c>
      <c r="N249" s="755">
        <v>0</v>
      </c>
      <c r="O249" s="755">
        <v>0</v>
      </c>
      <c r="P249" s="755">
        <v>0</v>
      </c>
      <c r="Q249" s="755">
        <v>0</v>
      </c>
      <c r="R249" s="755">
        <v>0</v>
      </c>
      <c r="S249" s="755">
        <v>0</v>
      </c>
      <c r="T249" s="755">
        <v>0</v>
      </c>
      <c r="U249" s="755">
        <v>0</v>
      </c>
      <c r="V249" s="755">
        <v>0</v>
      </c>
      <c r="W249" s="755">
        <v>0</v>
      </c>
    </row>
    <row r="250" spans="1:49">
      <c r="B250" s="755"/>
    </row>
    <row r="252" spans="1:49">
      <c r="A252" s="510"/>
    </row>
    <row r="253" spans="1:49">
      <c r="A253" s="510"/>
    </row>
    <row r="254" spans="1:49">
      <c r="A254" s="510"/>
    </row>
    <row r="255" spans="1:49">
      <c r="A255" s="510"/>
    </row>
    <row r="256" spans="1:49">
      <c r="A256" s="510"/>
    </row>
    <row r="257" spans="1:1">
      <c r="A257" s="510"/>
    </row>
    <row r="258" spans="1:1">
      <c r="A258" s="510"/>
    </row>
    <row r="259" spans="1:1">
      <c r="A259" s="510"/>
    </row>
    <row r="260" spans="1:1">
      <c r="A260" s="510"/>
    </row>
    <row r="261" spans="1:1">
      <c r="A261" s="510"/>
    </row>
    <row r="262" spans="1:1">
      <c r="A262" s="510"/>
    </row>
    <row r="263" spans="1:1">
      <c r="A263" s="510"/>
    </row>
    <row r="264" spans="1:1">
      <c r="A264" s="510"/>
    </row>
    <row r="265" spans="1:1">
      <c r="A265" s="510"/>
    </row>
  </sheetData>
  <autoFilter ref="A8:A249"/>
  <pageMargins left="0.75" right="0.75" top="1" bottom="1" header="0.5" footer="0.5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F312"/>
  <sheetViews>
    <sheetView zoomScale="70" zoomScaleNormal="70" workbookViewId="0">
      <pane xSplit="1" ySplit="3" topLeftCell="G4" activePane="bottomRight" state="frozen"/>
      <selection activeCell="K55" sqref="K55"/>
      <selection pane="topRight" activeCell="K55" sqref="K55"/>
      <selection pane="bottomLeft" activeCell="K55" sqref="K55"/>
      <selection pane="bottomRight" activeCell="W24" sqref="W24"/>
    </sheetView>
  </sheetViews>
  <sheetFormatPr defaultColWidth="9" defaultRowHeight="15" outlineLevelRow="1"/>
  <cols>
    <col min="1" max="1" width="33.21875" style="444" customWidth="1"/>
    <col min="2" max="14" width="9.33203125" style="445" customWidth="1"/>
    <col min="15" max="15" width="13.6640625" style="137" customWidth="1"/>
    <col min="16" max="31" width="9.33203125" style="445" customWidth="1"/>
    <col min="32" max="32" width="13.6640625" style="137" customWidth="1"/>
    <col min="33" max="16384" width="9" style="137"/>
  </cols>
  <sheetData>
    <row r="1" spans="1:32" s="136" customFormat="1">
      <c r="A1" s="438"/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2" s="136" customFormat="1" ht="30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136" t="s">
        <v>1272</v>
      </c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  <c r="AF2" s="136" t="s">
        <v>1273</v>
      </c>
    </row>
    <row r="3" spans="1:32" s="136" customFormat="1">
      <c r="A3" s="440" t="s">
        <v>1035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2" s="443" customFormat="1">
      <c r="A4" s="441" t="s">
        <v>1281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</row>
    <row r="6" spans="1:32">
      <c r="A6" s="444" t="s">
        <v>1036</v>
      </c>
    </row>
    <row r="8" spans="1:32">
      <c r="A8" s="444" t="s">
        <v>1037</v>
      </c>
    </row>
    <row r="9" spans="1:32">
      <c r="A9" s="444" t="s">
        <v>1038</v>
      </c>
      <c r="B9" s="445">
        <v>91204.787809999994</v>
      </c>
      <c r="C9" s="445">
        <v>86575.143079999994</v>
      </c>
      <c r="D9" s="445">
        <v>79460.393830000001</v>
      </c>
      <c r="E9" s="445">
        <v>81579.147889999993</v>
      </c>
      <c r="F9" s="445">
        <v>77529.490399999893</v>
      </c>
      <c r="G9" s="445">
        <v>95337.688159999903</v>
      </c>
      <c r="H9" s="445">
        <v>100601.490469999</v>
      </c>
      <c r="I9" s="445">
        <v>105800.749731726</v>
      </c>
      <c r="J9" s="445">
        <v>106809.736682043</v>
      </c>
      <c r="K9" s="445">
        <v>91173.395764821107</v>
      </c>
      <c r="L9" s="445">
        <v>80052.050464313797</v>
      </c>
      <c r="M9" s="445">
        <v>78923.005381390103</v>
      </c>
      <c r="N9" s="445">
        <v>83862.590363193303</v>
      </c>
      <c r="P9" s="445">
        <v>87119.459544688405</v>
      </c>
      <c r="Q9" s="445">
        <v>80714.467589197302</v>
      </c>
      <c r="R9" s="445">
        <v>82454.2659803227</v>
      </c>
      <c r="S9" s="445">
        <v>77609.009205841096</v>
      </c>
      <c r="T9" s="445">
        <v>92895.989452342794</v>
      </c>
      <c r="U9" s="445">
        <v>100399.30328097301</v>
      </c>
      <c r="V9" s="445">
        <v>113066.023269716</v>
      </c>
      <c r="W9" s="445">
        <v>114468.99417652399</v>
      </c>
      <c r="X9" s="445">
        <v>98736.101421864296</v>
      </c>
      <c r="Y9" s="445">
        <v>86408.650015315405</v>
      </c>
      <c r="Z9" s="445">
        <v>86245.124930253805</v>
      </c>
      <c r="AA9" s="445">
        <v>89796.339271349905</v>
      </c>
      <c r="AB9" s="445">
        <v>94727.219115233704</v>
      </c>
      <c r="AC9" s="445">
        <v>87444.267433290996</v>
      </c>
      <c r="AD9" s="445">
        <v>90751.446498099598</v>
      </c>
      <c r="AE9" s="445">
        <v>83545.860187419094</v>
      </c>
    </row>
    <row r="10" spans="1:32">
      <c r="A10" s="444" t="s">
        <v>1039</v>
      </c>
      <c r="B10" s="445">
        <v>0</v>
      </c>
      <c r="C10" s="445">
        <v>0</v>
      </c>
      <c r="D10" s="445">
        <v>0</v>
      </c>
      <c r="E10" s="445">
        <v>0</v>
      </c>
      <c r="F10" s="445">
        <v>0</v>
      </c>
      <c r="G10" s="445">
        <v>0</v>
      </c>
      <c r="H10" s="445">
        <v>0</v>
      </c>
      <c r="I10" s="445">
        <v>0</v>
      </c>
      <c r="J10" s="445">
        <v>0</v>
      </c>
      <c r="K10" s="445">
        <v>0</v>
      </c>
      <c r="L10" s="445">
        <v>0</v>
      </c>
      <c r="M10" s="445">
        <v>0</v>
      </c>
      <c r="N10" s="445">
        <v>0</v>
      </c>
      <c r="P10" s="445">
        <v>0</v>
      </c>
      <c r="Q10" s="445">
        <v>0</v>
      </c>
      <c r="R10" s="445">
        <v>0</v>
      </c>
      <c r="S10" s="445">
        <v>0</v>
      </c>
      <c r="T10" s="445">
        <v>0</v>
      </c>
      <c r="U10" s="445">
        <v>0</v>
      </c>
      <c r="V10" s="445">
        <v>0</v>
      </c>
      <c r="W10" s="445">
        <v>0</v>
      </c>
      <c r="X10" s="445">
        <v>0</v>
      </c>
      <c r="Y10" s="445">
        <v>0</v>
      </c>
      <c r="Z10" s="445">
        <v>0</v>
      </c>
      <c r="AA10" s="445">
        <v>0</v>
      </c>
      <c r="AB10" s="445">
        <v>0</v>
      </c>
      <c r="AC10" s="445">
        <v>0</v>
      </c>
      <c r="AD10" s="445">
        <v>0</v>
      </c>
      <c r="AE10" s="445">
        <v>0</v>
      </c>
    </row>
    <row r="11" spans="1:32">
      <c r="A11" s="444" t="s">
        <v>1040</v>
      </c>
      <c r="B11" s="445">
        <v>0</v>
      </c>
      <c r="C11" s="445">
        <v>0</v>
      </c>
      <c r="D11" s="445">
        <v>0</v>
      </c>
      <c r="E11" s="445">
        <v>0</v>
      </c>
      <c r="F11" s="445">
        <v>0</v>
      </c>
      <c r="G11" s="445">
        <v>0</v>
      </c>
      <c r="H11" s="445">
        <v>0</v>
      </c>
      <c r="I11" s="445">
        <v>0</v>
      </c>
      <c r="J11" s="445">
        <v>0</v>
      </c>
      <c r="K11" s="445">
        <v>0</v>
      </c>
      <c r="L11" s="445">
        <v>0</v>
      </c>
      <c r="M11" s="445">
        <v>0</v>
      </c>
      <c r="N11" s="445">
        <v>0</v>
      </c>
      <c r="P11" s="445">
        <v>0</v>
      </c>
      <c r="Q11" s="445">
        <v>0</v>
      </c>
      <c r="R11" s="445">
        <v>0</v>
      </c>
      <c r="S11" s="445">
        <v>0</v>
      </c>
      <c r="T11" s="445">
        <v>0</v>
      </c>
      <c r="U11" s="445">
        <v>0</v>
      </c>
      <c r="V11" s="445">
        <v>0</v>
      </c>
      <c r="W11" s="445">
        <v>0</v>
      </c>
      <c r="X11" s="445">
        <v>0</v>
      </c>
      <c r="Y11" s="445">
        <v>0</v>
      </c>
      <c r="Z11" s="445">
        <v>0</v>
      </c>
      <c r="AA11" s="445">
        <v>0</v>
      </c>
      <c r="AB11" s="445">
        <v>0</v>
      </c>
      <c r="AC11" s="445">
        <v>0</v>
      </c>
      <c r="AD11" s="445">
        <v>0</v>
      </c>
      <c r="AE11" s="445">
        <v>0</v>
      </c>
    </row>
    <row r="12" spans="1:32">
      <c r="A12" s="444" t="s">
        <v>1282</v>
      </c>
      <c r="B12" s="445">
        <v>0</v>
      </c>
      <c r="C12" s="445">
        <v>0</v>
      </c>
      <c r="D12" s="445">
        <v>0</v>
      </c>
      <c r="E12" s="445">
        <v>0</v>
      </c>
      <c r="F12" s="445">
        <v>0</v>
      </c>
      <c r="G12" s="445">
        <v>0</v>
      </c>
      <c r="H12" s="445">
        <v>0</v>
      </c>
      <c r="I12" s="445">
        <v>0</v>
      </c>
      <c r="J12" s="445">
        <v>0</v>
      </c>
      <c r="K12" s="445">
        <v>0</v>
      </c>
      <c r="L12" s="445">
        <v>0</v>
      </c>
      <c r="M12" s="445">
        <v>0</v>
      </c>
      <c r="N12" s="445">
        <v>0</v>
      </c>
      <c r="P12" s="445">
        <v>0</v>
      </c>
      <c r="Q12" s="445">
        <v>0</v>
      </c>
      <c r="R12" s="445">
        <v>0</v>
      </c>
      <c r="S12" s="445">
        <v>0</v>
      </c>
      <c r="T12" s="445">
        <v>0</v>
      </c>
      <c r="U12" s="445">
        <v>0</v>
      </c>
      <c r="V12" s="445">
        <v>0</v>
      </c>
      <c r="W12" s="445">
        <v>0</v>
      </c>
      <c r="X12" s="445">
        <v>0</v>
      </c>
      <c r="Y12" s="445">
        <v>0</v>
      </c>
      <c r="Z12" s="445">
        <v>0</v>
      </c>
      <c r="AA12" s="445">
        <v>0</v>
      </c>
      <c r="AB12" s="445">
        <v>0</v>
      </c>
      <c r="AC12" s="445">
        <v>0</v>
      </c>
      <c r="AD12" s="445">
        <v>0</v>
      </c>
      <c r="AE12" s="445">
        <v>0</v>
      </c>
    </row>
    <row r="13" spans="1:32">
      <c r="A13" s="444" t="s">
        <v>1283</v>
      </c>
      <c r="B13" s="445">
        <v>0</v>
      </c>
      <c r="C13" s="445">
        <v>0</v>
      </c>
      <c r="D13" s="445">
        <v>0</v>
      </c>
      <c r="E13" s="445">
        <v>0</v>
      </c>
      <c r="F13" s="445">
        <v>0</v>
      </c>
      <c r="G13" s="445">
        <v>0</v>
      </c>
      <c r="H13" s="445">
        <v>0</v>
      </c>
      <c r="I13" s="445">
        <v>0</v>
      </c>
      <c r="J13" s="445">
        <v>0</v>
      </c>
      <c r="K13" s="445">
        <v>0</v>
      </c>
      <c r="L13" s="445">
        <v>0</v>
      </c>
      <c r="M13" s="445">
        <v>0</v>
      </c>
      <c r="N13" s="445">
        <v>0</v>
      </c>
      <c r="P13" s="445">
        <v>0</v>
      </c>
      <c r="Q13" s="445">
        <v>0</v>
      </c>
      <c r="R13" s="445">
        <v>0</v>
      </c>
      <c r="S13" s="445">
        <v>0</v>
      </c>
      <c r="T13" s="445">
        <v>0</v>
      </c>
      <c r="U13" s="445">
        <v>0</v>
      </c>
      <c r="V13" s="445">
        <v>0</v>
      </c>
      <c r="W13" s="445">
        <v>0</v>
      </c>
      <c r="X13" s="445">
        <v>0</v>
      </c>
      <c r="Y13" s="445">
        <v>0</v>
      </c>
      <c r="Z13" s="445">
        <v>0</v>
      </c>
      <c r="AA13" s="445">
        <v>0</v>
      </c>
      <c r="AB13" s="445">
        <v>0</v>
      </c>
      <c r="AC13" s="445">
        <v>0</v>
      </c>
      <c r="AD13" s="445">
        <v>0</v>
      </c>
      <c r="AE13" s="445">
        <v>0</v>
      </c>
    </row>
    <row r="14" spans="1:32">
      <c r="A14" s="444" t="s">
        <v>1284</v>
      </c>
      <c r="B14" s="445">
        <v>91204.787809999994</v>
      </c>
      <c r="C14" s="445">
        <v>86575.143079999994</v>
      </c>
      <c r="D14" s="445">
        <v>79460.393830000001</v>
      </c>
      <c r="E14" s="445">
        <v>81579.147889999993</v>
      </c>
      <c r="F14" s="445">
        <v>77529.490399999893</v>
      </c>
      <c r="G14" s="445">
        <v>95337.688159999903</v>
      </c>
      <c r="H14" s="445">
        <v>100601.490469999</v>
      </c>
      <c r="I14" s="445">
        <v>105800.749731726</v>
      </c>
      <c r="J14" s="445">
        <v>106809.736682043</v>
      </c>
      <c r="K14" s="445">
        <v>91173.395764821107</v>
      </c>
      <c r="L14" s="445">
        <v>80052.050464313797</v>
      </c>
      <c r="M14" s="445">
        <v>78923.005381390103</v>
      </c>
      <c r="N14" s="445">
        <v>83862.590363193303</v>
      </c>
      <c r="P14" s="445">
        <v>87119.459544688405</v>
      </c>
      <c r="Q14" s="445">
        <v>80714.467589197302</v>
      </c>
      <c r="R14" s="445">
        <v>82454.2659803227</v>
      </c>
      <c r="S14" s="445">
        <v>77609.009205841096</v>
      </c>
      <c r="T14" s="445">
        <v>92895.989452342794</v>
      </c>
      <c r="U14" s="445">
        <v>100399.30328097301</v>
      </c>
      <c r="V14" s="445">
        <v>113066.023269716</v>
      </c>
      <c r="W14" s="445">
        <v>114468.99417652399</v>
      </c>
      <c r="X14" s="445">
        <v>98736.101421864296</v>
      </c>
      <c r="Y14" s="445">
        <v>86408.650015315405</v>
      </c>
      <c r="Z14" s="445">
        <v>86245.124930253805</v>
      </c>
      <c r="AA14" s="445">
        <v>89796.339271349905</v>
      </c>
      <c r="AB14" s="445">
        <v>94727.219115233704</v>
      </c>
      <c r="AC14" s="445">
        <v>87444.267433290996</v>
      </c>
      <c r="AD14" s="445">
        <v>90751.446498099598</v>
      </c>
      <c r="AE14" s="445">
        <v>83545.860187419094</v>
      </c>
    </row>
    <row r="16" spans="1:32" outlineLevel="1">
      <c r="A16" s="444" t="s">
        <v>1041</v>
      </c>
    </row>
    <row r="17" spans="1:31" outlineLevel="1">
      <c r="A17" s="444" t="s">
        <v>1042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445">
        <v>0</v>
      </c>
      <c r="M17" s="445">
        <v>0</v>
      </c>
      <c r="N17" s="445">
        <v>0</v>
      </c>
      <c r="P17" s="445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</row>
    <row r="18" spans="1:31" outlineLevel="1">
      <c r="A18" s="444" t="s">
        <v>1043</v>
      </c>
      <c r="B18" s="445">
        <v>6289.90931</v>
      </c>
      <c r="C18" s="445">
        <v>24571.489229999999</v>
      </c>
      <c r="D18" s="445">
        <v>2864.1088</v>
      </c>
      <c r="E18" s="445">
        <v>4713.5151400000004</v>
      </c>
      <c r="F18" s="445">
        <v>3032.7885200000001</v>
      </c>
      <c r="G18" s="445">
        <v>1926.8553300000001</v>
      </c>
      <c r="H18" s="445">
        <v>1629.5788399999999</v>
      </c>
      <c r="I18" s="445">
        <v>1849.02107317887</v>
      </c>
      <c r="J18" s="445">
        <v>1897.1956620021999</v>
      </c>
      <c r="K18" s="445">
        <v>3760.9956551495002</v>
      </c>
      <c r="L18" s="445">
        <v>3330.8986460657402</v>
      </c>
      <c r="M18" s="445">
        <v>3591.7253065351701</v>
      </c>
      <c r="N18" s="445">
        <v>8518.7808727245592</v>
      </c>
      <c r="P18" s="445">
        <v>7438.3590208894002</v>
      </c>
      <c r="Q18" s="445">
        <v>5758.2000882989796</v>
      </c>
      <c r="R18" s="445">
        <v>5549.6841780647301</v>
      </c>
      <c r="S18" s="445">
        <v>3066.9364667128598</v>
      </c>
      <c r="T18" s="445">
        <v>2790.0742362739102</v>
      </c>
      <c r="U18" s="445">
        <v>1833.8266545834199</v>
      </c>
      <c r="V18" s="445">
        <v>1511.7506615305599</v>
      </c>
      <c r="W18" s="445">
        <v>1268.63353265723</v>
      </c>
      <c r="X18" s="445">
        <v>2027.2366623555699</v>
      </c>
      <c r="Y18" s="445">
        <v>2134.3096661660002</v>
      </c>
      <c r="Z18" s="445">
        <v>4274.1521398920204</v>
      </c>
      <c r="AA18" s="445">
        <v>6837.12098855163</v>
      </c>
      <c r="AB18" s="445">
        <v>6427.4500899490604</v>
      </c>
      <c r="AC18" s="445">
        <v>4786.0935991177303</v>
      </c>
      <c r="AD18" s="445">
        <v>8295.0518128412896</v>
      </c>
      <c r="AE18" s="445">
        <v>2343.5190016001702</v>
      </c>
    </row>
    <row r="19" spans="1:31" outlineLevel="1">
      <c r="A19" s="444" t="s">
        <v>1044</v>
      </c>
      <c r="B19" s="445">
        <v>0</v>
      </c>
      <c r="C19" s="445">
        <v>0</v>
      </c>
      <c r="D19" s="445">
        <v>0</v>
      </c>
      <c r="E19" s="445">
        <v>0</v>
      </c>
      <c r="F19" s="445">
        <v>0</v>
      </c>
      <c r="G19" s="445">
        <v>0</v>
      </c>
      <c r="H19" s="445">
        <v>0</v>
      </c>
      <c r="I19" s="445">
        <v>0</v>
      </c>
      <c r="J19" s="445">
        <v>0</v>
      </c>
      <c r="K19" s="445">
        <v>0</v>
      </c>
      <c r="L19" s="445">
        <v>0</v>
      </c>
      <c r="M19" s="445">
        <v>0</v>
      </c>
      <c r="N19" s="445">
        <v>0</v>
      </c>
      <c r="P19" s="445">
        <v>0</v>
      </c>
      <c r="Q19" s="445">
        <v>0</v>
      </c>
      <c r="R19" s="445">
        <v>0</v>
      </c>
      <c r="S19" s="445">
        <v>0</v>
      </c>
      <c r="T19" s="445">
        <v>0</v>
      </c>
      <c r="U19" s="445">
        <v>0</v>
      </c>
      <c r="V19" s="445">
        <v>0</v>
      </c>
      <c r="W19" s="445">
        <v>0</v>
      </c>
      <c r="X19" s="445">
        <v>0</v>
      </c>
      <c r="Y19" s="445">
        <v>0</v>
      </c>
      <c r="Z19" s="445">
        <v>0</v>
      </c>
      <c r="AA19" s="445">
        <v>0</v>
      </c>
      <c r="AB19" s="445">
        <v>0</v>
      </c>
      <c r="AC19" s="445">
        <v>0</v>
      </c>
      <c r="AD19" s="445">
        <v>0</v>
      </c>
      <c r="AE19" s="445">
        <v>0</v>
      </c>
    </row>
    <row r="20" spans="1:31" outlineLevel="1">
      <c r="A20" s="444" t="s">
        <v>1045</v>
      </c>
      <c r="B20" s="445">
        <v>0</v>
      </c>
      <c r="C20" s="445">
        <v>0</v>
      </c>
      <c r="D20" s="445">
        <v>0</v>
      </c>
      <c r="E20" s="445">
        <v>0</v>
      </c>
      <c r="F20" s="445">
        <v>0</v>
      </c>
      <c r="G20" s="445">
        <v>0</v>
      </c>
      <c r="H20" s="445">
        <v>0</v>
      </c>
      <c r="I20" s="445">
        <v>0</v>
      </c>
      <c r="J20" s="445">
        <v>0</v>
      </c>
      <c r="K20" s="445">
        <v>0</v>
      </c>
      <c r="L20" s="445">
        <v>0</v>
      </c>
      <c r="M20" s="445">
        <v>0</v>
      </c>
      <c r="N20" s="445">
        <v>0</v>
      </c>
      <c r="P20" s="445">
        <v>0</v>
      </c>
      <c r="Q20" s="445">
        <v>0</v>
      </c>
      <c r="R20" s="445">
        <v>0</v>
      </c>
      <c r="S20" s="445">
        <v>0</v>
      </c>
      <c r="T20" s="445">
        <v>0</v>
      </c>
      <c r="U20" s="445">
        <v>0</v>
      </c>
      <c r="V20" s="445">
        <v>0</v>
      </c>
      <c r="W20" s="445">
        <v>0</v>
      </c>
      <c r="X20" s="445">
        <v>0</v>
      </c>
      <c r="Y20" s="445">
        <v>0</v>
      </c>
      <c r="Z20" s="445">
        <v>0</v>
      </c>
      <c r="AA20" s="445">
        <v>0</v>
      </c>
      <c r="AB20" s="445">
        <v>0</v>
      </c>
      <c r="AC20" s="445">
        <v>0</v>
      </c>
      <c r="AD20" s="445">
        <v>0</v>
      </c>
      <c r="AE20" s="445">
        <v>0</v>
      </c>
    </row>
    <row r="21" spans="1:31" outlineLevel="1">
      <c r="A21" s="444" t="s">
        <v>1046</v>
      </c>
      <c r="B21" s="445">
        <v>0</v>
      </c>
      <c r="C21" s="445">
        <v>0</v>
      </c>
      <c r="D21" s="445">
        <v>0</v>
      </c>
      <c r="E21" s="445">
        <v>0</v>
      </c>
      <c r="F21" s="445">
        <v>0</v>
      </c>
      <c r="G21" s="445">
        <v>0</v>
      </c>
      <c r="H21" s="445">
        <v>0</v>
      </c>
      <c r="I21" s="445">
        <v>0</v>
      </c>
      <c r="J21" s="445">
        <v>0</v>
      </c>
      <c r="K21" s="445">
        <v>0</v>
      </c>
      <c r="L21" s="445">
        <v>0</v>
      </c>
      <c r="M21" s="445">
        <v>0</v>
      </c>
      <c r="N21" s="445">
        <v>0</v>
      </c>
      <c r="P21" s="445">
        <v>0</v>
      </c>
      <c r="Q21" s="445">
        <v>0</v>
      </c>
      <c r="R21" s="445">
        <v>0</v>
      </c>
      <c r="S21" s="445">
        <v>0</v>
      </c>
      <c r="T21" s="445">
        <v>0</v>
      </c>
      <c r="U21" s="445">
        <v>0</v>
      </c>
      <c r="V21" s="445">
        <v>0</v>
      </c>
      <c r="W21" s="445">
        <v>0</v>
      </c>
      <c r="X21" s="445">
        <v>0</v>
      </c>
      <c r="Y21" s="445">
        <v>0</v>
      </c>
      <c r="Z21" s="445">
        <v>0</v>
      </c>
      <c r="AA21" s="445">
        <v>0</v>
      </c>
      <c r="AB21" s="445">
        <v>0</v>
      </c>
      <c r="AC21" s="445">
        <v>0</v>
      </c>
      <c r="AD21" s="445">
        <v>0</v>
      </c>
      <c r="AE21" s="445">
        <v>0</v>
      </c>
    </row>
    <row r="22" spans="1:31" outlineLevel="1">
      <c r="A22" s="444" t="s">
        <v>1909</v>
      </c>
      <c r="B22" s="445">
        <v>0</v>
      </c>
      <c r="C22" s="445">
        <v>0</v>
      </c>
      <c r="D22" s="445">
        <v>0</v>
      </c>
      <c r="E22" s="445">
        <v>0</v>
      </c>
      <c r="F22" s="445">
        <v>0</v>
      </c>
      <c r="G22" s="445">
        <v>0</v>
      </c>
      <c r="H22" s="445">
        <v>0</v>
      </c>
      <c r="I22" s="445">
        <v>0</v>
      </c>
      <c r="J22" s="445">
        <v>0</v>
      </c>
      <c r="K22" s="445">
        <v>0</v>
      </c>
      <c r="L22" s="445">
        <v>0</v>
      </c>
      <c r="M22" s="445">
        <v>0</v>
      </c>
      <c r="N22" s="445">
        <v>0</v>
      </c>
      <c r="P22" s="445">
        <v>0</v>
      </c>
      <c r="Q22" s="445">
        <v>0</v>
      </c>
      <c r="R22" s="445">
        <v>0</v>
      </c>
      <c r="S22" s="445">
        <v>0</v>
      </c>
      <c r="T22" s="445">
        <v>0</v>
      </c>
      <c r="U22" s="445">
        <v>0</v>
      </c>
      <c r="V22" s="445">
        <v>0</v>
      </c>
      <c r="W22" s="445">
        <v>0</v>
      </c>
      <c r="X22" s="445">
        <v>0</v>
      </c>
      <c r="Y22" s="445">
        <v>0</v>
      </c>
      <c r="Z22" s="445">
        <v>0</v>
      </c>
      <c r="AA22" s="445">
        <v>0</v>
      </c>
      <c r="AB22" s="445">
        <v>0</v>
      </c>
      <c r="AC22" s="445">
        <v>0</v>
      </c>
      <c r="AD22" s="445">
        <v>0</v>
      </c>
      <c r="AE22" s="445">
        <v>0</v>
      </c>
    </row>
    <row r="23" spans="1:31">
      <c r="A23" s="444" t="s">
        <v>1047</v>
      </c>
      <c r="B23" s="445">
        <v>6289.90931</v>
      </c>
      <c r="C23" s="445">
        <v>24571.489229999999</v>
      </c>
      <c r="D23" s="445">
        <v>2864.1088</v>
      </c>
      <c r="E23" s="445">
        <v>4713.5151400000004</v>
      </c>
      <c r="F23" s="445">
        <v>3032.7885200000001</v>
      </c>
      <c r="G23" s="445">
        <v>1926.8553300000001</v>
      </c>
      <c r="H23" s="445">
        <v>1629.5788399999999</v>
      </c>
      <c r="I23" s="445">
        <v>1849.02107317887</v>
      </c>
      <c r="J23" s="445">
        <v>1897.1956620021999</v>
      </c>
      <c r="K23" s="445">
        <v>3760.9956551495002</v>
      </c>
      <c r="L23" s="445">
        <v>3330.8986460657402</v>
      </c>
      <c r="M23" s="445">
        <v>3591.7253065351701</v>
      </c>
      <c r="N23" s="445">
        <v>8518.7808727245592</v>
      </c>
      <c r="P23" s="445">
        <v>7438.3590208894002</v>
      </c>
      <c r="Q23" s="445">
        <v>5758.2000882989796</v>
      </c>
      <c r="R23" s="445">
        <v>5549.6841780647301</v>
      </c>
      <c r="S23" s="445">
        <v>3066.9364667128598</v>
      </c>
      <c r="T23" s="445">
        <v>2790.0742362739102</v>
      </c>
      <c r="U23" s="445">
        <v>1833.8266545834199</v>
      </c>
      <c r="V23" s="445">
        <v>1511.7506615305599</v>
      </c>
      <c r="W23" s="445">
        <v>1268.63353265723</v>
      </c>
      <c r="X23" s="445">
        <v>2027.2366623555699</v>
      </c>
      <c r="Y23" s="445">
        <v>2134.3096661660002</v>
      </c>
      <c r="Z23" s="445">
        <v>4274.1521398920204</v>
      </c>
      <c r="AA23" s="445">
        <v>6837.12098855163</v>
      </c>
      <c r="AB23" s="445">
        <v>6427.4500899490604</v>
      </c>
      <c r="AC23" s="445">
        <v>4786.0935991177303</v>
      </c>
      <c r="AD23" s="445">
        <v>8295.0518128412896</v>
      </c>
      <c r="AE23" s="445">
        <v>2343.5190016001702</v>
      </c>
    </row>
    <row r="25" spans="1:31">
      <c r="A25" s="444" t="s">
        <v>1048</v>
      </c>
      <c r="B25" s="445">
        <v>97494.697119999997</v>
      </c>
      <c r="C25" s="445">
        <v>111146.632309999</v>
      </c>
      <c r="D25" s="445">
        <v>82324.502630000003</v>
      </c>
      <c r="E25" s="445">
        <v>86292.663029999996</v>
      </c>
      <c r="F25" s="445">
        <v>80562.278919999895</v>
      </c>
      <c r="G25" s="445">
        <v>97264.543489999895</v>
      </c>
      <c r="H25" s="445">
        <v>102231.069309999</v>
      </c>
      <c r="I25" s="445">
        <v>107649.770804905</v>
      </c>
      <c r="J25" s="445">
        <v>108706.932344045</v>
      </c>
      <c r="K25" s="445">
        <v>94934.391419970605</v>
      </c>
      <c r="L25" s="445">
        <v>83382.949110379501</v>
      </c>
      <c r="M25" s="445">
        <v>82514.730687925301</v>
      </c>
      <c r="N25" s="445">
        <v>92381.371235917904</v>
      </c>
      <c r="P25" s="445">
        <v>94557.818565577807</v>
      </c>
      <c r="Q25" s="445">
        <v>86472.667677496196</v>
      </c>
      <c r="R25" s="445">
        <v>88003.950158387495</v>
      </c>
      <c r="S25" s="445">
        <v>80675.945672553993</v>
      </c>
      <c r="T25" s="445">
        <v>95686.063688616705</v>
      </c>
      <c r="U25" s="445">
        <v>102233.129935556</v>
      </c>
      <c r="V25" s="445">
        <v>114577.773931246</v>
      </c>
      <c r="W25" s="445">
        <v>115737.627709181</v>
      </c>
      <c r="X25" s="445">
        <v>100763.33808421899</v>
      </c>
      <c r="Y25" s="445">
        <v>88542.959681481501</v>
      </c>
      <c r="Z25" s="445">
        <v>90519.277070145807</v>
      </c>
      <c r="AA25" s="445">
        <v>96633.460259901505</v>
      </c>
      <c r="AB25" s="445">
        <v>101154.669205182</v>
      </c>
      <c r="AC25" s="445">
        <v>92230.361032408706</v>
      </c>
      <c r="AD25" s="445">
        <v>99046.498310940893</v>
      </c>
      <c r="AE25" s="445">
        <v>85889.379189019295</v>
      </c>
    </row>
    <row r="27" spans="1:31">
      <c r="A27" s="444" t="s">
        <v>1049</v>
      </c>
    </row>
    <row r="28" spans="1:31">
      <c r="A28" s="444" t="s">
        <v>1050</v>
      </c>
      <c r="B28" s="445">
        <v>199.42839000000001</v>
      </c>
      <c r="C28" s="445">
        <v>265.17410999999998</v>
      </c>
      <c r="D28" s="445">
        <v>336.94344000000001</v>
      </c>
      <c r="E28" s="445">
        <v>184.64671999999999</v>
      </c>
      <c r="F28" s="445">
        <v>140.84802999999999</v>
      </c>
      <c r="G28" s="445">
        <v>191.17168000000001</v>
      </c>
      <c r="H28" s="445">
        <v>201.45929999999899</v>
      </c>
      <c r="I28" s="445">
        <v>288.10770666666701</v>
      </c>
      <c r="J28" s="445">
        <v>397.87133333333298</v>
      </c>
      <c r="K28" s="445">
        <v>284.50550333333302</v>
      </c>
      <c r="L28" s="445">
        <v>230.34508666666699</v>
      </c>
      <c r="M28" s="445">
        <v>136.767396666667</v>
      </c>
      <c r="N28" s="445">
        <v>169.27195</v>
      </c>
      <c r="P28" s="445">
        <v>238.78933000000001</v>
      </c>
      <c r="Q28" s="445">
        <v>276.94877333333301</v>
      </c>
      <c r="R28" s="445">
        <v>189.64506333333301</v>
      </c>
      <c r="S28" s="445">
        <v>168.13290333333299</v>
      </c>
      <c r="T28" s="445">
        <v>138.46476999999999</v>
      </c>
      <c r="U28" s="445">
        <v>191.27621666666701</v>
      </c>
      <c r="V28" s="445">
        <v>288.10770666666701</v>
      </c>
      <c r="W28" s="445">
        <v>397.87133333333298</v>
      </c>
      <c r="X28" s="445">
        <v>284.50550333333302</v>
      </c>
      <c r="Y28" s="445">
        <v>230.34508666666699</v>
      </c>
      <c r="Z28" s="445">
        <v>136.767396666667</v>
      </c>
      <c r="AA28" s="445">
        <v>169.27195</v>
      </c>
      <c r="AB28" s="445">
        <v>238.78933000000001</v>
      </c>
      <c r="AC28" s="445">
        <v>276.94877333333301</v>
      </c>
      <c r="AD28" s="445">
        <v>189.64506333333301</v>
      </c>
      <c r="AE28" s="445">
        <v>168.13290333333299</v>
      </c>
    </row>
    <row r="29" spans="1:31">
      <c r="A29" s="444" t="s">
        <v>1051</v>
      </c>
      <c r="B29" s="445">
        <v>0</v>
      </c>
      <c r="C29" s="445">
        <v>0</v>
      </c>
      <c r="D29" s="445">
        <v>0</v>
      </c>
      <c r="E29" s="445">
        <v>0</v>
      </c>
      <c r="F29" s="445">
        <v>0</v>
      </c>
      <c r="G29" s="445">
        <v>0</v>
      </c>
      <c r="H29" s="445">
        <v>0</v>
      </c>
      <c r="I29" s="445">
        <v>0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P29" s="445">
        <v>0</v>
      </c>
      <c r="Q29" s="445">
        <v>0</v>
      </c>
      <c r="R29" s="445">
        <v>0</v>
      </c>
      <c r="S29" s="445">
        <v>0</v>
      </c>
      <c r="T29" s="445">
        <v>0</v>
      </c>
      <c r="U29" s="445">
        <v>0</v>
      </c>
      <c r="V29" s="445">
        <v>0</v>
      </c>
      <c r="W29" s="445">
        <v>0</v>
      </c>
      <c r="X29" s="445">
        <v>0</v>
      </c>
      <c r="Y29" s="445">
        <v>0</v>
      </c>
      <c r="Z29" s="445">
        <v>0</v>
      </c>
      <c r="AA29" s="445">
        <v>0</v>
      </c>
      <c r="AB29" s="445">
        <v>0</v>
      </c>
      <c r="AC29" s="445">
        <v>0</v>
      </c>
      <c r="AD29" s="445">
        <v>0</v>
      </c>
      <c r="AE29" s="445">
        <v>0</v>
      </c>
    </row>
    <row r="30" spans="1:31">
      <c r="A30" s="444" t="s">
        <v>1052</v>
      </c>
      <c r="B30" s="445">
        <v>382.08057000000002</v>
      </c>
      <c r="C30" s="445">
        <v>373.58904999999999</v>
      </c>
      <c r="D30" s="445">
        <v>446.23250999999999</v>
      </c>
      <c r="E30" s="445">
        <v>324.08909999999997</v>
      </c>
      <c r="F30" s="445">
        <v>324.17646000000002</v>
      </c>
      <c r="G30" s="445">
        <v>324.29493000000002</v>
      </c>
      <c r="H30" s="445">
        <v>337.62860000000001</v>
      </c>
      <c r="I30" s="445">
        <v>353.2563725</v>
      </c>
      <c r="J30" s="445">
        <v>353.2563725</v>
      </c>
      <c r="K30" s="445">
        <v>353.2563725</v>
      </c>
      <c r="L30" s="445">
        <v>353.2563725</v>
      </c>
      <c r="M30" s="445">
        <v>353.2563725</v>
      </c>
      <c r="N30" s="445">
        <v>353.2563725</v>
      </c>
      <c r="P30" s="445">
        <v>350.04837250000003</v>
      </c>
      <c r="Q30" s="445">
        <v>350.04837250000003</v>
      </c>
      <c r="R30" s="445">
        <v>350.04837250000003</v>
      </c>
      <c r="S30" s="445">
        <v>350.04837250000003</v>
      </c>
      <c r="T30" s="445">
        <v>350.04837250000003</v>
      </c>
      <c r="U30" s="445">
        <v>350.04837250000003</v>
      </c>
      <c r="V30" s="445">
        <v>350.04837250000003</v>
      </c>
      <c r="W30" s="445">
        <v>350.04837250000003</v>
      </c>
      <c r="X30" s="445">
        <v>350.04837250000003</v>
      </c>
      <c r="Y30" s="445">
        <v>350.04837250000003</v>
      </c>
      <c r="Z30" s="445">
        <v>350.04837250000003</v>
      </c>
      <c r="AA30" s="445">
        <v>350.04837250000003</v>
      </c>
      <c r="AB30" s="445">
        <v>350.3043725</v>
      </c>
      <c r="AC30" s="445">
        <v>350.3043725</v>
      </c>
      <c r="AD30" s="445">
        <v>350.3043725</v>
      </c>
      <c r="AE30" s="445">
        <v>350.3043725</v>
      </c>
    </row>
    <row r="31" spans="1:31">
      <c r="A31" s="444" t="s">
        <v>1053</v>
      </c>
      <c r="B31" s="445">
        <v>1008.55237</v>
      </c>
      <c r="C31" s="445">
        <v>1186.7744</v>
      </c>
      <c r="D31" s="445">
        <v>998.78116999999895</v>
      </c>
      <c r="E31" s="445">
        <v>894.68637999999999</v>
      </c>
      <c r="F31" s="445">
        <v>862.73266999999998</v>
      </c>
      <c r="G31" s="445">
        <v>974.84639999999899</v>
      </c>
      <c r="H31" s="445">
        <v>1134.9118000000001</v>
      </c>
      <c r="I31" s="445">
        <v>1135.0821224255101</v>
      </c>
      <c r="J31" s="445">
        <v>1110.1476644010099</v>
      </c>
      <c r="K31" s="445">
        <v>1108.63478995933</v>
      </c>
      <c r="L31" s="445">
        <v>927.758853877467</v>
      </c>
      <c r="M31" s="445">
        <v>992.33760246890802</v>
      </c>
      <c r="N31" s="445">
        <v>1059.1545809767099</v>
      </c>
      <c r="P31" s="445">
        <v>1073.83907924188</v>
      </c>
      <c r="Q31" s="445">
        <v>1050.8998992725999</v>
      </c>
      <c r="R31" s="445">
        <v>957.35831352951095</v>
      </c>
      <c r="S31" s="445">
        <v>873.98393298962003</v>
      </c>
      <c r="T31" s="445">
        <v>959.57978586771696</v>
      </c>
      <c r="U31" s="445">
        <v>1016.05753468761</v>
      </c>
      <c r="V31" s="445">
        <v>1097.6886709124101</v>
      </c>
      <c r="W31" s="445">
        <v>1084.8491150334</v>
      </c>
      <c r="X31" s="445">
        <v>1064.0832898490901</v>
      </c>
      <c r="Y31" s="445">
        <v>868.15320409856201</v>
      </c>
      <c r="Z31" s="445">
        <v>917.43747864800002</v>
      </c>
      <c r="AA31" s="445">
        <v>906.05686561810603</v>
      </c>
      <c r="AB31" s="445">
        <v>1023.64759874614</v>
      </c>
      <c r="AC31" s="445">
        <v>1018.62169013228</v>
      </c>
      <c r="AD31" s="445">
        <v>941.409046228688</v>
      </c>
      <c r="AE31" s="445">
        <v>863.70423368682202</v>
      </c>
    </row>
    <row r="32" spans="1:31">
      <c r="A32" s="444" t="s">
        <v>1054</v>
      </c>
      <c r="B32" s="445">
        <v>0</v>
      </c>
      <c r="C32" s="445">
        <v>0</v>
      </c>
      <c r="D32" s="445">
        <v>0</v>
      </c>
      <c r="E32" s="445">
        <v>0</v>
      </c>
      <c r="F32" s="445">
        <v>0</v>
      </c>
      <c r="G32" s="445">
        <v>0</v>
      </c>
      <c r="H32" s="445">
        <v>0</v>
      </c>
      <c r="I32" s="445">
        <v>48.906405347775703</v>
      </c>
      <c r="J32" s="445">
        <v>48.7785210119197</v>
      </c>
      <c r="K32" s="445">
        <v>46.441664061320502</v>
      </c>
      <c r="L32" s="445">
        <v>45.916838084015197</v>
      </c>
      <c r="M32" s="445">
        <v>37.934656475213302</v>
      </c>
      <c r="N32" s="445">
        <v>33.171687732516901</v>
      </c>
      <c r="P32" s="445">
        <v>37.476656817619997</v>
      </c>
      <c r="Q32" s="445">
        <v>35.927125163790002</v>
      </c>
      <c r="R32" s="445">
        <v>32.532207267090001</v>
      </c>
      <c r="S32" s="445">
        <v>31.915609389179998</v>
      </c>
      <c r="T32" s="445">
        <v>59.8194606996</v>
      </c>
      <c r="U32" s="445">
        <v>70.689478495971002</v>
      </c>
      <c r="V32" s="445">
        <v>76.652149317319996</v>
      </c>
      <c r="W32" s="445">
        <v>76.338345262828</v>
      </c>
      <c r="X32" s="445">
        <v>73.290148401843993</v>
      </c>
      <c r="Y32" s="445">
        <v>61.817891312771998</v>
      </c>
      <c r="Z32" s="445">
        <v>52.154963657388997</v>
      </c>
      <c r="AA32" s="445">
        <v>54.138919506032998</v>
      </c>
      <c r="AB32" s="445">
        <v>60.1683352066391</v>
      </c>
      <c r="AC32" s="445">
        <v>62.373092361662103</v>
      </c>
      <c r="AD32" s="445">
        <v>58.214207132118801</v>
      </c>
      <c r="AE32" s="445">
        <v>54.626767837635299</v>
      </c>
    </row>
    <row r="33" spans="1:31">
      <c r="A33" s="444" t="s">
        <v>1055</v>
      </c>
      <c r="B33" s="445">
        <v>107.67749000000001</v>
      </c>
      <c r="C33" s="445">
        <v>191.25301999999999</v>
      </c>
      <c r="D33" s="445">
        <v>201.68987999999999</v>
      </c>
      <c r="E33" s="445">
        <v>228.54033000000001</v>
      </c>
      <c r="F33" s="445">
        <v>247.87157999999999</v>
      </c>
      <c r="G33" s="445">
        <v>239.76644999999999</v>
      </c>
      <c r="H33" s="445">
        <v>294.223019999999</v>
      </c>
      <c r="I33" s="445">
        <v>174.400451388888</v>
      </c>
      <c r="J33" s="445">
        <v>208.08311805555499</v>
      </c>
      <c r="K33" s="445">
        <v>191.09845138888801</v>
      </c>
      <c r="L33" s="445">
        <v>204.77178472222201</v>
      </c>
      <c r="M33" s="445">
        <v>186.77245138888799</v>
      </c>
      <c r="N33" s="445">
        <v>168.10126805555501</v>
      </c>
      <c r="P33" s="445">
        <v>190.16875138888801</v>
      </c>
      <c r="Q33" s="445">
        <v>179.440084722222</v>
      </c>
      <c r="R33" s="445">
        <v>217.614084722222</v>
      </c>
      <c r="S33" s="445">
        <v>217.48675138888899</v>
      </c>
      <c r="T33" s="445">
        <v>193.77936805555501</v>
      </c>
      <c r="U33" s="445">
        <v>202.18013472222199</v>
      </c>
      <c r="V33" s="445">
        <v>174.904751388888</v>
      </c>
      <c r="W33" s="445">
        <v>208.67041805555499</v>
      </c>
      <c r="X33" s="445">
        <v>193.06175138888801</v>
      </c>
      <c r="Y33" s="445">
        <v>205.333084722222</v>
      </c>
      <c r="Z33" s="445">
        <v>187.339751388888</v>
      </c>
      <c r="AA33" s="445">
        <v>170.31841805555499</v>
      </c>
      <c r="AB33" s="445">
        <v>190.34290138888801</v>
      </c>
      <c r="AC33" s="445">
        <v>179.61923472222199</v>
      </c>
      <c r="AD33" s="445">
        <v>217.740234722222</v>
      </c>
      <c r="AE33" s="445">
        <v>217.663901388889</v>
      </c>
    </row>
    <row r="34" spans="1:31">
      <c r="A34" s="444" t="s">
        <v>1056</v>
      </c>
      <c r="B34" s="445">
        <v>0</v>
      </c>
      <c r="C34" s="445">
        <v>0</v>
      </c>
      <c r="D34" s="445">
        <v>0</v>
      </c>
      <c r="E34" s="445">
        <v>0</v>
      </c>
      <c r="F34" s="445">
        <v>0</v>
      </c>
      <c r="G34" s="445">
        <v>0</v>
      </c>
      <c r="H34" s="445">
        <v>0</v>
      </c>
      <c r="I34" s="445">
        <v>0</v>
      </c>
      <c r="J34" s="445">
        <v>0</v>
      </c>
      <c r="K34" s="445">
        <v>0</v>
      </c>
      <c r="L34" s="445">
        <v>0</v>
      </c>
      <c r="M34" s="445">
        <v>0</v>
      </c>
      <c r="N34" s="445">
        <v>0</v>
      </c>
      <c r="P34" s="445">
        <v>0</v>
      </c>
      <c r="Q34" s="445">
        <v>0</v>
      </c>
      <c r="R34" s="445">
        <v>0</v>
      </c>
      <c r="S34" s="445">
        <v>0</v>
      </c>
      <c r="T34" s="445">
        <v>0</v>
      </c>
      <c r="U34" s="445">
        <v>0</v>
      </c>
      <c r="V34" s="445">
        <v>0</v>
      </c>
      <c r="W34" s="445">
        <v>0</v>
      </c>
      <c r="X34" s="445">
        <v>0</v>
      </c>
      <c r="Y34" s="445">
        <v>0</v>
      </c>
      <c r="Z34" s="445">
        <v>0</v>
      </c>
      <c r="AA34" s="445">
        <v>0</v>
      </c>
      <c r="AB34" s="445">
        <v>0</v>
      </c>
      <c r="AC34" s="445">
        <v>0</v>
      </c>
      <c r="AD34" s="445">
        <v>0</v>
      </c>
      <c r="AE34" s="445">
        <v>0</v>
      </c>
    </row>
    <row r="35" spans="1:31">
      <c r="A35" s="444" t="s">
        <v>1057</v>
      </c>
      <c r="B35" s="445">
        <v>0</v>
      </c>
      <c r="C35" s="445">
        <v>0</v>
      </c>
      <c r="D35" s="445">
        <v>0</v>
      </c>
      <c r="E35" s="445">
        <v>0</v>
      </c>
      <c r="F35" s="445">
        <v>0</v>
      </c>
      <c r="G35" s="445">
        <v>0</v>
      </c>
      <c r="H35" s="445">
        <v>0</v>
      </c>
      <c r="I35" s="445">
        <v>0</v>
      </c>
      <c r="J35" s="445">
        <v>0</v>
      </c>
      <c r="K35" s="445">
        <v>0</v>
      </c>
      <c r="L35" s="445">
        <v>0</v>
      </c>
      <c r="M35" s="445">
        <v>0</v>
      </c>
      <c r="N35" s="445">
        <v>0</v>
      </c>
      <c r="P35" s="445">
        <v>0</v>
      </c>
      <c r="Q35" s="445">
        <v>0</v>
      </c>
      <c r="R35" s="445">
        <v>0</v>
      </c>
      <c r="S35" s="445">
        <v>0</v>
      </c>
      <c r="T35" s="445">
        <v>0</v>
      </c>
      <c r="U35" s="445">
        <v>0</v>
      </c>
      <c r="V35" s="445">
        <v>0</v>
      </c>
      <c r="W35" s="445">
        <v>0</v>
      </c>
      <c r="X35" s="445">
        <v>0</v>
      </c>
      <c r="Y35" s="445">
        <v>0</v>
      </c>
      <c r="Z35" s="445">
        <v>0</v>
      </c>
      <c r="AA35" s="445">
        <v>0</v>
      </c>
      <c r="AB35" s="445">
        <v>0</v>
      </c>
      <c r="AC35" s="445">
        <v>0</v>
      </c>
      <c r="AD35" s="445">
        <v>0</v>
      </c>
      <c r="AE35" s="445">
        <v>0</v>
      </c>
    </row>
    <row r="36" spans="1:31">
      <c r="A36" s="444" t="s">
        <v>1058</v>
      </c>
      <c r="B36" s="445">
        <v>1697.73882</v>
      </c>
      <c r="C36" s="445">
        <v>2016.7905800000001</v>
      </c>
      <c r="D36" s="445">
        <v>1983.6469999999999</v>
      </c>
      <c r="E36" s="445">
        <v>1631.96253</v>
      </c>
      <c r="F36" s="445">
        <v>1575.6287400000001</v>
      </c>
      <c r="G36" s="445">
        <v>1730.0794599999999</v>
      </c>
      <c r="H36" s="445">
        <v>1968.22272</v>
      </c>
      <c r="I36" s="445">
        <v>1999.7530583288401</v>
      </c>
      <c r="J36" s="445">
        <v>2118.1370093018099</v>
      </c>
      <c r="K36" s="445">
        <v>1983.93678124287</v>
      </c>
      <c r="L36" s="445">
        <v>1762.0489358503701</v>
      </c>
      <c r="M36" s="445">
        <v>1707.06847949967</v>
      </c>
      <c r="N36" s="445">
        <v>1782.95585926479</v>
      </c>
      <c r="P36" s="445">
        <v>1890.3221899483799</v>
      </c>
      <c r="Q36" s="445">
        <v>1893.2642549919501</v>
      </c>
      <c r="R36" s="445">
        <v>1747.1980413521501</v>
      </c>
      <c r="S36" s="445">
        <v>1641.5675696010201</v>
      </c>
      <c r="T36" s="445">
        <v>1701.6917571228701</v>
      </c>
      <c r="U36" s="445">
        <v>1830.25173707247</v>
      </c>
      <c r="V36" s="445">
        <v>1987.40165078528</v>
      </c>
      <c r="W36" s="445">
        <v>2117.7775841851198</v>
      </c>
      <c r="X36" s="445">
        <v>1964.98906547315</v>
      </c>
      <c r="Y36" s="445">
        <v>1715.6976393002201</v>
      </c>
      <c r="Z36" s="445">
        <v>1643.7479628609401</v>
      </c>
      <c r="AA36" s="445">
        <v>1649.8345256796899</v>
      </c>
      <c r="AB36" s="445">
        <v>1863.2525378416699</v>
      </c>
      <c r="AC36" s="445">
        <v>1887.8671630495</v>
      </c>
      <c r="AD36" s="445">
        <v>1757.31292391636</v>
      </c>
      <c r="AE36" s="445">
        <v>1654.4321787466699</v>
      </c>
    </row>
    <row r="37" spans="1:31" s="443" customFormat="1">
      <c r="A37" s="446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442"/>
    </row>
    <row r="38" spans="1:31">
      <c r="A38" s="444" t="s">
        <v>1059</v>
      </c>
      <c r="B38" s="445">
        <v>99192.435939999996</v>
      </c>
      <c r="C38" s="445">
        <v>113163.422889999</v>
      </c>
      <c r="D38" s="445">
        <v>84308.14963</v>
      </c>
      <c r="E38" s="445">
        <v>87924.62556</v>
      </c>
      <c r="F38" s="445">
        <v>82137.907659999895</v>
      </c>
      <c r="G38" s="445">
        <v>98994.622949999903</v>
      </c>
      <c r="H38" s="445">
        <v>104199.29203</v>
      </c>
      <c r="I38" s="445">
        <v>109649.523863234</v>
      </c>
      <c r="J38" s="445">
        <v>110825.069353347</v>
      </c>
      <c r="K38" s="445">
        <v>96918.3282012134</v>
      </c>
      <c r="L38" s="445">
        <v>85144.998046229899</v>
      </c>
      <c r="M38" s="445">
        <v>84221.799167424906</v>
      </c>
      <c r="N38" s="445">
        <v>94164.3270951827</v>
      </c>
      <c r="P38" s="445">
        <v>96448.140755526198</v>
      </c>
      <c r="Q38" s="445">
        <v>88365.931932488194</v>
      </c>
      <c r="R38" s="445">
        <v>89751.148199739604</v>
      </c>
      <c r="S38" s="445">
        <v>82317.513242154993</v>
      </c>
      <c r="T38" s="445">
        <v>97387.755445739604</v>
      </c>
      <c r="U38" s="445">
        <v>104063.381672629</v>
      </c>
      <c r="V38" s="445">
        <v>116565.175582032</v>
      </c>
      <c r="W38" s="445">
        <v>117855.405293366</v>
      </c>
      <c r="X38" s="445">
        <v>102728.327149693</v>
      </c>
      <c r="Y38" s="445">
        <v>90258.657320781698</v>
      </c>
      <c r="Z38" s="445">
        <v>92163.025033006707</v>
      </c>
      <c r="AA38" s="445">
        <v>98283.294785581194</v>
      </c>
      <c r="AB38" s="445">
        <v>103017.921743024</v>
      </c>
      <c r="AC38" s="445">
        <v>94118.228195458199</v>
      </c>
      <c r="AD38" s="445">
        <v>100803.811234857</v>
      </c>
      <c r="AE38" s="445">
        <v>87543.811367765898</v>
      </c>
    </row>
    <row r="40" spans="1:31">
      <c r="A40" s="444" t="s">
        <v>1060</v>
      </c>
    </row>
    <row r="42" spans="1:31">
      <c r="A42" s="444" t="s">
        <v>1061</v>
      </c>
    </row>
    <row r="43" spans="1:31">
      <c r="A43" s="444" t="s">
        <v>1062</v>
      </c>
      <c r="B43" s="445">
        <v>458.91147999999998</v>
      </c>
      <c r="C43" s="445">
        <v>405.84933999999998</v>
      </c>
      <c r="D43" s="445">
        <v>394.72602999999998</v>
      </c>
      <c r="E43" s="445">
        <v>413.81407000000002</v>
      </c>
      <c r="F43" s="445">
        <v>401.02650999999997</v>
      </c>
      <c r="G43" s="445">
        <v>406.27134000000001</v>
      </c>
      <c r="H43" s="445">
        <v>399.50700000000001</v>
      </c>
      <c r="I43" s="445">
        <v>409.43200000000002</v>
      </c>
      <c r="J43" s="445">
        <v>514.02</v>
      </c>
      <c r="K43" s="445">
        <v>440.63099999999997</v>
      </c>
      <c r="L43" s="445">
        <v>486.01399999999899</v>
      </c>
      <c r="M43" s="445">
        <v>420.26400000000001</v>
      </c>
      <c r="N43" s="445">
        <v>386.16300000000001</v>
      </c>
      <c r="P43" s="445">
        <v>427.589</v>
      </c>
      <c r="Q43" s="445">
        <v>377.73599999999999</v>
      </c>
      <c r="R43" s="445">
        <v>444.875</v>
      </c>
      <c r="S43" s="445">
        <v>409.339</v>
      </c>
      <c r="T43" s="445">
        <v>437.59699999999998</v>
      </c>
      <c r="U43" s="445">
        <v>415.72</v>
      </c>
      <c r="V43" s="445">
        <v>439.834</v>
      </c>
      <c r="W43" s="445">
        <v>446.85</v>
      </c>
      <c r="X43" s="445">
        <v>437.065</v>
      </c>
      <c r="Y43" s="445">
        <v>471.37900000000002</v>
      </c>
      <c r="Z43" s="445">
        <v>431.11799999999999</v>
      </c>
      <c r="AA43" s="445">
        <v>383.65499999999997</v>
      </c>
      <c r="AB43" s="445">
        <v>464.94600000000003</v>
      </c>
      <c r="AC43" s="445">
        <v>406.815</v>
      </c>
      <c r="AD43" s="445">
        <v>478.90899999999999</v>
      </c>
      <c r="AE43" s="445">
        <v>431.44499999999999</v>
      </c>
    </row>
    <row r="44" spans="1:31">
      <c r="A44" s="444" t="s">
        <v>1063</v>
      </c>
      <c r="B44" s="445">
        <v>23086.766189999998</v>
      </c>
      <c r="C44" s="445">
        <v>25355.036739999901</v>
      </c>
      <c r="D44" s="445">
        <v>19447.211179999998</v>
      </c>
      <c r="E44" s="445">
        <v>19333.737349999901</v>
      </c>
      <c r="F44" s="445">
        <v>14982.939699999901</v>
      </c>
      <c r="G44" s="445">
        <v>20599.925579999901</v>
      </c>
      <c r="H44" s="445">
        <v>23152.7623199999</v>
      </c>
      <c r="I44" s="445">
        <v>22957.014272230201</v>
      </c>
      <c r="J44" s="445">
        <v>23306.501369441201</v>
      </c>
      <c r="K44" s="445">
        <v>20931.298640535999</v>
      </c>
      <c r="L44" s="445">
        <v>17828.666601326298</v>
      </c>
      <c r="M44" s="445">
        <v>17204.5696033233</v>
      </c>
      <c r="N44" s="445">
        <v>22445.719536089098</v>
      </c>
      <c r="P44" s="445">
        <v>23933.194373914601</v>
      </c>
      <c r="Q44" s="445">
        <v>20693.666394356798</v>
      </c>
      <c r="R44" s="445">
        <v>20290.233915642901</v>
      </c>
      <c r="S44" s="445">
        <v>16083.5264204327</v>
      </c>
      <c r="T44" s="445">
        <v>20306.2609698163</v>
      </c>
      <c r="U44" s="445">
        <v>21287.416668662801</v>
      </c>
      <c r="V44" s="445">
        <v>23638.3430740324</v>
      </c>
      <c r="W44" s="445">
        <v>22957.809506239599</v>
      </c>
      <c r="X44" s="445">
        <v>19846.0538334708</v>
      </c>
      <c r="Y44" s="445">
        <v>16377.846845026699</v>
      </c>
      <c r="Z44" s="445">
        <v>17612.441093139802</v>
      </c>
      <c r="AA44" s="445">
        <v>22641.147612071101</v>
      </c>
      <c r="AB44" s="445">
        <v>23382.260364081802</v>
      </c>
      <c r="AC44" s="445">
        <v>20762.6257680255</v>
      </c>
      <c r="AD44" s="445">
        <v>25242.699654915999</v>
      </c>
      <c r="AE44" s="445">
        <v>15868.1093287618</v>
      </c>
    </row>
    <row r="45" spans="1:31">
      <c r="A45" s="444" t="s">
        <v>1064</v>
      </c>
      <c r="B45" s="445">
        <v>0</v>
      </c>
      <c r="C45" s="445">
        <v>0</v>
      </c>
      <c r="D45" s="445">
        <v>0</v>
      </c>
      <c r="E45" s="445">
        <v>0</v>
      </c>
      <c r="F45" s="445">
        <v>0</v>
      </c>
      <c r="G45" s="445">
        <v>0</v>
      </c>
      <c r="H45" s="445">
        <v>0</v>
      </c>
      <c r="I45" s="445">
        <v>0</v>
      </c>
      <c r="J45" s="445">
        <v>0</v>
      </c>
      <c r="K45" s="445">
        <v>0</v>
      </c>
      <c r="L45" s="445">
        <v>0</v>
      </c>
      <c r="M45" s="445">
        <v>0</v>
      </c>
      <c r="N45" s="445">
        <v>0</v>
      </c>
      <c r="P45" s="445">
        <v>0</v>
      </c>
      <c r="Q45" s="445">
        <v>0</v>
      </c>
      <c r="R45" s="445">
        <v>0</v>
      </c>
      <c r="S45" s="445">
        <v>0</v>
      </c>
      <c r="T45" s="445">
        <v>0</v>
      </c>
      <c r="U45" s="445">
        <v>0</v>
      </c>
      <c r="V45" s="445">
        <v>0</v>
      </c>
      <c r="W45" s="445">
        <v>0</v>
      </c>
      <c r="X45" s="445">
        <v>0</v>
      </c>
      <c r="Y45" s="445">
        <v>0</v>
      </c>
      <c r="Z45" s="445">
        <v>0</v>
      </c>
      <c r="AA45" s="445">
        <v>0</v>
      </c>
      <c r="AB45" s="445">
        <v>0</v>
      </c>
      <c r="AC45" s="445">
        <v>0</v>
      </c>
      <c r="AD45" s="445">
        <v>0</v>
      </c>
      <c r="AE45" s="445">
        <v>0</v>
      </c>
    </row>
    <row r="46" spans="1:31">
      <c r="A46" s="444" t="s">
        <v>1065</v>
      </c>
      <c r="B46" s="445">
        <v>1437.46885</v>
      </c>
      <c r="C46" s="445">
        <v>1553.0647200000001</v>
      </c>
      <c r="D46" s="445">
        <v>1311.48505</v>
      </c>
      <c r="E46" s="445">
        <v>1478.8354299999901</v>
      </c>
      <c r="F46" s="445">
        <v>1284.0181699999901</v>
      </c>
      <c r="G46" s="445">
        <v>1438.8527200000001</v>
      </c>
      <c r="H46" s="445">
        <v>1404.1103499999999</v>
      </c>
      <c r="I46" s="445">
        <v>1531.6949999999899</v>
      </c>
      <c r="J46" s="445">
        <v>1653.452</v>
      </c>
      <c r="K46" s="445">
        <v>1413.4110000000001</v>
      </c>
      <c r="L46" s="445">
        <v>1567.84799999999</v>
      </c>
      <c r="M46" s="445">
        <v>1384.5540000000001</v>
      </c>
      <c r="N46" s="445">
        <v>1537.481</v>
      </c>
      <c r="P46" s="445">
        <v>1806.4280000000001</v>
      </c>
      <c r="Q46" s="445">
        <v>1736.683</v>
      </c>
      <c r="R46" s="445">
        <v>1704.1479999999999</v>
      </c>
      <c r="S46" s="445">
        <v>1638.6130000000001</v>
      </c>
      <c r="T46" s="445">
        <v>1848.61699999999</v>
      </c>
      <c r="U46" s="445">
        <v>1718.973</v>
      </c>
      <c r="V46" s="445">
        <v>1929.69999999999</v>
      </c>
      <c r="W46" s="445">
        <v>1942.1030000000001</v>
      </c>
      <c r="X46" s="445">
        <v>1758.912</v>
      </c>
      <c r="Y46" s="445">
        <v>1826.9359999999999</v>
      </c>
      <c r="Z46" s="445">
        <v>1684.61699999999</v>
      </c>
      <c r="AA46" s="445">
        <v>1918.2329999999999</v>
      </c>
      <c r="AB46" s="445">
        <v>2085.75</v>
      </c>
      <c r="AC46" s="445">
        <v>1862.3719999999901</v>
      </c>
      <c r="AD46" s="445">
        <v>2018.9069999999899</v>
      </c>
      <c r="AE46" s="445">
        <v>1761.5069999999901</v>
      </c>
    </row>
    <row r="47" spans="1:31">
      <c r="A47" s="444" t="s">
        <v>1066</v>
      </c>
      <c r="B47" s="445">
        <v>0</v>
      </c>
      <c r="C47" s="445">
        <v>0</v>
      </c>
      <c r="D47" s="445">
        <v>0</v>
      </c>
      <c r="E47" s="445">
        <v>0</v>
      </c>
      <c r="F47" s="445">
        <v>0</v>
      </c>
      <c r="G47" s="445">
        <v>0</v>
      </c>
      <c r="H47" s="445">
        <v>0</v>
      </c>
      <c r="I47" s="445">
        <v>0</v>
      </c>
      <c r="J47" s="445">
        <v>0</v>
      </c>
      <c r="K47" s="445">
        <v>0</v>
      </c>
      <c r="L47" s="445">
        <v>0</v>
      </c>
      <c r="M47" s="445">
        <v>0</v>
      </c>
      <c r="N47" s="445">
        <v>0</v>
      </c>
      <c r="P47" s="445">
        <v>0</v>
      </c>
      <c r="Q47" s="445">
        <v>0</v>
      </c>
      <c r="R47" s="445">
        <v>0</v>
      </c>
      <c r="S47" s="445">
        <v>0</v>
      </c>
      <c r="T47" s="445">
        <v>0</v>
      </c>
      <c r="U47" s="445">
        <v>0</v>
      </c>
      <c r="V47" s="445">
        <v>0</v>
      </c>
      <c r="W47" s="445">
        <v>0</v>
      </c>
      <c r="X47" s="445">
        <v>0</v>
      </c>
      <c r="Y47" s="445">
        <v>0</v>
      </c>
      <c r="Z47" s="445">
        <v>0</v>
      </c>
      <c r="AA47" s="445">
        <v>0</v>
      </c>
      <c r="AB47" s="445">
        <v>0</v>
      </c>
      <c r="AC47" s="445">
        <v>0</v>
      </c>
      <c r="AD47" s="445">
        <v>0</v>
      </c>
      <c r="AE47" s="445">
        <v>0</v>
      </c>
    </row>
    <row r="48" spans="1:31">
      <c r="A48" s="444" t="s">
        <v>1067</v>
      </c>
      <c r="B48" s="445">
        <v>238.52074999999999</v>
      </c>
      <c r="C48" s="445">
        <v>236.56710999999899</v>
      </c>
      <c r="D48" s="445">
        <v>225.52628999999999</v>
      </c>
      <c r="E48" s="445">
        <v>280.304229999999</v>
      </c>
      <c r="F48" s="445">
        <v>229.77035999999899</v>
      </c>
      <c r="G48" s="445">
        <v>248.73017999999999</v>
      </c>
      <c r="H48" s="445">
        <v>206.06106</v>
      </c>
      <c r="I48" s="445">
        <v>189.26</v>
      </c>
      <c r="J48" s="445">
        <v>206.226</v>
      </c>
      <c r="K48" s="445">
        <v>170.875</v>
      </c>
      <c r="L48" s="445">
        <v>204.74199999999999</v>
      </c>
      <c r="M48" s="445">
        <v>181.37200000000001</v>
      </c>
      <c r="N48" s="445">
        <v>166.494</v>
      </c>
      <c r="P48" s="445">
        <v>201.08699999999999</v>
      </c>
      <c r="Q48" s="445">
        <v>177.761</v>
      </c>
      <c r="R48" s="445">
        <v>182.60300000000001</v>
      </c>
      <c r="S48" s="445">
        <v>186.464</v>
      </c>
      <c r="T48" s="445">
        <v>197.38800000000001</v>
      </c>
      <c r="U48" s="445">
        <v>166.21899999999999</v>
      </c>
      <c r="V48" s="445">
        <v>195.74299999999999</v>
      </c>
      <c r="W48" s="445">
        <v>196.88800000000001</v>
      </c>
      <c r="X48" s="445">
        <v>175.577</v>
      </c>
      <c r="Y48" s="445">
        <v>206.542</v>
      </c>
      <c r="Z48" s="445">
        <v>175.31899999999999</v>
      </c>
      <c r="AA48" s="445">
        <v>181.24700000000001</v>
      </c>
      <c r="AB48" s="445">
        <v>205.24600000000001</v>
      </c>
      <c r="AC48" s="445">
        <v>182.017</v>
      </c>
      <c r="AD48" s="445">
        <v>194.702</v>
      </c>
      <c r="AE48" s="445">
        <v>189.99700000000001</v>
      </c>
    </row>
    <row r="49" spans="1:31">
      <c r="A49" s="444" t="s">
        <v>1068</v>
      </c>
      <c r="B49" s="445">
        <v>1380.6658599999901</v>
      </c>
      <c r="C49" s="445">
        <v>1423.7135699999901</v>
      </c>
      <c r="D49" s="445">
        <v>1313.9610399999999</v>
      </c>
      <c r="E49" s="445">
        <v>1079.6748600000001</v>
      </c>
      <c r="F49" s="445">
        <v>1078.90795</v>
      </c>
      <c r="G49" s="445">
        <v>1095.5362399999999</v>
      </c>
      <c r="H49" s="445">
        <v>1286.9088299999901</v>
      </c>
      <c r="I49" s="445">
        <v>1263.2649999999901</v>
      </c>
      <c r="J49" s="445">
        <v>1378.2559999999901</v>
      </c>
      <c r="K49" s="445">
        <v>1269.1500000000001</v>
      </c>
      <c r="L49" s="445">
        <v>1265.711</v>
      </c>
      <c r="M49" s="445">
        <v>1138.3889999999999</v>
      </c>
      <c r="N49" s="445">
        <v>1434.0839999999901</v>
      </c>
      <c r="P49" s="445">
        <v>1317.6679999999999</v>
      </c>
      <c r="Q49" s="445">
        <v>1193.558</v>
      </c>
      <c r="R49" s="445">
        <v>1216.8430000000001</v>
      </c>
      <c r="S49" s="445">
        <v>1157.08</v>
      </c>
      <c r="T49" s="445">
        <v>1206.827</v>
      </c>
      <c r="U49" s="445">
        <v>1255.1400000000001</v>
      </c>
      <c r="V49" s="445">
        <v>1306.9680000000001</v>
      </c>
      <c r="W49" s="445">
        <v>1296.1410000000001</v>
      </c>
      <c r="X49" s="445">
        <v>1175.3969999999999</v>
      </c>
      <c r="Y49" s="445">
        <v>1077.76699999999</v>
      </c>
      <c r="Z49" s="445">
        <v>1056.7919999999999</v>
      </c>
      <c r="AA49" s="445">
        <v>1259.3979999999999</v>
      </c>
      <c r="AB49" s="445">
        <v>1358.2750000000001</v>
      </c>
      <c r="AC49" s="445">
        <v>1253.171</v>
      </c>
      <c r="AD49" s="445">
        <v>1416.0139999999999</v>
      </c>
      <c r="AE49" s="445">
        <v>1253.7260000000001</v>
      </c>
    </row>
    <row r="50" spans="1:31">
      <c r="A50" s="444" t="s">
        <v>1069</v>
      </c>
      <c r="B50" s="445">
        <v>3</v>
      </c>
      <c r="C50" s="445">
        <v>3</v>
      </c>
      <c r="D50" s="445">
        <v>3</v>
      </c>
      <c r="E50" s="445">
        <v>3</v>
      </c>
      <c r="F50" s="445">
        <v>3</v>
      </c>
      <c r="G50" s="445">
        <v>3</v>
      </c>
      <c r="H50" s="445">
        <v>3</v>
      </c>
      <c r="I50" s="445">
        <v>0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P50" s="445">
        <v>0</v>
      </c>
      <c r="Q50" s="445">
        <v>0</v>
      </c>
      <c r="R50" s="445">
        <v>0</v>
      </c>
      <c r="S50" s="445">
        <v>0</v>
      </c>
      <c r="T50" s="445">
        <v>0</v>
      </c>
      <c r="U50" s="445">
        <v>0</v>
      </c>
      <c r="V50" s="445">
        <v>0</v>
      </c>
      <c r="W50" s="445">
        <v>0</v>
      </c>
      <c r="X50" s="445">
        <v>0</v>
      </c>
      <c r="Y50" s="445">
        <v>0</v>
      </c>
      <c r="Z50" s="445">
        <v>0</v>
      </c>
      <c r="AA50" s="445">
        <v>0</v>
      </c>
      <c r="AB50" s="445">
        <v>0</v>
      </c>
      <c r="AC50" s="445">
        <v>0</v>
      </c>
      <c r="AD50" s="445">
        <v>0</v>
      </c>
      <c r="AE50" s="445">
        <v>0</v>
      </c>
    </row>
    <row r="51" spans="1:31">
      <c r="A51" s="444" t="s">
        <v>1070</v>
      </c>
      <c r="B51" s="445">
        <v>4.2999999999999999E-4</v>
      </c>
      <c r="C51" s="445">
        <v>3.5999999999999899E-4</v>
      </c>
      <c r="D51" s="445">
        <v>1.9000000000000001E-4</v>
      </c>
      <c r="E51" s="445">
        <v>2.9E-4</v>
      </c>
      <c r="F51" s="445">
        <v>2.4000000000000001E-4</v>
      </c>
      <c r="G51" s="445">
        <v>2.5999999999999998E-4</v>
      </c>
      <c r="H51" s="445">
        <v>2.7E-4</v>
      </c>
      <c r="I51" s="445">
        <v>0</v>
      </c>
      <c r="J51" s="445">
        <v>1</v>
      </c>
      <c r="K51" s="445">
        <v>0</v>
      </c>
      <c r="L51" s="445">
        <v>0</v>
      </c>
      <c r="M51" s="445">
        <v>0</v>
      </c>
      <c r="N51" s="445">
        <v>1</v>
      </c>
      <c r="P51" s="445">
        <v>0</v>
      </c>
      <c r="Q51" s="445">
        <v>0</v>
      </c>
      <c r="R51" s="445">
        <v>0</v>
      </c>
      <c r="S51" s="445">
        <v>0</v>
      </c>
      <c r="T51" s="445">
        <v>0</v>
      </c>
      <c r="U51" s="445">
        <v>0</v>
      </c>
      <c r="V51" s="445">
        <v>0</v>
      </c>
      <c r="W51" s="445">
        <v>0</v>
      </c>
      <c r="X51" s="445">
        <v>0</v>
      </c>
      <c r="Y51" s="445">
        <v>0</v>
      </c>
      <c r="Z51" s="445">
        <v>0</v>
      </c>
      <c r="AA51" s="445">
        <v>0</v>
      </c>
      <c r="AB51" s="445">
        <v>0</v>
      </c>
      <c r="AC51" s="445">
        <v>0</v>
      </c>
      <c r="AD51" s="445">
        <v>0</v>
      </c>
      <c r="AE51" s="445">
        <v>0</v>
      </c>
    </row>
    <row r="52" spans="1:31">
      <c r="A52" s="444" t="s">
        <v>1071</v>
      </c>
      <c r="B52" s="445">
        <v>26605.333559999999</v>
      </c>
      <c r="C52" s="445">
        <v>28977.231839999899</v>
      </c>
      <c r="D52" s="445">
        <v>22695.909780000002</v>
      </c>
      <c r="E52" s="445">
        <v>22589.366229999901</v>
      </c>
      <c r="F52" s="445">
        <v>17979.662929999999</v>
      </c>
      <c r="G52" s="445">
        <v>23792.3163199999</v>
      </c>
      <c r="H52" s="445">
        <v>26452.349829999999</v>
      </c>
      <c r="I52" s="445">
        <v>26350.666272230199</v>
      </c>
      <c r="J52" s="445">
        <v>27059.455369441199</v>
      </c>
      <c r="K52" s="445">
        <v>24225.365640536002</v>
      </c>
      <c r="L52" s="445">
        <v>21352.981601326301</v>
      </c>
      <c r="M52" s="445">
        <v>20329.148603323301</v>
      </c>
      <c r="N52" s="445">
        <v>25970.9415360891</v>
      </c>
      <c r="P52" s="445">
        <v>27685.966373914602</v>
      </c>
      <c r="Q52" s="445">
        <v>24179.404394356799</v>
      </c>
      <c r="R52" s="445">
        <v>23838.702915642902</v>
      </c>
      <c r="S52" s="445">
        <v>19475.022420432699</v>
      </c>
      <c r="T52" s="445">
        <v>23996.6899698163</v>
      </c>
      <c r="U52" s="445">
        <v>24843.468668662801</v>
      </c>
      <c r="V52" s="445">
        <v>27510.588074032399</v>
      </c>
      <c r="W52" s="445">
        <v>26839.791506239599</v>
      </c>
      <c r="X52" s="445">
        <v>23393.004833470801</v>
      </c>
      <c r="Y52" s="445">
        <v>19960.470845026699</v>
      </c>
      <c r="Z52" s="445">
        <v>20960.287093139799</v>
      </c>
      <c r="AA52" s="445">
        <v>26383.680612071101</v>
      </c>
      <c r="AB52" s="445">
        <v>27496.477364081798</v>
      </c>
      <c r="AC52" s="445">
        <v>24467.0007680255</v>
      </c>
      <c r="AD52" s="445">
        <v>29351.231654915999</v>
      </c>
      <c r="AE52" s="445">
        <v>19504.784328761802</v>
      </c>
    </row>
    <row r="54" spans="1:31">
      <c r="A54" s="444" t="s">
        <v>1072</v>
      </c>
      <c r="B54" s="445">
        <v>309.41293999999999</v>
      </c>
      <c r="C54" s="445">
        <v>388.69476999999898</v>
      </c>
      <c r="D54" s="445">
        <v>361.67191000000003</v>
      </c>
      <c r="E54" s="445">
        <v>590.36145999999997</v>
      </c>
      <c r="F54" s="445">
        <v>595.16886999999997</v>
      </c>
      <c r="G54" s="445">
        <v>378.22232000000002</v>
      </c>
      <c r="H54" s="445">
        <v>469.94085000000001</v>
      </c>
      <c r="I54" s="445">
        <v>310.56799999999998</v>
      </c>
      <c r="J54" s="445">
        <v>398.87099999999998</v>
      </c>
      <c r="K54" s="445">
        <v>465.88499999999999</v>
      </c>
      <c r="L54" s="445">
        <v>768.851</v>
      </c>
      <c r="M54" s="445">
        <v>339.41899999999998</v>
      </c>
      <c r="N54" s="445">
        <v>254.149</v>
      </c>
      <c r="P54" s="445">
        <v>406.70100000000002</v>
      </c>
      <c r="Q54" s="445">
        <v>377.97800000000001</v>
      </c>
      <c r="R54" s="445">
        <v>566.84100000000001</v>
      </c>
      <c r="S54" s="445">
        <v>593.77200000000005</v>
      </c>
      <c r="T54" s="445">
        <v>365.19600000000003</v>
      </c>
      <c r="U54" s="445">
        <v>397.63400000000001</v>
      </c>
      <c r="V54" s="445">
        <v>385.68799999999999</v>
      </c>
      <c r="W54" s="445">
        <v>427.47699999999998</v>
      </c>
      <c r="X54" s="445">
        <v>413.32499999999999</v>
      </c>
      <c r="Y54" s="445">
        <v>746.49</v>
      </c>
      <c r="Z54" s="445">
        <v>549.09699999999998</v>
      </c>
      <c r="AA54" s="445">
        <v>312.40300000000002</v>
      </c>
      <c r="AB54" s="445">
        <v>457.11599999999999</v>
      </c>
      <c r="AC54" s="445">
        <v>344.32399999999899</v>
      </c>
      <c r="AD54" s="445">
        <v>577.59299999999996</v>
      </c>
      <c r="AE54" s="445">
        <v>636.23399999999901</v>
      </c>
    </row>
    <row r="55" spans="1:31">
      <c r="A55" s="444" t="s">
        <v>1073</v>
      </c>
      <c r="B55" s="445">
        <v>285.79235</v>
      </c>
      <c r="C55" s="445">
        <v>130.92167000000001</v>
      </c>
      <c r="D55" s="445">
        <v>172.70423</v>
      </c>
      <c r="E55" s="445">
        <v>215.94284999999999</v>
      </c>
      <c r="F55" s="445">
        <v>172.45876999999999</v>
      </c>
      <c r="G55" s="445">
        <v>184.42176000000001</v>
      </c>
      <c r="H55" s="445">
        <v>212.75451000000001</v>
      </c>
      <c r="I55" s="445">
        <v>348.80500000000001</v>
      </c>
      <c r="J55" s="445">
        <v>247.523</v>
      </c>
      <c r="K55" s="445">
        <v>405.14699999999999</v>
      </c>
      <c r="L55" s="445">
        <v>321.01499999999999</v>
      </c>
      <c r="M55" s="445">
        <v>232.09800000000001</v>
      </c>
      <c r="N55" s="445">
        <v>217.74799999999999</v>
      </c>
      <c r="P55" s="445">
        <v>212.464</v>
      </c>
      <c r="Q55" s="445">
        <v>209.57300000000001</v>
      </c>
      <c r="R55" s="445">
        <v>243.67</v>
      </c>
      <c r="S55" s="445">
        <v>236.58</v>
      </c>
      <c r="T55" s="445">
        <v>231.703</v>
      </c>
      <c r="U55" s="445">
        <v>287.24299999999999</v>
      </c>
      <c r="V55" s="445">
        <v>249.81899999999999</v>
      </c>
      <c r="W55" s="445">
        <v>250.309</v>
      </c>
      <c r="X55" s="445">
        <v>222.06</v>
      </c>
      <c r="Y55" s="445">
        <v>285.67700000000002</v>
      </c>
      <c r="Z55" s="445">
        <v>233.703</v>
      </c>
      <c r="AA55" s="445">
        <v>226.03800000000001</v>
      </c>
      <c r="AB55" s="445">
        <v>217.69300000000001</v>
      </c>
      <c r="AC55" s="445">
        <v>214.864</v>
      </c>
      <c r="AD55" s="445">
        <v>215.06399999999999</v>
      </c>
      <c r="AE55" s="445">
        <v>246.90700000000001</v>
      </c>
    </row>
    <row r="56" spans="1:31">
      <c r="A56" s="444" t="s">
        <v>1074</v>
      </c>
      <c r="B56" s="445">
        <v>2996.4858599999998</v>
      </c>
      <c r="C56" s="445">
        <v>1746.18723</v>
      </c>
      <c r="D56" s="445">
        <v>1707.7192299999999</v>
      </c>
      <c r="E56" s="445">
        <v>3121.90879</v>
      </c>
      <c r="F56" s="445">
        <v>4263.77549</v>
      </c>
      <c r="G56" s="445">
        <v>2403.4213399999999</v>
      </c>
      <c r="H56" s="445">
        <v>1731.37382</v>
      </c>
      <c r="I56" s="445">
        <v>2043.124</v>
      </c>
      <c r="J56" s="445">
        <v>2456.373</v>
      </c>
      <c r="K56" s="445">
        <v>2554.3719999999898</v>
      </c>
      <c r="L56" s="445">
        <v>4429.848</v>
      </c>
      <c r="M56" s="445">
        <v>3660.1170000000002</v>
      </c>
      <c r="N56" s="445">
        <v>2223.1419999999998</v>
      </c>
      <c r="P56" s="445">
        <v>1761.1410000000001</v>
      </c>
      <c r="Q56" s="445">
        <v>2182.9839999999999</v>
      </c>
      <c r="R56" s="445">
        <v>3126.172</v>
      </c>
      <c r="S56" s="445">
        <v>4378.7510000000002</v>
      </c>
      <c r="T56" s="445">
        <v>2829.17</v>
      </c>
      <c r="U56" s="445">
        <v>2172.9009999999998</v>
      </c>
      <c r="V56" s="445">
        <v>2313.7179999999998</v>
      </c>
      <c r="W56" s="445">
        <v>2125.6610000000001</v>
      </c>
      <c r="X56" s="445">
        <v>3013.2159999999999</v>
      </c>
      <c r="Y56" s="445">
        <v>4494.1480000000001</v>
      </c>
      <c r="Z56" s="445">
        <v>3699.0990000000002</v>
      </c>
      <c r="AA56" s="445">
        <v>2403.6909999999998</v>
      </c>
      <c r="AB56" s="445">
        <v>1975.58</v>
      </c>
      <c r="AC56" s="445">
        <v>2212.7640000000001</v>
      </c>
      <c r="AD56" s="445">
        <v>3704.3490000000002</v>
      </c>
      <c r="AE56" s="445">
        <v>4690.09</v>
      </c>
    </row>
    <row r="57" spans="1:31">
      <c r="A57" s="444" t="s">
        <v>1075</v>
      </c>
      <c r="B57" s="445">
        <v>414.84960999999998</v>
      </c>
      <c r="C57" s="445">
        <v>291.02555999999998</v>
      </c>
      <c r="D57" s="445">
        <v>432.09449999999998</v>
      </c>
      <c r="E57" s="445">
        <v>857.56255999999996</v>
      </c>
      <c r="F57" s="445">
        <v>2001.1455100000001</v>
      </c>
      <c r="G57" s="445">
        <v>760.69302000000005</v>
      </c>
      <c r="H57" s="445">
        <v>368.18036999999998</v>
      </c>
      <c r="I57" s="445">
        <v>454.45499999999998</v>
      </c>
      <c r="J57" s="445">
        <v>631.53700000000003</v>
      </c>
      <c r="K57" s="445">
        <v>560.85400000000004</v>
      </c>
      <c r="L57" s="445">
        <v>1696.5650000000001</v>
      </c>
      <c r="M57" s="445">
        <v>1514.5840000000001</v>
      </c>
      <c r="N57" s="445">
        <v>485.78</v>
      </c>
      <c r="P57" s="445">
        <v>512.596</v>
      </c>
      <c r="Q57" s="445">
        <v>498.96899999999999</v>
      </c>
      <c r="R57" s="445">
        <v>1043.646</v>
      </c>
      <c r="S57" s="445">
        <v>2213.1079999999902</v>
      </c>
      <c r="T57" s="445">
        <v>961.50800000000004</v>
      </c>
      <c r="U57" s="445">
        <v>736.52800000000002</v>
      </c>
      <c r="V57" s="445">
        <v>644.11199999999997</v>
      </c>
      <c r="W57" s="445">
        <v>519.07500000000005</v>
      </c>
      <c r="X57" s="445">
        <v>674.16499999999996</v>
      </c>
      <c r="Y57" s="445">
        <v>2137.6059999999902</v>
      </c>
      <c r="Z57" s="445">
        <v>1766.56</v>
      </c>
      <c r="AA57" s="445">
        <v>605.48599999999999</v>
      </c>
      <c r="AB57" s="445">
        <v>577.39699999999903</v>
      </c>
      <c r="AC57" s="445">
        <v>519.58600000000001</v>
      </c>
      <c r="AD57" s="445">
        <v>1021.035</v>
      </c>
      <c r="AE57" s="445">
        <v>2053.453</v>
      </c>
    </row>
    <row r="58" spans="1:31">
      <c r="A58" s="444" t="s">
        <v>1076</v>
      </c>
      <c r="B58" s="445">
        <v>462.81529</v>
      </c>
      <c r="C58" s="445">
        <v>224.20392999999899</v>
      </c>
      <c r="D58" s="445">
        <v>183.58832000000001</v>
      </c>
      <c r="E58" s="445">
        <v>183.73083</v>
      </c>
      <c r="F58" s="445">
        <v>197.01963000000001</v>
      </c>
      <c r="G58" s="445">
        <v>190.01719</v>
      </c>
      <c r="H58" s="445">
        <v>254.22441000000001</v>
      </c>
      <c r="I58" s="445">
        <v>199.10900000000001</v>
      </c>
      <c r="J58" s="445">
        <v>155.74799999999999</v>
      </c>
      <c r="K58" s="445">
        <v>154.27799999999999</v>
      </c>
      <c r="L58" s="445">
        <v>162.392</v>
      </c>
      <c r="M58" s="445">
        <v>125.425</v>
      </c>
      <c r="N58" s="445">
        <v>111.622</v>
      </c>
      <c r="P58" s="445">
        <v>131.267</v>
      </c>
      <c r="Q58" s="445">
        <v>122.733</v>
      </c>
      <c r="R58" s="445">
        <v>122.76600000000001</v>
      </c>
      <c r="S58" s="445">
        <v>123.809</v>
      </c>
      <c r="T58" s="445">
        <v>124.529</v>
      </c>
      <c r="U58" s="445">
        <v>152.97300000000001</v>
      </c>
      <c r="V58" s="445">
        <v>153.489</v>
      </c>
      <c r="W58" s="445">
        <v>154.44300000000001</v>
      </c>
      <c r="X58" s="445">
        <v>180.89699999999999</v>
      </c>
      <c r="Y58" s="445">
        <v>120.779</v>
      </c>
      <c r="Z58" s="445">
        <v>123.623</v>
      </c>
      <c r="AA58" s="445">
        <v>120.38200000000001</v>
      </c>
      <c r="AB58" s="445">
        <v>124.57899999999999</v>
      </c>
      <c r="AC58" s="445">
        <v>123.77500000000001</v>
      </c>
      <c r="AD58" s="445">
        <v>124.697</v>
      </c>
      <c r="AE58" s="445">
        <v>124.116</v>
      </c>
    </row>
    <row r="59" spans="1:31">
      <c r="A59" s="444" t="s">
        <v>1077</v>
      </c>
      <c r="B59" s="445">
        <v>4469.3560500000003</v>
      </c>
      <c r="C59" s="445">
        <v>2781.03316</v>
      </c>
      <c r="D59" s="445">
        <v>2857.77819</v>
      </c>
      <c r="E59" s="445">
        <v>4969.5064899999998</v>
      </c>
      <c r="F59" s="445">
        <v>7229.5682699999998</v>
      </c>
      <c r="G59" s="445">
        <v>3916.7756300000001</v>
      </c>
      <c r="H59" s="445">
        <v>3036.4739599999998</v>
      </c>
      <c r="I59" s="445">
        <v>3356.0610000000001</v>
      </c>
      <c r="J59" s="445">
        <v>3890.0520000000001</v>
      </c>
      <c r="K59" s="445">
        <v>4140.5360000000001</v>
      </c>
      <c r="L59" s="445">
        <v>7378.6710000000003</v>
      </c>
      <c r="M59" s="445">
        <v>5871.643</v>
      </c>
      <c r="N59" s="445">
        <v>3292.4409999999898</v>
      </c>
      <c r="P59" s="445">
        <v>3024.1689999999999</v>
      </c>
      <c r="Q59" s="445">
        <v>3392.2370000000001</v>
      </c>
      <c r="R59" s="445">
        <v>5103.0949999999903</v>
      </c>
      <c r="S59" s="445">
        <v>7546.0199999999904</v>
      </c>
      <c r="T59" s="445">
        <v>4512.1059999999998</v>
      </c>
      <c r="U59" s="445">
        <v>3747.279</v>
      </c>
      <c r="V59" s="445">
        <v>3746.826</v>
      </c>
      <c r="W59" s="445">
        <v>3476.9650000000001</v>
      </c>
      <c r="X59" s="445">
        <v>4503.6629999999996</v>
      </c>
      <c r="Y59" s="445">
        <v>7784.7</v>
      </c>
      <c r="Z59" s="445">
        <v>6372.0820000000003</v>
      </c>
      <c r="AA59" s="445">
        <v>3667.99999999999</v>
      </c>
      <c r="AB59" s="445">
        <v>3352.3649999999998</v>
      </c>
      <c r="AC59" s="445">
        <v>3415.3130000000001</v>
      </c>
      <c r="AD59" s="445">
        <v>5642.7380000000003</v>
      </c>
      <c r="AE59" s="445">
        <v>7750.8</v>
      </c>
    </row>
    <row r="61" spans="1:31">
      <c r="A61" s="444" t="s">
        <v>1078</v>
      </c>
      <c r="B61" s="445">
        <v>31074.689610000001</v>
      </c>
      <c r="C61" s="445">
        <v>31758.264999999901</v>
      </c>
      <c r="D61" s="445">
        <v>25553.687969999999</v>
      </c>
      <c r="E61" s="445">
        <v>27558.872719999901</v>
      </c>
      <c r="F61" s="445">
        <v>25209.231199999998</v>
      </c>
      <c r="G61" s="445">
        <v>27709.0919499999</v>
      </c>
      <c r="H61" s="445">
        <v>29488.823789999999</v>
      </c>
      <c r="I61" s="445">
        <v>29706.7272722302</v>
      </c>
      <c r="J61" s="445">
        <v>30949.507369441199</v>
      </c>
      <c r="K61" s="445">
        <v>28365.901640536002</v>
      </c>
      <c r="L61" s="445">
        <v>28731.652601326299</v>
      </c>
      <c r="M61" s="445">
        <v>26200.791603323301</v>
      </c>
      <c r="N61" s="445">
        <v>29263.382536089099</v>
      </c>
      <c r="P61" s="445">
        <v>30710.1353739146</v>
      </c>
      <c r="Q61" s="445">
        <v>27571.6413943568</v>
      </c>
      <c r="R61" s="445">
        <v>28941.797915642899</v>
      </c>
      <c r="S61" s="445">
        <v>27021.042420432699</v>
      </c>
      <c r="T61" s="445">
        <v>28508.795969816299</v>
      </c>
      <c r="U61" s="445">
        <v>28590.7476686628</v>
      </c>
      <c r="V61" s="445">
        <v>31257.4140740324</v>
      </c>
      <c r="W61" s="445">
        <v>30316.756506239599</v>
      </c>
      <c r="X61" s="445">
        <v>27896.667833470801</v>
      </c>
      <c r="Y61" s="445">
        <v>27745.1708450267</v>
      </c>
      <c r="Z61" s="445">
        <v>27332.369093139801</v>
      </c>
      <c r="AA61" s="445">
        <v>30051.680612071101</v>
      </c>
      <c r="AB61" s="445">
        <v>30848.8423640818</v>
      </c>
      <c r="AC61" s="445">
        <v>27882.313768025499</v>
      </c>
      <c r="AD61" s="445">
        <v>34993.969654916</v>
      </c>
      <c r="AE61" s="445">
        <v>27255.584328761801</v>
      </c>
    </row>
    <row r="63" spans="1:31">
      <c r="A63" s="444" t="s">
        <v>1079</v>
      </c>
    </row>
    <row r="64" spans="1:31">
      <c r="A64" s="444" t="s">
        <v>1080</v>
      </c>
      <c r="B64" s="445">
        <v>8.8575099999999996</v>
      </c>
      <c r="C64" s="445">
        <v>11.945069999999999</v>
      </c>
      <c r="D64" s="445">
        <v>11.019920000000001</v>
      </c>
      <c r="E64" s="445">
        <v>12.087249999999999</v>
      </c>
      <c r="F64" s="445">
        <v>11.68797</v>
      </c>
      <c r="G64" s="445">
        <v>2.9573200000000002</v>
      </c>
      <c r="H64" s="445">
        <v>12.2744</v>
      </c>
      <c r="I64" s="445">
        <v>10.225</v>
      </c>
      <c r="J64" s="445">
        <v>11.061999999999999</v>
      </c>
      <c r="K64" s="445">
        <v>9.1379999999999999</v>
      </c>
      <c r="L64" s="445">
        <v>10.760999999999999</v>
      </c>
      <c r="M64" s="445">
        <v>10.37</v>
      </c>
      <c r="N64" s="445">
        <v>7.9630000000000001</v>
      </c>
      <c r="P64" s="445">
        <v>11.769</v>
      </c>
      <c r="Q64" s="445">
        <v>10.127000000000001</v>
      </c>
      <c r="R64" s="445">
        <v>10.423</v>
      </c>
      <c r="S64" s="445">
        <v>11.648999999999999</v>
      </c>
      <c r="T64" s="445">
        <v>10.618</v>
      </c>
      <c r="U64" s="445">
        <v>9.484</v>
      </c>
      <c r="V64" s="445">
        <v>10.968999999999999</v>
      </c>
      <c r="W64" s="445">
        <v>11.48</v>
      </c>
      <c r="X64" s="445">
        <v>11.132999999999999</v>
      </c>
      <c r="Y64" s="445">
        <v>11.731</v>
      </c>
      <c r="Z64" s="445">
        <v>10.416</v>
      </c>
      <c r="AA64" s="445">
        <v>8.83</v>
      </c>
      <c r="AB64" s="445">
        <v>12.132999999999999</v>
      </c>
      <c r="AC64" s="445">
        <v>10.438000000000001</v>
      </c>
      <c r="AD64" s="445">
        <v>11.340999999999999</v>
      </c>
      <c r="AE64" s="445">
        <v>12.009</v>
      </c>
    </row>
    <row r="65" spans="1:31">
      <c r="A65" s="444" t="s">
        <v>1081</v>
      </c>
      <c r="B65" s="445">
        <v>3.2210800000000002</v>
      </c>
      <c r="C65" s="445">
        <v>3.2276699999999998</v>
      </c>
      <c r="D65" s="445">
        <v>3.2276699999999998</v>
      </c>
      <c r="E65" s="445">
        <v>3.2276699999999998</v>
      </c>
      <c r="F65" s="445">
        <v>3.7595700000000001</v>
      </c>
      <c r="G65" s="445">
        <v>3.2301700000000002</v>
      </c>
      <c r="H65" s="445">
        <v>3.2301700000000002</v>
      </c>
      <c r="I65" s="445">
        <v>3.4180000000000001</v>
      </c>
      <c r="J65" s="445">
        <v>3.4180000000000001</v>
      </c>
      <c r="K65" s="445">
        <v>3.4180000000000001</v>
      </c>
      <c r="L65" s="445">
        <v>3.4180000000000001</v>
      </c>
      <c r="M65" s="445">
        <v>3.4180000000000001</v>
      </c>
      <c r="N65" s="445">
        <v>3.4180000000000001</v>
      </c>
      <c r="P65" s="445">
        <v>3.4689999999999999</v>
      </c>
      <c r="Q65" s="445">
        <v>3.4689999999999999</v>
      </c>
      <c r="R65" s="445">
        <v>3.4689999999999999</v>
      </c>
      <c r="S65" s="445">
        <v>3.4689999999999999</v>
      </c>
      <c r="T65" s="445">
        <v>3.4689999999999999</v>
      </c>
      <c r="U65" s="445">
        <v>3.4689999999999999</v>
      </c>
      <c r="V65" s="445">
        <v>3.4689999999999999</v>
      </c>
      <c r="W65" s="445">
        <v>3.4689999999999999</v>
      </c>
      <c r="X65" s="445">
        <v>3.4689999999999999</v>
      </c>
      <c r="Y65" s="445">
        <v>3.4689999999999999</v>
      </c>
      <c r="Z65" s="445">
        <v>3.4689999999999999</v>
      </c>
      <c r="AA65" s="445">
        <v>3.4689999999999999</v>
      </c>
      <c r="AB65" s="445">
        <v>3.5209999999999999</v>
      </c>
      <c r="AC65" s="445">
        <v>3.5209999999999999</v>
      </c>
      <c r="AD65" s="445">
        <v>3.5209999999999999</v>
      </c>
      <c r="AE65" s="445">
        <v>3.5209999999999999</v>
      </c>
    </row>
    <row r="66" spans="1:31">
      <c r="A66" s="444" t="s">
        <v>1082</v>
      </c>
      <c r="B66" s="445">
        <v>28.476099999999999</v>
      </c>
      <c r="C66" s="445">
        <v>40.782710000000002</v>
      </c>
      <c r="D66" s="445">
        <v>36.501080000000002</v>
      </c>
      <c r="E66" s="445">
        <v>29.329180000000001</v>
      </c>
      <c r="F66" s="445">
        <v>25.881360000000001</v>
      </c>
      <c r="G66" s="445">
        <v>32.348439999999997</v>
      </c>
      <c r="H66" s="445">
        <v>29.067789999999999</v>
      </c>
      <c r="I66" s="445">
        <v>35.564999999999998</v>
      </c>
      <c r="J66" s="445">
        <v>38.283999999999999</v>
      </c>
      <c r="K66" s="445">
        <v>31.934999999999999</v>
      </c>
      <c r="L66" s="445">
        <v>37.357999999999997</v>
      </c>
      <c r="M66" s="445">
        <v>36.091000000000001</v>
      </c>
      <c r="N66" s="445">
        <v>28.532</v>
      </c>
      <c r="P66" s="445">
        <v>30.600999999999999</v>
      </c>
      <c r="Q66" s="445">
        <v>26.492000000000001</v>
      </c>
      <c r="R66" s="445">
        <v>27.286000000000001</v>
      </c>
      <c r="S66" s="445">
        <v>30.207999999999998</v>
      </c>
      <c r="T66" s="445">
        <v>27.971</v>
      </c>
      <c r="U66" s="445">
        <v>25.021999999999998</v>
      </c>
      <c r="V66" s="445">
        <v>28.773</v>
      </c>
      <c r="W66" s="445">
        <v>29.821999999999999</v>
      </c>
      <c r="X66" s="445">
        <v>28.91</v>
      </c>
      <c r="Y66" s="445">
        <v>30.515000000000001</v>
      </c>
      <c r="Z66" s="445">
        <v>27.332999999999998</v>
      </c>
      <c r="AA66" s="445">
        <v>23.831</v>
      </c>
      <c r="AB66" s="445">
        <v>31.398</v>
      </c>
      <c r="AC66" s="445">
        <v>27.177</v>
      </c>
      <c r="AD66" s="445">
        <v>29.475000000000001</v>
      </c>
      <c r="AE66" s="445">
        <v>30.995000000000001</v>
      </c>
    </row>
    <row r="67" spans="1:31">
      <c r="A67" s="444" t="s">
        <v>1083</v>
      </c>
      <c r="B67" s="445">
        <v>8.9037099999999896</v>
      </c>
      <c r="C67" s="445">
        <v>11.655329999999999</v>
      </c>
      <c r="D67" s="445">
        <v>24.839639999999999</v>
      </c>
      <c r="E67" s="445">
        <v>5.5862699999999998</v>
      </c>
      <c r="F67" s="445">
        <v>15.20341</v>
      </c>
      <c r="G67" s="445">
        <v>13.05613</v>
      </c>
      <c r="H67" s="445">
        <v>45.884709999999998</v>
      </c>
      <c r="I67" s="445">
        <v>12.388</v>
      </c>
      <c r="J67" s="445">
        <v>40.454999999999998</v>
      </c>
      <c r="K67" s="445">
        <v>26.643999999999998</v>
      </c>
      <c r="L67" s="445">
        <v>22.984000000000002</v>
      </c>
      <c r="M67" s="445">
        <v>15.949</v>
      </c>
      <c r="N67" s="445">
        <v>16.846</v>
      </c>
      <c r="P67" s="445">
        <v>12.223000000000001</v>
      </c>
      <c r="Q67" s="445">
        <v>12.223000000000001</v>
      </c>
      <c r="R67" s="445">
        <v>19.577999999999999</v>
      </c>
      <c r="S67" s="445">
        <v>13.44</v>
      </c>
      <c r="T67" s="445">
        <v>13.44</v>
      </c>
      <c r="U67" s="445">
        <v>20.574000000000002</v>
      </c>
      <c r="V67" s="445">
        <v>12.997999999999999</v>
      </c>
      <c r="W67" s="445">
        <v>12.997999999999999</v>
      </c>
      <c r="X67" s="445">
        <v>20.131</v>
      </c>
      <c r="Y67" s="445">
        <v>12.997999999999999</v>
      </c>
      <c r="Z67" s="445">
        <v>12.223000000000001</v>
      </c>
      <c r="AA67" s="445">
        <v>19.577999999999999</v>
      </c>
      <c r="AB67" s="445">
        <v>12.43</v>
      </c>
      <c r="AC67" s="445">
        <v>12.43</v>
      </c>
      <c r="AD67" s="445">
        <v>19.332000000000001</v>
      </c>
      <c r="AE67" s="445">
        <v>13.673</v>
      </c>
    </row>
    <row r="68" spans="1:31">
      <c r="A68" s="444" t="s">
        <v>1084</v>
      </c>
      <c r="B68" s="445">
        <v>48.82996</v>
      </c>
      <c r="C68" s="445">
        <v>42.143219999999999</v>
      </c>
      <c r="D68" s="445">
        <v>38.177070000000001</v>
      </c>
      <c r="E68" s="445">
        <v>37.344230000000003</v>
      </c>
      <c r="F68" s="445">
        <v>30.433229999999998</v>
      </c>
      <c r="G68" s="445">
        <v>28.683779999999999</v>
      </c>
      <c r="H68" s="445">
        <v>28.340720000000001</v>
      </c>
      <c r="I68" s="445">
        <v>45</v>
      </c>
      <c r="J68" s="445">
        <v>45</v>
      </c>
      <c r="K68" s="445">
        <v>45</v>
      </c>
      <c r="L68" s="445">
        <v>45</v>
      </c>
      <c r="M68" s="445">
        <v>45</v>
      </c>
      <c r="N68" s="445">
        <v>45</v>
      </c>
      <c r="P68" s="445">
        <v>45.674999999999997</v>
      </c>
      <c r="Q68" s="445">
        <v>45.674999999999997</v>
      </c>
      <c r="R68" s="445">
        <v>45.674999999999997</v>
      </c>
      <c r="S68" s="445">
        <v>45.674999999999997</v>
      </c>
      <c r="T68" s="445">
        <v>45.674999999999997</v>
      </c>
      <c r="U68" s="445">
        <v>45.674999999999997</v>
      </c>
      <c r="V68" s="445">
        <v>45.674999999999997</v>
      </c>
      <c r="W68" s="445">
        <v>45.674999999999997</v>
      </c>
      <c r="X68" s="445">
        <v>45.674999999999997</v>
      </c>
      <c r="Y68" s="445">
        <v>45.674999999999997</v>
      </c>
      <c r="Z68" s="445">
        <v>45.674999999999997</v>
      </c>
      <c r="AA68" s="445">
        <v>45.674999999999997</v>
      </c>
      <c r="AB68" s="445">
        <v>46.36</v>
      </c>
      <c r="AC68" s="445">
        <v>46.36</v>
      </c>
      <c r="AD68" s="445">
        <v>46.36</v>
      </c>
      <c r="AE68" s="445">
        <v>46.36</v>
      </c>
    </row>
    <row r="69" spans="1:31">
      <c r="A69" s="444" t="s">
        <v>1085</v>
      </c>
      <c r="B69" s="445">
        <v>98.288359999999997</v>
      </c>
      <c r="C69" s="445">
        <v>109.754</v>
      </c>
      <c r="D69" s="445">
        <v>113.76537999999999</v>
      </c>
      <c r="E69" s="445">
        <v>87.574600000000004</v>
      </c>
      <c r="F69" s="445">
        <v>86.965540000000004</v>
      </c>
      <c r="G69" s="445">
        <v>80.275839999999903</v>
      </c>
      <c r="H69" s="445">
        <v>118.79779000000001</v>
      </c>
      <c r="I69" s="445">
        <v>106.596</v>
      </c>
      <c r="J69" s="445">
        <v>138.21899999999999</v>
      </c>
      <c r="K69" s="445">
        <v>116.13500000000001</v>
      </c>
      <c r="L69" s="445">
        <v>119.521</v>
      </c>
      <c r="M69" s="445">
        <v>110.828</v>
      </c>
      <c r="N69" s="445">
        <v>101.759</v>
      </c>
      <c r="P69" s="445">
        <v>103.73699999999999</v>
      </c>
      <c r="Q69" s="445">
        <v>97.986000000000004</v>
      </c>
      <c r="R69" s="445">
        <v>106.431</v>
      </c>
      <c r="S69" s="445">
        <v>104.441</v>
      </c>
      <c r="T69" s="445">
        <v>101.173</v>
      </c>
      <c r="U69" s="445">
        <v>104.224</v>
      </c>
      <c r="V69" s="445">
        <v>101.884</v>
      </c>
      <c r="W69" s="445">
        <v>103.444</v>
      </c>
      <c r="X69" s="445">
        <v>109.318</v>
      </c>
      <c r="Y69" s="445">
        <v>104.38800000000001</v>
      </c>
      <c r="Z69" s="445">
        <v>99.116</v>
      </c>
      <c r="AA69" s="445">
        <v>101.383</v>
      </c>
      <c r="AB69" s="445">
        <v>105.842</v>
      </c>
      <c r="AC69" s="445">
        <v>99.925999999999902</v>
      </c>
      <c r="AD69" s="445">
        <v>110.029</v>
      </c>
      <c r="AE69" s="445">
        <v>106.55800000000001</v>
      </c>
    </row>
    <row r="71" spans="1:31">
      <c r="A71" s="444" t="s">
        <v>1086</v>
      </c>
      <c r="B71" s="445">
        <v>0</v>
      </c>
      <c r="C71" s="445">
        <v>0</v>
      </c>
      <c r="D71" s="445">
        <v>0</v>
      </c>
      <c r="E71" s="445">
        <v>0</v>
      </c>
      <c r="F71" s="445">
        <v>0</v>
      </c>
      <c r="G71" s="445">
        <v>0</v>
      </c>
      <c r="H71" s="445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0</v>
      </c>
      <c r="P71" s="445">
        <v>0</v>
      </c>
      <c r="Q71" s="445">
        <v>0</v>
      </c>
      <c r="R71" s="445">
        <v>0</v>
      </c>
      <c r="S71" s="445">
        <v>0</v>
      </c>
      <c r="T71" s="445">
        <v>0</v>
      </c>
      <c r="U71" s="445">
        <v>0</v>
      </c>
      <c r="V71" s="445">
        <v>0</v>
      </c>
      <c r="W71" s="445">
        <v>0</v>
      </c>
      <c r="X71" s="445">
        <v>0</v>
      </c>
      <c r="Y71" s="445">
        <v>0</v>
      </c>
      <c r="Z71" s="445">
        <v>0</v>
      </c>
      <c r="AA71" s="445">
        <v>0</v>
      </c>
      <c r="AB71" s="445">
        <v>0</v>
      </c>
      <c r="AC71" s="445">
        <v>0</v>
      </c>
      <c r="AD71" s="445">
        <v>0</v>
      </c>
      <c r="AE71" s="445">
        <v>0</v>
      </c>
    </row>
    <row r="72" spans="1:31">
      <c r="A72" s="444" t="s">
        <v>1087</v>
      </c>
      <c r="B72" s="445">
        <v>17.527290000000001</v>
      </c>
      <c r="C72" s="445">
        <v>13.272180000000001</v>
      </c>
      <c r="D72" s="445">
        <v>16.558610000000002</v>
      </c>
      <c r="E72" s="445">
        <v>3.17441</v>
      </c>
      <c r="F72" s="445">
        <v>27.31457</v>
      </c>
      <c r="G72" s="445">
        <v>46.422240000000002</v>
      </c>
      <c r="H72" s="445">
        <v>26.803169999999898</v>
      </c>
      <c r="I72" s="445">
        <v>14.752000000000001</v>
      </c>
      <c r="J72" s="445">
        <v>42.173000000000002</v>
      </c>
      <c r="K72" s="445">
        <v>71.040999999999997</v>
      </c>
      <c r="L72" s="445">
        <v>40.311999999999998</v>
      </c>
      <c r="M72" s="445">
        <v>10.476000000000001</v>
      </c>
      <c r="N72" s="445">
        <v>57.448999999999998</v>
      </c>
      <c r="P72" s="445">
        <v>10.207000000000001</v>
      </c>
      <c r="Q72" s="445">
        <v>11.816000000000001</v>
      </c>
      <c r="R72" s="445">
        <v>22.687999999999999</v>
      </c>
      <c r="S72" s="445">
        <v>61.637</v>
      </c>
      <c r="T72" s="445">
        <v>9.8019999999999996</v>
      </c>
      <c r="U72" s="445">
        <v>65.180999999999997</v>
      </c>
      <c r="V72" s="445">
        <v>47.143000000000001</v>
      </c>
      <c r="W72" s="445">
        <v>12.329000000000001</v>
      </c>
      <c r="X72" s="445">
        <v>45.95</v>
      </c>
      <c r="Y72" s="445">
        <v>47.115000000000002</v>
      </c>
      <c r="Z72" s="445">
        <v>9.7040000000000006</v>
      </c>
      <c r="AA72" s="445">
        <v>46.034999999999997</v>
      </c>
      <c r="AB72" s="445">
        <v>7.8890000000000002</v>
      </c>
      <c r="AC72" s="445">
        <v>9.5220000000000002</v>
      </c>
      <c r="AD72" s="445">
        <v>20.783000000000001</v>
      </c>
      <c r="AE72" s="445">
        <v>24.89</v>
      </c>
    </row>
    <row r="73" spans="1:31">
      <c r="A73" s="444" t="s">
        <v>1088</v>
      </c>
      <c r="B73" s="445">
        <v>0.92381999999999997</v>
      </c>
      <c r="C73" s="445">
        <v>2.3231899999999999</v>
      </c>
      <c r="D73" s="445">
        <v>0.99851999999999996</v>
      </c>
      <c r="E73" s="445">
        <v>3.1108199999999999</v>
      </c>
      <c r="F73" s="445">
        <v>7.5359699999999998</v>
      </c>
      <c r="G73" s="445">
        <v>43.621180000000003</v>
      </c>
      <c r="H73" s="445">
        <v>7.8669000000000002</v>
      </c>
      <c r="I73" s="445">
        <v>14.98</v>
      </c>
      <c r="J73" s="445">
        <v>12.045999999999999</v>
      </c>
      <c r="K73" s="445">
        <v>7.0830000000000002</v>
      </c>
      <c r="L73" s="445">
        <v>3.1339999999999999</v>
      </c>
      <c r="M73" s="445">
        <v>6.2990000000000004</v>
      </c>
      <c r="N73" s="445">
        <v>11.79</v>
      </c>
      <c r="P73" s="445">
        <v>8.5329999999999995</v>
      </c>
      <c r="Q73" s="445">
        <v>8.0540000000000003</v>
      </c>
      <c r="R73" s="445">
        <v>16.254000000000001</v>
      </c>
      <c r="S73" s="445">
        <v>8.4870000000000001</v>
      </c>
      <c r="T73" s="445">
        <v>8.2260000000000009</v>
      </c>
      <c r="U73" s="445">
        <v>15.99</v>
      </c>
      <c r="V73" s="445">
        <v>19.306999999999999</v>
      </c>
      <c r="W73" s="445">
        <v>8.4420000000000002</v>
      </c>
      <c r="X73" s="445">
        <v>12.818</v>
      </c>
      <c r="Y73" s="445">
        <v>8.5229999999999997</v>
      </c>
      <c r="Z73" s="445">
        <v>8.1519999999999992</v>
      </c>
      <c r="AA73" s="445">
        <v>12.226000000000001</v>
      </c>
      <c r="AB73" s="445">
        <v>8.6989999999999998</v>
      </c>
      <c r="AC73" s="445">
        <v>8.2059999999999995</v>
      </c>
      <c r="AD73" s="445">
        <v>91.703999999999994</v>
      </c>
      <c r="AE73" s="445">
        <v>8.6519999999999992</v>
      </c>
    </row>
    <row r="74" spans="1:31">
      <c r="A74" s="444" t="s">
        <v>1089</v>
      </c>
      <c r="B74" s="445">
        <v>18.662759999999999</v>
      </c>
      <c r="C74" s="445">
        <v>14.847160000000001</v>
      </c>
      <c r="D74" s="445">
        <v>41.239229999999999</v>
      </c>
      <c r="E74" s="445">
        <v>96.193299999999994</v>
      </c>
      <c r="F74" s="445">
        <v>49.1614</v>
      </c>
      <c r="G74" s="445">
        <v>2.1915399999999998</v>
      </c>
      <c r="H74" s="445">
        <v>40.509970000000003</v>
      </c>
      <c r="I74" s="445">
        <v>63.932000000000002</v>
      </c>
      <c r="J74" s="445">
        <v>32.542000000000002</v>
      </c>
      <c r="K74" s="445">
        <v>18.920999999999999</v>
      </c>
      <c r="L74" s="445">
        <v>19.681000000000001</v>
      </c>
      <c r="M74" s="445">
        <v>15.888999999999999</v>
      </c>
      <c r="N74" s="445">
        <v>33.747999999999998</v>
      </c>
      <c r="P74" s="445">
        <v>12.891</v>
      </c>
      <c r="Q74" s="445">
        <v>23.43</v>
      </c>
      <c r="R74" s="445">
        <v>21.308</v>
      </c>
      <c r="S74" s="445">
        <v>12.744</v>
      </c>
      <c r="T74" s="445">
        <v>18.427</v>
      </c>
      <c r="U74" s="445">
        <v>48.372</v>
      </c>
      <c r="V74" s="445">
        <v>12.206</v>
      </c>
      <c r="W74" s="445">
        <v>12.599</v>
      </c>
      <c r="X74" s="445">
        <v>21.917000000000002</v>
      </c>
      <c r="Y74" s="445">
        <v>19.381</v>
      </c>
      <c r="Z74" s="445">
        <v>11.666</v>
      </c>
      <c r="AA74" s="445">
        <v>47.924999999999997</v>
      </c>
      <c r="AB74" s="445">
        <v>13.206</v>
      </c>
      <c r="AC74" s="445">
        <v>23.884</v>
      </c>
      <c r="AD74" s="445">
        <v>22.29</v>
      </c>
      <c r="AE74" s="445">
        <v>13.055</v>
      </c>
    </row>
    <row r="75" spans="1:31">
      <c r="A75" s="444" t="s">
        <v>1090</v>
      </c>
      <c r="B75" s="445">
        <v>5.0867899999999997</v>
      </c>
      <c r="C75" s="445">
        <v>5.5154199999999998</v>
      </c>
      <c r="D75" s="445">
        <v>5.5154199999999998</v>
      </c>
      <c r="E75" s="445">
        <v>5.4971699999999997</v>
      </c>
      <c r="F75" s="445">
        <v>5.5334899999999996</v>
      </c>
      <c r="G75" s="445">
        <v>5.8129200000000001</v>
      </c>
      <c r="H75" s="445">
        <v>6.90435</v>
      </c>
      <c r="I75" s="445">
        <v>6.16</v>
      </c>
      <c r="J75" s="445">
        <v>6.16</v>
      </c>
      <c r="K75" s="445">
        <v>6.16</v>
      </c>
      <c r="L75" s="445">
        <v>6.16</v>
      </c>
      <c r="M75" s="445">
        <v>6.16</v>
      </c>
      <c r="N75" s="445">
        <v>6.16</v>
      </c>
      <c r="P75" s="445">
        <v>6.27</v>
      </c>
      <c r="Q75" s="445">
        <v>6.27</v>
      </c>
      <c r="R75" s="445">
        <v>6.27</v>
      </c>
      <c r="S75" s="445">
        <v>6.27</v>
      </c>
      <c r="T75" s="445">
        <v>6.27</v>
      </c>
      <c r="U75" s="445">
        <v>6.27</v>
      </c>
      <c r="V75" s="445">
        <v>6.27</v>
      </c>
      <c r="W75" s="445">
        <v>6.27</v>
      </c>
      <c r="X75" s="445">
        <v>6.27</v>
      </c>
      <c r="Y75" s="445">
        <v>6.27</v>
      </c>
      <c r="Z75" s="445">
        <v>6.27</v>
      </c>
      <c r="AA75" s="445">
        <v>6.27</v>
      </c>
      <c r="AB75" s="445">
        <v>6.3920000000000003</v>
      </c>
      <c r="AC75" s="445">
        <v>6.3920000000000003</v>
      </c>
      <c r="AD75" s="445">
        <v>6.3920000000000003</v>
      </c>
      <c r="AE75" s="445">
        <v>6.3920000000000003</v>
      </c>
    </row>
    <row r="76" spans="1:31">
      <c r="A76" s="444" t="s">
        <v>1091</v>
      </c>
      <c r="B76" s="445">
        <v>42.200659999999999</v>
      </c>
      <c r="C76" s="445">
        <v>35.957949999999997</v>
      </c>
      <c r="D76" s="445">
        <v>64.311779999999999</v>
      </c>
      <c r="E76" s="445">
        <v>107.9757</v>
      </c>
      <c r="F76" s="445">
        <v>89.545429999999996</v>
      </c>
      <c r="G76" s="445">
        <v>98.047880000000006</v>
      </c>
      <c r="H76" s="445">
        <v>82.0843899999999</v>
      </c>
      <c r="I76" s="445">
        <v>99.823999999999998</v>
      </c>
      <c r="J76" s="445">
        <v>92.920999999999907</v>
      </c>
      <c r="K76" s="445">
        <v>103.204999999999</v>
      </c>
      <c r="L76" s="445">
        <v>69.286999999999907</v>
      </c>
      <c r="M76" s="445">
        <v>38.823999999999998</v>
      </c>
      <c r="N76" s="445">
        <v>109.146999999999</v>
      </c>
      <c r="P76" s="445">
        <v>37.901000000000003</v>
      </c>
      <c r="Q76" s="445">
        <v>49.57</v>
      </c>
      <c r="R76" s="445">
        <v>66.52</v>
      </c>
      <c r="S76" s="445">
        <v>89.137999999999906</v>
      </c>
      <c r="T76" s="445">
        <v>42.725000000000001</v>
      </c>
      <c r="U76" s="445">
        <v>135.81299999999999</v>
      </c>
      <c r="V76" s="445">
        <v>84.926000000000002</v>
      </c>
      <c r="W76" s="445">
        <v>39.64</v>
      </c>
      <c r="X76" s="445">
        <v>86.954999999999998</v>
      </c>
      <c r="Y76" s="445">
        <v>81.289000000000001</v>
      </c>
      <c r="Z76" s="445">
        <v>35.792000000000002</v>
      </c>
      <c r="AA76" s="445">
        <v>112.456</v>
      </c>
      <c r="AB76" s="445">
        <v>36.186</v>
      </c>
      <c r="AC76" s="445">
        <v>48.003999999999998</v>
      </c>
      <c r="AD76" s="445">
        <v>141.16900000000001</v>
      </c>
      <c r="AE76" s="445">
        <v>52.988999999999997</v>
      </c>
    </row>
    <row r="78" spans="1:31">
      <c r="A78" s="444" t="s">
        <v>1092</v>
      </c>
      <c r="B78" s="445">
        <v>140.48901999999899</v>
      </c>
      <c r="C78" s="445">
        <v>145.71195</v>
      </c>
      <c r="D78" s="445">
        <v>178.07715999999999</v>
      </c>
      <c r="E78" s="445">
        <v>195.55029999999999</v>
      </c>
      <c r="F78" s="445">
        <v>176.51096999999999</v>
      </c>
      <c r="G78" s="445">
        <v>178.32371999999901</v>
      </c>
      <c r="H78" s="445">
        <v>200.88218000000001</v>
      </c>
      <c r="I78" s="445">
        <v>206.42</v>
      </c>
      <c r="J78" s="445">
        <v>231.14</v>
      </c>
      <c r="K78" s="445">
        <v>219.33999999999901</v>
      </c>
      <c r="L78" s="445">
        <v>188.80799999999999</v>
      </c>
      <c r="M78" s="445">
        <v>149.65199999999999</v>
      </c>
      <c r="N78" s="445">
        <v>210.90600000000001</v>
      </c>
      <c r="P78" s="445">
        <v>141.63800000000001</v>
      </c>
      <c r="Q78" s="445">
        <v>147.55600000000001</v>
      </c>
      <c r="R78" s="445">
        <v>172.95099999999999</v>
      </c>
      <c r="S78" s="445">
        <v>193.57900000000001</v>
      </c>
      <c r="T78" s="445">
        <v>143.898</v>
      </c>
      <c r="U78" s="445">
        <v>240.03700000000001</v>
      </c>
      <c r="V78" s="445">
        <v>186.81</v>
      </c>
      <c r="W78" s="445">
        <v>143.084</v>
      </c>
      <c r="X78" s="445">
        <v>196.273</v>
      </c>
      <c r="Y78" s="445">
        <v>185.67699999999999</v>
      </c>
      <c r="Z78" s="445">
        <v>134.90799999999999</v>
      </c>
      <c r="AA78" s="445">
        <v>213.839</v>
      </c>
      <c r="AB78" s="445">
        <v>142.02799999999999</v>
      </c>
      <c r="AC78" s="445">
        <v>147.93</v>
      </c>
      <c r="AD78" s="445">
        <v>251.19800000000001</v>
      </c>
      <c r="AE78" s="445">
        <v>159.547</v>
      </c>
    </row>
    <row r="80" spans="1:31">
      <c r="A80" s="444" t="s">
        <v>1093</v>
      </c>
    </row>
    <row r="81" spans="1:31">
      <c r="A81" s="444" t="s">
        <v>1094</v>
      </c>
      <c r="B81" s="445">
        <v>29.872990000000001</v>
      </c>
      <c r="C81" s="445">
        <v>34.060339999999997</v>
      </c>
      <c r="D81" s="445">
        <v>27.975999999999999</v>
      </c>
      <c r="E81" s="445">
        <v>42.486179999999997</v>
      </c>
      <c r="F81" s="445">
        <v>32.253819999999997</v>
      </c>
      <c r="G81" s="445">
        <v>28.72541</v>
      </c>
      <c r="H81" s="445">
        <v>33.259729999999998</v>
      </c>
      <c r="I81" s="445">
        <v>31.012</v>
      </c>
      <c r="J81" s="445">
        <v>40.408000000000001</v>
      </c>
      <c r="K81" s="445">
        <v>33.848999999999997</v>
      </c>
      <c r="L81" s="445">
        <v>38.531999999999996</v>
      </c>
      <c r="M81" s="445">
        <v>32.726999999999997</v>
      </c>
      <c r="N81" s="445">
        <v>29.073</v>
      </c>
      <c r="P81" s="445">
        <v>31.212</v>
      </c>
      <c r="Q81" s="445">
        <v>27.276</v>
      </c>
      <c r="R81" s="445">
        <v>33.206000000000003</v>
      </c>
      <c r="S81" s="445">
        <v>29.274999999999999</v>
      </c>
      <c r="T81" s="445">
        <v>30.815000000000001</v>
      </c>
      <c r="U81" s="445">
        <v>29.372</v>
      </c>
      <c r="V81" s="445">
        <v>30.097000000000001</v>
      </c>
      <c r="W81" s="445">
        <v>30.439999999999898</v>
      </c>
      <c r="X81" s="445">
        <v>29.673999999999999</v>
      </c>
      <c r="Y81" s="445">
        <v>32.744</v>
      </c>
      <c r="Z81" s="445">
        <v>30.759999999999899</v>
      </c>
      <c r="AA81" s="445">
        <v>26.157</v>
      </c>
      <c r="AB81" s="445">
        <v>31.715</v>
      </c>
      <c r="AC81" s="445">
        <v>27.675999999999998</v>
      </c>
      <c r="AD81" s="445">
        <v>33.465000000000003</v>
      </c>
      <c r="AE81" s="445">
        <v>29.547999999999998</v>
      </c>
    </row>
    <row r="82" spans="1:31">
      <c r="A82" s="444" t="s">
        <v>1095</v>
      </c>
      <c r="B82" s="445">
        <v>4511.84555</v>
      </c>
      <c r="C82" s="445">
        <v>8815.4639899999893</v>
      </c>
      <c r="D82" s="445">
        <v>3643.82132</v>
      </c>
      <c r="E82" s="445">
        <v>4883.35257</v>
      </c>
      <c r="F82" s="445">
        <v>5747.6738599999999</v>
      </c>
      <c r="G82" s="445">
        <v>4938.9329299999999</v>
      </c>
      <c r="H82" s="445">
        <v>3813.7746299999999</v>
      </c>
      <c r="I82" s="445">
        <v>5018.9086526344799</v>
      </c>
      <c r="J82" s="445">
        <v>4989.4292436344804</v>
      </c>
      <c r="K82" s="445">
        <v>3374.90639913015</v>
      </c>
      <c r="L82" s="445">
        <v>2689.8824296344801</v>
      </c>
      <c r="M82" s="445">
        <v>3422.59134288106</v>
      </c>
      <c r="N82" s="445">
        <v>4082.6631928973702</v>
      </c>
      <c r="P82" s="445">
        <v>4554.0611008973701</v>
      </c>
      <c r="Q82" s="445">
        <v>3625.1520259395602</v>
      </c>
      <c r="R82" s="445">
        <v>4279.9245509437596</v>
      </c>
      <c r="S82" s="445">
        <v>4334.5318441301497</v>
      </c>
      <c r="T82" s="445">
        <v>4203.2459786843201</v>
      </c>
      <c r="U82" s="445">
        <v>3674.5197121301499</v>
      </c>
      <c r="V82" s="445">
        <v>4304.5742556344803</v>
      </c>
      <c r="W82" s="445">
        <v>4538.6400496344804</v>
      </c>
      <c r="X82" s="445">
        <v>3238.42760813015</v>
      </c>
      <c r="Y82" s="445">
        <v>4003.4516136344801</v>
      </c>
      <c r="Z82" s="445">
        <v>5844.8152533398397</v>
      </c>
      <c r="AA82" s="445">
        <v>4001.7382282404901</v>
      </c>
      <c r="AB82" s="445">
        <v>5051.8383472404903</v>
      </c>
      <c r="AC82" s="445">
        <v>3224.7794373862698</v>
      </c>
      <c r="AD82" s="445">
        <v>3773.3034171178401</v>
      </c>
      <c r="AE82" s="445">
        <v>4033.33979586039</v>
      </c>
    </row>
    <row r="83" spans="1:31">
      <c r="A83" s="444" t="s">
        <v>1096</v>
      </c>
      <c r="B83" s="445">
        <v>16.02731</v>
      </c>
      <c r="C83" s="445">
        <v>27.576699999999999</v>
      </c>
      <c r="D83" s="445">
        <v>19.662420000000001</v>
      </c>
      <c r="E83" s="445">
        <v>23.273019999999999</v>
      </c>
      <c r="F83" s="445">
        <v>19.116289999999999</v>
      </c>
      <c r="G83" s="445">
        <v>25.004899999999999</v>
      </c>
      <c r="H83" s="445">
        <v>24.332329999999999</v>
      </c>
      <c r="I83" s="445">
        <v>15.484999999999999</v>
      </c>
      <c r="J83" s="445">
        <v>16.081999999999901</v>
      </c>
      <c r="K83" s="445">
        <v>15.555</v>
      </c>
      <c r="L83" s="445">
        <v>15.818</v>
      </c>
      <c r="M83" s="445">
        <v>16.387999999999899</v>
      </c>
      <c r="N83" s="445">
        <v>14.608000000000001</v>
      </c>
      <c r="P83" s="445">
        <v>21.617000000000001</v>
      </c>
      <c r="Q83" s="445">
        <v>19.77</v>
      </c>
      <c r="R83" s="445">
        <v>21.797000000000001</v>
      </c>
      <c r="S83" s="445">
        <v>20.277999999999999</v>
      </c>
      <c r="T83" s="445">
        <v>22.094999999999999</v>
      </c>
      <c r="U83" s="445">
        <v>20.036999999999999</v>
      </c>
      <c r="V83" s="445">
        <v>21.459</v>
      </c>
      <c r="W83" s="445">
        <v>21.866</v>
      </c>
      <c r="X83" s="445">
        <v>22.844000000000001</v>
      </c>
      <c r="Y83" s="445">
        <v>22.030999999999999</v>
      </c>
      <c r="Z83" s="445">
        <v>20.29</v>
      </c>
      <c r="AA83" s="445">
        <v>20.611000000000001</v>
      </c>
      <c r="AB83" s="445">
        <v>21.896999999999998</v>
      </c>
      <c r="AC83" s="445">
        <v>20.152999999999999</v>
      </c>
      <c r="AD83" s="445">
        <v>22.49</v>
      </c>
      <c r="AE83" s="445">
        <v>20.529</v>
      </c>
    </row>
    <row r="84" spans="1:31">
      <c r="A84" s="444" t="s">
        <v>1097</v>
      </c>
      <c r="B84" s="445">
        <v>-5.5167900000000003</v>
      </c>
      <c r="C84" s="445">
        <v>84.675539999999998</v>
      </c>
      <c r="D84" s="445">
        <v>103.75769</v>
      </c>
      <c r="E84" s="445">
        <v>89.258889999999994</v>
      </c>
      <c r="F84" s="445">
        <v>88.409729999999996</v>
      </c>
      <c r="G84" s="445">
        <v>95.44171</v>
      </c>
      <c r="H84" s="445">
        <v>108.5445</v>
      </c>
      <c r="I84" s="445">
        <v>96.888000000000005</v>
      </c>
      <c r="J84" s="445">
        <v>114.187</v>
      </c>
      <c r="K84" s="445">
        <v>106.917</v>
      </c>
      <c r="L84" s="445">
        <v>100.46299999999999</v>
      </c>
      <c r="M84" s="445">
        <v>121.646</v>
      </c>
      <c r="N84" s="445">
        <v>103.286</v>
      </c>
      <c r="P84" s="445">
        <v>106.185</v>
      </c>
      <c r="Q84" s="445">
        <v>102.52</v>
      </c>
      <c r="R84" s="445">
        <v>103.584</v>
      </c>
      <c r="S84" s="445">
        <v>108.556</v>
      </c>
      <c r="T84" s="445">
        <v>126.56100000000001</v>
      </c>
      <c r="U84" s="445">
        <v>115.461</v>
      </c>
      <c r="V84" s="445">
        <v>117.578</v>
      </c>
      <c r="W84" s="445">
        <v>121.711</v>
      </c>
      <c r="X84" s="445">
        <v>118.628</v>
      </c>
      <c r="Y84" s="445">
        <v>120.139</v>
      </c>
      <c r="Z84" s="445">
        <v>118.58499999999999</v>
      </c>
      <c r="AA84" s="445">
        <v>115.858</v>
      </c>
      <c r="AB84" s="445">
        <v>118.422</v>
      </c>
      <c r="AC84" s="445">
        <v>106.43899999999999</v>
      </c>
      <c r="AD84" s="445">
        <v>75.314999999999998</v>
      </c>
      <c r="AE84" s="445">
        <v>122.631</v>
      </c>
    </row>
    <row r="85" spans="1:31">
      <c r="A85" s="444" t="s">
        <v>1098</v>
      </c>
      <c r="B85" s="445">
        <v>1.24569</v>
      </c>
      <c r="C85" s="445">
        <v>1.35734</v>
      </c>
      <c r="D85" s="445">
        <v>1.9818899999999999</v>
      </c>
      <c r="E85" s="445">
        <v>1.16137</v>
      </c>
      <c r="F85" s="445">
        <v>1.2203900000000001</v>
      </c>
      <c r="G85" s="445">
        <v>1.20912</v>
      </c>
      <c r="H85" s="445">
        <v>1.2203900000000001</v>
      </c>
      <c r="I85" s="445">
        <v>0.92200000000000004</v>
      </c>
      <c r="J85" s="445">
        <v>0.92200000000000004</v>
      </c>
      <c r="K85" s="445">
        <v>0.92200000000000004</v>
      </c>
      <c r="L85" s="445">
        <v>0.92200000000000004</v>
      </c>
      <c r="M85" s="445">
        <v>0.92200000000000004</v>
      </c>
      <c r="N85" s="445">
        <v>0.92200000000000004</v>
      </c>
      <c r="P85" s="445">
        <v>0.93500000000000005</v>
      </c>
      <c r="Q85" s="445">
        <v>0.93500000000000005</v>
      </c>
      <c r="R85" s="445">
        <v>0.93500000000000005</v>
      </c>
      <c r="S85" s="445">
        <v>0.93500000000000005</v>
      </c>
      <c r="T85" s="445">
        <v>0.93500000000000005</v>
      </c>
      <c r="U85" s="445">
        <v>0.93500000000000005</v>
      </c>
      <c r="V85" s="445">
        <v>0.93500000000000005</v>
      </c>
      <c r="W85" s="445">
        <v>0.93500000000000005</v>
      </c>
      <c r="X85" s="445">
        <v>0.93500000000000005</v>
      </c>
      <c r="Y85" s="445">
        <v>0.93500000000000005</v>
      </c>
      <c r="Z85" s="445">
        <v>0.93500000000000005</v>
      </c>
      <c r="AA85" s="445">
        <v>0.93500000000000005</v>
      </c>
      <c r="AB85" s="445">
        <v>0.94899999999999995</v>
      </c>
      <c r="AC85" s="445">
        <v>0.94899999999999995</v>
      </c>
      <c r="AD85" s="445">
        <v>0.94899999999999995</v>
      </c>
      <c r="AE85" s="445">
        <v>0.94899999999999995</v>
      </c>
    </row>
    <row r="86" spans="1:31">
      <c r="A86" s="444" t="s">
        <v>1099</v>
      </c>
      <c r="B86" s="445">
        <v>4553.4747500000003</v>
      </c>
      <c r="C86" s="445">
        <v>8963.1339099999896</v>
      </c>
      <c r="D86" s="445">
        <v>3797.1993200000002</v>
      </c>
      <c r="E86" s="445">
        <v>5039.5320299999903</v>
      </c>
      <c r="F86" s="445">
        <v>5888.6740900000004</v>
      </c>
      <c r="G86" s="445">
        <v>5089.3140700000004</v>
      </c>
      <c r="H86" s="445">
        <v>3981.1315800000002</v>
      </c>
      <c r="I86" s="445">
        <v>5163.2156526344797</v>
      </c>
      <c r="J86" s="445">
        <v>5161.0282436344796</v>
      </c>
      <c r="K86" s="445">
        <v>3532.14939913015</v>
      </c>
      <c r="L86" s="445">
        <v>2845.6174296344798</v>
      </c>
      <c r="M86" s="445">
        <v>3594.27434288106</v>
      </c>
      <c r="N86" s="445">
        <v>4230.5521928973703</v>
      </c>
      <c r="P86" s="445">
        <v>4714.0101008973797</v>
      </c>
      <c r="Q86" s="445">
        <v>3775.6530259395599</v>
      </c>
      <c r="R86" s="445">
        <v>4439.4465509437596</v>
      </c>
      <c r="S86" s="445">
        <v>4493.5758441301496</v>
      </c>
      <c r="T86" s="445">
        <v>4383.6519786843201</v>
      </c>
      <c r="U86" s="445">
        <v>3840.3247121301401</v>
      </c>
      <c r="V86" s="445">
        <v>4474.6432556344798</v>
      </c>
      <c r="W86" s="445">
        <v>4713.5920496344797</v>
      </c>
      <c r="X86" s="445">
        <v>3410.5086081301502</v>
      </c>
      <c r="Y86" s="445">
        <v>4179.3006136344802</v>
      </c>
      <c r="Z86" s="445">
        <v>6015.3852533398403</v>
      </c>
      <c r="AA86" s="445">
        <v>4165.2992282404903</v>
      </c>
      <c r="AB86" s="445">
        <v>5224.8213472404896</v>
      </c>
      <c r="AC86" s="445">
        <v>3379.9964373862699</v>
      </c>
      <c r="AD86" s="445">
        <v>3905.5224171178402</v>
      </c>
      <c r="AE86" s="445">
        <v>4206.9967958603902</v>
      </c>
    </row>
    <row r="88" spans="1:31">
      <c r="A88" s="444" t="s">
        <v>1100</v>
      </c>
      <c r="B88" s="445">
        <v>10.681389999999899</v>
      </c>
      <c r="C88" s="445">
        <v>11.98232</v>
      </c>
      <c r="D88" s="445">
        <v>11.913599999999899</v>
      </c>
      <c r="E88" s="445">
        <v>12.51878</v>
      </c>
      <c r="F88" s="445">
        <v>12.83456</v>
      </c>
      <c r="G88" s="445">
        <v>13.40326</v>
      </c>
      <c r="H88" s="445">
        <v>16.619509999999998</v>
      </c>
      <c r="I88" s="445">
        <v>7.6219999999999999</v>
      </c>
      <c r="J88" s="445">
        <v>12.314</v>
      </c>
      <c r="K88" s="445">
        <v>9.5500000000000007</v>
      </c>
      <c r="L88" s="445">
        <v>18.966999999999999</v>
      </c>
      <c r="M88" s="445">
        <v>9.3149999999999995</v>
      </c>
      <c r="N88" s="445">
        <v>7.306</v>
      </c>
      <c r="P88" s="445">
        <v>8.6129999999999995</v>
      </c>
      <c r="Q88" s="445">
        <v>7.8949999999999996</v>
      </c>
      <c r="R88" s="445">
        <v>8.6549999999999994</v>
      </c>
      <c r="S88" s="445">
        <v>8.3330000000000002</v>
      </c>
      <c r="T88" s="445">
        <v>9.157</v>
      </c>
      <c r="U88" s="445">
        <v>8.41</v>
      </c>
      <c r="V88" s="445">
        <v>7.875</v>
      </c>
      <c r="W88" s="445">
        <v>8.7129999999999992</v>
      </c>
      <c r="X88" s="445">
        <v>8.9049999999999994</v>
      </c>
      <c r="Y88" s="445">
        <v>8.9489999999999998</v>
      </c>
      <c r="Z88" s="445">
        <v>8.6880000000000006</v>
      </c>
      <c r="AA88" s="445">
        <v>6.6549999999999896</v>
      </c>
      <c r="AB88" s="445">
        <v>8.7089999999999996</v>
      </c>
      <c r="AC88" s="445">
        <v>7.968</v>
      </c>
      <c r="AD88" s="445">
        <v>27.151</v>
      </c>
      <c r="AE88" s="445">
        <v>8.4969999999999999</v>
      </c>
    </row>
    <row r="89" spans="1:31">
      <c r="A89" s="444" t="s">
        <v>1101</v>
      </c>
      <c r="B89" s="445">
        <v>13.17543</v>
      </c>
      <c r="C89" s="445">
        <v>12.877000000000001</v>
      </c>
      <c r="D89" s="445">
        <v>13.30148</v>
      </c>
      <c r="E89" s="445">
        <v>27.69763</v>
      </c>
      <c r="F89" s="445">
        <v>26.110530000000001</v>
      </c>
      <c r="G89" s="445">
        <v>17.237490000000001</v>
      </c>
      <c r="H89" s="445">
        <v>24.095310000000001</v>
      </c>
      <c r="I89" s="445">
        <v>7.9390000000000001</v>
      </c>
      <c r="J89" s="445">
        <v>27.286999999999999</v>
      </c>
      <c r="K89" s="445">
        <v>16.087</v>
      </c>
      <c r="L89" s="445">
        <v>172.535</v>
      </c>
      <c r="M89" s="445">
        <v>17.698</v>
      </c>
      <c r="N89" s="445">
        <v>16.170999999999999</v>
      </c>
      <c r="P89" s="445">
        <v>16.628</v>
      </c>
      <c r="Q89" s="445">
        <v>15.875</v>
      </c>
      <c r="R89" s="445">
        <v>17.067</v>
      </c>
      <c r="S89" s="445">
        <v>21.087</v>
      </c>
      <c r="T89" s="445">
        <v>17.471</v>
      </c>
      <c r="U89" s="445">
        <v>17.052</v>
      </c>
      <c r="V89" s="445">
        <v>17.524000000000001</v>
      </c>
      <c r="W89" s="445">
        <v>17.414999999999999</v>
      </c>
      <c r="X89" s="445">
        <v>18.739000000000001</v>
      </c>
      <c r="Y89" s="445">
        <v>19.821999999999999</v>
      </c>
      <c r="Z89" s="445">
        <v>23.248000000000001</v>
      </c>
      <c r="AA89" s="445">
        <v>18.538</v>
      </c>
      <c r="AB89" s="445">
        <v>16.302</v>
      </c>
      <c r="AC89" s="445">
        <v>16.567</v>
      </c>
      <c r="AD89" s="445">
        <v>16.95</v>
      </c>
      <c r="AE89" s="445">
        <v>16.658000000000001</v>
      </c>
    </row>
    <row r="90" spans="1:31">
      <c r="A90" s="444" t="s">
        <v>1102</v>
      </c>
      <c r="B90" s="445">
        <v>157.28002000000001</v>
      </c>
      <c r="C90" s="445">
        <v>112.73358</v>
      </c>
      <c r="D90" s="445">
        <v>135.33336</v>
      </c>
      <c r="E90" s="445">
        <v>184.61662000000001</v>
      </c>
      <c r="F90" s="445">
        <v>98.978750000000005</v>
      </c>
      <c r="G90" s="445">
        <v>217.6671</v>
      </c>
      <c r="H90" s="445">
        <v>18.557969999999901</v>
      </c>
      <c r="I90" s="445">
        <v>-67.555999999999997</v>
      </c>
      <c r="J90" s="445">
        <v>425.99299999999999</v>
      </c>
      <c r="K90" s="445">
        <v>91.260999999999996</v>
      </c>
      <c r="L90" s="445">
        <v>314.74599999999998</v>
      </c>
      <c r="M90" s="445">
        <v>236.786</v>
      </c>
      <c r="N90" s="445">
        <v>209.65600000000001</v>
      </c>
      <c r="P90" s="445">
        <v>121.423</v>
      </c>
      <c r="Q90" s="445">
        <v>143.46899999999999</v>
      </c>
      <c r="R90" s="445">
        <v>164.27699999999999</v>
      </c>
      <c r="S90" s="445">
        <v>272.46899999999999</v>
      </c>
      <c r="T90" s="445">
        <v>179.66</v>
      </c>
      <c r="U90" s="445">
        <v>238.727</v>
      </c>
      <c r="V90" s="445">
        <v>147.20099999999999</v>
      </c>
      <c r="W90" s="445">
        <v>139.19399999999999</v>
      </c>
      <c r="X90" s="445">
        <v>165.90199999999999</v>
      </c>
      <c r="Y90" s="445">
        <v>324.16199999999998</v>
      </c>
      <c r="Z90" s="445">
        <v>194.803</v>
      </c>
      <c r="AA90" s="445">
        <v>177.53899999999999</v>
      </c>
      <c r="AB90" s="445">
        <v>138.81899999999999</v>
      </c>
      <c r="AC90" s="445">
        <v>158.78399999999999</v>
      </c>
      <c r="AD90" s="445">
        <v>368.09899999999999</v>
      </c>
      <c r="AE90" s="445">
        <v>223.679</v>
      </c>
    </row>
    <row r="91" spans="1:31">
      <c r="A91" s="444" t="s">
        <v>1103</v>
      </c>
      <c r="B91" s="445">
        <v>50.76052</v>
      </c>
      <c r="C91" s="445">
        <v>42.4407</v>
      </c>
      <c r="D91" s="445">
        <v>75.473439999999997</v>
      </c>
      <c r="E91" s="445">
        <v>55.469519999999903</v>
      </c>
      <c r="F91" s="445">
        <v>56.616729999999997</v>
      </c>
      <c r="G91" s="445">
        <v>67.736069999999998</v>
      </c>
      <c r="H91" s="445">
        <v>-51.735349999999997</v>
      </c>
      <c r="I91" s="445">
        <v>70.251000000000005</v>
      </c>
      <c r="J91" s="445">
        <v>102.319</v>
      </c>
      <c r="K91" s="445">
        <v>90.495000000000005</v>
      </c>
      <c r="L91" s="445">
        <v>255.81299999999999</v>
      </c>
      <c r="M91" s="445">
        <v>161.18100000000001</v>
      </c>
      <c r="N91" s="445">
        <v>124.92400000000001</v>
      </c>
      <c r="P91" s="445">
        <v>75.540999999999997</v>
      </c>
      <c r="Q91" s="445">
        <v>78.441999999999993</v>
      </c>
      <c r="R91" s="445">
        <v>93.57</v>
      </c>
      <c r="S91" s="445">
        <v>114.5</v>
      </c>
      <c r="T91" s="445">
        <v>130.791</v>
      </c>
      <c r="U91" s="445">
        <v>102.41800000000001</v>
      </c>
      <c r="V91" s="445">
        <v>104.95399999999999</v>
      </c>
      <c r="W91" s="445">
        <v>97.180999999999997</v>
      </c>
      <c r="X91" s="445">
        <v>168.05799999999999</v>
      </c>
      <c r="Y91" s="445">
        <v>179.94900000000001</v>
      </c>
      <c r="Z91" s="445">
        <v>119.56100000000001</v>
      </c>
      <c r="AA91" s="445">
        <v>100.58</v>
      </c>
      <c r="AB91" s="445">
        <v>89.741</v>
      </c>
      <c r="AC91" s="445">
        <v>112.542</v>
      </c>
      <c r="AD91" s="445">
        <v>295.27800000000002</v>
      </c>
      <c r="AE91" s="445">
        <v>219.524</v>
      </c>
    </row>
    <row r="92" spans="1:31">
      <c r="A92" s="444" t="s">
        <v>1104</v>
      </c>
      <c r="B92" s="445">
        <v>231.89735999999999</v>
      </c>
      <c r="C92" s="445">
        <v>180.03360000000001</v>
      </c>
      <c r="D92" s="445">
        <v>236.02188000000001</v>
      </c>
      <c r="E92" s="445">
        <v>280.30255</v>
      </c>
      <c r="F92" s="445">
        <v>194.54057</v>
      </c>
      <c r="G92" s="445">
        <v>316.04392000000001</v>
      </c>
      <c r="H92" s="445">
        <v>7.5374399999999904</v>
      </c>
      <c r="I92" s="445">
        <v>18.256</v>
      </c>
      <c r="J92" s="445">
        <v>567.91300000000001</v>
      </c>
      <c r="K92" s="445">
        <v>207.393</v>
      </c>
      <c r="L92" s="445">
        <v>762.06100000000004</v>
      </c>
      <c r="M92" s="445">
        <v>424.98</v>
      </c>
      <c r="N92" s="445">
        <v>358.05700000000002</v>
      </c>
      <c r="P92" s="445">
        <v>222.20499999999899</v>
      </c>
      <c r="Q92" s="445">
        <v>245.68100000000001</v>
      </c>
      <c r="R92" s="445">
        <v>283.56900000000002</v>
      </c>
      <c r="S92" s="445">
        <v>416.38900000000001</v>
      </c>
      <c r="T92" s="445">
        <v>337.07900000000001</v>
      </c>
      <c r="U92" s="445">
        <v>366.60700000000003</v>
      </c>
      <c r="V92" s="445">
        <v>277.55399999999997</v>
      </c>
      <c r="W92" s="445">
        <v>262.50299999999999</v>
      </c>
      <c r="X92" s="445">
        <v>361.60399999999998</v>
      </c>
      <c r="Y92" s="445">
        <v>532.88199999999995</v>
      </c>
      <c r="Z92" s="445">
        <v>346.3</v>
      </c>
      <c r="AA92" s="445">
        <v>303.31200000000001</v>
      </c>
      <c r="AB92" s="445">
        <v>253.570999999999</v>
      </c>
      <c r="AC92" s="445">
        <v>295.86099999999999</v>
      </c>
      <c r="AD92" s="445">
        <v>707.47799999999995</v>
      </c>
      <c r="AE92" s="445">
        <v>468.358</v>
      </c>
    </row>
    <row r="94" spans="1:31">
      <c r="A94" s="444" t="s">
        <v>1105</v>
      </c>
      <c r="B94" s="445">
        <v>4785.3721100000002</v>
      </c>
      <c r="C94" s="445">
        <v>9143.1675099999993</v>
      </c>
      <c r="D94" s="445">
        <v>4033.2212</v>
      </c>
      <c r="E94" s="445">
        <v>5319.8345799999997</v>
      </c>
      <c r="F94" s="445">
        <v>6083.2146599999996</v>
      </c>
      <c r="G94" s="445">
        <v>5405.3579900000004</v>
      </c>
      <c r="H94" s="445">
        <v>3988.6690199999998</v>
      </c>
      <c r="I94" s="445">
        <v>5181.4716526344801</v>
      </c>
      <c r="J94" s="445">
        <v>5728.9412436344801</v>
      </c>
      <c r="K94" s="445">
        <v>3739.54239913015</v>
      </c>
      <c r="L94" s="445">
        <v>3607.6784296344799</v>
      </c>
      <c r="M94" s="445">
        <v>4019.25434288106</v>
      </c>
      <c r="N94" s="445">
        <v>4588.6091928973701</v>
      </c>
      <c r="P94" s="445">
        <v>4936.2151008973797</v>
      </c>
      <c r="Q94" s="445">
        <v>4021.33402593956</v>
      </c>
      <c r="R94" s="445">
        <v>4723.01555094376</v>
      </c>
      <c r="S94" s="445">
        <v>4909.9648441301497</v>
      </c>
      <c r="T94" s="445">
        <v>4720.7309786843198</v>
      </c>
      <c r="U94" s="445">
        <v>4206.9317121301501</v>
      </c>
      <c r="V94" s="445">
        <v>4752.1972556344799</v>
      </c>
      <c r="W94" s="445">
        <v>4976.0950496344803</v>
      </c>
      <c r="X94" s="445">
        <v>3772.11260813015</v>
      </c>
      <c r="Y94" s="445">
        <v>4712.1826136344798</v>
      </c>
      <c r="Z94" s="445">
        <v>6361.6852533398396</v>
      </c>
      <c r="AA94" s="445">
        <v>4468.6112282404902</v>
      </c>
      <c r="AB94" s="445">
        <v>5478.3923472404904</v>
      </c>
      <c r="AC94" s="445">
        <v>3675.8574373862698</v>
      </c>
      <c r="AD94" s="445">
        <v>4613.0004171178398</v>
      </c>
      <c r="AE94" s="445">
        <v>4675.3547958603904</v>
      </c>
    </row>
    <row r="96" spans="1:31">
      <c r="A96" s="444" t="s">
        <v>1106</v>
      </c>
    </row>
    <row r="97" spans="1:32">
      <c r="A97" s="444" t="s">
        <v>1107</v>
      </c>
      <c r="B97" s="445">
        <v>2580.3337999999999</v>
      </c>
      <c r="C97" s="445">
        <v>2067.2472299999999</v>
      </c>
      <c r="D97" s="445">
        <v>2277.9450900000002</v>
      </c>
      <c r="E97" s="445">
        <v>2385.7584200000001</v>
      </c>
      <c r="F97" s="445">
        <v>2970.0951299999901</v>
      </c>
      <c r="G97" s="445">
        <v>2918.3722499999999</v>
      </c>
      <c r="H97" s="445">
        <v>2505.5616199999999</v>
      </c>
      <c r="I97" s="445">
        <v>2657.4783154512702</v>
      </c>
      <c r="J97" s="445">
        <v>2648.1636487845999</v>
      </c>
      <c r="K97" s="445">
        <v>2628.3409487846002</v>
      </c>
      <c r="L97" s="445">
        <v>2590.4067487846</v>
      </c>
      <c r="M97" s="445">
        <v>3137.4148029512698</v>
      </c>
      <c r="N97" s="445">
        <v>3201.3575182290401</v>
      </c>
      <c r="P97" s="445">
        <v>3219.9210380812701</v>
      </c>
      <c r="Q97" s="445">
        <v>3183.2032380812698</v>
      </c>
      <c r="R97" s="445">
        <v>3249.7219380812699</v>
      </c>
      <c r="S97" s="445">
        <v>3134.0771380812698</v>
      </c>
      <c r="T97" s="445">
        <v>2300.7958380812702</v>
      </c>
      <c r="U97" s="445">
        <v>2300.7958380812702</v>
      </c>
      <c r="V97" s="445">
        <v>2300.7958380812702</v>
      </c>
      <c r="W97" s="445">
        <v>2664.5282436368202</v>
      </c>
      <c r="X97" s="445">
        <v>2664.5282436368202</v>
      </c>
      <c r="Y97" s="445">
        <v>2664.5282436368202</v>
      </c>
      <c r="Z97" s="445">
        <v>2173.3693894701501</v>
      </c>
      <c r="AA97" s="445">
        <v>2053.9187741923802</v>
      </c>
      <c r="AB97" s="445">
        <v>2037.27418600287</v>
      </c>
      <c r="AC97" s="445">
        <v>2037.27418600287</v>
      </c>
      <c r="AD97" s="445">
        <v>2037.27418600287</v>
      </c>
      <c r="AE97" s="445">
        <v>2037.27418600287</v>
      </c>
    </row>
    <row r="98" spans="1:32">
      <c r="A98" s="444" t="s">
        <v>1108</v>
      </c>
      <c r="B98" s="445">
        <v>1659.3611599999999</v>
      </c>
      <c r="C98" s="445">
        <v>5870.3687799999998</v>
      </c>
      <c r="D98" s="445">
        <v>1554.60788</v>
      </c>
      <c r="E98" s="445">
        <v>1688.4585099999999</v>
      </c>
      <c r="F98" s="445">
        <v>1702.64617</v>
      </c>
      <c r="G98" s="445">
        <v>1683.1930299999999</v>
      </c>
      <c r="H98" s="445">
        <v>1629.59518</v>
      </c>
      <c r="I98" s="445">
        <v>2643.2278000000001</v>
      </c>
      <c r="J98" s="445">
        <v>2499.3204999999998</v>
      </c>
      <c r="K98" s="445">
        <v>1721.5918999999999</v>
      </c>
      <c r="L98" s="445">
        <v>1930.9683</v>
      </c>
      <c r="M98" s="445">
        <v>2147.17559999999</v>
      </c>
      <c r="N98" s="445">
        <v>2257.5794000000001</v>
      </c>
      <c r="P98" s="445">
        <v>1699.37589999999</v>
      </c>
      <c r="Q98" s="445">
        <v>1354.5357999999901</v>
      </c>
      <c r="R98" s="445">
        <v>1736.8379714351699</v>
      </c>
      <c r="S98" s="445">
        <v>1765.00989999999</v>
      </c>
      <c r="T98" s="445">
        <v>1702.0229999999999</v>
      </c>
      <c r="U98" s="445">
        <v>1950.6344999999999</v>
      </c>
      <c r="V98" s="445">
        <v>2450.3964999999998</v>
      </c>
      <c r="W98" s="445">
        <v>3430.4321999999902</v>
      </c>
      <c r="X98" s="445">
        <v>2185.4728</v>
      </c>
      <c r="Y98" s="445">
        <v>1444.60154375259</v>
      </c>
      <c r="Z98" s="445">
        <v>1564.4567999999999</v>
      </c>
      <c r="AA98" s="445">
        <v>1743.0864999999901</v>
      </c>
      <c r="AB98" s="445">
        <v>1578.8442</v>
      </c>
      <c r="AC98" s="445">
        <v>1184.6785</v>
      </c>
      <c r="AD98" s="445">
        <v>1781.1469</v>
      </c>
      <c r="AE98" s="445">
        <v>1539.6757</v>
      </c>
    </row>
    <row r="99" spans="1:32">
      <c r="A99" s="444" t="s">
        <v>1109</v>
      </c>
      <c r="B99" s="445">
        <v>4239.6949599999998</v>
      </c>
      <c r="C99" s="445">
        <v>7937.6160099999997</v>
      </c>
      <c r="D99" s="445">
        <v>3832.5529700000002</v>
      </c>
      <c r="E99" s="445">
        <v>4074.21693</v>
      </c>
      <c r="F99" s="445">
        <v>4672.7412999999997</v>
      </c>
      <c r="G99" s="445">
        <v>4601.5652799999998</v>
      </c>
      <c r="H99" s="445">
        <v>4135.1567999999997</v>
      </c>
      <c r="I99" s="445">
        <v>5300.7061154512703</v>
      </c>
      <c r="J99" s="445">
        <v>5147.4841487845997</v>
      </c>
      <c r="K99" s="445">
        <v>4349.9328487845996</v>
      </c>
      <c r="L99" s="445">
        <v>4521.3750487846</v>
      </c>
      <c r="M99" s="445">
        <v>5284.5904029512603</v>
      </c>
      <c r="N99" s="445">
        <v>5458.9369182290402</v>
      </c>
      <c r="O99" s="137">
        <f>SUM(C99:N99)</f>
        <v>59316.874772985364</v>
      </c>
      <c r="P99" s="445">
        <v>4919.2969380812701</v>
      </c>
      <c r="Q99" s="445">
        <v>4537.7390380812603</v>
      </c>
      <c r="R99" s="445">
        <v>4986.5599095164398</v>
      </c>
      <c r="S99" s="445">
        <v>4899.0870380812703</v>
      </c>
      <c r="T99" s="445">
        <v>4002.8188380812699</v>
      </c>
      <c r="U99" s="445">
        <v>4251.4303380812698</v>
      </c>
      <c r="V99" s="445">
        <v>4751.1923380812696</v>
      </c>
      <c r="W99" s="445">
        <v>6094.9604436368199</v>
      </c>
      <c r="X99" s="445">
        <v>4850.0010436368202</v>
      </c>
      <c r="Y99" s="445">
        <v>4109.12978738941</v>
      </c>
      <c r="Z99" s="445">
        <v>3737.82618947015</v>
      </c>
      <c r="AA99" s="445">
        <v>3797.0052741923801</v>
      </c>
      <c r="AB99" s="445">
        <v>3616.11838600287</v>
      </c>
      <c r="AC99" s="445">
        <v>3221.95268600287</v>
      </c>
      <c r="AD99" s="445">
        <v>3818.4210860028602</v>
      </c>
      <c r="AE99" s="445">
        <v>3576.9498860028698</v>
      </c>
      <c r="AF99" s="137">
        <f>SUM(T99:AE99)</f>
        <v>49827.806296580864</v>
      </c>
    </row>
    <row r="101" spans="1:32">
      <c r="A101" s="444" t="s">
        <v>1110</v>
      </c>
      <c r="B101" s="445">
        <v>100.64382999999999</v>
      </c>
      <c r="C101" s="445">
        <v>108.73772</v>
      </c>
      <c r="D101" s="445">
        <v>93.789050000000003</v>
      </c>
      <c r="E101" s="445">
        <v>101.89079</v>
      </c>
      <c r="F101" s="445">
        <v>93.233410000000006</v>
      </c>
      <c r="G101" s="445">
        <v>93.187370000000001</v>
      </c>
      <c r="H101" s="445">
        <v>79.527149999999907</v>
      </c>
      <c r="I101" s="445">
        <v>101.80800000000001</v>
      </c>
      <c r="J101" s="445">
        <v>108.77500000000001</v>
      </c>
      <c r="K101" s="445">
        <v>93.165000000000006</v>
      </c>
      <c r="L101" s="445">
        <v>108.73099999999999</v>
      </c>
      <c r="M101" s="445">
        <v>98.879000000000005</v>
      </c>
      <c r="N101" s="445">
        <v>82.036000000000001</v>
      </c>
      <c r="P101" s="445">
        <v>117.143</v>
      </c>
      <c r="Q101" s="445">
        <v>97.102000000000004</v>
      </c>
      <c r="R101" s="445">
        <v>105.29</v>
      </c>
      <c r="S101" s="445">
        <v>109.68300000000001</v>
      </c>
      <c r="T101" s="445">
        <v>115.60899999999999</v>
      </c>
      <c r="U101" s="445">
        <v>96.091999999999999</v>
      </c>
      <c r="V101" s="445">
        <v>105.185</v>
      </c>
      <c r="W101" s="445">
        <v>105.009</v>
      </c>
      <c r="X101" s="445">
        <v>96.92</v>
      </c>
      <c r="Y101" s="445">
        <v>104.443</v>
      </c>
      <c r="Z101" s="445">
        <v>92.206000000000003</v>
      </c>
      <c r="AA101" s="445">
        <v>89.501000000000005</v>
      </c>
      <c r="AB101" s="445">
        <v>112.438</v>
      </c>
      <c r="AC101" s="445">
        <v>93.165000000000006</v>
      </c>
      <c r="AD101" s="445">
        <v>106.428</v>
      </c>
      <c r="AE101" s="445">
        <v>104.521</v>
      </c>
    </row>
    <row r="102" spans="1:32">
      <c r="A102" s="444" t="s">
        <v>1111</v>
      </c>
      <c r="B102" s="445">
        <v>2.8721000000000001</v>
      </c>
      <c r="C102" s="445">
        <v>600.87153000000001</v>
      </c>
      <c r="D102" s="445">
        <v>4.6924000000000001</v>
      </c>
      <c r="E102" s="445">
        <v>23.370329999999999</v>
      </c>
      <c r="F102" s="445">
        <v>14.495480000000001</v>
      </c>
      <c r="G102" s="445">
        <v>22.085100000000001</v>
      </c>
      <c r="H102" s="445">
        <v>6.0229400000000002</v>
      </c>
      <c r="I102" s="445">
        <v>16.518000000000001</v>
      </c>
      <c r="J102" s="445">
        <v>10.816000000000001</v>
      </c>
      <c r="K102" s="445">
        <v>21.974</v>
      </c>
      <c r="L102" s="445">
        <v>24.041</v>
      </c>
      <c r="M102" s="445">
        <v>11.516999999999999</v>
      </c>
      <c r="N102" s="445">
        <v>27.05</v>
      </c>
      <c r="P102" s="445">
        <v>33.659999999999997</v>
      </c>
      <c r="Q102" s="445">
        <v>35.756</v>
      </c>
      <c r="R102" s="445">
        <v>29.702999999999999</v>
      </c>
      <c r="S102" s="445">
        <v>12.576000000000001</v>
      </c>
      <c r="T102" s="445">
        <v>16.027999999999999</v>
      </c>
      <c r="U102" s="445">
        <v>12.309999999999899</v>
      </c>
      <c r="V102" s="445">
        <v>13.5739999999999</v>
      </c>
      <c r="W102" s="445">
        <v>13.161</v>
      </c>
      <c r="X102" s="445">
        <v>14.762</v>
      </c>
      <c r="Y102" s="445">
        <v>11.853999999999999</v>
      </c>
      <c r="Z102" s="445">
        <v>8.03399999999999</v>
      </c>
      <c r="AA102" s="445">
        <v>23.006</v>
      </c>
      <c r="AB102" s="445">
        <v>30.26</v>
      </c>
      <c r="AC102" s="445">
        <v>39.287999999999997</v>
      </c>
      <c r="AD102" s="445">
        <v>12.574</v>
      </c>
      <c r="AE102" s="445">
        <v>13.7259999999999</v>
      </c>
    </row>
    <row r="104" spans="1:32">
      <c r="A104" s="444" t="s">
        <v>1112</v>
      </c>
      <c r="B104" s="445">
        <v>40343.761630000001</v>
      </c>
      <c r="C104" s="445">
        <v>49694.369719999901</v>
      </c>
      <c r="D104" s="445">
        <v>33696.020750000003</v>
      </c>
      <c r="E104" s="445">
        <v>37273.7356499999</v>
      </c>
      <c r="F104" s="445">
        <v>36249.427019999901</v>
      </c>
      <c r="G104" s="445">
        <v>38009.611409999903</v>
      </c>
      <c r="H104" s="445">
        <v>37899.081879999998</v>
      </c>
      <c r="I104" s="445">
        <v>40513.651040315999</v>
      </c>
      <c r="J104" s="445">
        <v>42176.663761860204</v>
      </c>
      <c r="K104" s="445">
        <v>36789.8558884507</v>
      </c>
      <c r="L104" s="445">
        <v>37182.286079745303</v>
      </c>
      <c r="M104" s="445">
        <v>35764.684349155599</v>
      </c>
      <c r="N104" s="445">
        <v>39630.920647215498</v>
      </c>
      <c r="P104" s="445">
        <v>40858.088412893303</v>
      </c>
      <c r="Q104" s="445">
        <v>36411.1284583776</v>
      </c>
      <c r="R104" s="445">
        <v>38959.317376103099</v>
      </c>
      <c r="S104" s="445">
        <v>37145.9323026442</v>
      </c>
      <c r="T104" s="445">
        <v>37507.880786581904</v>
      </c>
      <c r="U104" s="445">
        <v>37397.548718874197</v>
      </c>
      <c r="V104" s="445">
        <v>41066.372667748103</v>
      </c>
      <c r="W104" s="445">
        <v>41649.065999510902</v>
      </c>
      <c r="X104" s="445">
        <v>36826.736485237801</v>
      </c>
      <c r="Y104" s="445">
        <v>36868.457246050602</v>
      </c>
      <c r="Z104" s="445">
        <v>37667.028535949801</v>
      </c>
      <c r="AA104" s="445">
        <v>38643.643114503997</v>
      </c>
      <c r="AB104" s="445">
        <v>40228.079097325099</v>
      </c>
      <c r="AC104" s="445">
        <v>35060.506891414698</v>
      </c>
      <c r="AD104" s="445">
        <v>43795.591158036703</v>
      </c>
      <c r="AE104" s="445">
        <v>35785.683010624998</v>
      </c>
    </row>
    <row r="106" spans="1:32">
      <c r="A106" s="444" t="s">
        <v>1113</v>
      </c>
    </row>
    <row r="107" spans="1:32">
      <c r="A107" s="444" t="s">
        <v>1114</v>
      </c>
      <c r="B107" s="445">
        <v>68.364310000000003</v>
      </c>
      <c r="C107" s="445">
        <v>68.982339999999994</v>
      </c>
      <c r="D107" s="445">
        <v>67.092399999999998</v>
      </c>
      <c r="E107" s="445">
        <v>87.606530000000006</v>
      </c>
      <c r="F107" s="445">
        <v>68.073229999999995</v>
      </c>
      <c r="G107" s="445">
        <v>74.554720000000003</v>
      </c>
      <c r="H107" s="445">
        <v>69.220479999999995</v>
      </c>
      <c r="I107" s="445">
        <v>86.394000000000005</v>
      </c>
      <c r="J107" s="445">
        <v>96.108000000000004</v>
      </c>
      <c r="K107" s="445">
        <v>78.105000000000004</v>
      </c>
      <c r="L107" s="445">
        <v>92.378</v>
      </c>
      <c r="M107" s="445">
        <v>85.963999999999999</v>
      </c>
      <c r="N107" s="445">
        <v>73.878</v>
      </c>
      <c r="P107" s="445">
        <v>95.606999999999999</v>
      </c>
      <c r="Q107" s="445">
        <v>84.944999999999993</v>
      </c>
      <c r="R107" s="445">
        <v>89.956999999999994</v>
      </c>
      <c r="S107" s="445">
        <v>87.048000000000002</v>
      </c>
      <c r="T107" s="445">
        <v>102.309</v>
      </c>
      <c r="U107" s="445">
        <v>80.385000000000005</v>
      </c>
      <c r="V107" s="445">
        <v>95.349000000000004</v>
      </c>
      <c r="W107" s="445">
        <v>101.209</v>
      </c>
      <c r="X107" s="445">
        <v>90.173000000000002</v>
      </c>
      <c r="Y107" s="445">
        <v>137.096</v>
      </c>
      <c r="Z107" s="445">
        <v>82.972999999999999</v>
      </c>
      <c r="AA107" s="445">
        <v>75.915999999999997</v>
      </c>
      <c r="AB107" s="445">
        <v>98.358999999999995</v>
      </c>
      <c r="AC107" s="445">
        <v>87.388999999999996</v>
      </c>
      <c r="AD107" s="445">
        <v>97.165999999999997</v>
      </c>
      <c r="AE107" s="445">
        <v>89.504999999999995</v>
      </c>
    </row>
    <row r="108" spans="1:32">
      <c r="A108" s="444" t="s">
        <v>1115</v>
      </c>
      <c r="B108" s="445">
        <v>177.59800000000001</v>
      </c>
      <c r="C108" s="445">
        <v>173.04035999999999</v>
      </c>
      <c r="D108" s="445">
        <v>167.96328</v>
      </c>
      <c r="E108" s="445">
        <v>174.67268999999999</v>
      </c>
      <c r="F108" s="445">
        <v>201.10338999999999</v>
      </c>
      <c r="G108" s="445">
        <v>212.37513000000001</v>
      </c>
      <c r="H108" s="445">
        <v>195.28325000000001</v>
      </c>
      <c r="I108" s="445">
        <v>249.29499999999999</v>
      </c>
      <c r="J108" s="445">
        <v>248.59200000000001</v>
      </c>
      <c r="K108" s="445">
        <v>223.62799999999999</v>
      </c>
      <c r="L108" s="445">
        <v>253.41099999999901</v>
      </c>
      <c r="M108" s="445">
        <v>226.501</v>
      </c>
      <c r="N108" s="445">
        <v>195.85499999999999</v>
      </c>
      <c r="P108" s="445">
        <v>257.34800000000001</v>
      </c>
      <c r="Q108" s="445">
        <v>229.071</v>
      </c>
      <c r="R108" s="445">
        <v>245.065</v>
      </c>
      <c r="S108" s="445">
        <v>220.65100000000001</v>
      </c>
      <c r="T108" s="445">
        <v>245.37899999999999</v>
      </c>
      <c r="U108" s="445">
        <v>201.32300000000001</v>
      </c>
      <c r="V108" s="445">
        <v>236.41899999999899</v>
      </c>
      <c r="W108" s="445">
        <v>248.268</v>
      </c>
      <c r="X108" s="445">
        <v>252.429</v>
      </c>
      <c r="Y108" s="445">
        <v>254.88200000000001</v>
      </c>
      <c r="Z108" s="445">
        <v>221.36899999999901</v>
      </c>
      <c r="AA108" s="445">
        <v>209.72300000000001</v>
      </c>
      <c r="AB108" s="445">
        <v>251.55099999999999</v>
      </c>
      <c r="AC108" s="445">
        <v>224.089</v>
      </c>
      <c r="AD108" s="445">
        <v>250.53700000000001</v>
      </c>
      <c r="AE108" s="445">
        <v>224.97800000000001</v>
      </c>
    </row>
    <row r="109" spans="1:32">
      <c r="A109" s="444" t="s">
        <v>1116</v>
      </c>
      <c r="B109" s="445">
        <v>14.96862</v>
      </c>
      <c r="C109" s="445">
        <v>67.442520000000002</v>
      </c>
      <c r="D109" s="445">
        <v>103.44033</v>
      </c>
      <c r="E109" s="445">
        <v>84.908929999999998</v>
      </c>
      <c r="F109" s="445">
        <v>96.904839999999993</v>
      </c>
      <c r="G109" s="445">
        <v>87.794649999999905</v>
      </c>
      <c r="H109" s="445">
        <v>70.358559999999997</v>
      </c>
      <c r="I109" s="445">
        <v>65.646000000000001</v>
      </c>
      <c r="J109" s="445">
        <v>71.983999999999995</v>
      </c>
      <c r="K109" s="445">
        <v>74.448999999999998</v>
      </c>
      <c r="L109" s="445">
        <v>83.251999999999995</v>
      </c>
      <c r="M109" s="445">
        <v>66.86</v>
      </c>
      <c r="N109" s="445">
        <v>62.640999999999998</v>
      </c>
      <c r="P109" s="445">
        <v>67.019000000000005</v>
      </c>
      <c r="Q109" s="445">
        <v>67.019000000000005</v>
      </c>
      <c r="R109" s="445">
        <v>74.564999999999998</v>
      </c>
      <c r="S109" s="445">
        <v>74.564999999999998</v>
      </c>
      <c r="T109" s="445">
        <v>74.564999999999998</v>
      </c>
      <c r="U109" s="445">
        <v>79.269000000000005</v>
      </c>
      <c r="V109" s="445">
        <v>79.269000000000005</v>
      </c>
      <c r="W109" s="445">
        <v>67.019000000000005</v>
      </c>
      <c r="X109" s="445">
        <v>74.564999999999998</v>
      </c>
      <c r="Y109" s="445">
        <v>74.564999999999998</v>
      </c>
      <c r="Z109" s="445">
        <v>67.019000000000005</v>
      </c>
      <c r="AA109" s="445">
        <v>67.070999999999998</v>
      </c>
      <c r="AB109" s="445">
        <v>70.25</v>
      </c>
      <c r="AC109" s="445">
        <v>71.756</v>
      </c>
      <c r="AD109" s="445">
        <v>71.756</v>
      </c>
      <c r="AE109" s="445">
        <v>82.5</v>
      </c>
    </row>
    <row r="110" spans="1:32">
      <c r="A110" s="444" t="s">
        <v>1117</v>
      </c>
      <c r="B110" s="445">
        <v>15.95786</v>
      </c>
      <c r="C110" s="445">
        <v>12.847440000000001</v>
      </c>
      <c r="D110" s="445">
        <v>8.6660199999999996</v>
      </c>
      <c r="E110" s="445">
        <v>22.216169999999899</v>
      </c>
      <c r="F110" s="445">
        <v>17.676310000000001</v>
      </c>
      <c r="G110" s="445">
        <v>13.501670000000001</v>
      </c>
      <c r="H110" s="445">
        <v>22.71782</v>
      </c>
      <c r="I110" s="445">
        <v>34.932000000000002</v>
      </c>
      <c r="J110" s="445">
        <v>19.100000000000001</v>
      </c>
      <c r="K110" s="445">
        <v>117.021</v>
      </c>
      <c r="L110" s="445">
        <v>19.7</v>
      </c>
      <c r="M110" s="445">
        <v>16.2</v>
      </c>
      <c r="N110" s="445">
        <v>32.5</v>
      </c>
      <c r="P110" s="445">
        <v>15.516</v>
      </c>
      <c r="Q110" s="445">
        <v>16.172000000000001</v>
      </c>
      <c r="R110" s="445">
        <v>23.771999999999998</v>
      </c>
      <c r="S110" s="445">
        <v>23.452000000000002</v>
      </c>
      <c r="T110" s="445">
        <v>39.671999999999997</v>
      </c>
      <c r="U110" s="445">
        <v>39.671999999999997</v>
      </c>
      <c r="V110" s="445">
        <v>22.172000000000001</v>
      </c>
      <c r="W110" s="445">
        <v>22.172000000000001</v>
      </c>
      <c r="X110" s="445">
        <v>22.172000000000001</v>
      </c>
      <c r="Y110" s="445">
        <v>22.172000000000001</v>
      </c>
      <c r="Z110" s="445">
        <v>17.771999999999998</v>
      </c>
      <c r="AA110" s="445">
        <v>17.628</v>
      </c>
      <c r="AB110" s="445">
        <v>15.638999999999999</v>
      </c>
      <c r="AC110" s="445">
        <v>16.295000000000002</v>
      </c>
      <c r="AD110" s="445">
        <v>23.895</v>
      </c>
      <c r="AE110" s="445">
        <v>23.574999999999999</v>
      </c>
    </row>
    <row r="111" spans="1:32">
      <c r="A111" s="444" t="s">
        <v>1118</v>
      </c>
      <c r="B111" s="445">
        <v>0</v>
      </c>
      <c r="C111" s="445">
        <v>0</v>
      </c>
      <c r="D111" s="445">
        <v>0</v>
      </c>
      <c r="E111" s="445">
        <v>0</v>
      </c>
      <c r="F111" s="445">
        <v>0</v>
      </c>
      <c r="G111" s="445">
        <v>0</v>
      </c>
      <c r="H111" s="445">
        <v>0</v>
      </c>
      <c r="I111" s="445">
        <v>0</v>
      </c>
      <c r="J111" s="445">
        <v>0</v>
      </c>
      <c r="K111" s="445">
        <v>0</v>
      </c>
      <c r="L111" s="445">
        <v>0</v>
      </c>
      <c r="M111" s="445">
        <v>0</v>
      </c>
      <c r="N111" s="445">
        <v>0</v>
      </c>
      <c r="P111" s="445">
        <v>0</v>
      </c>
      <c r="Q111" s="445">
        <v>0</v>
      </c>
      <c r="R111" s="445">
        <v>0</v>
      </c>
      <c r="S111" s="445">
        <v>0</v>
      </c>
      <c r="T111" s="445">
        <v>0</v>
      </c>
      <c r="U111" s="445">
        <v>0</v>
      </c>
      <c r="V111" s="445">
        <v>0</v>
      </c>
      <c r="W111" s="445">
        <v>0</v>
      </c>
      <c r="X111" s="445">
        <v>0</v>
      </c>
      <c r="Y111" s="445">
        <v>0</v>
      </c>
      <c r="Z111" s="445">
        <v>0</v>
      </c>
      <c r="AA111" s="445">
        <v>0</v>
      </c>
      <c r="AB111" s="445">
        <v>0</v>
      </c>
      <c r="AC111" s="445">
        <v>0</v>
      </c>
      <c r="AD111" s="445">
        <v>0</v>
      </c>
      <c r="AE111" s="445">
        <v>0</v>
      </c>
    </row>
    <row r="112" spans="1:32">
      <c r="A112" s="444" t="s">
        <v>1119</v>
      </c>
      <c r="B112" s="445">
        <v>75.543629999999993</v>
      </c>
      <c r="C112" s="445">
        <v>557.94748000000004</v>
      </c>
      <c r="D112" s="445">
        <v>31.759060000000002</v>
      </c>
      <c r="E112" s="445">
        <v>39.388649999999998</v>
      </c>
      <c r="F112" s="445">
        <v>109.68131</v>
      </c>
      <c r="G112" s="445">
        <v>63.477989999999899</v>
      </c>
      <c r="H112" s="445">
        <v>32.345660000000002</v>
      </c>
      <c r="I112" s="445">
        <v>99.933000000000007</v>
      </c>
      <c r="J112" s="445">
        <v>50.600999999999999</v>
      </c>
      <c r="K112" s="445">
        <v>144.16200000000001</v>
      </c>
      <c r="L112" s="445">
        <v>190.32599999999999</v>
      </c>
      <c r="M112" s="445">
        <v>86.277000000000001</v>
      </c>
      <c r="N112" s="445">
        <v>250.71700000000001</v>
      </c>
      <c r="P112" s="445">
        <v>107.941</v>
      </c>
      <c r="Q112" s="445">
        <v>99.295000000000002</v>
      </c>
      <c r="R112" s="445">
        <v>147.95599999999999</v>
      </c>
      <c r="S112" s="445">
        <v>51.44</v>
      </c>
      <c r="T112" s="445">
        <v>73.314999999999998</v>
      </c>
      <c r="U112" s="445">
        <v>48.317</v>
      </c>
      <c r="V112" s="445">
        <v>64.935999999999893</v>
      </c>
      <c r="W112" s="445">
        <v>88.977999999999994</v>
      </c>
      <c r="X112" s="445">
        <v>71.09</v>
      </c>
      <c r="Y112" s="445">
        <v>44.923999999999999</v>
      </c>
      <c r="Z112" s="445">
        <v>3.766</v>
      </c>
      <c r="AA112" s="445">
        <v>191.40700000000001</v>
      </c>
      <c r="AB112" s="445">
        <v>94.909000000000006</v>
      </c>
      <c r="AC112" s="445">
        <v>115.729</v>
      </c>
      <c r="AD112" s="445">
        <v>32.133000000000003</v>
      </c>
      <c r="AE112" s="445">
        <v>64.263000000000005</v>
      </c>
    </row>
    <row r="113" spans="1:31">
      <c r="A113" s="444" t="s">
        <v>1120</v>
      </c>
      <c r="B113" s="445">
        <v>619.98229999999899</v>
      </c>
      <c r="C113" s="445">
        <v>690.73824999999999</v>
      </c>
      <c r="D113" s="445">
        <v>647.94857000000002</v>
      </c>
      <c r="E113" s="445">
        <v>557.12483999999995</v>
      </c>
      <c r="F113" s="445">
        <v>570.71109999999999</v>
      </c>
      <c r="G113" s="445">
        <v>526.29476999999997</v>
      </c>
      <c r="H113" s="445">
        <v>763.79021999999998</v>
      </c>
      <c r="I113" s="445">
        <v>572.548</v>
      </c>
      <c r="J113" s="445">
        <v>1620.0719999999999</v>
      </c>
      <c r="K113" s="445">
        <v>825.30200000000002</v>
      </c>
      <c r="L113" s="445">
        <v>730.44200000000001</v>
      </c>
      <c r="M113" s="445">
        <v>727.774</v>
      </c>
      <c r="N113" s="445">
        <v>731.88099999999997</v>
      </c>
      <c r="P113" s="445">
        <v>888.02700000000004</v>
      </c>
      <c r="Q113" s="445">
        <v>785.41499999999996</v>
      </c>
      <c r="R113" s="445">
        <v>796.93399999999997</v>
      </c>
      <c r="S113" s="445">
        <v>887.51299999999901</v>
      </c>
      <c r="T113" s="445">
        <v>989.07899999999995</v>
      </c>
      <c r="U113" s="445">
        <v>1012.5359999999999</v>
      </c>
      <c r="V113" s="445">
        <v>1111.83</v>
      </c>
      <c r="W113" s="445">
        <v>1010.121</v>
      </c>
      <c r="X113" s="445">
        <v>1013.412</v>
      </c>
      <c r="Y113" s="445">
        <v>1113.8340000000001</v>
      </c>
      <c r="Z113" s="445">
        <v>1013.611</v>
      </c>
      <c r="AA113" s="445">
        <v>1011.818</v>
      </c>
      <c r="AB113" s="445">
        <v>1102.567</v>
      </c>
      <c r="AC113" s="445">
        <v>995.66099999999994</v>
      </c>
      <c r="AD113" s="445">
        <v>1007.324</v>
      </c>
      <c r="AE113" s="445">
        <v>1102.1189999999999</v>
      </c>
    </row>
    <row r="114" spans="1:31">
      <c r="A114" s="444" t="s">
        <v>1121</v>
      </c>
      <c r="B114" s="445">
        <v>0.83068999999999904</v>
      </c>
      <c r="C114" s="445">
        <v>0.83068999999999904</v>
      </c>
      <c r="D114" s="445">
        <v>27.538699999999999</v>
      </c>
      <c r="E114" s="445">
        <v>3.0224599999999899</v>
      </c>
      <c r="F114" s="445">
        <v>0.34569</v>
      </c>
      <c r="G114" s="445">
        <v>0.48026000000000002</v>
      </c>
      <c r="H114" s="445">
        <v>12.465020000000001</v>
      </c>
      <c r="I114" s="445">
        <v>1.607</v>
      </c>
      <c r="J114" s="445">
        <v>0.36499999999999999</v>
      </c>
      <c r="K114" s="445">
        <v>0.36499999999999999</v>
      </c>
      <c r="L114" s="445">
        <v>0.36499999999999999</v>
      </c>
      <c r="M114" s="445">
        <v>22.204999999999998</v>
      </c>
      <c r="N114" s="445">
        <v>26.158999999999999</v>
      </c>
      <c r="P114" s="445">
        <v>0.35299999999999998</v>
      </c>
      <c r="Q114" s="445">
        <v>0.35299999999999998</v>
      </c>
      <c r="R114" s="445">
        <v>2.35299999999999</v>
      </c>
      <c r="S114" s="445">
        <v>28.353000000000002</v>
      </c>
      <c r="T114" s="445">
        <v>2.35299999999999</v>
      </c>
      <c r="U114" s="445">
        <v>8.3529999999999998</v>
      </c>
      <c r="V114" s="445">
        <v>2.35299999999999</v>
      </c>
      <c r="W114" s="445">
        <v>0.35299999999999998</v>
      </c>
      <c r="X114" s="445">
        <v>0.35299999999999998</v>
      </c>
      <c r="Y114" s="445">
        <v>0.35299999999999998</v>
      </c>
      <c r="Z114" s="445">
        <v>28.353000000000002</v>
      </c>
      <c r="AA114" s="445">
        <v>32.353000000000002</v>
      </c>
      <c r="AB114" s="445">
        <v>0.35299999999999998</v>
      </c>
      <c r="AC114" s="445">
        <v>0.35299999999999998</v>
      </c>
      <c r="AD114" s="445">
        <v>2.35299999999999</v>
      </c>
      <c r="AE114" s="445">
        <v>28.353000000000002</v>
      </c>
    </row>
    <row r="115" spans="1:31">
      <c r="A115" s="444" t="s">
        <v>1122</v>
      </c>
      <c r="B115" s="445">
        <v>0.18966</v>
      </c>
      <c r="C115" s="445">
        <v>2.4459299999999899</v>
      </c>
      <c r="D115" s="445">
        <v>0.32488</v>
      </c>
      <c r="E115" s="445">
        <v>7.4959999999999999E-2</v>
      </c>
      <c r="F115" s="445">
        <v>1.2084299999999999</v>
      </c>
      <c r="G115" s="445">
        <v>0.12913999999999901</v>
      </c>
      <c r="H115" s="445">
        <v>0.42625999999999997</v>
      </c>
      <c r="I115" s="445">
        <v>0</v>
      </c>
      <c r="J115" s="445">
        <v>0</v>
      </c>
      <c r="K115" s="445">
        <v>0</v>
      </c>
      <c r="L115" s="445">
        <v>0</v>
      </c>
      <c r="M115" s="445">
        <v>0</v>
      </c>
      <c r="N115" s="445">
        <v>0</v>
      </c>
      <c r="P115" s="445">
        <v>0</v>
      </c>
      <c r="Q115" s="445">
        <v>0</v>
      </c>
      <c r="R115" s="445">
        <v>0</v>
      </c>
      <c r="S115" s="445">
        <v>0</v>
      </c>
      <c r="T115" s="445">
        <v>0</v>
      </c>
      <c r="U115" s="445">
        <v>0</v>
      </c>
      <c r="V115" s="445">
        <v>0</v>
      </c>
      <c r="W115" s="445">
        <v>0</v>
      </c>
      <c r="X115" s="445">
        <v>0</v>
      </c>
      <c r="Y115" s="445">
        <v>0</v>
      </c>
      <c r="Z115" s="445">
        <v>0</v>
      </c>
      <c r="AA115" s="445">
        <v>0</v>
      </c>
      <c r="AB115" s="445">
        <v>0</v>
      </c>
      <c r="AC115" s="445">
        <v>0</v>
      </c>
      <c r="AD115" s="445">
        <v>0</v>
      </c>
      <c r="AE115" s="445">
        <v>0</v>
      </c>
    </row>
    <row r="116" spans="1:31">
      <c r="A116" s="444" t="s">
        <v>1123</v>
      </c>
      <c r="B116" s="445">
        <v>973.43506999999897</v>
      </c>
      <c r="C116" s="445">
        <v>1574.2750100000001</v>
      </c>
      <c r="D116" s="445">
        <v>1054.73324</v>
      </c>
      <c r="E116" s="445">
        <v>969.01522999999997</v>
      </c>
      <c r="F116" s="445">
        <v>1065.7042999999901</v>
      </c>
      <c r="G116" s="445">
        <v>978.60833000000002</v>
      </c>
      <c r="H116" s="445">
        <v>1166.60727</v>
      </c>
      <c r="I116" s="445">
        <v>1110.355</v>
      </c>
      <c r="J116" s="445">
        <v>2106.8219999999901</v>
      </c>
      <c r="K116" s="445">
        <v>1463.0319999999999</v>
      </c>
      <c r="L116" s="445">
        <v>1369.874</v>
      </c>
      <c r="M116" s="445">
        <v>1231.7809999999999</v>
      </c>
      <c r="N116" s="445">
        <v>1373.6310000000001</v>
      </c>
      <c r="P116" s="445">
        <v>1431.8109999999999</v>
      </c>
      <c r="Q116" s="445">
        <v>1282.27</v>
      </c>
      <c r="R116" s="445">
        <v>1380.6020000000001</v>
      </c>
      <c r="S116" s="445">
        <v>1373.0219999999999</v>
      </c>
      <c r="T116" s="445">
        <v>1526.672</v>
      </c>
      <c r="U116" s="445">
        <v>1469.855</v>
      </c>
      <c r="V116" s="445">
        <v>1612.328</v>
      </c>
      <c r="W116" s="445">
        <v>1538.12</v>
      </c>
      <c r="X116" s="445">
        <v>1524.194</v>
      </c>
      <c r="Y116" s="445">
        <v>1647.826</v>
      </c>
      <c r="Z116" s="445">
        <v>1434.8630000000001</v>
      </c>
      <c r="AA116" s="445">
        <v>1605.9159999999999</v>
      </c>
      <c r="AB116" s="445">
        <v>1633.6279999999999</v>
      </c>
      <c r="AC116" s="445">
        <v>1511.2719999999999</v>
      </c>
      <c r="AD116" s="445">
        <v>1485.164</v>
      </c>
      <c r="AE116" s="445">
        <v>1615.2929999999999</v>
      </c>
    </row>
    <row r="118" spans="1:31">
      <c r="A118" s="444" t="s">
        <v>1124</v>
      </c>
      <c r="B118" s="445">
        <v>0</v>
      </c>
      <c r="C118" s="445">
        <v>0</v>
      </c>
      <c r="D118" s="445">
        <v>0</v>
      </c>
      <c r="E118" s="445">
        <v>0</v>
      </c>
      <c r="F118" s="445">
        <v>0</v>
      </c>
      <c r="G118" s="445">
        <v>0</v>
      </c>
      <c r="H118" s="445">
        <v>0</v>
      </c>
      <c r="I118" s="445">
        <v>0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P118" s="445">
        <v>0</v>
      </c>
      <c r="Q118" s="445">
        <v>0</v>
      </c>
      <c r="R118" s="445">
        <v>0</v>
      </c>
      <c r="S118" s="445">
        <v>0</v>
      </c>
      <c r="T118" s="445">
        <v>0</v>
      </c>
      <c r="U118" s="445">
        <v>0</v>
      </c>
      <c r="V118" s="445">
        <v>0</v>
      </c>
      <c r="W118" s="445">
        <v>0</v>
      </c>
      <c r="X118" s="445">
        <v>0</v>
      </c>
      <c r="Y118" s="445">
        <v>0</v>
      </c>
      <c r="Z118" s="445">
        <v>0</v>
      </c>
      <c r="AA118" s="445">
        <v>0</v>
      </c>
      <c r="AB118" s="445">
        <v>0</v>
      </c>
      <c r="AC118" s="445">
        <v>0</v>
      </c>
      <c r="AD118" s="445">
        <v>0</v>
      </c>
      <c r="AE118" s="445">
        <v>0</v>
      </c>
    </row>
    <row r="119" spans="1:31">
      <c r="A119" s="444" t="s">
        <v>1125</v>
      </c>
      <c r="B119" s="445">
        <v>0</v>
      </c>
      <c r="C119" s="445">
        <v>0</v>
      </c>
      <c r="D119" s="445">
        <v>0</v>
      </c>
      <c r="E119" s="445">
        <v>0</v>
      </c>
      <c r="F119" s="445">
        <v>0</v>
      </c>
      <c r="G119" s="445">
        <v>0</v>
      </c>
      <c r="H119" s="445">
        <v>0</v>
      </c>
      <c r="I119" s="445">
        <v>0</v>
      </c>
      <c r="J119" s="445">
        <v>0</v>
      </c>
      <c r="K119" s="445">
        <v>0</v>
      </c>
      <c r="L119" s="445">
        <v>0</v>
      </c>
      <c r="M119" s="445">
        <v>0</v>
      </c>
      <c r="N119" s="445">
        <v>0</v>
      </c>
      <c r="P119" s="445">
        <v>0</v>
      </c>
      <c r="Q119" s="445">
        <v>0</v>
      </c>
      <c r="R119" s="445">
        <v>0</v>
      </c>
      <c r="S119" s="445">
        <v>0</v>
      </c>
      <c r="T119" s="445">
        <v>0</v>
      </c>
      <c r="U119" s="445">
        <v>0</v>
      </c>
      <c r="V119" s="445">
        <v>0</v>
      </c>
      <c r="W119" s="445">
        <v>0</v>
      </c>
      <c r="X119" s="445">
        <v>0</v>
      </c>
      <c r="Y119" s="445">
        <v>0</v>
      </c>
      <c r="Z119" s="445">
        <v>0</v>
      </c>
      <c r="AA119" s="445">
        <v>0</v>
      </c>
      <c r="AB119" s="445">
        <v>0</v>
      </c>
      <c r="AC119" s="445">
        <v>0</v>
      </c>
      <c r="AD119" s="445">
        <v>0</v>
      </c>
      <c r="AE119" s="445">
        <v>0</v>
      </c>
    </row>
    <row r="120" spans="1:31">
      <c r="A120" s="444" t="s">
        <v>1126</v>
      </c>
      <c r="B120" s="445">
        <v>181.85129000000001</v>
      </c>
      <c r="C120" s="445">
        <v>149.48645999999999</v>
      </c>
      <c r="D120" s="445">
        <v>169.22376</v>
      </c>
      <c r="E120" s="445">
        <v>168.99148</v>
      </c>
      <c r="F120" s="445">
        <v>132.56986000000001</v>
      </c>
      <c r="G120" s="445">
        <v>156.74940000000001</v>
      </c>
      <c r="H120" s="445">
        <v>298.85534999999999</v>
      </c>
      <c r="I120" s="445">
        <v>131.48099999999999</v>
      </c>
      <c r="J120" s="445">
        <v>148.416</v>
      </c>
      <c r="K120" s="445">
        <v>150.404</v>
      </c>
      <c r="L120" s="445">
        <v>128.73400000000001</v>
      </c>
      <c r="M120" s="445">
        <v>111.39700000000001</v>
      </c>
      <c r="N120" s="445">
        <v>112.858</v>
      </c>
      <c r="P120" s="445">
        <v>122.828</v>
      </c>
      <c r="Q120" s="445">
        <v>115.172</v>
      </c>
      <c r="R120" s="445">
        <v>117.691</v>
      </c>
      <c r="S120" s="445">
        <v>112.89700000000001</v>
      </c>
      <c r="T120" s="445">
        <v>139.096</v>
      </c>
      <c r="U120" s="445">
        <v>129.66200000000001</v>
      </c>
      <c r="V120" s="445">
        <v>137.37299999999999</v>
      </c>
      <c r="W120" s="445">
        <v>136.71199999999999</v>
      </c>
      <c r="X120" s="445">
        <v>132.815</v>
      </c>
      <c r="Y120" s="445">
        <v>140.124</v>
      </c>
      <c r="Z120" s="445">
        <v>130.751</v>
      </c>
      <c r="AA120" s="445">
        <v>126.285</v>
      </c>
      <c r="AB120" s="445">
        <v>141.29400000000001</v>
      </c>
      <c r="AC120" s="445">
        <v>135.47499999999999</v>
      </c>
      <c r="AD120" s="445">
        <v>141.07300000000001</v>
      </c>
      <c r="AE120" s="445">
        <v>136.18700000000001</v>
      </c>
    </row>
    <row r="121" spans="1:31">
      <c r="A121" s="444" t="s">
        <v>1127</v>
      </c>
      <c r="B121" s="445">
        <v>345.34219000000002</v>
      </c>
      <c r="C121" s="445">
        <v>179.61592999999999</v>
      </c>
      <c r="D121" s="445">
        <v>141.2106</v>
      </c>
      <c r="E121" s="445">
        <v>207.59237999999999</v>
      </c>
      <c r="F121" s="445">
        <v>589.84765000000004</v>
      </c>
      <c r="G121" s="445">
        <v>-308.56112000000002</v>
      </c>
      <c r="H121" s="445">
        <v>236.41310999999999</v>
      </c>
      <c r="I121" s="445">
        <v>270.745</v>
      </c>
      <c r="J121" s="445">
        <v>214.667</v>
      </c>
      <c r="K121" s="445">
        <v>536.649</v>
      </c>
      <c r="L121" s="445">
        <v>547.71699999999998</v>
      </c>
      <c r="M121" s="445">
        <v>516.79300000000001</v>
      </c>
      <c r="N121" s="445">
        <v>448.10899999999998</v>
      </c>
      <c r="P121" s="445">
        <v>149.49799999999999</v>
      </c>
      <c r="Q121" s="445">
        <v>161.09</v>
      </c>
      <c r="R121" s="445">
        <v>191.07</v>
      </c>
      <c r="S121" s="445">
        <v>171.899</v>
      </c>
      <c r="T121" s="445">
        <v>202.16</v>
      </c>
      <c r="U121" s="445">
        <v>622.51499999999999</v>
      </c>
      <c r="V121" s="445">
        <v>626.66800000000001</v>
      </c>
      <c r="W121" s="445">
        <v>574.19899999999996</v>
      </c>
      <c r="X121" s="445">
        <v>601.35799999999995</v>
      </c>
      <c r="Y121" s="445">
        <v>226.85900000000001</v>
      </c>
      <c r="Z121" s="445">
        <v>211.33099999999999</v>
      </c>
      <c r="AA121" s="445">
        <v>207.029</v>
      </c>
      <c r="AB121" s="445">
        <v>167.99299999999999</v>
      </c>
      <c r="AC121" s="445">
        <v>167.422</v>
      </c>
      <c r="AD121" s="445">
        <v>205.44</v>
      </c>
      <c r="AE121" s="445">
        <v>223.06399999999999</v>
      </c>
    </row>
    <row r="122" spans="1:31">
      <c r="A122" s="444" t="s">
        <v>1128</v>
      </c>
      <c r="B122" s="445">
        <v>0</v>
      </c>
      <c r="C122" s="445">
        <v>0</v>
      </c>
      <c r="D122" s="445">
        <v>0</v>
      </c>
      <c r="E122" s="445">
        <v>0</v>
      </c>
      <c r="F122" s="445">
        <v>0</v>
      </c>
      <c r="G122" s="445">
        <v>0</v>
      </c>
      <c r="H122" s="445">
        <v>0</v>
      </c>
      <c r="I122" s="445">
        <v>0</v>
      </c>
      <c r="J122" s="445">
        <v>0</v>
      </c>
      <c r="K122" s="445">
        <v>0</v>
      </c>
      <c r="L122" s="445">
        <v>0</v>
      </c>
      <c r="M122" s="445">
        <v>0</v>
      </c>
      <c r="N122" s="445">
        <v>0</v>
      </c>
      <c r="P122" s="445">
        <v>0</v>
      </c>
      <c r="Q122" s="445">
        <v>0</v>
      </c>
      <c r="R122" s="445">
        <v>0</v>
      </c>
      <c r="S122" s="445">
        <v>0</v>
      </c>
      <c r="T122" s="445">
        <v>0</v>
      </c>
      <c r="U122" s="445">
        <v>0</v>
      </c>
      <c r="V122" s="445">
        <v>0</v>
      </c>
      <c r="W122" s="445">
        <v>0</v>
      </c>
      <c r="X122" s="445">
        <v>0</v>
      </c>
      <c r="Y122" s="445">
        <v>0</v>
      </c>
      <c r="Z122" s="445">
        <v>0</v>
      </c>
      <c r="AA122" s="445">
        <v>0</v>
      </c>
      <c r="AB122" s="445">
        <v>0</v>
      </c>
      <c r="AC122" s="445">
        <v>0</v>
      </c>
      <c r="AD122" s="445">
        <v>0</v>
      </c>
      <c r="AE122" s="445">
        <v>0</v>
      </c>
    </row>
    <row r="123" spans="1:31">
      <c r="A123" s="444" t="s">
        <v>1129</v>
      </c>
      <c r="B123" s="445">
        <v>16.927289999999999</v>
      </c>
      <c r="C123" s="445">
        <v>13.567689999999899</v>
      </c>
      <c r="D123" s="445">
        <v>11.00356</v>
      </c>
      <c r="E123" s="445">
        <v>11.961569999999901</v>
      </c>
      <c r="F123" s="445">
        <v>31.884599999999999</v>
      </c>
      <c r="G123" s="445">
        <v>13.275840000000001</v>
      </c>
      <c r="H123" s="445">
        <v>25.82029</v>
      </c>
      <c r="I123" s="445">
        <v>18.651</v>
      </c>
      <c r="J123" s="445">
        <v>28.050999999999998</v>
      </c>
      <c r="K123" s="445">
        <v>19.335000000000001</v>
      </c>
      <c r="L123" s="445">
        <v>31.577999999999999</v>
      </c>
      <c r="M123" s="445">
        <v>26.616</v>
      </c>
      <c r="N123" s="445">
        <v>13.507</v>
      </c>
      <c r="P123" s="445">
        <v>15.497</v>
      </c>
      <c r="Q123" s="445">
        <v>16.059000000000001</v>
      </c>
      <c r="R123" s="445">
        <v>16.317</v>
      </c>
      <c r="S123" s="445">
        <v>15.565</v>
      </c>
      <c r="T123" s="445">
        <v>17.361000000000001</v>
      </c>
      <c r="U123" s="445">
        <v>27.582000000000001</v>
      </c>
      <c r="V123" s="445">
        <v>15.564</v>
      </c>
      <c r="W123" s="445">
        <v>15.59</v>
      </c>
      <c r="X123" s="445">
        <v>35.448999999999998</v>
      </c>
      <c r="Y123" s="445">
        <v>25.009</v>
      </c>
      <c r="Z123" s="445">
        <v>17.981000000000002</v>
      </c>
      <c r="AA123" s="445">
        <v>22.917999999999999</v>
      </c>
      <c r="AB123" s="445">
        <v>15.631</v>
      </c>
      <c r="AC123" s="445">
        <v>16.193000000000001</v>
      </c>
      <c r="AD123" s="445">
        <v>16.451000000000001</v>
      </c>
      <c r="AE123" s="445">
        <v>15.698</v>
      </c>
    </row>
    <row r="124" spans="1:31">
      <c r="A124" s="444" t="s">
        <v>1130</v>
      </c>
      <c r="B124" s="445">
        <v>544.12076999999999</v>
      </c>
      <c r="C124" s="445">
        <v>342.67007999999998</v>
      </c>
      <c r="D124" s="445">
        <v>321.437919999999</v>
      </c>
      <c r="E124" s="445">
        <v>388.54543000000001</v>
      </c>
      <c r="F124" s="445">
        <v>754.30210999999997</v>
      </c>
      <c r="G124" s="445">
        <v>-138.53587999999999</v>
      </c>
      <c r="H124" s="445">
        <v>561.08875</v>
      </c>
      <c r="I124" s="445">
        <v>420.87700000000001</v>
      </c>
      <c r="J124" s="445">
        <v>391.13399999999899</v>
      </c>
      <c r="K124" s="445">
        <v>706.38800000000003</v>
      </c>
      <c r="L124" s="445">
        <v>708.029</v>
      </c>
      <c r="M124" s="445">
        <v>654.80600000000004</v>
      </c>
      <c r="N124" s="445">
        <v>574.47400000000005</v>
      </c>
      <c r="P124" s="445">
        <v>287.82299999999998</v>
      </c>
      <c r="Q124" s="445">
        <v>292.32100000000003</v>
      </c>
      <c r="R124" s="445">
        <v>325.07799999999997</v>
      </c>
      <c r="S124" s="445">
        <v>300.36099999999999</v>
      </c>
      <c r="T124" s="445">
        <v>358.616999999999</v>
      </c>
      <c r="U124" s="445">
        <v>779.75900000000001</v>
      </c>
      <c r="V124" s="445">
        <v>779.60500000000002</v>
      </c>
      <c r="W124" s="445">
        <v>726.50099999999998</v>
      </c>
      <c r="X124" s="445">
        <v>769.62199999999996</v>
      </c>
      <c r="Y124" s="445">
        <v>391.99200000000002</v>
      </c>
      <c r="Z124" s="445">
        <v>360.06299999999999</v>
      </c>
      <c r="AA124" s="445">
        <v>356.23200000000003</v>
      </c>
      <c r="AB124" s="445">
        <v>324.91800000000001</v>
      </c>
      <c r="AC124" s="445">
        <v>319.08999999999997</v>
      </c>
      <c r="AD124" s="445">
        <v>362.964</v>
      </c>
      <c r="AE124" s="445">
        <v>374.94899999999899</v>
      </c>
    </row>
    <row r="126" spans="1:31">
      <c r="A126" s="444" t="s">
        <v>1131</v>
      </c>
      <c r="B126" s="445">
        <v>1517.55584</v>
      </c>
      <c r="C126" s="445">
        <v>1916.9450899999999</v>
      </c>
      <c r="D126" s="445">
        <v>1376.1711599999901</v>
      </c>
      <c r="E126" s="445">
        <v>1357.5606600000001</v>
      </c>
      <c r="F126" s="445">
        <v>1820.00641</v>
      </c>
      <c r="G126" s="445">
        <v>840.07245</v>
      </c>
      <c r="H126" s="445">
        <v>1727.6960200000001</v>
      </c>
      <c r="I126" s="445">
        <v>1531.232</v>
      </c>
      <c r="J126" s="445">
        <v>2497.9559999999901</v>
      </c>
      <c r="K126" s="445">
        <v>2169.42</v>
      </c>
      <c r="L126" s="445">
        <v>2077.9029999999998</v>
      </c>
      <c r="M126" s="445">
        <v>1886.587</v>
      </c>
      <c r="N126" s="445">
        <v>1948.105</v>
      </c>
      <c r="P126" s="445">
        <v>1719.634</v>
      </c>
      <c r="Q126" s="445">
        <v>1574.5909999999999</v>
      </c>
      <c r="R126" s="445">
        <v>1705.68</v>
      </c>
      <c r="S126" s="445">
        <v>1673.38299999999</v>
      </c>
      <c r="T126" s="445">
        <v>1885.289</v>
      </c>
      <c r="U126" s="445">
        <v>2249.614</v>
      </c>
      <c r="V126" s="445">
        <v>2391.933</v>
      </c>
      <c r="W126" s="445">
        <v>2264.6210000000001</v>
      </c>
      <c r="X126" s="445">
        <v>2293.8159999999998</v>
      </c>
      <c r="Y126" s="445">
        <v>2039.818</v>
      </c>
      <c r="Z126" s="445">
        <v>1794.9259999999999</v>
      </c>
      <c r="AA126" s="445">
        <v>1962.1479999999999</v>
      </c>
      <c r="AB126" s="445">
        <v>1958.546</v>
      </c>
      <c r="AC126" s="445">
        <v>1830.3620000000001</v>
      </c>
      <c r="AD126" s="445">
        <v>1848.1279999999999</v>
      </c>
      <c r="AE126" s="445">
        <v>1990.242</v>
      </c>
    </row>
    <row r="127" spans="1:31" s="443" customFormat="1">
      <c r="A127" s="446"/>
      <c r="B127" s="442"/>
      <c r="C127" s="442"/>
      <c r="D127" s="442"/>
      <c r="E127" s="442"/>
      <c r="F127" s="442"/>
      <c r="G127" s="442"/>
      <c r="H127" s="442"/>
      <c r="I127" s="442"/>
      <c r="J127" s="442"/>
      <c r="K127" s="442"/>
      <c r="L127" s="442"/>
      <c r="M127" s="442"/>
      <c r="N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</row>
    <row r="128" spans="1:31">
      <c r="A128" s="444" t="s">
        <v>1132</v>
      </c>
    </row>
    <row r="129" spans="1:31">
      <c r="A129" s="444" t="s">
        <v>1133</v>
      </c>
      <c r="B129" s="445">
        <v>123.81424</v>
      </c>
      <c r="C129" s="445">
        <v>130.13055</v>
      </c>
      <c r="D129" s="445">
        <v>147.89613</v>
      </c>
      <c r="E129" s="445">
        <v>184.97282999999999</v>
      </c>
      <c r="F129" s="445">
        <v>163.15195</v>
      </c>
      <c r="G129" s="445">
        <v>159.92850999999999</v>
      </c>
      <c r="H129" s="445">
        <v>512.91186000000005</v>
      </c>
      <c r="I129" s="445">
        <v>249.88200000000001</v>
      </c>
      <c r="J129" s="445">
        <v>232.2</v>
      </c>
      <c r="K129" s="445">
        <v>205.161</v>
      </c>
      <c r="L129" s="445">
        <v>191.32900000000001</v>
      </c>
      <c r="M129" s="445">
        <v>174.233</v>
      </c>
      <c r="N129" s="445">
        <v>167.69200000000001</v>
      </c>
      <c r="P129" s="445">
        <v>155.584</v>
      </c>
      <c r="Q129" s="445">
        <v>149.81</v>
      </c>
      <c r="R129" s="445">
        <v>167.43100000000001</v>
      </c>
      <c r="S129" s="445">
        <v>194.61599999999899</v>
      </c>
      <c r="T129" s="445">
        <v>186.60199999999901</v>
      </c>
      <c r="U129" s="445">
        <v>217.44800000000001</v>
      </c>
      <c r="V129" s="445">
        <v>258.59899999999999</v>
      </c>
      <c r="W129" s="445">
        <v>203.06299999999999</v>
      </c>
      <c r="X129" s="445">
        <v>173.822</v>
      </c>
      <c r="Y129" s="445">
        <v>173.62100000000001</v>
      </c>
      <c r="Z129" s="445">
        <v>156.58500000000001</v>
      </c>
      <c r="AA129" s="445">
        <v>156.64699999999999</v>
      </c>
      <c r="AB129" s="445">
        <v>159.54900000000001</v>
      </c>
      <c r="AC129" s="445">
        <v>151.43799999999999</v>
      </c>
      <c r="AD129" s="445">
        <v>177.107</v>
      </c>
      <c r="AE129" s="445">
        <v>200.429</v>
      </c>
    </row>
    <row r="130" spans="1:31">
      <c r="A130" s="444" t="s">
        <v>1134</v>
      </c>
      <c r="B130" s="445">
        <v>54.761369999999999</v>
      </c>
      <c r="C130" s="445">
        <v>49.022039999999997</v>
      </c>
      <c r="D130" s="445">
        <v>54.093130000000002</v>
      </c>
      <c r="E130" s="445">
        <v>42.092849999999999</v>
      </c>
      <c r="F130" s="445">
        <v>23.465150000000001</v>
      </c>
      <c r="G130" s="445">
        <v>20.80171</v>
      </c>
      <c r="H130" s="445">
        <v>13.344049999999999</v>
      </c>
      <c r="I130" s="445">
        <v>19.821000000000002</v>
      </c>
      <c r="J130" s="445">
        <v>22.527000000000001</v>
      </c>
      <c r="K130" s="445">
        <v>18.623000000000001</v>
      </c>
      <c r="L130" s="445">
        <v>22.646999999999998</v>
      </c>
      <c r="M130" s="445">
        <v>19.463000000000001</v>
      </c>
      <c r="N130" s="445">
        <v>15.891</v>
      </c>
      <c r="P130" s="445">
        <v>17.003</v>
      </c>
      <c r="Q130" s="445">
        <v>15.112</v>
      </c>
      <c r="R130" s="445">
        <v>15.481999999999999</v>
      </c>
      <c r="S130" s="445">
        <v>14.935</v>
      </c>
      <c r="T130" s="445">
        <v>17.036000000000001</v>
      </c>
      <c r="U130" s="445">
        <v>13.648999999999999</v>
      </c>
      <c r="V130" s="445">
        <v>17.651</v>
      </c>
      <c r="W130" s="445">
        <v>18.491</v>
      </c>
      <c r="X130" s="445">
        <v>17.07</v>
      </c>
      <c r="Y130" s="445">
        <v>19.312000000000001</v>
      </c>
      <c r="Z130" s="445">
        <v>15.778</v>
      </c>
      <c r="AA130" s="445">
        <v>14.723000000000001</v>
      </c>
      <c r="AB130" s="445">
        <v>19.076000000000001</v>
      </c>
      <c r="AC130" s="445">
        <v>16.995000000000001</v>
      </c>
      <c r="AD130" s="445">
        <v>19.023999999999901</v>
      </c>
      <c r="AE130" s="445">
        <v>17.545000000000002</v>
      </c>
    </row>
    <row r="131" spans="1:31">
      <c r="A131" s="444" t="s">
        <v>1135</v>
      </c>
      <c r="B131" s="445">
        <v>236.97014999999999</v>
      </c>
      <c r="C131" s="445">
        <v>149.11438999999999</v>
      </c>
      <c r="D131" s="445">
        <v>167.23381000000001</v>
      </c>
      <c r="E131" s="445">
        <v>160.70406</v>
      </c>
      <c r="F131" s="445">
        <v>171.39883</v>
      </c>
      <c r="G131" s="445">
        <v>152.14454000000001</v>
      </c>
      <c r="H131" s="445">
        <v>172.20454000000001</v>
      </c>
      <c r="I131" s="445">
        <v>90.180999999999997</v>
      </c>
      <c r="J131" s="445">
        <v>107.934</v>
      </c>
      <c r="K131" s="445">
        <v>110.60299999999999</v>
      </c>
      <c r="L131" s="445">
        <v>113.83799999999999</v>
      </c>
      <c r="M131" s="445">
        <v>103.142</v>
      </c>
      <c r="N131" s="445">
        <v>113.672</v>
      </c>
      <c r="P131" s="445">
        <v>137.82300000000001</v>
      </c>
      <c r="Q131" s="445">
        <v>132.99</v>
      </c>
      <c r="R131" s="445">
        <v>139.31800000000001</v>
      </c>
      <c r="S131" s="445">
        <v>135.07400000000001</v>
      </c>
      <c r="T131" s="445">
        <v>136.77000000000001</v>
      </c>
      <c r="U131" s="445">
        <v>141.77600000000001</v>
      </c>
      <c r="V131" s="445">
        <v>147.679</v>
      </c>
      <c r="W131" s="445">
        <v>148.81700000000001</v>
      </c>
      <c r="X131" s="445">
        <v>134.34700000000001</v>
      </c>
      <c r="Y131" s="445">
        <v>148.65299999999999</v>
      </c>
      <c r="Z131" s="445">
        <v>133.065</v>
      </c>
      <c r="AA131" s="445">
        <v>145.714</v>
      </c>
      <c r="AB131" s="445">
        <v>143.96199999999999</v>
      </c>
      <c r="AC131" s="445">
        <v>134.85599999999999</v>
      </c>
      <c r="AD131" s="445">
        <v>150.90100000000001</v>
      </c>
      <c r="AE131" s="445">
        <v>137.68299999999999</v>
      </c>
    </row>
    <row r="132" spans="1:31">
      <c r="A132" s="444" t="s">
        <v>1136</v>
      </c>
      <c r="B132" s="445">
        <v>494.03959999999898</v>
      </c>
      <c r="C132" s="445">
        <v>493.82745</v>
      </c>
      <c r="D132" s="445">
        <v>455.266899999999</v>
      </c>
      <c r="E132" s="445">
        <v>629.77148</v>
      </c>
      <c r="F132" s="445">
        <v>747.11341000000004</v>
      </c>
      <c r="G132" s="445">
        <v>773.90574000000004</v>
      </c>
      <c r="H132" s="445">
        <v>645.34319000000005</v>
      </c>
      <c r="I132" s="445">
        <v>672.02200000000005</v>
      </c>
      <c r="J132" s="445">
        <v>580.90699999999902</v>
      </c>
      <c r="K132" s="445">
        <v>545.48500000000001</v>
      </c>
      <c r="L132" s="445">
        <v>535.67399999999998</v>
      </c>
      <c r="M132" s="445">
        <v>473.815</v>
      </c>
      <c r="N132" s="445">
        <v>450.85399999999998</v>
      </c>
      <c r="P132" s="445">
        <v>609.55099999999902</v>
      </c>
      <c r="Q132" s="445">
        <v>634.60299999999995</v>
      </c>
      <c r="R132" s="445">
        <v>673.61599999999999</v>
      </c>
      <c r="S132" s="445">
        <v>711.74800000000005</v>
      </c>
      <c r="T132" s="445">
        <v>685.70899999999995</v>
      </c>
      <c r="U132" s="445">
        <v>707.69</v>
      </c>
      <c r="V132" s="445">
        <v>744.35500000000002</v>
      </c>
      <c r="W132" s="445">
        <v>699.57600000000002</v>
      </c>
      <c r="X132" s="445">
        <v>661.64300000000003</v>
      </c>
      <c r="Y132" s="445">
        <v>657.83100000000002</v>
      </c>
      <c r="Z132" s="445">
        <v>648.07500000000005</v>
      </c>
      <c r="AA132" s="445">
        <v>604.67700000000002</v>
      </c>
      <c r="AB132" s="445">
        <v>634.62900000000002</v>
      </c>
      <c r="AC132" s="445">
        <v>632.4</v>
      </c>
      <c r="AD132" s="445">
        <v>691.28200000000004</v>
      </c>
      <c r="AE132" s="445">
        <v>748.17599999999902</v>
      </c>
    </row>
    <row r="133" spans="1:31">
      <c r="A133" s="444" t="s">
        <v>1137</v>
      </c>
      <c r="B133" s="445">
        <v>30.956079999999901</v>
      </c>
      <c r="C133" s="445">
        <v>70.894599999999997</v>
      </c>
      <c r="D133" s="445">
        <v>48.994059999999998</v>
      </c>
      <c r="E133" s="445">
        <v>38.984549999999999</v>
      </c>
      <c r="F133" s="445">
        <v>30.050439999999998</v>
      </c>
      <c r="G133" s="445">
        <v>24.70402</v>
      </c>
      <c r="H133" s="445">
        <v>41.022860000000001</v>
      </c>
      <c r="I133" s="445">
        <v>37.195</v>
      </c>
      <c r="J133" s="445">
        <v>37.843000000000004</v>
      </c>
      <c r="K133" s="445">
        <v>38.710999999999999</v>
      </c>
      <c r="L133" s="445">
        <v>39.713999999999999</v>
      </c>
      <c r="M133" s="445">
        <v>37.834000000000003</v>
      </c>
      <c r="N133" s="445">
        <v>37.018999999999998</v>
      </c>
      <c r="P133" s="445">
        <v>38.853999999999999</v>
      </c>
      <c r="Q133" s="445">
        <v>42.377000000000002</v>
      </c>
      <c r="R133" s="445">
        <v>44.929000000000002</v>
      </c>
      <c r="S133" s="445">
        <v>42.278999999999897</v>
      </c>
      <c r="T133" s="445">
        <v>43.395000000000003</v>
      </c>
      <c r="U133" s="445">
        <v>45.835000000000001</v>
      </c>
      <c r="V133" s="445">
        <v>46.604999999999997</v>
      </c>
      <c r="W133" s="445">
        <v>43.664999999999999</v>
      </c>
      <c r="X133" s="445">
        <v>49.655999999999999</v>
      </c>
      <c r="Y133" s="445">
        <v>42.591999999999999</v>
      </c>
      <c r="Z133" s="445">
        <v>41.609000000000002</v>
      </c>
      <c r="AA133" s="445">
        <v>41.337000000000003</v>
      </c>
      <c r="AB133" s="445">
        <v>45.793999999999997</v>
      </c>
      <c r="AC133" s="445">
        <v>43.225999999999999</v>
      </c>
      <c r="AD133" s="445">
        <v>47.875</v>
      </c>
      <c r="AE133" s="445">
        <v>43.676000000000002</v>
      </c>
    </row>
    <row r="134" spans="1:31">
      <c r="A134" s="444" t="s">
        <v>1138</v>
      </c>
      <c r="B134" s="445">
        <v>0</v>
      </c>
      <c r="C134" s="445">
        <v>0</v>
      </c>
      <c r="D134" s="445">
        <v>0</v>
      </c>
      <c r="E134" s="445">
        <v>0</v>
      </c>
      <c r="F134" s="445">
        <v>0</v>
      </c>
      <c r="G134" s="445">
        <v>0</v>
      </c>
      <c r="H134" s="445">
        <v>0</v>
      </c>
      <c r="I134" s="445">
        <v>0</v>
      </c>
      <c r="J134" s="445">
        <v>0</v>
      </c>
      <c r="K134" s="445">
        <v>0</v>
      </c>
      <c r="L134" s="445">
        <v>0</v>
      </c>
      <c r="M134" s="445">
        <v>0</v>
      </c>
      <c r="N134" s="445">
        <v>0</v>
      </c>
      <c r="P134" s="445">
        <v>0</v>
      </c>
      <c r="Q134" s="445">
        <v>0</v>
      </c>
      <c r="R134" s="445">
        <v>0</v>
      </c>
      <c r="S134" s="445">
        <v>0</v>
      </c>
      <c r="T134" s="445">
        <v>0</v>
      </c>
      <c r="U134" s="445">
        <v>0</v>
      </c>
      <c r="V134" s="445">
        <v>0</v>
      </c>
      <c r="W134" s="445">
        <v>0</v>
      </c>
      <c r="X134" s="445">
        <v>0</v>
      </c>
      <c r="Y134" s="445">
        <v>0</v>
      </c>
      <c r="Z134" s="445">
        <v>0</v>
      </c>
      <c r="AA134" s="445">
        <v>0</v>
      </c>
      <c r="AB134" s="445">
        <v>0</v>
      </c>
      <c r="AC134" s="445">
        <v>0</v>
      </c>
      <c r="AD134" s="445">
        <v>0</v>
      </c>
      <c r="AE134" s="445">
        <v>0</v>
      </c>
    </row>
    <row r="135" spans="1:31">
      <c r="A135" s="444" t="s">
        <v>1139</v>
      </c>
      <c r="B135" s="445">
        <v>535.27337</v>
      </c>
      <c r="C135" s="445">
        <v>545.50278000000003</v>
      </c>
      <c r="D135" s="445">
        <v>523.27715000000001</v>
      </c>
      <c r="E135" s="445">
        <v>584.57226000000003</v>
      </c>
      <c r="F135" s="445">
        <v>620.01640999999995</v>
      </c>
      <c r="G135" s="445">
        <v>491.03955999999999</v>
      </c>
      <c r="H135" s="445">
        <v>599.32416999999998</v>
      </c>
      <c r="I135" s="445">
        <v>575.58199999999999</v>
      </c>
      <c r="J135" s="445">
        <v>609.57399999999996</v>
      </c>
      <c r="K135" s="445">
        <v>577.27300000000002</v>
      </c>
      <c r="L135" s="445">
        <v>611.051999999999</v>
      </c>
      <c r="M135" s="445">
        <v>588.29100000000005</v>
      </c>
      <c r="N135" s="445">
        <v>579.15899999999999</v>
      </c>
      <c r="P135" s="445">
        <v>712.52199999999903</v>
      </c>
      <c r="Q135" s="445">
        <v>642.65899999999999</v>
      </c>
      <c r="R135" s="445">
        <v>655.495</v>
      </c>
      <c r="S135" s="445">
        <v>661.00599999999997</v>
      </c>
      <c r="T135" s="445">
        <v>703.76700000000005</v>
      </c>
      <c r="U135" s="445">
        <v>623.03499999999997</v>
      </c>
      <c r="V135" s="445">
        <v>695.02300000000002</v>
      </c>
      <c r="W135" s="445">
        <v>703.05700000000002</v>
      </c>
      <c r="X135" s="445">
        <v>675.697</v>
      </c>
      <c r="Y135" s="445">
        <v>715.35199999999998</v>
      </c>
      <c r="Z135" s="445">
        <v>668.73599999999999</v>
      </c>
      <c r="AA135" s="445">
        <v>662.75900000000001</v>
      </c>
      <c r="AB135" s="445">
        <v>776.31700000000001</v>
      </c>
      <c r="AC135" s="445">
        <v>706.16800000000001</v>
      </c>
      <c r="AD135" s="445">
        <v>747.524</v>
      </c>
      <c r="AE135" s="445">
        <v>741.39099999999996</v>
      </c>
    </row>
    <row r="136" spans="1:31">
      <c r="A136" s="444" t="s">
        <v>1140</v>
      </c>
      <c r="B136" s="445">
        <v>0.11375</v>
      </c>
      <c r="C136" s="445">
        <v>0.28416000000000002</v>
      </c>
      <c r="D136" s="445">
        <v>0</v>
      </c>
      <c r="E136" s="445">
        <v>7.0000000000000007E-2</v>
      </c>
      <c r="F136" s="445">
        <v>0</v>
      </c>
      <c r="G136" s="445">
        <v>0</v>
      </c>
      <c r="H136" s="445">
        <v>0</v>
      </c>
      <c r="I136" s="445">
        <v>0</v>
      </c>
      <c r="J136" s="445">
        <v>0</v>
      </c>
      <c r="K136" s="445">
        <v>0</v>
      </c>
      <c r="L136" s="445">
        <v>0</v>
      </c>
      <c r="M136" s="445">
        <v>0</v>
      </c>
      <c r="N136" s="445">
        <v>0</v>
      </c>
      <c r="P136" s="445">
        <v>0</v>
      </c>
      <c r="Q136" s="445">
        <v>0</v>
      </c>
      <c r="R136" s="445">
        <v>0</v>
      </c>
      <c r="S136" s="445">
        <v>0</v>
      </c>
      <c r="T136" s="445">
        <v>0</v>
      </c>
      <c r="U136" s="445">
        <v>0</v>
      </c>
      <c r="V136" s="445">
        <v>0</v>
      </c>
      <c r="W136" s="445">
        <v>0</v>
      </c>
      <c r="X136" s="445">
        <v>0</v>
      </c>
      <c r="Y136" s="445">
        <v>0</v>
      </c>
      <c r="Z136" s="445">
        <v>0</v>
      </c>
      <c r="AA136" s="445">
        <v>0</v>
      </c>
      <c r="AB136" s="445">
        <v>0</v>
      </c>
      <c r="AC136" s="445">
        <v>0</v>
      </c>
      <c r="AD136" s="445">
        <v>0</v>
      </c>
      <c r="AE136" s="445">
        <v>0</v>
      </c>
    </row>
    <row r="137" spans="1:31">
      <c r="A137" s="444" t="s">
        <v>1141</v>
      </c>
      <c r="B137" s="445">
        <v>392.27665000000002</v>
      </c>
      <c r="C137" s="445">
        <v>481.87795</v>
      </c>
      <c r="D137" s="445">
        <v>447.11590999999999</v>
      </c>
      <c r="E137" s="445">
        <v>764.99162999999999</v>
      </c>
      <c r="F137" s="445">
        <v>506.66640000000001</v>
      </c>
      <c r="G137" s="445">
        <v>470.191699999999</v>
      </c>
      <c r="H137" s="445">
        <v>403.51576999999997</v>
      </c>
      <c r="I137" s="445">
        <v>484.08600000000001</v>
      </c>
      <c r="J137" s="445">
        <v>480.34799999999899</v>
      </c>
      <c r="K137" s="445">
        <v>503.92099999999999</v>
      </c>
      <c r="L137" s="445">
        <v>511.79399999999998</v>
      </c>
      <c r="M137" s="445">
        <v>442.37599999999998</v>
      </c>
      <c r="N137" s="445">
        <v>451.971</v>
      </c>
      <c r="P137" s="445">
        <v>479.83</v>
      </c>
      <c r="Q137" s="445">
        <v>473.46199999999999</v>
      </c>
      <c r="R137" s="445">
        <v>489.733</v>
      </c>
      <c r="S137" s="445">
        <v>582.21900000000005</v>
      </c>
      <c r="T137" s="445">
        <v>518.74199999999996</v>
      </c>
      <c r="U137" s="445">
        <v>518.55999999999995</v>
      </c>
      <c r="V137" s="445">
        <v>586.9</v>
      </c>
      <c r="W137" s="445">
        <v>513.54999999999995</v>
      </c>
      <c r="X137" s="445">
        <v>532.27599999999995</v>
      </c>
      <c r="Y137" s="445">
        <v>565.31600000000003</v>
      </c>
      <c r="Z137" s="445">
        <v>453.15899999999999</v>
      </c>
      <c r="AA137" s="445">
        <v>450.23</v>
      </c>
      <c r="AB137" s="445">
        <v>509.21300000000002</v>
      </c>
      <c r="AC137" s="445">
        <v>459.55</v>
      </c>
      <c r="AD137" s="445">
        <v>475.40600000000001</v>
      </c>
      <c r="AE137" s="445">
        <v>579.29099999999903</v>
      </c>
    </row>
    <row r="138" spans="1:31">
      <c r="A138" s="444" t="s">
        <v>1142</v>
      </c>
      <c r="B138" s="445">
        <v>0.97</v>
      </c>
      <c r="C138" s="445">
        <v>1.8120000000000001</v>
      </c>
      <c r="D138" s="445">
        <v>5.4983000000000004</v>
      </c>
      <c r="E138" s="445">
        <v>2.14351</v>
      </c>
      <c r="F138" s="445">
        <v>0.49954999999999999</v>
      </c>
      <c r="G138" s="445">
        <v>0</v>
      </c>
      <c r="H138" s="445">
        <v>1.1243300000000001</v>
      </c>
      <c r="I138" s="445">
        <v>4.5439999999999996</v>
      </c>
      <c r="J138" s="445">
        <v>0.60899999999999999</v>
      </c>
      <c r="K138" s="445">
        <v>0</v>
      </c>
      <c r="L138" s="445">
        <v>0</v>
      </c>
      <c r="M138" s="445">
        <v>0</v>
      </c>
      <c r="N138" s="445">
        <v>3.7919999999999998</v>
      </c>
      <c r="P138" s="445">
        <v>0</v>
      </c>
      <c r="Q138" s="445">
        <v>2</v>
      </c>
      <c r="R138" s="445">
        <v>1</v>
      </c>
      <c r="S138" s="445">
        <v>0</v>
      </c>
      <c r="T138" s="445">
        <v>3</v>
      </c>
      <c r="U138" s="445">
        <v>0</v>
      </c>
      <c r="V138" s="445">
        <v>6</v>
      </c>
      <c r="W138" s="445">
        <v>2</v>
      </c>
      <c r="X138" s="445">
        <v>0</v>
      </c>
      <c r="Y138" s="445">
        <v>0</v>
      </c>
      <c r="Z138" s="445">
        <v>0</v>
      </c>
      <c r="AA138" s="445">
        <v>6</v>
      </c>
      <c r="AB138" s="445">
        <v>0</v>
      </c>
      <c r="AC138" s="445">
        <v>2</v>
      </c>
      <c r="AD138" s="445">
        <v>1</v>
      </c>
      <c r="AE138" s="445">
        <v>0</v>
      </c>
    </row>
    <row r="139" spans="1:31">
      <c r="A139" s="444" t="s">
        <v>1143</v>
      </c>
      <c r="B139" s="445">
        <v>1869.1752099999901</v>
      </c>
      <c r="C139" s="445">
        <v>1922.4659199999901</v>
      </c>
      <c r="D139" s="445">
        <v>1849.3753899999999</v>
      </c>
      <c r="E139" s="445">
        <v>2408.3031700000001</v>
      </c>
      <c r="F139" s="445">
        <v>2262.3621400000002</v>
      </c>
      <c r="G139" s="445">
        <v>2092.71578</v>
      </c>
      <c r="H139" s="445">
        <v>2388.7907700000001</v>
      </c>
      <c r="I139" s="445">
        <v>2133.3130000000001</v>
      </c>
      <c r="J139" s="445">
        <v>2071.94199999999</v>
      </c>
      <c r="K139" s="445">
        <v>1999.777</v>
      </c>
      <c r="L139" s="445">
        <v>2026.04799999999</v>
      </c>
      <c r="M139" s="445">
        <v>1839.154</v>
      </c>
      <c r="N139" s="445">
        <v>1820.04999999999</v>
      </c>
      <c r="P139" s="445">
        <v>2151.1669999999999</v>
      </c>
      <c r="Q139" s="445">
        <v>2093.0129999999999</v>
      </c>
      <c r="R139" s="445">
        <v>2187.0039999999999</v>
      </c>
      <c r="S139" s="445">
        <v>2341.877</v>
      </c>
      <c r="T139" s="445">
        <v>2295.0210000000002</v>
      </c>
      <c r="U139" s="445">
        <v>2267.9929999999999</v>
      </c>
      <c r="V139" s="445">
        <v>2502.8119999999999</v>
      </c>
      <c r="W139" s="445">
        <v>2332.2190000000001</v>
      </c>
      <c r="X139" s="445">
        <v>2244.511</v>
      </c>
      <c r="Y139" s="445">
        <v>2322.6769999999901</v>
      </c>
      <c r="Z139" s="445">
        <v>2117.0070000000001</v>
      </c>
      <c r="AA139" s="445">
        <v>2082.087</v>
      </c>
      <c r="AB139" s="445">
        <v>2288.54</v>
      </c>
      <c r="AC139" s="445">
        <v>2146.6329999999998</v>
      </c>
      <c r="AD139" s="445">
        <v>2310.1190000000001</v>
      </c>
      <c r="AE139" s="445">
        <v>2468.1909999999998</v>
      </c>
    </row>
    <row r="141" spans="1:31">
      <c r="A141" s="444" t="s">
        <v>1144</v>
      </c>
      <c r="B141" s="445">
        <v>0.26619999999999999</v>
      </c>
      <c r="C141" s="445">
        <v>5.7408799999999998</v>
      </c>
      <c r="D141" s="445">
        <v>1.77355</v>
      </c>
      <c r="E141" s="445">
        <v>16.094729999999998</v>
      </c>
      <c r="F141" s="445">
        <v>0.74753999999999998</v>
      </c>
      <c r="G141" s="445">
        <v>1.7097199999999999</v>
      </c>
      <c r="H141" s="445">
        <v>6.7065199999999896</v>
      </c>
      <c r="I141" s="445">
        <v>13.775</v>
      </c>
      <c r="J141" s="445">
        <v>5.5789999999999997</v>
      </c>
      <c r="K141" s="445">
        <v>3.2810000000000001</v>
      </c>
      <c r="L141" s="445">
        <v>1.96</v>
      </c>
      <c r="M141" s="445">
        <v>1.627</v>
      </c>
      <c r="N141" s="445">
        <v>2.4529999999999998</v>
      </c>
      <c r="P141" s="445">
        <v>0.80900000000000005</v>
      </c>
      <c r="Q141" s="445">
        <v>1.819</v>
      </c>
      <c r="R141" s="445">
        <v>3.0609999999999999</v>
      </c>
      <c r="S141" s="445">
        <v>6.39</v>
      </c>
      <c r="T141" s="445">
        <v>2.3239999999999998</v>
      </c>
      <c r="U141" s="445">
        <v>8.3859999999999992</v>
      </c>
      <c r="V141" s="445">
        <v>11.553000000000001</v>
      </c>
      <c r="W141" s="445">
        <v>4.9909999999999997</v>
      </c>
      <c r="X141" s="445">
        <v>2.7029999999999998</v>
      </c>
      <c r="Y141" s="445">
        <v>1.601</v>
      </c>
      <c r="Z141" s="445">
        <v>2.073</v>
      </c>
      <c r="AA141" s="445">
        <v>1.9770000000000001</v>
      </c>
      <c r="AB141" s="445">
        <v>0.83199999999999996</v>
      </c>
      <c r="AC141" s="445">
        <v>1.869</v>
      </c>
      <c r="AD141" s="445">
        <v>3.1459999999999999</v>
      </c>
      <c r="AE141" s="445">
        <v>6.5659999999999998</v>
      </c>
    </row>
    <row r="142" spans="1:31">
      <c r="A142" s="444" t="s">
        <v>1145</v>
      </c>
      <c r="B142" s="445">
        <v>0</v>
      </c>
      <c r="C142" s="445">
        <v>0.47611999999999999</v>
      </c>
      <c r="D142" s="445">
        <v>0</v>
      </c>
      <c r="E142" s="445">
        <v>0.15342</v>
      </c>
      <c r="F142" s="445">
        <v>0.39591999999999999</v>
      </c>
      <c r="G142" s="445">
        <v>0.38646999999999998</v>
      </c>
      <c r="H142" s="445">
        <v>0</v>
      </c>
      <c r="I142" s="445">
        <v>0</v>
      </c>
      <c r="J142" s="445">
        <v>0</v>
      </c>
      <c r="K142" s="445">
        <v>0</v>
      </c>
      <c r="L142" s="445">
        <v>0</v>
      </c>
      <c r="M142" s="445">
        <v>0</v>
      </c>
      <c r="N142" s="445">
        <v>0</v>
      </c>
      <c r="P142" s="445">
        <v>0</v>
      </c>
      <c r="Q142" s="445">
        <v>0</v>
      </c>
      <c r="R142" s="445">
        <v>0</v>
      </c>
      <c r="S142" s="445">
        <v>0</v>
      </c>
      <c r="T142" s="445">
        <v>0</v>
      </c>
      <c r="U142" s="445">
        <v>0</v>
      </c>
      <c r="V142" s="445">
        <v>0</v>
      </c>
      <c r="W142" s="445">
        <v>0</v>
      </c>
      <c r="X142" s="445">
        <v>0</v>
      </c>
      <c r="Y142" s="445">
        <v>0</v>
      </c>
      <c r="Z142" s="445">
        <v>0</v>
      </c>
      <c r="AA142" s="445">
        <v>0</v>
      </c>
      <c r="AB142" s="445">
        <v>0</v>
      </c>
      <c r="AC142" s="445">
        <v>0</v>
      </c>
      <c r="AD142" s="445">
        <v>0</v>
      </c>
      <c r="AE142" s="445">
        <v>0</v>
      </c>
    </row>
    <row r="143" spans="1:31">
      <c r="A143" s="444" t="s">
        <v>1146</v>
      </c>
      <c r="B143" s="445">
        <v>116.28588000000001</v>
      </c>
      <c r="C143" s="445">
        <v>30.158459999999899</v>
      </c>
      <c r="D143" s="445">
        <v>93.884699999999995</v>
      </c>
      <c r="E143" s="445">
        <v>143.75140999999999</v>
      </c>
      <c r="F143" s="445">
        <v>94.788789999999906</v>
      </c>
      <c r="G143" s="445">
        <v>85.306179999999998</v>
      </c>
      <c r="H143" s="445">
        <v>79.827509999999904</v>
      </c>
      <c r="I143" s="445">
        <v>147.90100000000001</v>
      </c>
      <c r="J143" s="445">
        <v>196.917</v>
      </c>
      <c r="K143" s="445">
        <v>193.61699999999999</v>
      </c>
      <c r="L143" s="445">
        <v>177.78100000000001</v>
      </c>
      <c r="M143" s="445">
        <v>152.58699999999999</v>
      </c>
      <c r="N143" s="445">
        <v>164.62200000000001</v>
      </c>
      <c r="P143" s="445">
        <v>141.40600000000001</v>
      </c>
      <c r="Q143" s="445">
        <v>123.092</v>
      </c>
      <c r="R143" s="445">
        <v>143.42099999999999</v>
      </c>
      <c r="S143" s="445">
        <v>146.78700000000001</v>
      </c>
      <c r="T143" s="445">
        <v>153.75399999999999</v>
      </c>
      <c r="U143" s="445">
        <v>164.77799999999999</v>
      </c>
      <c r="V143" s="445">
        <v>167.78299999999999</v>
      </c>
      <c r="W143" s="445">
        <v>159.56800000000001</v>
      </c>
      <c r="X143" s="445">
        <v>164.14699999999999</v>
      </c>
      <c r="Y143" s="445">
        <v>166.755</v>
      </c>
      <c r="Z143" s="445">
        <v>145.59800000000001</v>
      </c>
      <c r="AA143" s="445">
        <v>112.89</v>
      </c>
      <c r="AB143" s="445">
        <v>140.16</v>
      </c>
      <c r="AC143" s="445">
        <v>125.568</v>
      </c>
      <c r="AD143" s="445">
        <v>155.441</v>
      </c>
      <c r="AE143" s="445">
        <v>149.04</v>
      </c>
    </row>
    <row r="144" spans="1:31">
      <c r="A144" s="444" t="s">
        <v>1147</v>
      </c>
      <c r="B144" s="445">
        <v>1539.5747200000001</v>
      </c>
      <c r="C144" s="445">
        <v>1567.4053699999999</v>
      </c>
      <c r="D144" s="445">
        <v>1929.6675599999901</v>
      </c>
      <c r="E144" s="445">
        <v>2056.5617299999999</v>
      </c>
      <c r="F144" s="445">
        <v>1689.39931</v>
      </c>
      <c r="G144" s="445">
        <v>1701.22228</v>
      </c>
      <c r="H144" s="445">
        <v>2737.1444900000001</v>
      </c>
      <c r="I144" s="445">
        <v>4547.2879999999996</v>
      </c>
      <c r="J144" s="445">
        <v>1821.93299999999</v>
      </c>
      <c r="K144" s="445">
        <v>1812.5709999999999</v>
      </c>
      <c r="L144" s="445">
        <v>1766.712</v>
      </c>
      <c r="M144" s="445">
        <v>-645.02599999999995</v>
      </c>
      <c r="N144" s="445">
        <v>1807.5550000000001</v>
      </c>
      <c r="P144" s="445">
        <v>1449.5049999999901</v>
      </c>
      <c r="Q144" s="445">
        <v>1492.9010000000001</v>
      </c>
      <c r="R144" s="445">
        <v>1584.0509999999899</v>
      </c>
      <c r="S144" s="445">
        <v>1744.5799999999899</v>
      </c>
      <c r="T144" s="445">
        <v>1463.375</v>
      </c>
      <c r="U144" s="445">
        <v>1740.1399999999901</v>
      </c>
      <c r="V144" s="445">
        <v>1909.865</v>
      </c>
      <c r="W144" s="445">
        <v>1581.34</v>
      </c>
      <c r="X144" s="445">
        <v>1638.345</v>
      </c>
      <c r="Y144" s="445">
        <v>1580.616</v>
      </c>
      <c r="Z144" s="445">
        <v>1583.9970000000001</v>
      </c>
      <c r="AA144" s="445">
        <v>1614.8979999999999</v>
      </c>
      <c r="AB144" s="445">
        <v>1160.5119999999999</v>
      </c>
      <c r="AC144" s="445">
        <v>1183.845</v>
      </c>
      <c r="AD144" s="445">
        <v>1270.6659999999999</v>
      </c>
      <c r="AE144" s="445">
        <v>1434.2280000000001</v>
      </c>
    </row>
    <row r="145" spans="1:31">
      <c r="A145" s="444" t="s">
        <v>1148</v>
      </c>
      <c r="B145" s="445">
        <v>94.049210000000002</v>
      </c>
      <c r="C145" s="445">
        <v>65.191609999999997</v>
      </c>
      <c r="D145" s="445">
        <v>99.287769999999995</v>
      </c>
      <c r="E145" s="445">
        <v>139.77325999999999</v>
      </c>
      <c r="F145" s="445">
        <v>122.2432</v>
      </c>
      <c r="G145" s="445">
        <v>142.66933</v>
      </c>
      <c r="H145" s="445">
        <v>60.357909999999997</v>
      </c>
      <c r="I145" s="445">
        <v>133.16900000000001</v>
      </c>
      <c r="J145" s="445">
        <v>122.541</v>
      </c>
      <c r="K145" s="445">
        <v>115.47</v>
      </c>
      <c r="L145" s="445">
        <v>115.929</v>
      </c>
      <c r="M145" s="445">
        <v>112.43300000000001</v>
      </c>
      <c r="N145" s="445">
        <v>118.59699999999999</v>
      </c>
      <c r="P145" s="445">
        <v>110.691</v>
      </c>
      <c r="Q145" s="445">
        <v>117.79</v>
      </c>
      <c r="R145" s="445">
        <v>117.238</v>
      </c>
      <c r="S145" s="445">
        <v>126.651</v>
      </c>
      <c r="T145" s="445">
        <v>117.404</v>
      </c>
      <c r="U145" s="445">
        <v>134.81299999999999</v>
      </c>
      <c r="V145" s="445">
        <v>135.392</v>
      </c>
      <c r="W145" s="445">
        <v>124.64</v>
      </c>
      <c r="X145" s="445">
        <v>118.586</v>
      </c>
      <c r="Y145" s="445">
        <v>117.88</v>
      </c>
      <c r="Z145" s="445">
        <v>112.178</v>
      </c>
      <c r="AA145" s="445">
        <v>117.886</v>
      </c>
      <c r="AB145" s="445">
        <v>124.578</v>
      </c>
      <c r="AC145" s="445">
        <v>120.30200000000001</v>
      </c>
      <c r="AD145" s="445">
        <v>123.15</v>
      </c>
      <c r="AE145" s="445">
        <v>128.21700000000001</v>
      </c>
    </row>
    <row r="146" spans="1:31">
      <c r="A146" s="444" t="s">
        <v>1149</v>
      </c>
      <c r="B146" s="445">
        <v>8.5063099999999991</v>
      </c>
      <c r="C146" s="445">
        <v>17.929849999999998</v>
      </c>
      <c r="D146" s="445">
        <v>17.978860000000001</v>
      </c>
      <c r="E146" s="445">
        <v>7.4956699999999996</v>
      </c>
      <c r="F146" s="445">
        <v>10.06683</v>
      </c>
      <c r="G146" s="445">
        <v>13.50188</v>
      </c>
      <c r="H146" s="445">
        <v>21.819410000000001</v>
      </c>
      <c r="I146" s="445">
        <v>14.55</v>
      </c>
      <c r="J146" s="445">
        <v>14.593999999999999</v>
      </c>
      <c r="K146" s="445">
        <v>15.952999999999999</v>
      </c>
      <c r="L146" s="445">
        <v>18.021999999999998</v>
      </c>
      <c r="M146" s="445">
        <v>18.402000000000001</v>
      </c>
      <c r="N146" s="445">
        <v>28.701000000000001</v>
      </c>
      <c r="P146" s="445">
        <v>8.0969999999999995</v>
      </c>
      <c r="Q146" s="445">
        <v>13.843</v>
      </c>
      <c r="R146" s="445">
        <v>13.08</v>
      </c>
      <c r="S146" s="445">
        <v>15.715999999999999</v>
      </c>
      <c r="T146" s="445">
        <v>15.403</v>
      </c>
      <c r="U146" s="445">
        <v>18.559999999999999</v>
      </c>
      <c r="V146" s="445">
        <v>17.164999999999999</v>
      </c>
      <c r="W146" s="445">
        <v>19.001999999999999</v>
      </c>
      <c r="X146" s="445">
        <v>15.565</v>
      </c>
      <c r="Y146" s="445">
        <v>15.355</v>
      </c>
      <c r="Z146" s="445">
        <v>12.891999999999999</v>
      </c>
      <c r="AA146" s="445">
        <v>11.782999999999999</v>
      </c>
      <c r="AB146" s="445">
        <v>8.5440000000000005</v>
      </c>
      <c r="AC146" s="445">
        <v>13.821999999999999</v>
      </c>
      <c r="AD146" s="445">
        <v>12.066000000000001</v>
      </c>
      <c r="AE146" s="445">
        <v>15.718999999999999</v>
      </c>
    </row>
    <row r="147" spans="1:31">
      <c r="A147" s="444" t="s">
        <v>1150</v>
      </c>
      <c r="B147" s="445">
        <v>32.418419999999998</v>
      </c>
      <c r="C147" s="445">
        <v>50.686360000000001</v>
      </c>
      <c r="D147" s="445">
        <v>80.479910000000004</v>
      </c>
      <c r="E147" s="445">
        <v>40.685420000000001</v>
      </c>
      <c r="F147" s="445">
        <v>76.974819999999994</v>
      </c>
      <c r="G147" s="445">
        <v>-87.895139999999998</v>
      </c>
      <c r="H147" s="445">
        <v>25.380769999999998</v>
      </c>
      <c r="I147" s="445">
        <v>24.274999999999999</v>
      </c>
      <c r="J147" s="445">
        <v>24.274999999999999</v>
      </c>
      <c r="K147" s="445">
        <v>23.274999999999999</v>
      </c>
      <c r="L147" s="445">
        <v>23.82</v>
      </c>
      <c r="M147" s="445">
        <v>23.274999999999999</v>
      </c>
      <c r="N147" s="445">
        <v>22.536999999999999</v>
      </c>
      <c r="P147" s="445">
        <v>35</v>
      </c>
      <c r="Q147" s="445">
        <v>36.533000000000001</v>
      </c>
      <c r="R147" s="445">
        <v>37.622999999999998</v>
      </c>
      <c r="S147" s="445">
        <v>37.533000000000001</v>
      </c>
      <c r="T147" s="445">
        <v>35</v>
      </c>
      <c r="U147" s="445">
        <v>39.533000000000001</v>
      </c>
      <c r="V147" s="445">
        <v>36.090000000000003</v>
      </c>
      <c r="W147" s="445">
        <v>38.067</v>
      </c>
      <c r="X147" s="445">
        <v>35.49</v>
      </c>
      <c r="Y147" s="445">
        <v>36.533000000000001</v>
      </c>
      <c r="Z147" s="445">
        <v>37.207999999999998</v>
      </c>
      <c r="AA147" s="445">
        <v>34.594000000000001</v>
      </c>
      <c r="AB147" s="445">
        <v>41.798999999999999</v>
      </c>
      <c r="AC147" s="445">
        <v>39.08</v>
      </c>
      <c r="AD147" s="445">
        <v>38.529000000000003</v>
      </c>
      <c r="AE147" s="445">
        <v>38</v>
      </c>
    </row>
    <row r="148" spans="1:31">
      <c r="A148" s="444" t="s">
        <v>1151</v>
      </c>
      <c r="B148" s="445">
        <v>0</v>
      </c>
      <c r="C148" s="445">
        <v>0</v>
      </c>
      <c r="D148" s="445">
        <v>0</v>
      </c>
      <c r="E148" s="445">
        <v>0</v>
      </c>
      <c r="F148" s="445">
        <v>0</v>
      </c>
      <c r="G148" s="445">
        <v>0</v>
      </c>
      <c r="H148" s="445">
        <v>0</v>
      </c>
      <c r="I148" s="445">
        <v>0</v>
      </c>
      <c r="J148" s="445">
        <v>0</v>
      </c>
      <c r="K148" s="445">
        <v>0</v>
      </c>
      <c r="L148" s="445">
        <v>0</v>
      </c>
      <c r="M148" s="445">
        <v>0</v>
      </c>
      <c r="N148" s="445">
        <v>0</v>
      </c>
      <c r="P148" s="445">
        <v>0</v>
      </c>
      <c r="Q148" s="445">
        <v>0</v>
      </c>
      <c r="R148" s="445">
        <v>0</v>
      </c>
      <c r="S148" s="445">
        <v>0</v>
      </c>
      <c r="T148" s="445">
        <v>0</v>
      </c>
      <c r="U148" s="445">
        <v>0</v>
      </c>
      <c r="V148" s="445">
        <v>0</v>
      </c>
      <c r="W148" s="445">
        <v>0</v>
      </c>
      <c r="X148" s="445">
        <v>0</v>
      </c>
      <c r="Y148" s="445">
        <v>0</v>
      </c>
      <c r="Z148" s="445">
        <v>0</v>
      </c>
      <c r="AA148" s="445">
        <v>0</v>
      </c>
      <c r="AB148" s="445">
        <v>0</v>
      </c>
      <c r="AC148" s="445">
        <v>0</v>
      </c>
      <c r="AD148" s="445">
        <v>0</v>
      </c>
      <c r="AE148" s="445">
        <v>0</v>
      </c>
    </row>
    <row r="149" spans="1:31">
      <c r="A149" s="444" t="s">
        <v>1152</v>
      </c>
      <c r="B149" s="445">
        <v>60.025370000000002</v>
      </c>
      <c r="C149" s="445">
        <v>44.380270000000003</v>
      </c>
      <c r="D149" s="445">
        <v>31.541930000000001</v>
      </c>
      <c r="E149" s="445">
        <v>48.133139999999997</v>
      </c>
      <c r="F149" s="445">
        <v>60.216279999999998</v>
      </c>
      <c r="G149" s="445">
        <v>52.98912</v>
      </c>
      <c r="H149" s="445">
        <v>53.993719999999897</v>
      </c>
      <c r="I149" s="445">
        <v>70.073999999999998</v>
      </c>
      <c r="J149" s="445">
        <v>59.860999999999997</v>
      </c>
      <c r="K149" s="445">
        <v>57.57</v>
      </c>
      <c r="L149" s="445">
        <v>53.436</v>
      </c>
      <c r="M149" s="445">
        <v>55.35</v>
      </c>
      <c r="N149" s="445">
        <v>54.753</v>
      </c>
      <c r="P149" s="445">
        <v>41.578000000000003</v>
      </c>
      <c r="Q149" s="445">
        <v>44.802999999999997</v>
      </c>
      <c r="R149" s="445">
        <v>51.116999999999997</v>
      </c>
      <c r="S149" s="445">
        <v>52.835999999999999</v>
      </c>
      <c r="T149" s="445">
        <v>48.805</v>
      </c>
      <c r="U149" s="445">
        <v>58.436999999999998</v>
      </c>
      <c r="V149" s="445">
        <v>61.231000000000002</v>
      </c>
      <c r="W149" s="445">
        <v>50.695</v>
      </c>
      <c r="X149" s="445">
        <v>51.506999999999998</v>
      </c>
      <c r="Y149" s="445">
        <v>47.649000000000001</v>
      </c>
      <c r="Z149" s="445">
        <v>47.366</v>
      </c>
      <c r="AA149" s="445">
        <v>48.610999999999997</v>
      </c>
      <c r="AB149" s="445">
        <v>42.097000000000001</v>
      </c>
      <c r="AC149" s="445">
        <v>45.356999999999999</v>
      </c>
      <c r="AD149" s="445">
        <v>51.713000000000001</v>
      </c>
      <c r="AE149" s="445">
        <v>53.548000000000002</v>
      </c>
    </row>
    <row r="150" spans="1:31">
      <c r="A150" s="444" t="s">
        <v>1153</v>
      </c>
      <c r="B150" s="445">
        <v>1851.1261099999999</v>
      </c>
      <c r="C150" s="445">
        <v>1781.96892</v>
      </c>
      <c r="D150" s="445">
        <v>2254.6142799999998</v>
      </c>
      <c r="E150" s="445">
        <v>2452.64877999999</v>
      </c>
      <c r="F150" s="445">
        <v>2054.8326899999902</v>
      </c>
      <c r="G150" s="445">
        <v>1909.88984</v>
      </c>
      <c r="H150" s="445">
        <v>2985.2303299999999</v>
      </c>
      <c r="I150" s="445">
        <v>4951.0320000000002</v>
      </c>
      <c r="J150" s="445">
        <v>2245.6999999999998</v>
      </c>
      <c r="K150" s="445">
        <v>2221.7370000000001</v>
      </c>
      <c r="L150" s="445">
        <v>2157.66</v>
      </c>
      <c r="M150" s="445">
        <v>-281.35199999999998</v>
      </c>
      <c r="N150" s="445">
        <v>2199.2179999999998</v>
      </c>
      <c r="P150" s="445">
        <v>1787.08599999999</v>
      </c>
      <c r="Q150" s="445">
        <v>1830.7809999999999</v>
      </c>
      <c r="R150" s="445">
        <v>1949.5909999999899</v>
      </c>
      <c r="S150" s="445">
        <v>2130.4929999999899</v>
      </c>
      <c r="T150" s="445">
        <v>1836.0650000000001</v>
      </c>
      <c r="U150" s="445">
        <v>2164.6469999999899</v>
      </c>
      <c r="V150" s="445">
        <v>2339.0790000000002</v>
      </c>
      <c r="W150" s="445">
        <v>1978.3030000000001</v>
      </c>
      <c r="X150" s="445">
        <v>2026.3430000000001</v>
      </c>
      <c r="Y150" s="445">
        <v>1966.3889999999899</v>
      </c>
      <c r="Z150" s="445">
        <v>1941.3119999999999</v>
      </c>
      <c r="AA150" s="445">
        <v>1942.6389999999999</v>
      </c>
      <c r="AB150" s="445">
        <v>1518.5219999999999</v>
      </c>
      <c r="AC150" s="445">
        <v>1529.8429999999901</v>
      </c>
      <c r="AD150" s="445">
        <v>1654.711</v>
      </c>
      <c r="AE150" s="445">
        <v>1825.318</v>
      </c>
    </row>
    <row r="152" spans="1:31">
      <c r="A152" s="444" t="s">
        <v>1154</v>
      </c>
      <c r="B152" s="445">
        <v>3720.30131999999</v>
      </c>
      <c r="C152" s="445">
        <v>3704.4348399999999</v>
      </c>
      <c r="D152" s="445">
        <v>4103.9896699999999</v>
      </c>
      <c r="E152" s="445">
        <v>4860.9519499999997</v>
      </c>
      <c r="F152" s="445">
        <v>4317.1948300000004</v>
      </c>
      <c r="G152" s="445">
        <v>4002.6056199999998</v>
      </c>
      <c r="H152" s="445">
        <v>5374.0210999999999</v>
      </c>
      <c r="I152" s="445">
        <v>7084.3450000000003</v>
      </c>
      <c r="J152" s="445">
        <v>4317.6419999999998</v>
      </c>
      <c r="K152" s="445">
        <v>4221.5140000000001</v>
      </c>
      <c r="L152" s="445">
        <v>4183.7079999999996</v>
      </c>
      <c r="M152" s="445">
        <v>1557.8019999999999</v>
      </c>
      <c r="N152" s="445">
        <v>4019.268</v>
      </c>
      <c r="P152" s="445">
        <v>3938.2529999999902</v>
      </c>
      <c r="Q152" s="445">
        <v>3923.7939999999999</v>
      </c>
      <c r="R152" s="445">
        <v>4136.5950000000003</v>
      </c>
      <c r="S152" s="445">
        <v>4472.37</v>
      </c>
      <c r="T152" s="445">
        <v>4131.0860000000002</v>
      </c>
      <c r="U152" s="445">
        <v>4432.6399999999903</v>
      </c>
      <c r="V152" s="445">
        <v>4841.8909999999996</v>
      </c>
      <c r="W152" s="445">
        <v>4310.5219999999999</v>
      </c>
      <c r="X152" s="445">
        <v>4270.8540000000003</v>
      </c>
      <c r="Y152" s="445">
        <v>4289.0659999999898</v>
      </c>
      <c r="Z152" s="445">
        <v>4058.319</v>
      </c>
      <c r="AA152" s="445">
        <v>4024.7260000000001</v>
      </c>
      <c r="AB152" s="445">
        <v>3807.0619999999999</v>
      </c>
      <c r="AC152" s="445">
        <v>3676.4760000000001</v>
      </c>
      <c r="AD152" s="445">
        <v>3964.83</v>
      </c>
      <c r="AE152" s="445">
        <v>4293.509</v>
      </c>
    </row>
    <row r="154" spans="1:31">
      <c r="A154" s="444" t="s">
        <v>1155</v>
      </c>
      <c r="B154" s="445">
        <v>0</v>
      </c>
      <c r="C154" s="445">
        <v>0</v>
      </c>
      <c r="D154" s="445">
        <v>0</v>
      </c>
      <c r="E154" s="445">
        <v>0</v>
      </c>
      <c r="F154" s="445">
        <v>0</v>
      </c>
      <c r="G154" s="445">
        <v>0</v>
      </c>
      <c r="H154" s="445">
        <v>0</v>
      </c>
      <c r="I154" s="445">
        <v>0</v>
      </c>
      <c r="J154" s="445">
        <v>0</v>
      </c>
      <c r="K154" s="445">
        <v>0</v>
      </c>
      <c r="L154" s="445">
        <v>0</v>
      </c>
      <c r="M154" s="445">
        <v>0</v>
      </c>
      <c r="N154" s="445">
        <v>0</v>
      </c>
      <c r="P154" s="445">
        <v>0</v>
      </c>
      <c r="Q154" s="445">
        <v>0</v>
      </c>
      <c r="R154" s="445">
        <v>0</v>
      </c>
      <c r="S154" s="445">
        <v>0</v>
      </c>
      <c r="T154" s="445">
        <v>0</v>
      </c>
      <c r="U154" s="445">
        <v>0</v>
      </c>
      <c r="V154" s="445">
        <v>0</v>
      </c>
      <c r="W154" s="445">
        <v>0</v>
      </c>
      <c r="X154" s="445">
        <v>0</v>
      </c>
      <c r="Y154" s="445">
        <v>0</v>
      </c>
      <c r="Z154" s="445">
        <v>0</v>
      </c>
      <c r="AA154" s="445">
        <v>0</v>
      </c>
      <c r="AB154" s="445">
        <v>0</v>
      </c>
      <c r="AC154" s="445">
        <v>0</v>
      </c>
      <c r="AD154" s="445">
        <v>0</v>
      </c>
      <c r="AE154" s="445">
        <v>0</v>
      </c>
    </row>
    <row r="155" spans="1:31">
      <c r="A155" s="444" t="s">
        <v>1156</v>
      </c>
      <c r="B155" s="445">
        <v>0</v>
      </c>
      <c r="C155" s="445">
        <v>0</v>
      </c>
      <c r="D155" s="445">
        <v>0</v>
      </c>
      <c r="E155" s="445">
        <v>0</v>
      </c>
      <c r="F155" s="445">
        <v>0</v>
      </c>
      <c r="G155" s="445">
        <v>0</v>
      </c>
      <c r="H155" s="445">
        <v>0</v>
      </c>
      <c r="I155" s="445">
        <v>0</v>
      </c>
      <c r="J155" s="445">
        <v>0</v>
      </c>
      <c r="K155" s="445">
        <v>0</v>
      </c>
      <c r="L155" s="445">
        <v>0</v>
      </c>
      <c r="M155" s="445">
        <v>0</v>
      </c>
      <c r="N155" s="445">
        <v>0</v>
      </c>
      <c r="P155" s="445">
        <v>0</v>
      </c>
      <c r="Q155" s="445">
        <v>0</v>
      </c>
      <c r="R155" s="445">
        <v>0</v>
      </c>
      <c r="S155" s="445">
        <v>0</v>
      </c>
      <c r="T155" s="445">
        <v>0</v>
      </c>
      <c r="U155" s="445">
        <v>0</v>
      </c>
      <c r="V155" s="445">
        <v>0</v>
      </c>
      <c r="W155" s="445">
        <v>0</v>
      </c>
      <c r="X155" s="445">
        <v>0</v>
      </c>
      <c r="Y155" s="445">
        <v>0</v>
      </c>
      <c r="Z155" s="445">
        <v>0</v>
      </c>
      <c r="AA155" s="445">
        <v>0</v>
      </c>
      <c r="AB155" s="445">
        <v>0</v>
      </c>
      <c r="AC155" s="445">
        <v>0</v>
      </c>
      <c r="AD155" s="445">
        <v>0</v>
      </c>
      <c r="AE155" s="445">
        <v>0</v>
      </c>
    </row>
    <row r="156" spans="1:31">
      <c r="A156" s="444" t="s">
        <v>1157</v>
      </c>
      <c r="B156" s="445">
        <v>0</v>
      </c>
      <c r="C156" s="445">
        <v>0</v>
      </c>
      <c r="D156" s="445">
        <v>0</v>
      </c>
      <c r="E156" s="445">
        <v>0</v>
      </c>
      <c r="F156" s="445">
        <v>0</v>
      </c>
      <c r="G156" s="445">
        <v>0</v>
      </c>
      <c r="H156" s="445">
        <v>0</v>
      </c>
      <c r="I156" s="445">
        <v>0</v>
      </c>
      <c r="J156" s="445">
        <v>0</v>
      </c>
      <c r="K156" s="445">
        <v>0</v>
      </c>
      <c r="L156" s="445">
        <v>0</v>
      </c>
      <c r="M156" s="445">
        <v>0</v>
      </c>
      <c r="N156" s="445">
        <v>0</v>
      </c>
      <c r="P156" s="445">
        <v>0</v>
      </c>
      <c r="Q156" s="445">
        <v>0</v>
      </c>
      <c r="R156" s="445">
        <v>0</v>
      </c>
      <c r="S156" s="445">
        <v>0</v>
      </c>
      <c r="T156" s="445">
        <v>0</v>
      </c>
      <c r="U156" s="445">
        <v>0</v>
      </c>
      <c r="V156" s="445">
        <v>0</v>
      </c>
      <c r="W156" s="445">
        <v>0</v>
      </c>
      <c r="X156" s="445">
        <v>0</v>
      </c>
      <c r="Y156" s="445">
        <v>0</v>
      </c>
      <c r="Z156" s="445">
        <v>0</v>
      </c>
      <c r="AA156" s="445">
        <v>0</v>
      </c>
      <c r="AB156" s="445">
        <v>0</v>
      </c>
      <c r="AC156" s="445">
        <v>0</v>
      </c>
      <c r="AD156" s="445">
        <v>0</v>
      </c>
      <c r="AE156" s="445">
        <v>0</v>
      </c>
    </row>
    <row r="157" spans="1:31">
      <c r="A157" s="444" t="s">
        <v>1158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1159</v>
      </c>
      <c r="B158" s="445">
        <v>0</v>
      </c>
      <c r="C158" s="445">
        <v>0</v>
      </c>
      <c r="D158" s="445">
        <v>0</v>
      </c>
      <c r="E158" s="445">
        <v>0</v>
      </c>
      <c r="F158" s="445">
        <v>0</v>
      </c>
      <c r="G158" s="445">
        <v>0</v>
      </c>
      <c r="H158" s="445">
        <v>0</v>
      </c>
      <c r="I158" s="445">
        <v>0</v>
      </c>
      <c r="J158" s="445">
        <v>0</v>
      </c>
      <c r="K158" s="445">
        <v>0</v>
      </c>
      <c r="L158" s="445">
        <v>0</v>
      </c>
      <c r="M158" s="445">
        <v>0</v>
      </c>
      <c r="N158" s="445">
        <v>0</v>
      </c>
      <c r="P158" s="445">
        <v>0</v>
      </c>
      <c r="Q158" s="445">
        <v>0</v>
      </c>
      <c r="R158" s="445">
        <v>0</v>
      </c>
      <c r="S158" s="445">
        <v>0</v>
      </c>
      <c r="T158" s="445">
        <v>0</v>
      </c>
      <c r="U158" s="445">
        <v>0</v>
      </c>
      <c r="V158" s="445">
        <v>0</v>
      </c>
      <c r="W158" s="445">
        <v>0</v>
      </c>
      <c r="X158" s="445">
        <v>0</v>
      </c>
      <c r="Y158" s="445">
        <v>0</v>
      </c>
      <c r="Z158" s="445">
        <v>0</v>
      </c>
      <c r="AA158" s="445">
        <v>0</v>
      </c>
      <c r="AB158" s="445">
        <v>0</v>
      </c>
      <c r="AC158" s="445">
        <v>0</v>
      </c>
      <c r="AD158" s="445">
        <v>0</v>
      </c>
      <c r="AE158" s="445">
        <v>0</v>
      </c>
    </row>
    <row r="159" spans="1:31">
      <c r="A159" s="444" t="s">
        <v>1160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1161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1162</v>
      </c>
      <c r="B161" s="445">
        <v>0</v>
      </c>
      <c r="C161" s="445">
        <v>0</v>
      </c>
      <c r="D161" s="445">
        <v>0</v>
      </c>
      <c r="E161" s="445">
        <v>0</v>
      </c>
      <c r="F161" s="445">
        <v>0</v>
      </c>
      <c r="G161" s="445">
        <v>0</v>
      </c>
      <c r="H161" s="445">
        <v>0</v>
      </c>
      <c r="I161" s="445">
        <v>0</v>
      </c>
      <c r="J161" s="445">
        <v>0</v>
      </c>
      <c r="K161" s="445">
        <v>0</v>
      </c>
      <c r="L161" s="445">
        <v>0</v>
      </c>
      <c r="M161" s="445">
        <v>0</v>
      </c>
      <c r="N161" s="445">
        <v>0</v>
      </c>
      <c r="P161" s="445">
        <v>0</v>
      </c>
      <c r="Q161" s="445">
        <v>0</v>
      </c>
      <c r="R161" s="445">
        <v>0</v>
      </c>
      <c r="S161" s="445">
        <v>0</v>
      </c>
      <c r="T161" s="445">
        <v>0</v>
      </c>
      <c r="U161" s="445">
        <v>0</v>
      </c>
      <c r="V161" s="445">
        <v>0</v>
      </c>
      <c r="W161" s="445">
        <v>0</v>
      </c>
      <c r="X161" s="445">
        <v>0</v>
      </c>
      <c r="Y161" s="445">
        <v>0</v>
      </c>
      <c r="Z161" s="445">
        <v>0</v>
      </c>
      <c r="AA161" s="445">
        <v>0</v>
      </c>
      <c r="AB161" s="445">
        <v>0</v>
      </c>
      <c r="AC161" s="445">
        <v>0</v>
      </c>
      <c r="AD161" s="445">
        <v>0</v>
      </c>
      <c r="AE161" s="445">
        <v>0</v>
      </c>
    </row>
    <row r="162" spans="1:31">
      <c r="A162" s="444" t="s">
        <v>1163</v>
      </c>
      <c r="B162" s="445">
        <v>0</v>
      </c>
      <c r="C162" s="445">
        <v>0</v>
      </c>
      <c r="D162" s="445">
        <v>0</v>
      </c>
      <c r="E162" s="445">
        <v>0</v>
      </c>
      <c r="F162" s="445">
        <v>0</v>
      </c>
      <c r="G162" s="445">
        <v>0</v>
      </c>
      <c r="H162" s="445">
        <v>0</v>
      </c>
      <c r="I162" s="445">
        <v>0</v>
      </c>
      <c r="J162" s="445">
        <v>0</v>
      </c>
      <c r="K162" s="445">
        <v>0</v>
      </c>
      <c r="L162" s="445">
        <v>0</v>
      </c>
      <c r="M162" s="445">
        <v>0</v>
      </c>
      <c r="N162" s="445">
        <v>0</v>
      </c>
      <c r="P162" s="445">
        <v>0</v>
      </c>
      <c r="Q162" s="445">
        <v>0</v>
      </c>
      <c r="R162" s="445">
        <v>0</v>
      </c>
      <c r="S162" s="445">
        <v>0</v>
      </c>
      <c r="T162" s="445">
        <v>0</v>
      </c>
      <c r="U162" s="445">
        <v>0</v>
      </c>
      <c r="V162" s="445">
        <v>0</v>
      </c>
      <c r="W162" s="445">
        <v>0</v>
      </c>
      <c r="X162" s="445">
        <v>0</v>
      </c>
      <c r="Y162" s="445">
        <v>0</v>
      </c>
      <c r="Z162" s="445">
        <v>0</v>
      </c>
      <c r="AA162" s="445">
        <v>0</v>
      </c>
      <c r="AB162" s="445">
        <v>0</v>
      </c>
      <c r="AC162" s="445">
        <v>0</v>
      </c>
      <c r="AD162" s="445">
        <v>0</v>
      </c>
      <c r="AE162" s="445">
        <v>0</v>
      </c>
    </row>
    <row r="164" spans="1:31">
      <c r="A164" s="444" t="s">
        <v>1164</v>
      </c>
      <c r="B164" s="445">
        <v>0</v>
      </c>
      <c r="C164" s="445">
        <v>0</v>
      </c>
      <c r="D164" s="445">
        <v>0</v>
      </c>
      <c r="E164" s="445">
        <v>0</v>
      </c>
      <c r="F164" s="445">
        <v>0</v>
      </c>
      <c r="G164" s="445">
        <v>0</v>
      </c>
      <c r="H164" s="445">
        <v>0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1165</v>
      </c>
      <c r="B165" s="445">
        <v>0</v>
      </c>
      <c r="C165" s="445">
        <v>0</v>
      </c>
      <c r="D165" s="445">
        <v>0</v>
      </c>
      <c r="E165" s="445">
        <v>0</v>
      </c>
      <c r="F165" s="445">
        <v>0</v>
      </c>
      <c r="G165" s="445">
        <v>0</v>
      </c>
      <c r="H165" s="445">
        <v>0</v>
      </c>
      <c r="I165" s="445">
        <v>0</v>
      </c>
      <c r="J165" s="445">
        <v>0</v>
      </c>
      <c r="K165" s="445">
        <v>0</v>
      </c>
      <c r="L165" s="445">
        <v>0</v>
      </c>
      <c r="M165" s="445">
        <v>0</v>
      </c>
      <c r="N165" s="445">
        <v>0</v>
      </c>
      <c r="P165" s="445">
        <v>0</v>
      </c>
      <c r="Q165" s="445">
        <v>0</v>
      </c>
      <c r="R165" s="445">
        <v>0</v>
      </c>
      <c r="S165" s="445">
        <v>0</v>
      </c>
      <c r="T165" s="445">
        <v>0</v>
      </c>
      <c r="U165" s="445">
        <v>0</v>
      </c>
      <c r="V165" s="445">
        <v>0</v>
      </c>
      <c r="W165" s="445">
        <v>0</v>
      </c>
      <c r="X165" s="445">
        <v>0</v>
      </c>
      <c r="Y165" s="445">
        <v>0</v>
      </c>
      <c r="Z165" s="445">
        <v>0</v>
      </c>
      <c r="AA165" s="445">
        <v>0</v>
      </c>
      <c r="AB165" s="445">
        <v>0</v>
      </c>
      <c r="AC165" s="445">
        <v>0</v>
      </c>
      <c r="AD165" s="445">
        <v>0</v>
      </c>
      <c r="AE165" s="445">
        <v>0</v>
      </c>
    </row>
    <row r="166" spans="1:31">
      <c r="A166" s="444" t="s">
        <v>1166</v>
      </c>
      <c r="B166" s="445">
        <v>0</v>
      </c>
      <c r="C166" s="445">
        <v>0</v>
      </c>
      <c r="D166" s="445">
        <v>0</v>
      </c>
      <c r="E166" s="445">
        <v>0</v>
      </c>
      <c r="F166" s="445">
        <v>0</v>
      </c>
      <c r="G166" s="445">
        <v>0</v>
      </c>
      <c r="H166" s="445">
        <v>0</v>
      </c>
      <c r="I166" s="445">
        <v>0</v>
      </c>
      <c r="J166" s="445">
        <v>0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0</v>
      </c>
      <c r="S166" s="445">
        <v>0</v>
      </c>
      <c r="T166" s="445">
        <v>0</v>
      </c>
      <c r="U166" s="445">
        <v>0</v>
      </c>
      <c r="V166" s="445">
        <v>0</v>
      </c>
      <c r="W166" s="445">
        <v>0</v>
      </c>
      <c r="X166" s="445">
        <v>0</v>
      </c>
      <c r="Y166" s="445">
        <v>0</v>
      </c>
      <c r="Z166" s="445">
        <v>0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1167</v>
      </c>
      <c r="B167" s="445">
        <v>0</v>
      </c>
      <c r="C167" s="445">
        <v>0</v>
      </c>
      <c r="D167" s="445">
        <v>0</v>
      </c>
      <c r="E167" s="445">
        <v>0</v>
      </c>
      <c r="F167" s="445">
        <v>0</v>
      </c>
      <c r="G167" s="445">
        <v>0</v>
      </c>
      <c r="H167" s="445">
        <v>0</v>
      </c>
      <c r="I167" s="445">
        <v>0</v>
      </c>
      <c r="J167" s="445">
        <v>0</v>
      </c>
      <c r="K167" s="445">
        <v>0</v>
      </c>
      <c r="L167" s="445">
        <v>0</v>
      </c>
      <c r="M167" s="445">
        <v>0</v>
      </c>
      <c r="N167" s="445">
        <v>0</v>
      </c>
      <c r="P167" s="445">
        <v>0</v>
      </c>
      <c r="Q167" s="445">
        <v>0</v>
      </c>
      <c r="R167" s="445">
        <v>0</v>
      </c>
      <c r="S167" s="445">
        <v>0</v>
      </c>
      <c r="T167" s="445">
        <v>0</v>
      </c>
      <c r="U167" s="445">
        <v>0</v>
      </c>
      <c r="V167" s="445">
        <v>0</v>
      </c>
      <c r="W167" s="445">
        <v>0</v>
      </c>
      <c r="X167" s="445">
        <v>0</v>
      </c>
      <c r="Y167" s="445">
        <v>0</v>
      </c>
      <c r="Z167" s="445">
        <v>0</v>
      </c>
      <c r="AA167" s="445">
        <v>0</v>
      </c>
      <c r="AB167" s="445">
        <v>0</v>
      </c>
      <c r="AC167" s="445">
        <v>0</v>
      </c>
      <c r="AD167" s="445">
        <v>0</v>
      </c>
      <c r="AE167" s="445">
        <v>0</v>
      </c>
    </row>
    <row r="168" spans="1:31">
      <c r="A168" s="444" t="s">
        <v>1168</v>
      </c>
      <c r="B168" s="445">
        <v>0</v>
      </c>
      <c r="C168" s="445">
        <v>0</v>
      </c>
      <c r="D168" s="445">
        <v>0</v>
      </c>
      <c r="E168" s="445">
        <v>0</v>
      </c>
      <c r="F168" s="445">
        <v>0</v>
      </c>
      <c r="G168" s="445">
        <v>0</v>
      </c>
      <c r="H168" s="445">
        <v>0</v>
      </c>
      <c r="I168" s="445">
        <v>0</v>
      </c>
      <c r="J168" s="445">
        <v>0</v>
      </c>
      <c r="K168" s="445">
        <v>0</v>
      </c>
      <c r="L168" s="445">
        <v>0</v>
      </c>
      <c r="M168" s="445">
        <v>0</v>
      </c>
      <c r="N168" s="445">
        <v>0</v>
      </c>
      <c r="P168" s="445">
        <v>0</v>
      </c>
      <c r="Q168" s="445">
        <v>0</v>
      </c>
      <c r="R168" s="445">
        <v>0</v>
      </c>
      <c r="S168" s="445">
        <v>0</v>
      </c>
      <c r="T168" s="445">
        <v>0</v>
      </c>
      <c r="U168" s="445">
        <v>0</v>
      </c>
      <c r="V168" s="445">
        <v>0</v>
      </c>
      <c r="W168" s="445">
        <v>0</v>
      </c>
      <c r="X168" s="445">
        <v>0</v>
      </c>
      <c r="Y168" s="445">
        <v>0</v>
      </c>
      <c r="Z168" s="445">
        <v>0</v>
      </c>
      <c r="AA168" s="445">
        <v>0</v>
      </c>
      <c r="AB168" s="445">
        <v>0</v>
      </c>
      <c r="AC168" s="445">
        <v>0</v>
      </c>
      <c r="AD168" s="445">
        <v>0</v>
      </c>
      <c r="AE168" s="445">
        <v>0</v>
      </c>
    </row>
    <row r="169" spans="1:31">
      <c r="A169" s="444" t="s">
        <v>1169</v>
      </c>
      <c r="B169" s="445">
        <v>0</v>
      </c>
      <c r="C169" s="445">
        <v>0</v>
      </c>
      <c r="D169" s="445">
        <v>0</v>
      </c>
      <c r="E169" s="445">
        <v>0</v>
      </c>
      <c r="F169" s="445">
        <v>0</v>
      </c>
      <c r="G169" s="445">
        <v>0</v>
      </c>
      <c r="H169" s="445">
        <v>0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444" t="s">
        <v>1162</v>
      </c>
      <c r="B170" s="445">
        <v>0</v>
      </c>
      <c r="C170" s="445">
        <v>0</v>
      </c>
      <c r="D170" s="445">
        <v>0</v>
      </c>
      <c r="E170" s="445">
        <v>0</v>
      </c>
      <c r="F170" s="445">
        <v>0</v>
      </c>
      <c r="G170" s="445">
        <v>0</v>
      </c>
      <c r="H170" s="445">
        <v>0</v>
      </c>
      <c r="I170" s="445">
        <v>0</v>
      </c>
      <c r="J170" s="445">
        <v>0</v>
      </c>
      <c r="K170" s="445">
        <v>0</v>
      </c>
      <c r="L170" s="445">
        <v>0</v>
      </c>
      <c r="M170" s="445">
        <v>0</v>
      </c>
      <c r="N170" s="445">
        <v>0</v>
      </c>
      <c r="P170" s="445">
        <v>0</v>
      </c>
      <c r="Q170" s="445">
        <v>0</v>
      </c>
      <c r="R170" s="445">
        <v>0</v>
      </c>
      <c r="S170" s="445">
        <v>0</v>
      </c>
      <c r="T170" s="445">
        <v>0</v>
      </c>
      <c r="U170" s="445">
        <v>0</v>
      </c>
      <c r="V170" s="445">
        <v>0</v>
      </c>
      <c r="W170" s="445">
        <v>0</v>
      </c>
      <c r="X170" s="445">
        <v>0</v>
      </c>
      <c r="Y170" s="445">
        <v>0</v>
      </c>
      <c r="Z170" s="445">
        <v>0</v>
      </c>
      <c r="AA170" s="445">
        <v>0</v>
      </c>
      <c r="AB170" s="445">
        <v>0</v>
      </c>
      <c r="AC170" s="445">
        <v>0</v>
      </c>
      <c r="AD170" s="445">
        <v>0</v>
      </c>
      <c r="AE170" s="445">
        <v>0</v>
      </c>
    </row>
    <row r="171" spans="1:31">
      <c r="A171" s="444" t="s">
        <v>1170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1171</v>
      </c>
      <c r="B172" s="445">
        <v>0</v>
      </c>
      <c r="C172" s="445">
        <v>0</v>
      </c>
      <c r="D172" s="445">
        <v>0</v>
      </c>
      <c r="E172" s="445">
        <v>0</v>
      </c>
      <c r="F172" s="445">
        <v>0</v>
      </c>
      <c r="G172" s="445">
        <v>0</v>
      </c>
      <c r="H172" s="445">
        <v>0</v>
      </c>
      <c r="I172" s="445">
        <v>0</v>
      </c>
      <c r="J172" s="445">
        <v>0</v>
      </c>
      <c r="K172" s="445">
        <v>0</v>
      </c>
      <c r="L172" s="445">
        <v>0</v>
      </c>
      <c r="M172" s="445">
        <v>0</v>
      </c>
      <c r="N172" s="445">
        <v>0</v>
      </c>
      <c r="P172" s="445">
        <v>0</v>
      </c>
      <c r="Q172" s="445">
        <v>0</v>
      </c>
      <c r="R172" s="445">
        <v>0</v>
      </c>
      <c r="S172" s="445">
        <v>0</v>
      </c>
      <c r="T172" s="445">
        <v>0</v>
      </c>
      <c r="U172" s="445">
        <v>0</v>
      </c>
      <c r="V172" s="445">
        <v>0</v>
      </c>
      <c r="W172" s="445">
        <v>0</v>
      </c>
      <c r="X172" s="445">
        <v>0</v>
      </c>
      <c r="Y172" s="445">
        <v>0</v>
      </c>
      <c r="Z172" s="445">
        <v>0</v>
      </c>
      <c r="AA172" s="445">
        <v>0</v>
      </c>
      <c r="AB172" s="445">
        <v>0</v>
      </c>
      <c r="AC172" s="445">
        <v>0</v>
      </c>
      <c r="AD172" s="445">
        <v>0</v>
      </c>
      <c r="AE172" s="445">
        <v>0</v>
      </c>
    </row>
    <row r="173" spans="1:31">
      <c r="A173" s="444" t="s">
        <v>1172</v>
      </c>
      <c r="B173" s="445">
        <v>0</v>
      </c>
      <c r="C173" s="445">
        <v>0</v>
      </c>
      <c r="D173" s="445">
        <v>0</v>
      </c>
      <c r="E173" s="445">
        <v>0</v>
      </c>
      <c r="F173" s="445">
        <v>0</v>
      </c>
      <c r="G173" s="445">
        <v>0</v>
      </c>
      <c r="H173" s="445">
        <v>0</v>
      </c>
      <c r="I173" s="445">
        <v>0</v>
      </c>
      <c r="J173" s="445">
        <v>0</v>
      </c>
      <c r="K173" s="445">
        <v>0</v>
      </c>
      <c r="L173" s="445">
        <v>0</v>
      </c>
      <c r="M173" s="445">
        <v>0</v>
      </c>
      <c r="N173" s="445">
        <v>0</v>
      </c>
      <c r="P173" s="445">
        <v>0</v>
      </c>
      <c r="Q173" s="445">
        <v>0</v>
      </c>
      <c r="R173" s="445">
        <v>0</v>
      </c>
      <c r="S173" s="445">
        <v>0</v>
      </c>
      <c r="T173" s="445">
        <v>0</v>
      </c>
      <c r="U173" s="445">
        <v>0</v>
      </c>
      <c r="V173" s="445">
        <v>0</v>
      </c>
      <c r="W173" s="445">
        <v>0</v>
      </c>
      <c r="X173" s="445">
        <v>0</v>
      </c>
      <c r="Y173" s="445">
        <v>0</v>
      </c>
      <c r="Z173" s="445">
        <v>0</v>
      </c>
      <c r="AA173" s="445">
        <v>0</v>
      </c>
      <c r="AB173" s="445">
        <v>0</v>
      </c>
      <c r="AC173" s="445">
        <v>0</v>
      </c>
      <c r="AD173" s="445">
        <v>0</v>
      </c>
      <c r="AE173" s="445">
        <v>0</v>
      </c>
    </row>
    <row r="174" spans="1:31">
      <c r="A174" s="444" t="s">
        <v>1173</v>
      </c>
      <c r="B174" s="445">
        <v>0</v>
      </c>
      <c r="C174" s="445">
        <v>0</v>
      </c>
      <c r="D174" s="445">
        <v>0</v>
      </c>
      <c r="E174" s="445">
        <v>0</v>
      </c>
      <c r="F174" s="445">
        <v>0</v>
      </c>
      <c r="G174" s="445">
        <v>0</v>
      </c>
      <c r="H174" s="445">
        <v>0</v>
      </c>
      <c r="I174" s="445">
        <v>0</v>
      </c>
      <c r="J174" s="445">
        <v>0</v>
      </c>
      <c r="K174" s="445">
        <v>0</v>
      </c>
      <c r="L174" s="445">
        <v>0</v>
      </c>
      <c r="M174" s="445">
        <v>0</v>
      </c>
      <c r="N174" s="445">
        <v>0</v>
      </c>
      <c r="P174" s="445">
        <v>0</v>
      </c>
      <c r="Q174" s="445">
        <v>0</v>
      </c>
      <c r="R174" s="445">
        <v>0</v>
      </c>
      <c r="S174" s="445">
        <v>0</v>
      </c>
      <c r="T174" s="445">
        <v>0</v>
      </c>
      <c r="U174" s="445">
        <v>0</v>
      </c>
      <c r="V174" s="445">
        <v>0</v>
      </c>
      <c r="W174" s="445">
        <v>0</v>
      </c>
      <c r="X174" s="445">
        <v>0</v>
      </c>
      <c r="Y174" s="445">
        <v>0</v>
      </c>
      <c r="Z174" s="445">
        <v>0</v>
      </c>
      <c r="AA174" s="445">
        <v>0</v>
      </c>
      <c r="AB174" s="445">
        <v>0</v>
      </c>
      <c r="AC174" s="445">
        <v>0</v>
      </c>
      <c r="AD174" s="445">
        <v>0</v>
      </c>
      <c r="AE174" s="445">
        <v>0</v>
      </c>
    </row>
    <row r="176" spans="1:31">
      <c r="A176" s="444" t="s">
        <v>1174</v>
      </c>
      <c r="B176" s="445">
        <v>0</v>
      </c>
      <c r="C176" s="445">
        <v>0</v>
      </c>
      <c r="D176" s="445">
        <v>0</v>
      </c>
      <c r="E176" s="445">
        <v>0</v>
      </c>
      <c r="F176" s="445">
        <v>0</v>
      </c>
      <c r="G176" s="445">
        <v>0</v>
      </c>
      <c r="H176" s="445">
        <v>0</v>
      </c>
      <c r="I176" s="445">
        <v>0</v>
      </c>
      <c r="J176" s="445">
        <v>0</v>
      </c>
      <c r="K176" s="445">
        <v>0</v>
      </c>
      <c r="L176" s="445">
        <v>0</v>
      </c>
      <c r="M176" s="445">
        <v>0</v>
      </c>
      <c r="N176" s="445">
        <v>0</v>
      </c>
      <c r="P176" s="445">
        <v>0</v>
      </c>
      <c r="Q176" s="445">
        <v>0</v>
      </c>
      <c r="R176" s="445">
        <v>0</v>
      </c>
      <c r="S176" s="445">
        <v>0</v>
      </c>
      <c r="T176" s="445">
        <v>0</v>
      </c>
      <c r="U176" s="445">
        <v>0</v>
      </c>
      <c r="V176" s="445">
        <v>0</v>
      </c>
      <c r="W176" s="445">
        <v>0</v>
      </c>
      <c r="X176" s="445">
        <v>0</v>
      </c>
      <c r="Y176" s="445">
        <v>0</v>
      </c>
      <c r="Z176" s="445">
        <v>0</v>
      </c>
      <c r="AA176" s="445">
        <v>0</v>
      </c>
      <c r="AB176" s="445">
        <v>0</v>
      </c>
      <c r="AC176" s="445">
        <v>0</v>
      </c>
      <c r="AD176" s="445">
        <v>0</v>
      </c>
      <c r="AE176" s="445">
        <v>0</v>
      </c>
    </row>
    <row r="177" spans="1:31">
      <c r="A177" s="444" t="s">
        <v>1175</v>
      </c>
      <c r="B177" s="445">
        <v>0</v>
      </c>
      <c r="C177" s="445">
        <v>0</v>
      </c>
      <c r="D177" s="445">
        <v>0</v>
      </c>
      <c r="E177" s="445">
        <v>0</v>
      </c>
      <c r="F177" s="445">
        <v>0</v>
      </c>
      <c r="G177" s="445">
        <v>0</v>
      </c>
      <c r="H177" s="445">
        <v>0</v>
      </c>
      <c r="I177" s="445">
        <v>0</v>
      </c>
      <c r="J177" s="445">
        <v>0</v>
      </c>
      <c r="K177" s="445">
        <v>0</v>
      </c>
      <c r="L177" s="445">
        <v>0</v>
      </c>
      <c r="M177" s="445">
        <v>0</v>
      </c>
      <c r="N177" s="445">
        <v>0</v>
      </c>
      <c r="P177" s="445">
        <v>0</v>
      </c>
      <c r="Q177" s="445">
        <v>0</v>
      </c>
      <c r="R177" s="445">
        <v>0</v>
      </c>
      <c r="S177" s="445">
        <v>0</v>
      </c>
      <c r="T177" s="445">
        <v>0</v>
      </c>
      <c r="U177" s="445">
        <v>0</v>
      </c>
      <c r="V177" s="445">
        <v>0</v>
      </c>
      <c r="W177" s="445">
        <v>0</v>
      </c>
      <c r="X177" s="445">
        <v>0</v>
      </c>
      <c r="Y177" s="445">
        <v>0</v>
      </c>
      <c r="Z177" s="445">
        <v>0</v>
      </c>
      <c r="AA177" s="445">
        <v>0</v>
      </c>
      <c r="AB177" s="445">
        <v>0</v>
      </c>
      <c r="AC177" s="445">
        <v>0</v>
      </c>
      <c r="AD177" s="445">
        <v>0</v>
      </c>
      <c r="AE177" s="445">
        <v>0</v>
      </c>
    </row>
    <row r="178" spans="1:31">
      <c r="A178" s="444" t="s">
        <v>1176</v>
      </c>
      <c r="B178" s="445">
        <v>0</v>
      </c>
      <c r="C178" s="445">
        <v>0</v>
      </c>
      <c r="D178" s="445">
        <v>0</v>
      </c>
      <c r="E178" s="445">
        <v>0</v>
      </c>
      <c r="F178" s="445">
        <v>0</v>
      </c>
      <c r="G178" s="445">
        <v>0</v>
      </c>
      <c r="H178" s="445">
        <v>0</v>
      </c>
      <c r="I178" s="445">
        <v>0</v>
      </c>
      <c r="J178" s="445">
        <v>0</v>
      </c>
      <c r="K178" s="445">
        <v>0</v>
      </c>
      <c r="L178" s="445">
        <v>0</v>
      </c>
      <c r="M178" s="445">
        <v>0</v>
      </c>
      <c r="N178" s="445">
        <v>0</v>
      </c>
      <c r="P178" s="445">
        <v>0</v>
      </c>
      <c r="Q178" s="445">
        <v>0</v>
      </c>
      <c r="R178" s="445">
        <v>0</v>
      </c>
      <c r="S178" s="445">
        <v>0</v>
      </c>
      <c r="T178" s="445">
        <v>0</v>
      </c>
      <c r="U178" s="445">
        <v>0</v>
      </c>
      <c r="V178" s="445">
        <v>0</v>
      </c>
      <c r="W178" s="445">
        <v>0</v>
      </c>
      <c r="X178" s="445">
        <v>0</v>
      </c>
      <c r="Y178" s="445">
        <v>0</v>
      </c>
      <c r="Z178" s="445">
        <v>0</v>
      </c>
      <c r="AA178" s="445">
        <v>0</v>
      </c>
      <c r="AB178" s="445">
        <v>0</v>
      </c>
      <c r="AC178" s="445">
        <v>0</v>
      </c>
      <c r="AD178" s="445">
        <v>0</v>
      </c>
      <c r="AE178" s="445">
        <v>0</v>
      </c>
    </row>
    <row r="179" spans="1:31">
      <c r="A179" s="444" t="s">
        <v>1177</v>
      </c>
      <c r="B179" s="445">
        <v>0</v>
      </c>
      <c r="C179" s="445">
        <v>0</v>
      </c>
      <c r="D179" s="445">
        <v>0</v>
      </c>
      <c r="E179" s="445">
        <v>0</v>
      </c>
      <c r="F179" s="445">
        <v>0</v>
      </c>
      <c r="G179" s="445">
        <v>0</v>
      </c>
      <c r="H179" s="445">
        <v>0</v>
      </c>
      <c r="I179" s="445">
        <v>0</v>
      </c>
      <c r="J179" s="445">
        <v>0</v>
      </c>
      <c r="K179" s="445">
        <v>0</v>
      </c>
      <c r="L179" s="445">
        <v>0</v>
      </c>
      <c r="M179" s="445">
        <v>0</v>
      </c>
      <c r="N179" s="445">
        <v>0</v>
      </c>
      <c r="P179" s="445">
        <v>0</v>
      </c>
      <c r="Q179" s="445">
        <v>0</v>
      </c>
      <c r="R179" s="445">
        <v>0</v>
      </c>
      <c r="S179" s="445">
        <v>0</v>
      </c>
      <c r="T179" s="445">
        <v>0</v>
      </c>
      <c r="U179" s="445">
        <v>0</v>
      </c>
      <c r="V179" s="445">
        <v>0</v>
      </c>
      <c r="W179" s="445">
        <v>0</v>
      </c>
      <c r="X179" s="445">
        <v>0</v>
      </c>
      <c r="Y179" s="445">
        <v>0</v>
      </c>
      <c r="Z179" s="445">
        <v>0</v>
      </c>
      <c r="AA179" s="445">
        <v>0</v>
      </c>
      <c r="AB179" s="445">
        <v>0</v>
      </c>
      <c r="AC179" s="445">
        <v>0</v>
      </c>
      <c r="AD179" s="445">
        <v>0</v>
      </c>
      <c r="AE179" s="445">
        <v>0</v>
      </c>
    </row>
    <row r="180" spans="1:31">
      <c r="A180" s="444" t="s">
        <v>1178</v>
      </c>
      <c r="B180" s="445">
        <v>0</v>
      </c>
      <c r="C180" s="445">
        <v>0</v>
      </c>
      <c r="D180" s="445">
        <v>0</v>
      </c>
      <c r="E180" s="445">
        <v>0</v>
      </c>
      <c r="F180" s="445">
        <v>0</v>
      </c>
      <c r="G180" s="445">
        <v>0</v>
      </c>
      <c r="H180" s="445">
        <v>0</v>
      </c>
      <c r="I180" s="445">
        <v>0</v>
      </c>
      <c r="J180" s="445">
        <v>0</v>
      </c>
      <c r="K180" s="445">
        <v>0</v>
      </c>
      <c r="L180" s="445">
        <v>0</v>
      </c>
      <c r="M180" s="445">
        <v>0</v>
      </c>
      <c r="N180" s="445">
        <v>0</v>
      </c>
      <c r="P180" s="445">
        <v>0</v>
      </c>
      <c r="Q180" s="445">
        <v>0</v>
      </c>
      <c r="R180" s="445">
        <v>0</v>
      </c>
      <c r="S180" s="445">
        <v>0</v>
      </c>
      <c r="T180" s="445">
        <v>0</v>
      </c>
      <c r="U180" s="445">
        <v>0</v>
      </c>
      <c r="V180" s="445">
        <v>0</v>
      </c>
      <c r="W180" s="445">
        <v>0</v>
      </c>
      <c r="X180" s="445">
        <v>0</v>
      </c>
      <c r="Y180" s="445">
        <v>0</v>
      </c>
      <c r="Z180" s="445">
        <v>0</v>
      </c>
      <c r="AA180" s="445">
        <v>0</v>
      </c>
      <c r="AB180" s="445">
        <v>0</v>
      </c>
      <c r="AC180" s="445">
        <v>0</v>
      </c>
      <c r="AD180" s="445">
        <v>0</v>
      </c>
      <c r="AE180" s="445">
        <v>0</v>
      </c>
    </row>
    <row r="181" spans="1:31">
      <c r="A181" s="444" t="s">
        <v>1179</v>
      </c>
      <c r="B181" s="445">
        <v>0</v>
      </c>
      <c r="C181" s="445">
        <v>0</v>
      </c>
      <c r="D181" s="445">
        <v>0</v>
      </c>
      <c r="E181" s="445">
        <v>0</v>
      </c>
      <c r="F181" s="445">
        <v>0</v>
      </c>
      <c r="G181" s="445">
        <v>0</v>
      </c>
      <c r="H181" s="445">
        <v>0</v>
      </c>
      <c r="I181" s="445">
        <v>0</v>
      </c>
      <c r="J181" s="445">
        <v>0</v>
      </c>
      <c r="K181" s="445">
        <v>0</v>
      </c>
      <c r="L181" s="445">
        <v>0</v>
      </c>
      <c r="M181" s="445">
        <v>0</v>
      </c>
      <c r="N181" s="445">
        <v>0</v>
      </c>
      <c r="P181" s="445">
        <v>0</v>
      </c>
      <c r="Q181" s="445">
        <v>0</v>
      </c>
      <c r="R181" s="445">
        <v>0</v>
      </c>
      <c r="S181" s="445">
        <v>0</v>
      </c>
      <c r="T181" s="445">
        <v>0</v>
      </c>
      <c r="U181" s="445">
        <v>0</v>
      </c>
      <c r="V181" s="445">
        <v>0</v>
      </c>
      <c r="W181" s="445">
        <v>0</v>
      </c>
      <c r="X181" s="445">
        <v>0</v>
      </c>
      <c r="Y181" s="445">
        <v>0</v>
      </c>
      <c r="Z181" s="445">
        <v>0</v>
      </c>
      <c r="AA181" s="445">
        <v>0</v>
      </c>
      <c r="AB181" s="445">
        <v>0</v>
      </c>
      <c r="AC181" s="445">
        <v>0</v>
      </c>
      <c r="AD181" s="445">
        <v>0</v>
      </c>
      <c r="AE181" s="445">
        <v>0</v>
      </c>
    </row>
    <row r="182" spans="1:31">
      <c r="A182" s="444" t="s">
        <v>1180</v>
      </c>
      <c r="B182" s="445">
        <v>0</v>
      </c>
      <c r="C182" s="445">
        <v>0</v>
      </c>
      <c r="D182" s="445">
        <v>0</v>
      </c>
      <c r="E182" s="445">
        <v>0</v>
      </c>
      <c r="F182" s="445">
        <v>0</v>
      </c>
      <c r="G182" s="445">
        <v>0</v>
      </c>
      <c r="H182" s="445">
        <v>0</v>
      </c>
      <c r="I182" s="445">
        <v>0</v>
      </c>
      <c r="J182" s="445">
        <v>0</v>
      </c>
      <c r="K182" s="445">
        <v>0</v>
      </c>
      <c r="L182" s="445">
        <v>0</v>
      </c>
      <c r="M182" s="445">
        <v>0</v>
      </c>
      <c r="N182" s="445">
        <v>0</v>
      </c>
      <c r="P182" s="445">
        <v>0</v>
      </c>
      <c r="Q182" s="445">
        <v>0</v>
      </c>
      <c r="R182" s="445">
        <v>0</v>
      </c>
      <c r="S182" s="445">
        <v>0</v>
      </c>
      <c r="T182" s="445">
        <v>0</v>
      </c>
      <c r="U182" s="445">
        <v>0</v>
      </c>
      <c r="V182" s="445">
        <v>0</v>
      </c>
      <c r="W182" s="445">
        <v>0</v>
      </c>
      <c r="X182" s="445">
        <v>0</v>
      </c>
      <c r="Y182" s="445">
        <v>0</v>
      </c>
      <c r="Z182" s="445">
        <v>0</v>
      </c>
      <c r="AA182" s="445">
        <v>0</v>
      </c>
      <c r="AB182" s="445">
        <v>0</v>
      </c>
      <c r="AC182" s="445">
        <v>0</v>
      </c>
      <c r="AD182" s="445">
        <v>0</v>
      </c>
      <c r="AE182" s="445">
        <v>0</v>
      </c>
    </row>
    <row r="183" spans="1:31">
      <c r="A183" s="444" t="s">
        <v>1181</v>
      </c>
      <c r="B183" s="445">
        <v>0</v>
      </c>
      <c r="C183" s="445">
        <v>0</v>
      </c>
      <c r="D183" s="445">
        <v>0</v>
      </c>
      <c r="E183" s="445">
        <v>0</v>
      </c>
      <c r="F183" s="445">
        <v>0</v>
      </c>
      <c r="G183" s="445">
        <v>0</v>
      </c>
      <c r="H183" s="445">
        <v>0</v>
      </c>
      <c r="I183" s="445">
        <v>0</v>
      </c>
      <c r="J183" s="445">
        <v>0</v>
      </c>
      <c r="K183" s="445">
        <v>0</v>
      </c>
      <c r="L183" s="445">
        <v>0</v>
      </c>
      <c r="M183" s="445">
        <v>0</v>
      </c>
      <c r="N183" s="445">
        <v>0</v>
      </c>
      <c r="P183" s="445">
        <v>0</v>
      </c>
      <c r="Q183" s="445">
        <v>0</v>
      </c>
      <c r="R183" s="445">
        <v>0</v>
      </c>
      <c r="S183" s="445">
        <v>0</v>
      </c>
      <c r="T183" s="445">
        <v>0</v>
      </c>
      <c r="U183" s="445">
        <v>0</v>
      </c>
      <c r="V183" s="445">
        <v>0</v>
      </c>
      <c r="W183" s="445">
        <v>0</v>
      </c>
      <c r="X183" s="445">
        <v>0</v>
      </c>
      <c r="Y183" s="445">
        <v>0</v>
      </c>
      <c r="Z183" s="445">
        <v>0</v>
      </c>
      <c r="AA183" s="445">
        <v>0</v>
      </c>
      <c r="AB183" s="445">
        <v>0</v>
      </c>
      <c r="AC183" s="445">
        <v>0</v>
      </c>
      <c r="AD183" s="445">
        <v>0</v>
      </c>
      <c r="AE183" s="445">
        <v>0</v>
      </c>
    </row>
    <row r="185" spans="1:31">
      <c r="A185" s="444" t="s">
        <v>1182</v>
      </c>
      <c r="B185" s="445">
        <v>0</v>
      </c>
      <c r="C185" s="445">
        <v>0</v>
      </c>
      <c r="D185" s="445">
        <v>0</v>
      </c>
      <c r="E185" s="445">
        <v>0</v>
      </c>
      <c r="F185" s="445">
        <v>0</v>
      </c>
      <c r="G185" s="445">
        <v>0</v>
      </c>
      <c r="H185" s="445">
        <v>0</v>
      </c>
      <c r="I185" s="445">
        <v>0</v>
      </c>
      <c r="J185" s="445">
        <v>0</v>
      </c>
      <c r="K185" s="445">
        <v>0</v>
      </c>
      <c r="L185" s="445">
        <v>0</v>
      </c>
      <c r="M185" s="445">
        <v>0</v>
      </c>
      <c r="N185" s="445">
        <v>0</v>
      </c>
      <c r="P185" s="445">
        <v>0</v>
      </c>
      <c r="Q185" s="445">
        <v>0</v>
      </c>
      <c r="R185" s="445">
        <v>0</v>
      </c>
      <c r="S185" s="445">
        <v>0</v>
      </c>
      <c r="T185" s="445">
        <v>0</v>
      </c>
      <c r="U185" s="445">
        <v>0</v>
      </c>
      <c r="V185" s="445">
        <v>0</v>
      </c>
      <c r="W185" s="445">
        <v>0</v>
      </c>
      <c r="X185" s="445">
        <v>0</v>
      </c>
      <c r="Y185" s="445">
        <v>0</v>
      </c>
      <c r="Z185" s="445">
        <v>0</v>
      </c>
      <c r="AA185" s="445">
        <v>0</v>
      </c>
      <c r="AB185" s="445">
        <v>0</v>
      </c>
      <c r="AC185" s="445">
        <v>0</v>
      </c>
      <c r="AD185" s="445">
        <v>0</v>
      </c>
      <c r="AE185" s="445">
        <v>0</v>
      </c>
    </row>
    <row r="186" spans="1:31">
      <c r="A186" s="444" t="s">
        <v>1183</v>
      </c>
      <c r="B186" s="445">
        <v>0</v>
      </c>
      <c r="C186" s="445">
        <v>0</v>
      </c>
      <c r="D186" s="445">
        <v>0</v>
      </c>
      <c r="E186" s="445">
        <v>0</v>
      </c>
      <c r="F186" s="445">
        <v>0</v>
      </c>
      <c r="G186" s="445">
        <v>0</v>
      </c>
      <c r="H186" s="445">
        <v>0</v>
      </c>
      <c r="I186" s="445">
        <v>0</v>
      </c>
      <c r="J186" s="445">
        <v>0</v>
      </c>
      <c r="K186" s="445">
        <v>0</v>
      </c>
      <c r="L186" s="445">
        <v>0</v>
      </c>
      <c r="M186" s="445">
        <v>0</v>
      </c>
      <c r="N186" s="445">
        <v>0</v>
      </c>
      <c r="P186" s="445">
        <v>0</v>
      </c>
      <c r="Q186" s="445">
        <v>0</v>
      </c>
      <c r="R186" s="445">
        <v>0</v>
      </c>
      <c r="S186" s="445">
        <v>0</v>
      </c>
      <c r="T186" s="445">
        <v>0</v>
      </c>
      <c r="U186" s="445">
        <v>0</v>
      </c>
      <c r="V186" s="445">
        <v>0</v>
      </c>
      <c r="W186" s="445">
        <v>0</v>
      </c>
      <c r="X186" s="445">
        <v>0</v>
      </c>
      <c r="Y186" s="445">
        <v>0</v>
      </c>
      <c r="Z186" s="445">
        <v>0</v>
      </c>
      <c r="AA186" s="445">
        <v>0</v>
      </c>
      <c r="AB186" s="445">
        <v>0</v>
      </c>
      <c r="AC186" s="445">
        <v>0</v>
      </c>
      <c r="AD186" s="445">
        <v>0</v>
      </c>
      <c r="AE186" s="445">
        <v>0</v>
      </c>
    </row>
    <row r="187" spans="1:31">
      <c r="A187" s="444" t="s">
        <v>1184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1185</v>
      </c>
      <c r="B188" s="445">
        <v>0</v>
      </c>
      <c r="C188" s="445">
        <v>0</v>
      </c>
      <c r="D188" s="445">
        <v>0</v>
      </c>
      <c r="E188" s="445">
        <v>0</v>
      </c>
      <c r="F188" s="445">
        <v>0</v>
      </c>
      <c r="G188" s="445">
        <v>0</v>
      </c>
      <c r="H188" s="445">
        <v>0</v>
      </c>
      <c r="I188" s="445">
        <v>0</v>
      </c>
      <c r="J188" s="445">
        <v>0</v>
      </c>
      <c r="K188" s="445">
        <v>0</v>
      </c>
      <c r="L188" s="445">
        <v>0</v>
      </c>
      <c r="M188" s="445">
        <v>0</v>
      </c>
      <c r="N188" s="445">
        <v>0</v>
      </c>
      <c r="P188" s="445">
        <v>0</v>
      </c>
      <c r="Q188" s="445">
        <v>0</v>
      </c>
      <c r="R188" s="445">
        <v>0</v>
      </c>
      <c r="S188" s="445">
        <v>0</v>
      </c>
      <c r="T188" s="445">
        <v>0</v>
      </c>
      <c r="U188" s="445">
        <v>0</v>
      </c>
      <c r="V188" s="445">
        <v>0</v>
      </c>
      <c r="W188" s="445">
        <v>0</v>
      </c>
      <c r="X188" s="445">
        <v>0</v>
      </c>
      <c r="Y188" s="445">
        <v>0</v>
      </c>
      <c r="Z188" s="445">
        <v>0</v>
      </c>
      <c r="AA188" s="445">
        <v>0</v>
      </c>
      <c r="AB188" s="445">
        <v>0</v>
      </c>
      <c r="AC188" s="445">
        <v>0</v>
      </c>
      <c r="AD188" s="445">
        <v>0</v>
      </c>
      <c r="AE188" s="445">
        <v>0</v>
      </c>
    </row>
    <row r="189" spans="1:31">
      <c r="A189" s="444" t="s">
        <v>1910</v>
      </c>
      <c r="B189" s="445">
        <v>0</v>
      </c>
      <c r="C189" s="445">
        <v>0</v>
      </c>
      <c r="D189" s="445">
        <v>0</v>
      </c>
      <c r="E189" s="445">
        <v>0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>
      <c r="A190" s="444" t="s">
        <v>1186</v>
      </c>
      <c r="B190" s="445">
        <v>0</v>
      </c>
      <c r="C190" s="445">
        <v>0</v>
      </c>
      <c r="D190" s="445">
        <v>0</v>
      </c>
      <c r="E190" s="445">
        <v>0</v>
      </c>
      <c r="F190" s="445">
        <v>0</v>
      </c>
      <c r="G190" s="445">
        <v>0</v>
      </c>
      <c r="H190" s="445">
        <v>0</v>
      </c>
      <c r="I190" s="445">
        <v>0</v>
      </c>
      <c r="J190" s="445">
        <v>0</v>
      </c>
      <c r="K190" s="445">
        <v>0</v>
      </c>
      <c r="L190" s="445">
        <v>0</v>
      </c>
      <c r="M190" s="445">
        <v>0</v>
      </c>
      <c r="N190" s="445">
        <v>0</v>
      </c>
      <c r="P190" s="445">
        <v>0</v>
      </c>
      <c r="Q190" s="445">
        <v>0</v>
      </c>
      <c r="R190" s="445">
        <v>0</v>
      </c>
      <c r="S190" s="445">
        <v>0</v>
      </c>
      <c r="T190" s="445">
        <v>0</v>
      </c>
      <c r="U190" s="445">
        <v>0</v>
      </c>
      <c r="V190" s="445">
        <v>0</v>
      </c>
      <c r="W190" s="445">
        <v>0</v>
      </c>
      <c r="X190" s="445">
        <v>0</v>
      </c>
      <c r="Y190" s="445">
        <v>0</v>
      </c>
      <c r="Z190" s="445">
        <v>0</v>
      </c>
      <c r="AA190" s="445">
        <v>0</v>
      </c>
      <c r="AB190" s="445">
        <v>0</v>
      </c>
      <c r="AC190" s="445">
        <v>0</v>
      </c>
      <c r="AD190" s="445">
        <v>0</v>
      </c>
      <c r="AE190" s="445">
        <v>0</v>
      </c>
    </row>
    <row r="191" spans="1:31">
      <c r="A191" s="444" t="s">
        <v>1187</v>
      </c>
      <c r="B191" s="445">
        <v>0</v>
      </c>
      <c r="C191" s="445">
        <v>0</v>
      </c>
      <c r="D191" s="445">
        <v>0</v>
      </c>
      <c r="E191" s="445">
        <v>0</v>
      </c>
      <c r="F191" s="445">
        <v>0</v>
      </c>
      <c r="G191" s="445">
        <v>0</v>
      </c>
      <c r="H191" s="445">
        <v>0</v>
      </c>
      <c r="I191" s="445">
        <v>0</v>
      </c>
      <c r="J191" s="445">
        <v>0</v>
      </c>
      <c r="K191" s="445">
        <v>0</v>
      </c>
      <c r="L191" s="445">
        <v>0</v>
      </c>
      <c r="M191" s="445">
        <v>0</v>
      </c>
      <c r="N191" s="445">
        <v>0</v>
      </c>
      <c r="P191" s="445">
        <v>0</v>
      </c>
      <c r="Q191" s="445">
        <v>0</v>
      </c>
      <c r="R191" s="445">
        <v>0</v>
      </c>
      <c r="S191" s="445">
        <v>0</v>
      </c>
      <c r="T191" s="445">
        <v>0</v>
      </c>
      <c r="U191" s="445">
        <v>0</v>
      </c>
      <c r="V191" s="445">
        <v>0</v>
      </c>
      <c r="W191" s="445">
        <v>0</v>
      </c>
      <c r="X191" s="445">
        <v>0</v>
      </c>
      <c r="Y191" s="445">
        <v>0</v>
      </c>
      <c r="Z191" s="445">
        <v>0</v>
      </c>
      <c r="AA191" s="445">
        <v>0</v>
      </c>
      <c r="AB191" s="445">
        <v>0</v>
      </c>
      <c r="AC191" s="445">
        <v>0</v>
      </c>
      <c r="AD191" s="445">
        <v>0</v>
      </c>
      <c r="AE191" s="445">
        <v>0</v>
      </c>
    </row>
    <row r="193" spans="1:31">
      <c r="A193" s="444" t="s">
        <v>1188</v>
      </c>
      <c r="B193" s="445">
        <v>0</v>
      </c>
      <c r="C193" s="445">
        <v>0</v>
      </c>
      <c r="D193" s="445">
        <v>0</v>
      </c>
      <c r="E193" s="445">
        <v>0</v>
      </c>
      <c r="F193" s="445">
        <v>0</v>
      </c>
      <c r="G193" s="445">
        <v>0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1189</v>
      </c>
      <c r="B194" s="445">
        <v>0</v>
      </c>
      <c r="C194" s="445">
        <v>0</v>
      </c>
      <c r="D194" s="445">
        <v>0</v>
      </c>
      <c r="E194" s="445">
        <v>0</v>
      </c>
      <c r="F194" s="445">
        <v>0</v>
      </c>
      <c r="G194" s="445">
        <v>0</v>
      </c>
      <c r="H194" s="445">
        <v>0</v>
      </c>
      <c r="I194" s="445">
        <v>0</v>
      </c>
      <c r="J194" s="445">
        <v>0</v>
      </c>
      <c r="K194" s="445">
        <v>0</v>
      </c>
      <c r="L194" s="445">
        <v>0</v>
      </c>
      <c r="M194" s="445">
        <v>0</v>
      </c>
      <c r="N194" s="445">
        <v>0</v>
      </c>
      <c r="P194" s="445">
        <v>0</v>
      </c>
      <c r="Q194" s="445">
        <v>0</v>
      </c>
      <c r="R194" s="445">
        <v>0</v>
      </c>
      <c r="S194" s="445">
        <v>0</v>
      </c>
      <c r="T194" s="445">
        <v>0</v>
      </c>
      <c r="U194" s="445">
        <v>0</v>
      </c>
      <c r="V194" s="445">
        <v>0</v>
      </c>
      <c r="W194" s="445">
        <v>0</v>
      </c>
      <c r="X194" s="445">
        <v>0</v>
      </c>
      <c r="Y194" s="445">
        <v>0</v>
      </c>
      <c r="Z194" s="445">
        <v>0</v>
      </c>
      <c r="AA194" s="445">
        <v>0</v>
      </c>
      <c r="AB194" s="445">
        <v>0</v>
      </c>
      <c r="AC194" s="445">
        <v>0</v>
      </c>
      <c r="AD194" s="445">
        <v>0</v>
      </c>
      <c r="AE194" s="445">
        <v>0</v>
      </c>
    </row>
    <row r="196" spans="1:31">
      <c r="A196" s="444" t="s">
        <v>1190</v>
      </c>
      <c r="B196" s="445">
        <v>0</v>
      </c>
      <c r="C196" s="445">
        <v>0</v>
      </c>
      <c r="D196" s="445">
        <v>0</v>
      </c>
      <c r="E196" s="445">
        <v>0</v>
      </c>
      <c r="F196" s="445">
        <v>0</v>
      </c>
      <c r="G196" s="445">
        <v>0</v>
      </c>
      <c r="H196" s="445">
        <v>0</v>
      </c>
      <c r="I196" s="445">
        <v>0</v>
      </c>
      <c r="J196" s="445">
        <v>0</v>
      </c>
      <c r="K196" s="445">
        <v>0</v>
      </c>
      <c r="L196" s="445">
        <v>0</v>
      </c>
      <c r="M196" s="445">
        <v>0</v>
      </c>
      <c r="N196" s="445">
        <v>0</v>
      </c>
      <c r="P196" s="445">
        <v>0</v>
      </c>
      <c r="Q196" s="445">
        <v>0</v>
      </c>
      <c r="R196" s="445">
        <v>0</v>
      </c>
      <c r="S196" s="445">
        <v>0</v>
      </c>
      <c r="T196" s="445">
        <v>0</v>
      </c>
      <c r="U196" s="445">
        <v>0</v>
      </c>
      <c r="V196" s="445">
        <v>0</v>
      </c>
      <c r="W196" s="445">
        <v>0</v>
      </c>
      <c r="X196" s="445">
        <v>0</v>
      </c>
      <c r="Y196" s="445">
        <v>0</v>
      </c>
      <c r="Z196" s="445">
        <v>0</v>
      </c>
      <c r="AA196" s="445">
        <v>0</v>
      </c>
      <c r="AB196" s="445">
        <v>0</v>
      </c>
      <c r="AC196" s="445">
        <v>0</v>
      </c>
      <c r="AD196" s="445">
        <v>0</v>
      </c>
      <c r="AE196" s="445">
        <v>0</v>
      </c>
    </row>
    <row r="197" spans="1:31">
      <c r="A197" s="444" t="s">
        <v>1191</v>
      </c>
      <c r="B197" s="445">
        <v>0</v>
      </c>
      <c r="C197" s="445">
        <v>0</v>
      </c>
      <c r="D197" s="445">
        <v>0</v>
      </c>
      <c r="E197" s="445">
        <v>0</v>
      </c>
      <c r="F197" s="445">
        <v>0</v>
      </c>
      <c r="G197" s="445">
        <v>0</v>
      </c>
      <c r="H197" s="445">
        <v>0</v>
      </c>
      <c r="I197" s="445">
        <v>0</v>
      </c>
      <c r="J197" s="445">
        <v>0</v>
      </c>
      <c r="K197" s="445">
        <v>0</v>
      </c>
      <c r="L197" s="445">
        <v>0</v>
      </c>
      <c r="M197" s="445">
        <v>0</v>
      </c>
      <c r="N197" s="445">
        <v>0</v>
      </c>
      <c r="P197" s="445">
        <v>0</v>
      </c>
      <c r="Q197" s="445">
        <v>0</v>
      </c>
      <c r="R197" s="445">
        <v>0</v>
      </c>
      <c r="S197" s="445">
        <v>0</v>
      </c>
      <c r="T197" s="445">
        <v>0</v>
      </c>
      <c r="U197" s="445">
        <v>0</v>
      </c>
      <c r="V197" s="445">
        <v>0</v>
      </c>
      <c r="W197" s="445">
        <v>0</v>
      </c>
      <c r="X197" s="445">
        <v>0</v>
      </c>
      <c r="Y197" s="445">
        <v>0</v>
      </c>
      <c r="Z197" s="445">
        <v>0</v>
      </c>
      <c r="AA197" s="445">
        <v>0</v>
      </c>
      <c r="AB197" s="445">
        <v>0</v>
      </c>
      <c r="AC197" s="445">
        <v>0</v>
      </c>
      <c r="AD197" s="445">
        <v>0</v>
      </c>
      <c r="AE197" s="445">
        <v>0</v>
      </c>
    </row>
    <row r="198" spans="1:31">
      <c r="A198" s="444" t="s">
        <v>1192</v>
      </c>
      <c r="B198" s="445">
        <v>0</v>
      </c>
      <c r="C198" s="445">
        <v>0</v>
      </c>
      <c r="D198" s="445">
        <v>0</v>
      </c>
      <c r="E198" s="445">
        <v>0</v>
      </c>
      <c r="F198" s="445">
        <v>0</v>
      </c>
      <c r="G198" s="445">
        <v>0</v>
      </c>
      <c r="H198" s="445">
        <v>0</v>
      </c>
      <c r="I198" s="445">
        <v>0</v>
      </c>
      <c r="J198" s="445">
        <v>0</v>
      </c>
      <c r="K198" s="445">
        <v>0</v>
      </c>
      <c r="L198" s="445">
        <v>0</v>
      </c>
      <c r="M198" s="445">
        <v>0</v>
      </c>
      <c r="N198" s="445">
        <v>0</v>
      </c>
      <c r="P198" s="445">
        <v>0</v>
      </c>
      <c r="Q198" s="445">
        <v>0</v>
      </c>
      <c r="R198" s="445">
        <v>0</v>
      </c>
      <c r="S198" s="445">
        <v>0</v>
      </c>
      <c r="T198" s="445">
        <v>0</v>
      </c>
      <c r="U198" s="445">
        <v>0</v>
      </c>
      <c r="V198" s="445">
        <v>0</v>
      </c>
      <c r="W198" s="445">
        <v>0</v>
      </c>
      <c r="X198" s="445">
        <v>0</v>
      </c>
      <c r="Y198" s="445">
        <v>0</v>
      </c>
      <c r="Z198" s="445">
        <v>0</v>
      </c>
      <c r="AA198" s="445">
        <v>0</v>
      </c>
      <c r="AB198" s="445">
        <v>0</v>
      </c>
      <c r="AC198" s="445">
        <v>0</v>
      </c>
      <c r="AD198" s="445">
        <v>0</v>
      </c>
      <c r="AE198" s="445">
        <v>0</v>
      </c>
    </row>
    <row r="199" spans="1:31">
      <c r="A199" s="444" t="s">
        <v>1193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>
      <c r="A200" s="444" t="s">
        <v>1194</v>
      </c>
      <c r="B200" s="445">
        <v>0</v>
      </c>
      <c r="C200" s="445">
        <v>0</v>
      </c>
      <c r="D200" s="445">
        <v>0</v>
      </c>
      <c r="E200" s="445">
        <v>0</v>
      </c>
      <c r="F200" s="445">
        <v>0</v>
      </c>
      <c r="G200" s="445">
        <v>0</v>
      </c>
      <c r="H200" s="445">
        <v>0</v>
      </c>
      <c r="I200" s="445">
        <v>0</v>
      </c>
      <c r="J200" s="445">
        <v>0</v>
      </c>
      <c r="K200" s="445">
        <v>0</v>
      </c>
      <c r="L200" s="445">
        <v>0</v>
      </c>
      <c r="M200" s="445">
        <v>0</v>
      </c>
      <c r="N200" s="445">
        <v>0</v>
      </c>
      <c r="P200" s="445">
        <v>0</v>
      </c>
      <c r="Q200" s="445">
        <v>0</v>
      </c>
      <c r="R200" s="445">
        <v>0</v>
      </c>
      <c r="S200" s="445">
        <v>0</v>
      </c>
      <c r="T200" s="445">
        <v>0</v>
      </c>
      <c r="U200" s="445">
        <v>0</v>
      </c>
      <c r="V200" s="445">
        <v>0</v>
      </c>
      <c r="W200" s="445">
        <v>0</v>
      </c>
      <c r="X200" s="445">
        <v>0</v>
      </c>
      <c r="Y200" s="445">
        <v>0</v>
      </c>
      <c r="Z200" s="445">
        <v>0</v>
      </c>
      <c r="AA200" s="445">
        <v>0</v>
      </c>
      <c r="AB200" s="445">
        <v>0</v>
      </c>
      <c r="AC200" s="445">
        <v>0</v>
      </c>
      <c r="AD200" s="445">
        <v>0</v>
      </c>
      <c r="AE200" s="445">
        <v>0</v>
      </c>
    </row>
    <row r="201" spans="1:31">
      <c r="A201" s="444" t="s">
        <v>1195</v>
      </c>
      <c r="B201" s="445">
        <v>0</v>
      </c>
      <c r="C201" s="445">
        <v>0</v>
      </c>
      <c r="D201" s="445">
        <v>0</v>
      </c>
      <c r="E201" s="445">
        <v>0</v>
      </c>
      <c r="F201" s="445">
        <v>0</v>
      </c>
      <c r="G201" s="445">
        <v>0</v>
      </c>
      <c r="H201" s="445">
        <v>0</v>
      </c>
      <c r="I201" s="445">
        <v>0</v>
      </c>
      <c r="J201" s="445">
        <v>0</v>
      </c>
      <c r="K201" s="445">
        <v>0</v>
      </c>
      <c r="L201" s="445">
        <v>0</v>
      </c>
      <c r="M201" s="445">
        <v>0</v>
      </c>
      <c r="N201" s="445">
        <v>0</v>
      </c>
      <c r="P201" s="445">
        <v>0</v>
      </c>
      <c r="Q201" s="445">
        <v>0</v>
      </c>
      <c r="R201" s="445">
        <v>0</v>
      </c>
      <c r="S201" s="445">
        <v>0</v>
      </c>
      <c r="T201" s="445">
        <v>0</v>
      </c>
      <c r="U201" s="445">
        <v>0</v>
      </c>
      <c r="V201" s="445">
        <v>0</v>
      </c>
      <c r="W201" s="445">
        <v>0</v>
      </c>
      <c r="X201" s="445">
        <v>0</v>
      </c>
      <c r="Y201" s="445">
        <v>0</v>
      </c>
      <c r="Z201" s="445">
        <v>0</v>
      </c>
      <c r="AA201" s="445">
        <v>0</v>
      </c>
      <c r="AB201" s="445">
        <v>0</v>
      </c>
      <c r="AC201" s="445">
        <v>0</v>
      </c>
      <c r="AD201" s="445">
        <v>0</v>
      </c>
      <c r="AE201" s="445">
        <v>0</v>
      </c>
    </row>
    <row r="202" spans="1:31">
      <c r="A202" s="444" t="s">
        <v>1196</v>
      </c>
      <c r="B202" s="445">
        <v>0</v>
      </c>
      <c r="C202" s="445">
        <v>0</v>
      </c>
      <c r="D202" s="445">
        <v>0</v>
      </c>
      <c r="E202" s="445">
        <v>0</v>
      </c>
      <c r="F202" s="445">
        <v>0</v>
      </c>
      <c r="G202" s="445">
        <v>0</v>
      </c>
      <c r="H202" s="445">
        <v>0</v>
      </c>
      <c r="I202" s="445">
        <v>0</v>
      </c>
      <c r="J202" s="445">
        <v>0</v>
      </c>
      <c r="K202" s="445">
        <v>0</v>
      </c>
      <c r="L202" s="445">
        <v>0</v>
      </c>
      <c r="M202" s="445">
        <v>0</v>
      </c>
      <c r="N202" s="445">
        <v>0</v>
      </c>
      <c r="P202" s="445">
        <v>0</v>
      </c>
      <c r="Q202" s="445">
        <v>0</v>
      </c>
      <c r="R202" s="445">
        <v>0</v>
      </c>
      <c r="S202" s="445">
        <v>0</v>
      </c>
      <c r="T202" s="445">
        <v>0</v>
      </c>
      <c r="U202" s="445">
        <v>0</v>
      </c>
      <c r="V202" s="445">
        <v>0</v>
      </c>
      <c r="W202" s="445">
        <v>0</v>
      </c>
      <c r="X202" s="445">
        <v>0</v>
      </c>
      <c r="Y202" s="445">
        <v>0</v>
      </c>
      <c r="Z202" s="445">
        <v>0</v>
      </c>
      <c r="AA202" s="445">
        <v>0</v>
      </c>
      <c r="AB202" s="445">
        <v>0</v>
      </c>
      <c r="AC202" s="445">
        <v>0</v>
      </c>
      <c r="AD202" s="445">
        <v>0</v>
      </c>
      <c r="AE202" s="445">
        <v>0</v>
      </c>
    </row>
    <row r="203" spans="1:31">
      <c r="A203" s="444" t="s">
        <v>1197</v>
      </c>
      <c r="B203" s="445">
        <v>0</v>
      </c>
      <c r="C203" s="445">
        <v>0</v>
      </c>
      <c r="D203" s="445">
        <v>0</v>
      </c>
      <c r="E203" s="445">
        <v>0</v>
      </c>
      <c r="F203" s="445">
        <v>0</v>
      </c>
      <c r="G203" s="445">
        <v>0</v>
      </c>
      <c r="H203" s="445">
        <v>0</v>
      </c>
      <c r="I203" s="445">
        <v>0</v>
      </c>
      <c r="J203" s="445">
        <v>0</v>
      </c>
      <c r="K203" s="445">
        <v>0</v>
      </c>
      <c r="L203" s="445">
        <v>0</v>
      </c>
      <c r="M203" s="445">
        <v>0</v>
      </c>
      <c r="N203" s="445">
        <v>0</v>
      </c>
      <c r="P203" s="445">
        <v>0</v>
      </c>
      <c r="Q203" s="445">
        <v>0</v>
      </c>
      <c r="R203" s="445">
        <v>0</v>
      </c>
      <c r="S203" s="445">
        <v>0</v>
      </c>
      <c r="T203" s="445">
        <v>0</v>
      </c>
      <c r="U203" s="445">
        <v>0</v>
      </c>
      <c r="V203" s="445">
        <v>0</v>
      </c>
      <c r="W203" s="445">
        <v>0</v>
      </c>
      <c r="X203" s="445">
        <v>0</v>
      </c>
      <c r="Y203" s="445">
        <v>0</v>
      </c>
      <c r="Z203" s="445">
        <v>0</v>
      </c>
      <c r="AA203" s="445">
        <v>0</v>
      </c>
      <c r="AB203" s="445">
        <v>0</v>
      </c>
      <c r="AC203" s="445">
        <v>0</v>
      </c>
      <c r="AD203" s="445">
        <v>0</v>
      </c>
      <c r="AE203" s="445">
        <v>0</v>
      </c>
    </row>
    <row r="204" spans="1:31">
      <c r="A204" s="444" t="s">
        <v>1198</v>
      </c>
      <c r="B204" s="445">
        <v>0</v>
      </c>
      <c r="C204" s="445">
        <v>0</v>
      </c>
      <c r="D204" s="445">
        <v>0</v>
      </c>
      <c r="E204" s="445">
        <v>0</v>
      </c>
      <c r="F204" s="445">
        <v>0</v>
      </c>
      <c r="G204" s="445">
        <v>0</v>
      </c>
      <c r="H204" s="445">
        <v>0</v>
      </c>
      <c r="I204" s="445">
        <v>0</v>
      </c>
      <c r="J204" s="445">
        <v>0</v>
      </c>
      <c r="K204" s="445">
        <v>0</v>
      </c>
      <c r="L204" s="445">
        <v>0</v>
      </c>
      <c r="M204" s="445">
        <v>0</v>
      </c>
      <c r="N204" s="445">
        <v>0</v>
      </c>
      <c r="P204" s="445">
        <v>0</v>
      </c>
      <c r="Q204" s="445">
        <v>0</v>
      </c>
      <c r="R204" s="445">
        <v>0</v>
      </c>
      <c r="S204" s="445">
        <v>0</v>
      </c>
      <c r="T204" s="445">
        <v>0</v>
      </c>
      <c r="U204" s="445">
        <v>0</v>
      </c>
      <c r="V204" s="445">
        <v>0</v>
      </c>
      <c r="W204" s="445">
        <v>0</v>
      </c>
      <c r="X204" s="445">
        <v>0</v>
      </c>
      <c r="Y204" s="445">
        <v>0</v>
      </c>
      <c r="Z204" s="445">
        <v>0</v>
      </c>
      <c r="AA204" s="445">
        <v>0</v>
      </c>
      <c r="AB204" s="445">
        <v>0</v>
      </c>
      <c r="AC204" s="445">
        <v>0</v>
      </c>
      <c r="AD204" s="445">
        <v>0</v>
      </c>
      <c r="AE204" s="445">
        <v>0</v>
      </c>
    </row>
    <row r="205" spans="1:31">
      <c r="A205" s="444" t="s">
        <v>1199</v>
      </c>
      <c r="B205" s="445">
        <v>0</v>
      </c>
      <c r="C205" s="445">
        <v>0</v>
      </c>
      <c r="D205" s="445">
        <v>0</v>
      </c>
      <c r="E205" s="445">
        <v>0</v>
      </c>
      <c r="F205" s="445">
        <v>0</v>
      </c>
      <c r="G205" s="445">
        <v>0</v>
      </c>
      <c r="H205" s="445">
        <v>0</v>
      </c>
      <c r="I205" s="445">
        <v>0</v>
      </c>
      <c r="J205" s="445">
        <v>0</v>
      </c>
      <c r="K205" s="445">
        <v>0</v>
      </c>
      <c r="L205" s="445">
        <v>0</v>
      </c>
      <c r="M205" s="445">
        <v>0</v>
      </c>
      <c r="N205" s="445">
        <v>0</v>
      </c>
      <c r="P205" s="445">
        <v>0</v>
      </c>
      <c r="Q205" s="445">
        <v>0</v>
      </c>
      <c r="R205" s="445">
        <v>0</v>
      </c>
      <c r="S205" s="445">
        <v>0</v>
      </c>
      <c r="T205" s="445">
        <v>0</v>
      </c>
      <c r="U205" s="445">
        <v>0</v>
      </c>
      <c r="V205" s="445">
        <v>0</v>
      </c>
      <c r="W205" s="445">
        <v>0</v>
      </c>
      <c r="X205" s="445">
        <v>0</v>
      </c>
      <c r="Y205" s="445">
        <v>0</v>
      </c>
      <c r="Z205" s="445">
        <v>0</v>
      </c>
      <c r="AA205" s="445">
        <v>0</v>
      </c>
      <c r="AB205" s="445">
        <v>0</v>
      </c>
      <c r="AC205" s="445">
        <v>0</v>
      </c>
      <c r="AD205" s="445">
        <v>0</v>
      </c>
      <c r="AE205" s="445">
        <v>0</v>
      </c>
    </row>
    <row r="207" spans="1:31">
      <c r="A207" s="444" t="s">
        <v>1200</v>
      </c>
      <c r="B207" s="445">
        <v>0</v>
      </c>
      <c r="C207" s="445">
        <v>0</v>
      </c>
      <c r="D207" s="445">
        <v>0</v>
      </c>
      <c r="E207" s="445">
        <v>0</v>
      </c>
      <c r="F207" s="445">
        <v>0</v>
      </c>
      <c r="G207" s="445">
        <v>0</v>
      </c>
      <c r="H207" s="445">
        <v>0</v>
      </c>
      <c r="I207" s="445">
        <v>0</v>
      </c>
      <c r="J207" s="445">
        <v>0</v>
      </c>
      <c r="K207" s="445">
        <v>0</v>
      </c>
      <c r="L207" s="445">
        <v>0</v>
      </c>
      <c r="M207" s="445">
        <v>0</v>
      </c>
      <c r="N207" s="445">
        <v>0</v>
      </c>
      <c r="P207" s="445">
        <v>0</v>
      </c>
      <c r="Q207" s="445">
        <v>0</v>
      </c>
      <c r="R207" s="445">
        <v>0</v>
      </c>
      <c r="S207" s="445">
        <v>0</v>
      </c>
      <c r="T207" s="445">
        <v>0</v>
      </c>
      <c r="U207" s="445">
        <v>0</v>
      </c>
      <c r="V207" s="445">
        <v>0</v>
      </c>
      <c r="W207" s="445">
        <v>0</v>
      </c>
      <c r="X207" s="445">
        <v>0</v>
      </c>
      <c r="Y207" s="445">
        <v>0</v>
      </c>
      <c r="Z207" s="445">
        <v>0</v>
      </c>
      <c r="AA207" s="445">
        <v>0</v>
      </c>
      <c r="AB207" s="445">
        <v>0</v>
      </c>
      <c r="AC207" s="445">
        <v>0</v>
      </c>
      <c r="AD207" s="445">
        <v>0</v>
      </c>
      <c r="AE207" s="445">
        <v>0</v>
      </c>
    </row>
    <row r="208" spans="1:31">
      <c r="A208" s="444" t="s">
        <v>1201</v>
      </c>
      <c r="B208" s="445">
        <v>0</v>
      </c>
      <c r="C208" s="445">
        <v>0</v>
      </c>
      <c r="D208" s="445">
        <v>0</v>
      </c>
      <c r="E208" s="445">
        <v>0</v>
      </c>
      <c r="F208" s="445">
        <v>0</v>
      </c>
      <c r="G208" s="445">
        <v>0</v>
      </c>
      <c r="H208" s="445">
        <v>0</v>
      </c>
      <c r="I208" s="445">
        <v>0</v>
      </c>
      <c r="J208" s="445">
        <v>0</v>
      </c>
      <c r="K208" s="445">
        <v>0</v>
      </c>
      <c r="L208" s="445">
        <v>0</v>
      </c>
      <c r="M208" s="445">
        <v>0</v>
      </c>
      <c r="N208" s="445">
        <v>0</v>
      </c>
      <c r="P208" s="445">
        <v>0</v>
      </c>
      <c r="Q208" s="445">
        <v>0</v>
      </c>
      <c r="R208" s="445">
        <v>0</v>
      </c>
      <c r="S208" s="445">
        <v>0</v>
      </c>
      <c r="T208" s="445">
        <v>0</v>
      </c>
      <c r="U208" s="445">
        <v>0</v>
      </c>
      <c r="V208" s="445">
        <v>0</v>
      </c>
      <c r="W208" s="445">
        <v>0</v>
      </c>
      <c r="X208" s="445">
        <v>0</v>
      </c>
      <c r="Y208" s="445">
        <v>0</v>
      </c>
      <c r="Z208" s="445">
        <v>0</v>
      </c>
      <c r="AA208" s="445">
        <v>0</v>
      </c>
      <c r="AB208" s="445">
        <v>0</v>
      </c>
      <c r="AC208" s="445">
        <v>0</v>
      </c>
      <c r="AD208" s="445">
        <v>0</v>
      </c>
      <c r="AE208" s="445">
        <v>0</v>
      </c>
    </row>
    <row r="209" spans="1:31">
      <c r="A209" s="444" t="s">
        <v>1202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1203</v>
      </c>
      <c r="B210" s="445">
        <v>0</v>
      </c>
      <c r="C210" s="445">
        <v>0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1204</v>
      </c>
      <c r="B211" s="445">
        <v>0</v>
      </c>
      <c r="C211" s="445">
        <v>0</v>
      </c>
      <c r="D211" s="445">
        <v>0</v>
      </c>
      <c r="E211" s="445">
        <v>0</v>
      </c>
      <c r="F211" s="445">
        <v>0</v>
      </c>
      <c r="G211" s="445">
        <v>0</v>
      </c>
      <c r="H211" s="445">
        <v>0</v>
      </c>
      <c r="I211" s="445">
        <v>0</v>
      </c>
      <c r="J211" s="445">
        <v>0</v>
      </c>
      <c r="K211" s="445">
        <v>0</v>
      </c>
      <c r="L211" s="445">
        <v>0</v>
      </c>
      <c r="M211" s="445">
        <v>0</v>
      </c>
      <c r="N211" s="445">
        <v>0</v>
      </c>
      <c r="P211" s="445">
        <v>0</v>
      </c>
      <c r="Q211" s="445">
        <v>0</v>
      </c>
      <c r="R211" s="445">
        <v>0</v>
      </c>
      <c r="S211" s="445">
        <v>0</v>
      </c>
      <c r="T211" s="445">
        <v>0</v>
      </c>
      <c r="U211" s="445">
        <v>0</v>
      </c>
      <c r="V211" s="445">
        <v>0</v>
      </c>
      <c r="W211" s="445">
        <v>0</v>
      </c>
      <c r="X211" s="445">
        <v>0</v>
      </c>
      <c r="Y211" s="445">
        <v>0</v>
      </c>
      <c r="Z211" s="445">
        <v>0</v>
      </c>
      <c r="AA211" s="445">
        <v>0</v>
      </c>
      <c r="AB211" s="445">
        <v>0</v>
      </c>
      <c r="AC211" s="445">
        <v>0</v>
      </c>
      <c r="AD211" s="445">
        <v>0</v>
      </c>
      <c r="AE211" s="445">
        <v>0</v>
      </c>
    </row>
    <row r="212" spans="1:31">
      <c r="A212" s="444" t="s">
        <v>1205</v>
      </c>
      <c r="B212" s="445">
        <v>0</v>
      </c>
      <c r="C212" s="445">
        <v>0</v>
      </c>
      <c r="D212" s="445">
        <v>0</v>
      </c>
      <c r="E212" s="445">
        <v>0</v>
      </c>
      <c r="F212" s="445">
        <v>0</v>
      </c>
      <c r="G212" s="445">
        <v>0</v>
      </c>
      <c r="H212" s="445">
        <v>0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>
      <c r="A213" s="444" t="s">
        <v>1736</v>
      </c>
      <c r="B213" s="445">
        <v>0</v>
      </c>
      <c r="C213" s="445">
        <v>0</v>
      </c>
      <c r="D213" s="445">
        <v>0</v>
      </c>
      <c r="E213" s="445">
        <v>0</v>
      </c>
      <c r="F213" s="445">
        <v>0</v>
      </c>
      <c r="G213" s="445">
        <v>0</v>
      </c>
      <c r="H213" s="445">
        <v>0</v>
      </c>
      <c r="I213" s="445">
        <v>0</v>
      </c>
      <c r="J213" s="445">
        <v>0</v>
      </c>
      <c r="K213" s="445">
        <v>0</v>
      </c>
      <c r="L213" s="445">
        <v>0</v>
      </c>
      <c r="M213" s="445">
        <v>0</v>
      </c>
      <c r="N213" s="445">
        <v>0</v>
      </c>
      <c r="P213" s="445">
        <v>0</v>
      </c>
      <c r="Q213" s="445">
        <v>0</v>
      </c>
      <c r="R213" s="445">
        <v>0</v>
      </c>
      <c r="S213" s="445">
        <v>0</v>
      </c>
      <c r="T213" s="445">
        <v>0</v>
      </c>
      <c r="U213" s="445">
        <v>0</v>
      </c>
      <c r="V213" s="445">
        <v>0</v>
      </c>
      <c r="W213" s="445">
        <v>0</v>
      </c>
      <c r="X213" s="445">
        <v>0</v>
      </c>
      <c r="Y213" s="445">
        <v>0</v>
      </c>
      <c r="Z213" s="445">
        <v>0</v>
      </c>
      <c r="AA213" s="445">
        <v>0</v>
      </c>
      <c r="AB213" s="445">
        <v>0</v>
      </c>
      <c r="AC213" s="445">
        <v>0</v>
      </c>
      <c r="AD213" s="445">
        <v>0</v>
      </c>
      <c r="AE213" s="445">
        <v>0</v>
      </c>
    </row>
    <row r="214" spans="1:31">
      <c r="A214" s="444" t="s">
        <v>1206</v>
      </c>
      <c r="B214" s="445">
        <v>0</v>
      </c>
      <c r="C214" s="445">
        <v>0</v>
      </c>
      <c r="D214" s="445">
        <v>0</v>
      </c>
      <c r="E214" s="445">
        <v>0</v>
      </c>
      <c r="F214" s="445">
        <v>0</v>
      </c>
      <c r="G214" s="445">
        <v>0</v>
      </c>
      <c r="H214" s="445">
        <v>0</v>
      </c>
      <c r="I214" s="445">
        <v>0</v>
      </c>
      <c r="J214" s="445">
        <v>0</v>
      </c>
      <c r="K214" s="445">
        <v>0</v>
      </c>
      <c r="L214" s="445">
        <v>0</v>
      </c>
      <c r="M214" s="445">
        <v>0</v>
      </c>
      <c r="N214" s="445">
        <v>0</v>
      </c>
      <c r="P214" s="445">
        <v>0</v>
      </c>
      <c r="Q214" s="445">
        <v>0</v>
      </c>
      <c r="R214" s="445">
        <v>0</v>
      </c>
      <c r="S214" s="445">
        <v>0</v>
      </c>
      <c r="T214" s="445">
        <v>0</v>
      </c>
      <c r="U214" s="445">
        <v>0</v>
      </c>
      <c r="V214" s="445">
        <v>0</v>
      </c>
      <c r="W214" s="445">
        <v>0</v>
      </c>
      <c r="X214" s="445">
        <v>0</v>
      </c>
      <c r="Y214" s="445">
        <v>0</v>
      </c>
      <c r="Z214" s="445">
        <v>0</v>
      </c>
      <c r="AA214" s="445">
        <v>0</v>
      </c>
      <c r="AB214" s="445">
        <v>0</v>
      </c>
      <c r="AC214" s="445">
        <v>0</v>
      </c>
      <c r="AD214" s="445">
        <v>0</v>
      </c>
      <c r="AE214" s="445">
        <v>0</v>
      </c>
    </row>
    <row r="215" spans="1:31">
      <c r="A215" s="444" t="s">
        <v>1207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 s="443" customFormat="1">
      <c r="A216" s="444"/>
      <c r="B216" s="445"/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</row>
    <row r="217" spans="1:31">
      <c r="A217" s="446" t="s">
        <v>1208</v>
      </c>
      <c r="B217" s="442"/>
      <c r="C217" s="442"/>
      <c r="D217" s="442"/>
      <c r="E217" s="442"/>
      <c r="F217" s="442"/>
      <c r="G217" s="442"/>
      <c r="H217" s="442"/>
      <c r="I217" s="442"/>
      <c r="J217" s="442"/>
      <c r="K217" s="442"/>
      <c r="L217" s="442"/>
      <c r="M217" s="442"/>
      <c r="N217" s="442"/>
      <c r="P217" s="442"/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  <c r="AA217" s="442"/>
      <c r="AB217" s="442"/>
      <c r="AC217" s="442"/>
      <c r="AD217" s="442"/>
      <c r="AE217" s="442"/>
    </row>
    <row r="218" spans="1:31">
      <c r="A218" s="444" t="s">
        <v>1209</v>
      </c>
      <c r="B218" s="445">
        <v>95.15061</v>
      </c>
      <c r="C218" s="445">
        <v>116.83131</v>
      </c>
      <c r="D218" s="445">
        <v>110.79634</v>
      </c>
      <c r="E218" s="445">
        <v>116.92395</v>
      </c>
      <c r="F218" s="445">
        <v>106.76984</v>
      </c>
      <c r="G218" s="445">
        <v>119.24773999999999</v>
      </c>
      <c r="H218" s="445">
        <v>100.20966</v>
      </c>
      <c r="I218" s="445">
        <v>124.84696</v>
      </c>
      <c r="J218" s="445">
        <v>134.28016</v>
      </c>
      <c r="K218" s="445">
        <v>126.72351999999999</v>
      </c>
      <c r="L218" s="445">
        <v>135.78767999999999</v>
      </c>
      <c r="M218" s="445">
        <v>118.60968</v>
      </c>
      <c r="N218" s="445">
        <v>117.22816</v>
      </c>
      <c r="P218" s="445">
        <v>141.3664</v>
      </c>
      <c r="Q218" s="445">
        <v>119.16408</v>
      </c>
      <c r="R218" s="445">
        <v>129.75816</v>
      </c>
      <c r="S218" s="445">
        <v>152.60952</v>
      </c>
      <c r="T218" s="445">
        <v>144.88040000000001</v>
      </c>
      <c r="U218" s="445">
        <v>122.94911999999999</v>
      </c>
      <c r="V218" s="445">
        <v>133.46088</v>
      </c>
      <c r="W218" s="445">
        <v>135.01096000000001</v>
      </c>
      <c r="X218" s="445">
        <v>128.95959999999999</v>
      </c>
      <c r="Y218" s="445">
        <v>137.93024</v>
      </c>
      <c r="Z218" s="445">
        <v>114.41472</v>
      </c>
      <c r="AA218" s="445">
        <v>104.31511999999999</v>
      </c>
      <c r="AB218" s="445">
        <v>142.87672000000001</v>
      </c>
      <c r="AC218" s="445">
        <v>120.35352</v>
      </c>
      <c r="AD218" s="445">
        <v>135.08600000000001</v>
      </c>
      <c r="AE218" s="445">
        <v>153.78103999999999</v>
      </c>
    </row>
    <row r="219" spans="1:31">
      <c r="A219" s="444" t="s">
        <v>1210</v>
      </c>
      <c r="B219" s="445">
        <v>191.87627999999901</v>
      </c>
      <c r="C219" s="445">
        <v>196.09629999999899</v>
      </c>
      <c r="D219" s="445">
        <v>196.56196</v>
      </c>
      <c r="E219" s="445">
        <v>201.53478999999999</v>
      </c>
      <c r="F219" s="445">
        <v>211.97756000000001</v>
      </c>
      <c r="G219" s="445">
        <v>203.478309999999</v>
      </c>
      <c r="H219" s="445">
        <v>202.4675</v>
      </c>
      <c r="I219" s="445">
        <v>221.43688</v>
      </c>
      <c r="J219" s="445">
        <v>214.56064000000001</v>
      </c>
      <c r="K219" s="445">
        <v>207.70792</v>
      </c>
      <c r="L219" s="445">
        <v>228.59031999999999</v>
      </c>
      <c r="M219" s="445">
        <v>210.88928000000001</v>
      </c>
      <c r="N219" s="445">
        <v>218.85303999999999</v>
      </c>
      <c r="P219" s="445">
        <v>218.76568</v>
      </c>
      <c r="Q219" s="445">
        <v>212.03111999999999</v>
      </c>
      <c r="R219" s="445">
        <v>213.13095999999999</v>
      </c>
      <c r="S219" s="445">
        <v>226.95568</v>
      </c>
      <c r="T219" s="445">
        <v>220.19479999999999</v>
      </c>
      <c r="U219" s="445">
        <v>276.50504000000001</v>
      </c>
      <c r="V219" s="445">
        <v>283.09064000000001</v>
      </c>
      <c r="W219" s="445">
        <v>305.61552</v>
      </c>
      <c r="X219" s="445">
        <v>278.52663999999999</v>
      </c>
      <c r="Y219" s="445">
        <v>306.62688000000003</v>
      </c>
      <c r="Z219" s="445">
        <v>278.71928000000003</v>
      </c>
      <c r="AA219" s="445">
        <v>301.37743999999998</v>
      </c>
      <c r="AB219" s="445">
        <v>300.6472</v>
      </c>
      <c r="AC219" s="445">
        <v>293.72336000000001</v>
      </c>
      <c r="AD219" s="445">
        <v>296.88231999999999</v>
      </c>
      <c r="AE219" s="445">
        <v>305.88319999999999</v>
      </c>
    </row>
    <row r="220" spans="1:31">
      <c r="A220" s="444" t="s">
        <v>1211</v>
      </c>
      <c r="B220" s="445">
        <v>493.34143</v>
      </c>
      <c r="C220" s="445">
        <v>542.87058999999999</v>
      </c>
      <c r="D220" s="445">
        <v>559.45845999999995</v>
      </c>
      <c r="E220" s="445">
        <v>619.51604999999995</v>
      </c>
      <c r="F220" s="445">
        <v>561.61820999999998</v>
      </c>
      <c r="G220" s="445">
        <v>615.46446000000003</v>
      </c>
      <c r="H220" s="445">
        <v>564.098469999999</v>
      </c>
      <c r="I220" s="445">
        <v>566.10064</v>
      </c>
      <c r="J220" s="445">
        <v>611.45447999999999</v>
      </c>
      <c r="K220" s="445">
        <v>592.62783999999999</v>
      </c>
      <c r="L220" s="445">
        <v>659.66656</v>
      </c>
      <c r="M220" s="445">
        <v>602.52359999999999</v>
      </c>
      <c r="N220" s="445">
        <v>603.40056000000004</v>
      </c>
      <c r="P220" s="445">
        <v>609.53200000000004</v>
      </c>
      <c r="Q220" s="445">
        <v>542.63664000000006</v>
      </c>
      <c r="R220" s="445">
        <v>591.38855999999998</v>
      </c>
      <c r="S220" s="445">
        <v>571.90952000000004</v>
      </c>
      <c r="T220" s="445">
        <v>638.82784000000004</v>
      </c>
      <c r="U220" s="445">
        <v>577.58176000000003</v>
      </c>
      <c r="V220" s="445">
        <v>606.83727999999996</v>
      </c>
      <c r="W220" s="445">
        <v>634.01688000000001</v>
      </c>
      <c r="X220" s="445">
        <v>583.44272000000001</v>
      </c>
      <c r="Y220" s="445">
        <v>649.21807999999999</v>
      </c>
      <c r="Z220" s="445">
        <v>566.88239999999996</v>
      </c>
      <c r="AA220" s="445">
        <v>563.17687999999998</v>
      </c>
      <c r="AB220" s="445">
        <v>581.17023999999901</v>
      </c>
      <c r="AC220" s="445">
        <v>514.53696000000002</v>
      </c>
      <c r="AD220" s="445">
        <v>584.18696</v>
      </c>
      <c r="AE220" s="445">
        <v>545.83816000000002</v>
      </c>
    </row>
    <row r="221" spans="1:31">
      <c r="A221" s="444" t="s">
        <v>1212</v>
      </c>
      <c r="B221" s="445">
        <v>453.17146000000002</v>
      </c>
      <c r="C221" s="445">
        <v>246.45704000000001</v>
      </c>
      <c r="D221" s="445">
        <v>148.92122000000001</v>
      </c>
      <c r="E221" s="445">
        <v>135.95050000000001</v>
      </c>
      <c r="F221" s="445">
        <v>138.83583999999999</v>
      </c>
      <c r="G221" s="445">
        <v>162.58438000000001</v>
      </c>
      <c r="H221" s="445">
        <v>161.03262999999899</v>
      </c>
      <c r="I221" s="445">
        <v>470</v>
      </c>
      <c r="J221" s="445">
        <v>367.35799999999898</v>
      </c>
      <c r="K221" s="445">
        <v>333</v>
      </c>
      <c r="L221" s="445">
        <v>163.26999999999899</v>
      </c>
      <c r="M221" s="445">
        <v>86</v>
      </c>
      <c r="N221" s="445">
        <v>102.044</v>
      </c>
      <c r="P221" s="445">
        <v>238.28099999999901</v>
      </c>
      <c r="Q221" s="445">
        <v>158.93299999999999</v>
      </c>
      <c r="R221" s="445">
        <v>175.80399999999901</v>
      </c>
      <c r="S221" s="445">
        <v>58.083999999999897</v>
      </c>
      <c r="T221" s="445">
        <v>19.388000000000002</v>
      </c>
      <c r="U221" s="445">
        <v>113.92</v>
      </c>
      <c r="V221" s="445">
        <v>193.30599999999899</v>
      </c>
      <c r="W221" s="445">
        <v>331.85700000000003</v>
      </c>
      <c r="X221" s="445">
        <v>306.39699999999999</v>
      </c>
      <c r="Y221" s="445">
        <v>147.378999999999</v>
      </c>
      <c r="Z221" s="445">
        <v>84.959999999999894</v>
      </c>
      <c r="AA221" s="445">
        <v>191.734149999999</v>
      </c>
      <c r="AB221" s="445">
        <v>243.624</v>
      </c>
      <c r="AC221" s="445">
        <v>162.50099999999901</v>
      </c>
      <c r="AD221" s="445">
        <v>179.74100000000001</v>
      </c>
      <c r="AE221" s="445">
        <v>59.384999999999899</v>
      </c>
    </row>
    <row r="222" spans="1:31">
      <c r="A222" s="444" t="s">
        <v>1213</v>
      </c>
      <c r="B222" s="445">
        <v>1.4276800000000001</v>
      </c>
      <c r="C222" s="445">
        <v>5.1380000000000002E-2</v>
      </c>
      <c r="D222" s="445">
        <v>4.6829999999999997E-2</v>
      </c>
      <c r="E222" s="445">
        <v>0.94943999999999995</v>
      </c>
      <c r="F222" s="445">
        <v>0.54622000000000004</v>
      </c>
      <c r="G222" s="445">
        <v>1.1140000000000001E-2</v>
      </c>
      <c r="H222" s="445">
        <v>8.6879999999999999E-2</v>
      </c>
      <c r="I222" s="445">
        <v>-9.1263199999999998</v>
      </c>
      <c r="J222" s="445">
        <v>-11.88264</v>
      </c>
      <c r="K222" s="445">
        <v>17.921679999999999</v>
      </c>
      <c r="L222" s="445">
        <v>20.783280000000001</v>
      </c>
      <c r="M222" s="445">
        <v>6.2731199999999996</v>
      </c>
      <c r="N222" s="445">
        <v>-2.4080000000000001E-2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0</v>
      </c>
      <c r="V222" s="445">
        <v>0</v>
      </c>
      <c r="W222" s="445">
        <v>0</v>
      </c>
      <c r="X222" s="445">
        <v>0</v>
      </c>
      <c r="Y222" s="445">
        <v>0</v>
      </c>
      <c r="Z222" s="445">
        <v>0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>
      <c r="A223" s="444" t="s">
        <v>1214</v>
      </c>
      <c r="B223" s="445">
        <v>1234.9674600000001</v>
      </c>
      <c r="C223" s="445">
        <v>1102.3066200000001</v>
      </c>
      <c r="D223" s="445">
        <v>1015.78481</v>
      </c>
      <c r="E223" s="445">
        <v>1074.87473</v>
      </c>
      <c r="F223" s="445">
        <v>1019.74767</v>
      </c>
      <c r="G223" s="445">
        <v>1100.78603</v>
      </c>
      <c r="H223" s="445">
        <v>1027.8951399999901</v>
      </c>
      <c r="I223" s="445">
        <v>1373.2581600000001</v>
      </c>
      <c r="J223" s="445">
        <v>1315.77064</v>
      </c>
      <c r="K223" s="445">
        <v>1277.9809600000001</v>
      </c>
      <c r="L223" s="445">
        <v>1208.0978399999999</v>
      </c>
      <c r="M223" s="445">
        <v>1024.2956799999999</v>
      </c>
      <c r="N223" s="445">
        <v>1041.5016800000001</v>
      </c>
      <c r="P223" s="445">
        <v>1207.94508</v>
      </c>
      <c r="Q223" s="445">
        <v>1032.76484</v>
      </c>
      <c r="R223" s="445">
        <v>1110.08168</v>
      </c>
      <c r="S223" s="445">
        <v>1009.55872</v>
      </c>
      <c r="T223" s="445">
        <v>1023.29104</v>
      </c>
      <c r="U223" s="445">
        <v>1090.9559200000001</v>
      </c>
      <c r="V223" s="445">
        <v>1216.6948</v>
      </c>
      <c r="W223" s="445">
        <v>1406.50036</v>
      </c>
      <c r="X223" s="445">
        <v>1297.3259599999999</v>
      </c>
      <c r="Y223" s="445">
        <v>1241.1541999999999</v>
      </c>
      <c r="Z223" s="445">
        <v>1044.9764</v>
      </c>
      <c r="AA223" s="445">
        <v>1160.6035899999999</v>
      </c>
      <c r="AB223" s="445">
        <v>1268.31816</v>
      </c>
      <c r="AC223" s="445">
        <v>1091.11484</v>
      </c>
      <c r="AD223" s="445">
        <v>1195.8962799999999</v>
      </c>
      <c r="AE223" s="445">
        <v>1064.8874000000001</v>
      </c>
    </row>
    <row r="225" spans="1:31">
      <c r="A225" s="444" t="s">
        <v>1215</v>
      </c>
    </row>
    <row r="226" spans="1:31">
      <c r="A226" s="444" t="s">
        <v>1216</v>
      </c>
      <c r="B226" s="445">
        <v>25.362919999999999</v>
      </c>
      <c r="C226" s="445">
        <v>26.214829999999999</v>
      </c>
      <c r="D226" s="445">
        <v>27.38578</v>
      </c>
      <c r="E226" s="445">
        <v>27.43796</v>
      </c>
      <c r="F226" s="445">
        <v>27.157019999999999</v>
      </c>
      <c r="G226" s="445">
        <v>29.938859999999998</v>
      </c>
      <c r="H226" s="445">
        <v>28.028099999999998</v>
      </c>
      <c r="I226" s="445">
        <v>28.617750000000001</v>
      </c>
      <c r="J226" s="445">
        <v>33.417789999999997</v>
      </c>
      <c r="K226" s="445">
        <v>27.458819999999999</v>
      </c>
      <c r="L226" s="445">
        <v>34.002389999999998</v>
      </c>
      <c r="M226" s="445">
        <v>29.119399999999999</v>
      </c>
      <c r="N226" s="445">
        <v>24.763339999999999</v>
      </c>
      <c r="P226" s="445">
        <v>33.450969999999998</v>
      </c>
      <c r="Q226" s="445">
        <v>27.202859999999902</v>
      </c>
      <c r="R226" s="445">
        <v>29.959959999999999</v>
      </c>
      <c r="S226" s="445">
        <v>31.958659999999998</v>
      </c>
      <c r="T226" s="445">
        <v>33.217919999999999</v>
      </c>
      <c r="U226" s="445">
        <v>27.331630000000001</v>
      </c>
      <c r="V226" s="445">
        <v>32.961959999999998</v>
      </c>
      <c r="W226" s="445">
        <v>33.578159999999997</v>
      </c>
      <c r="X226" s="445">
        <v>31.16629</v>
      </c>
      <c r="Y226" s="445">
        <v>37.073909999999998</v>
      </c>
      <c r="Z226" s="445">
        <v>28.168240000000001</v>
      </c>
      <c r="AA226" s="445">
        <v>24.427589999999999</v>
      </c>
      <c r="AB226" s="445">
        <v>33.794620000000002</v>
      </c>
      <c r="AC226" s="445">
        <v>27.072510000000001</v>
      </c>
      <c r="AD226" s="445">
        <v>31.55339</v>
      </c>
      <c r="AE226" s="445">
        <v>31.992629999999998</v>
      </c>
    </row>
    <row r="227" spans="1:31">
      <c r="A227" s="444" t="s">
        <v>1217</v>
      </c>
      <c r="B227" s="445">
        <v>1205.59799</v>
      </c>
      <c r="C227" s="445">
        <v>1066.9954</v>
      </c>
      <c r="D227" s="445">
        <v>727.39063999999996</v>
      </c>
      <c r="E227" s="445">
        <v>915.62329</v>
      </c>
      <c r="F227" s="445">
        <v>1329.2599499999999</v>
      </c>
      <c r="G227" s="445">
        <v>1165.84608</v>
      </c>
      <c r="H227" s="445">
        <v>1151.85087</v>
      </c>
      <c r="I227" s="445">
        <v>1279.96127</v>
      </c>
      <c r="J227" s="445">
        <v>1385.3653099999999</v>
      </c>
      <c r="K227" s="445">
        <v>1246.4739099999999</v>
      </c>
      <c r="L227" s="445">
        <v>880.15134999999998</v>
      </c>
      <c r="M227" s="445">
        <v>914.24893999999995</v>
      </c>
      <c r="N227" s="445">
        <v>1985.0080800000001</v>
      </c>
      <c r="P227" s="445">
        <v>447.23633000000001</v>
      </c>
      <c r="Q227" s="445">
        <v>355.78771</v>
      </c>
      <c r="R227" s="445">
        <v>369.969439999999</v>
      </c>
      <c r="S227" s="445">
        <v>375.29885999999999</v>
      </c>
      <c r="T227" s="445">
        <v>448.19355999999999</v>
      </c>
      <c r="U227" s="445">
        <v>530.64269000000002</v>
      </c>
      <c r="V227" s="445">
        <v>923.96671000000003</v>
      </c>
      <c r="W227" s="445">
        <v>584.63121999999998</v>
      </c>
      <c r="X227" s="445">
        <v>619.46379999999999</v>
      </c>
      <c r="Y227" s="445">
        <v>454.76301000000001</v>
      </c>
      <c r="Z227" s="445">
        <v>473.15204</v>
      </c>
      <c r="AA227" s="445">
        <v>527.51404000000002</v>
      </c>
      <c r="AB227" s="445">
        <v>408.60001</v>
      </c>
      <c r="AC227" s="445">
        <v>325.38006000000001</v>
      </c>
      <c r="AD227" s="445">
        <v>343.56972999999999</v>
      </c>
      <c r="AE227" s="445">
        <v>346.75589000000002</v>
      </c>
    </row>
    <row r="228" spans="1:31">
      <c r="A228" s="444" t="s">
        <v>1218</v>
      </c>
      <c r="B228" s="445">
        <v>52.921750000000003</v>
      </c>
      <c r="C228" s="445">
        <v>7.9999399999999996</v>
      </c>
      <c r="D228" s="445">
        <v>38.678910000000002</v>
      </c>
      <c r="E228" s="445">
        <v>84.728459999999998</v>
      </c>
      <c r="F228" s="445">
        <v>32.275590000000001</v>
      </c>
      <c r="G228" s="445">
        <v>48.854660000000003</v>
      </c>
      <c r="H228" s="445">
        <v>28.499699999999901</v>
      </c>
      <c r="I228" s="445">
        <v>57.572830000000003</v>
      </c>
      <c r="J228" s="445">
        <v>41.518450000000001</v>
      </c>
      <c r="K228" s="445">
        <v>22.357790000000001</v>
      </c>
      <c r="L228" s="445">
        <v>17.24333</v>
      </c>
      <c r="M228" s="445">
        <v>18.878630000000001</v>
      </c>
      <c r="N228" s="445">
        <v>27.537030000000001</v>
      </c>
      <c r="P228" s="445">
        <v>104.83985999999901</v>
      </c>
      <c r="Q228" s="445">
        <v>93.631339999999994</v>
      </c>
      <c r="R228" s="445">
        <v>94.076899999999995</v>
      </c>
      <c r="S228" s="445">
        <v>111.43004000000001</v>
      </c>
      <c r="T228" s="445">
        <v>108.169709999999</v>
      </c>
      <c r="U228" s="445">
        <v>106.38746999999999</v>
      </c>
      <c r="V228" s="445">
        <v>107.092939999999</v>
      </c>
      <c r="W228" s="445">
        <v>112.17264</v>
      </c>
      <c r="X228" s="445">
        <v>107.83553999999999</v>
      </c>
      <c r="Y228" s="445">
        <v>95.544719999999998</v>
      </c>
      <c r="Z228" s="445">
        <v>94.745239999999995</v>
      </c>
      <c r="AA228" s="445">
        <v>95.487839999999906</v>
      </c>
      <c r="AB228" s="445">
        <v>104.83985999999901</v>
      </c>
      <c r="AC228" s="445">
        <v>93.631339999999994</v>
      </c>
      <c r="AD228" s="445">
        <v>94.076899999999995</v>
      </c>
      <c r="AE228" s="445">
        <v>111.430039999999</v>
      </c>
    </row>
    <row r="229" spans="1:31">
      <c r="A229" s="444" t="s">
        <v>1219</v>
      </c>
      <c r="B229" s="445">
        <v>37.939619999999998</v>
      </c>
      <c r="C229" s="445">
        <v>52.839379999999998</v>
      </c>
      <c r="D229" s="445">
        <v>35.975380000000001</v>
      </c>
      <c r="E229" s="445">
        <v>34.98236</v>
      </c>
      <c r="F229" s="445">
        <v>39.79945</v>
      </c>
      <c r="G229" s="445">
        <v>37.647839999999903</v>
      </c>
      <c r="H229" s="445">
        <v>47.87715</v>
      </c>
      <c r="I229" s="445">
        <v>88.557419999999993</v>
      </c>
      <c r="J229" s="445">
        <v>60.319659999999999</v>
      </c>
      <c r="K229" s="445">
        <v>82.344070000000002</v>
      </c>
      <c r="L229" s="445">
        <v>53.683659999999897</v>
      </c>
      <c r="M229" s="445">
        <v>80.101259999999996</v>
      </c>
      <c r="N229" s="445">
        <v>74.419579999999996</v>
      </c>
      <c r="P229" s="445">
        <v>53.922240000000002</v>
      </c>
      <c r="Q229" s="445">
        <v>43.020240000000001</v>
      </c>
      <c r="R229" s="445">
        <v>54.396239999999999</v>
      </c>
      <c r="S229" s="445">
        <v>43.020240000000001</v>
      </c>
      <c r="T229" s="445">
        <v>47.997239999999998</v>
      </c>
      <c r="U229" s="445">
        <v>64.982240000000004</v>
      </c>
      <c r="V229" s="445">
        <v>86.628240000000005</v>
      </c>
      <c r="W229" s="445">
        <v>60.005240000000001</v>
      </c>
      <c r="X229" s="445">
        <v>81.825040000000001</v>
      </c>
      <c r="Y229" s="445">
        <v>61.032240000000002</v>
      </c>
      <c r="Z229" s="445">
        <v>58.966389999999997</v>
      </c>
      <c r="AA229" s="445">
        <v>68.110640000000004</v>
      </c>
      <c r="AB229" s="445">
        <v>54.408880000000003</v>
      </c>
      <c r="AC229" s="445">
        <v>43.506880000000002</v>
      </c>
      <c r="AD229" s="445">
        <v>55.167279999999998</v>
      </c>
      <c r="AE229" s="445">
        <v>43.506880000000002</v>
      </c>
    </row>
    <row r="230" spans="1:31">
      <c r="A230" s="444" t="s">
        <v>1220</v>
      </c>
      <c r="B230" s="445">
        <v>1321.8222800000001</v>
      </c>
      <c r="C230" s="445">
        <v>1154.0495499999899</v>
      </c>
      <c r="D230" s="445">
        <v>829.43070999999998</v>
      </c>
      <c r="E230" s="445">
        <v>1062.77207</v>
      </c>
      <c r="F230" s="445">
        <v>1428.4920099999999</v>
      </c>
      <c r="G230" s="445">
        <v>1282.2874400000001</v>
      </c>
      <c r="H230" s="445">
        <v>1256.2558200000001</v>
      </c>
      <c r="I230" s="445">
        <v>1454.7092700000001</v>
      </c>
      <c r="J230" s="445">
        <v>1520.62121</v>
      </c>
      <c r="K230" s="445">
        <v>1378.6345899999999</v>
      </c>
      <c r="L230" s="445">
        <v>985.08073000000002</v>
      </c>
      <c r="M230" s="445">
        <v>1042.3482300000001</v>
      </c>
      <c r="N230" s="445">
        <v>2111.7280300000002</v>
      </c>
      <c r="P230" s="445">
        <v>639.44939999999997</v>
      </c>
      <c r="Q230" s="445">
        <v>519.64215000000002</v>
      </c>
      <c r="R230" s="445">
        <v>548.40254000000004</v>
      </c>
      <c r="S230" s="445">
        <v>561.70780000000002</v>
      </c>
      <c r="T230" s="445">
        <v>637.57843000000003</v>
      </c>
      <c r="U230" s="445">
        <v>729.34402999999998</v>
      </c>
      <c r="V230" s="445">
        <v>1150.64985</v>
      </c>
      <c r="W230" s="445">
        <v>790.38725999999997</v>
      </c>
      <c r="X230" s="445">
        <v>840.29066999999998</v>
      </c>
      <c r="Y230" s="445">
        <v>648.41387999999995</v>
      </c>
      <c r="Z230" s="445">
        <v>655.03191000000004</v>
      </c>
      <c r="AA230" s="445">
        <v>715.54011000000003</v>
      </c>
      <c r="AB230" s="445">
        <v>601.64336999999898</v>
      </c>
      <c r="AC230" s="445">
        <v>489.59079000000003</v>
      </c>
      <c r="AD230" s="445">
        <v>524.3673</v>
      </c>
      <c r="AE230" s="445">
        <v>533.68543999999997</v>
      </c>
    </row>
    <row r="232" spans="1:31">
      <c r="A232" s="444" t="s">
        <v>1221</v>
      </c>
    </row>
    <row r="233" spans="1:31">
      <c r="A233" s="444" t="s">
        <v>1222</v>
      </c>
      <c r="B233" s="445">
        <v>0</v>
      </c>
      <c r="C233" s="445">
        <v>0</v>
      </c>
      <c r="D233" s="445">
        <v>0</v>
      </c>
      <c r="E233" s="445">
        <v>0</v>
      </c>
      <c r="F233" s="445">
        <v>0</v>
      </c>
      <c r="G233" s="445">
        <v>0</v>
      </c>
      <c r="H233" s="445">
        <v>0</v>
      </c>
      <c r="I233" s="445">
        <v>0</v>
      </c>
      <c r="J233" s="445">
        <v>0</v>
      </c>
      <c r="K233" s="445">
        <v>0</v>
      </c>
      <c r="L233" s="445">
        <v>0</v>
      </c>
      <c r="M233" s="445">
        <v>0</v>
      </c>
      <c r="N233" s="445">
        <v>0</v>
      </c>
      <c r="P233" s="445">
        <v>0</v>
      </c>
      <c r="Q233" s="445">
        <v>0</v>
      </c>
      <c r="R233" s="445">
        <v>0</v>
      </c>
      <c r="S233" s="445">
        <v>0</v>
      </c>
      <c r="T233" s="445">
        <v>0</v>
      </c>
      <c r="U233" s="445">
        <v>0</v>
      </c>
      <c r="V233" s="445">
        <v>0</v>
      </c>
      <c r="W233" s="445">
        <v>0</v>
      </c>
      <c r="X233" s="445">
        <v>0</v>
      </c>
      <c r="Y233" s="445">
        <v>0</v>
      </c>
      <c r="Z233" s="445">
        <v>0</v>
      </c>
      <c r="AA233" s="445">
        <v>0</v>
      </c>
      <c r="AB233" s="445">
        <v>0</v>
      </c>
      <c r="AC233" s="445">
        <v>0</v>
      </c>
      <c r="AD233" s="445">
        <v>0</v>
      </c>
      <c r="AE233" s="445">
        <v>0</v>
      </c>
    </row>
    <row r="234" spans="1:31">
      <c r="A234" s="444" t="s">
        <v>1223</v>
      </c>
      <c r="B234" s="445">
        <v>0</v>
      </c>
      <c r="C234" s="445">
        <v>0</v>
      </c>
      <c r="D234" s="445">
        <v>0</v>
      </c>
      <c r="E234" s="445">
        <v>0</v>
      </c>
      <c r="F234" s="445">
        <v>0</v>
      </c>
      <c r="G234" s="445">
        <v>0</v>
      </c>
      <c r="H234" s="445">
        <v>0</v>
      </c>
      <c r="I234" s="445">
        <v>0</v>
      </c>
      <c r="J234" s="445">
        <v>0</v>
      </c>
      <c r="K234" s="445">
        <v>0</v>
      </c>
      <c r="L234" s="445">
        <v>0</v>
      </c>
      <c r="M234" s="445">
        <v>0</v>
      </c>
      <c r="N234" s="445">
        <v>0</v>
      </c>
      <c r="P234" s="445">
        <v>0</v>
      </c>
      <c r="Q234" s="445">
        <v>0</v>
      </c>
      <c r="R234" s="445">
        <v>0</v>
      </c>
      <c r="S234" s="445">
        <v>0</v>
      </c>
      <c r="T234" s="445">
        <v>0</v>
      </c>
      <c r="U234" s="445">
        <v>0</v>
      </c>
      <c r="V234" s="445">
        <v>0</v>
      </c>
      <c r="W234" s="445">
        <v>0</v>
      </c>
      <c r="X234" s="445">
        <v>0</v>
      </c>
      <c r="Y234" s="445">
        <v>0</v>
      </c>
      <c r="Z234" s="445">
        <v>0</v>
      </c>
      <c r="AA234" s="445">
        <v>0</v>
      </c>
      <c r="AB234" s="445">
        <v>0</v>
      </c>
      <c r="AC234" s="445">
        <v>0</v>
      </c>
      <c r="AD234" s="445">
        <v>0</v>
      </c>
      <c r="AE234" s="445">
        <v>0</v>
      </c>
    </row>
    <row r="235" spans="1:31">
      <c r="A235" s="444" t="s">
        <v>1224</v>
      </c>
      <c r="B235" s="445">
        <v>67.118349999999893</v>
      </c>
      <c r="C235" s="445">
        <v>156.19521</v>
      </c>
      <c r="D235" s="445">
        <v>61.991759999999999</v>
      </c>
      <c r="E235" s="445">
        <v>133.579859999999</v>
      </c>
      <c r="F235" s="445">
        <v>0.45072000000000001</v>
      </c>
      <c r="G235" s="445">
        <v>145.4023</v>
      </c>
      <c r="H235" s="445">
        <v>199.90714</v>
      </c>
      <c r="I235" s="445">
        <v>34.101140000000001</v>
      </c>
      <c r="J235" s="445">
        <v>70.069839999999999</v>
      </c>
      <c r="K235" s="445">
        <v>70.355029999999999</v>
      </c>
      <c r="L235" s="445">
        <v>41.74044</v>
      </c>
      <c r="M235" s="445">
        <v>41.74044</v>
      </c>
      <c r="N235" s="445">
        <v>115.94119000000001</v>
      </c>
      <c r="P235" s="445">
        <v>49.094549999999998</v>
      </c>
      <c r="Q235" s="445">
        <v>256.73498999999998</v>
      </c>
      <c r="R235" s="445">
        <v>81.832149999999999</v>
      </c>
      <c r="S235" s="445">
        <v>96.494550000000004</v>
      </c>
      <c r="T235" s="445">
        <v>49.442149999999998</v>
      </c>
      <c r="U235" s="445">
        <v>185.63498999999999</v>
      </c>
      <c r="V235" s="445">
        <v>55.090649999999997</v>
      </c>
      <c r="W235" s="445">
        <v>54.743049999999997</v>
      </c>
      <c r="X235" s="445">
        <v>55.090649999999997</v>
      </c>
      <c r="Y235" s="445">
        <v>54.743049999999997</v>
      </c>
      <c r="Z235" s="445">
        <v>49.442149999999998</v>
      </c>
      <c r="AA235" s="445">
        <v>49.442149999999998</v>
      </c>
      <c r="AB235" s="445">
        <v>49.687840000000001</v>
      </c>
      <c r="AC235" s="445">
        <v>261.41415999999998</v>
      </c>
      <c r="AD235" s="445">
        <v>82.425439999999995</v>
      </c>
      <c r="AE235" s="445">
        <v>101.38544</v>
      </c>
    </row>
    <row r="236" spans="1:31">
      <c r="A236" s="444" t="s">
        <v>1225</v>
      </c>
      <c r="B236" s="445">
        <v>0</v>
      </c>
      <c r="C236" s="445">
        <v>0</v>
      </c>
      <c r="D236" s="445">
        <v>0</v>
      </c>
      <c r="E236" s="445">
        <v>0</v>
      </c>
      <c r="F236" s="445">
        <v>0</v>
      </c>
      <c r="G236" s="445">
        <v>0</v>
      </c>
      <c r="H236" s="445">
        <v>0</v>
      </c>
      <c r="I236" s="445">
        <v>0</v>
      </c>
      <c r="J236" s="445">
        <v>0</v>
      </c>
      <c r="K236" s="445">
        <v>0</v>
      </c>
      <c r="L236" s="445">
        <v>0</v>
      </c>
      <c r="M236" s="445">
        <v>0</v>
      </c>
      <c r="N236" s="445">
        <v>0</v>
      </c>
      <c r="P236" s="445">
        <v>0</v>
      </c>
      <c r="Q236" s="445">
        <v>0</v>
      </c>
      <c r="R236" s="445">
        <v>0</v>
      </c>
      <c r="S236" s="445">
        <v>0</v>
      </c>
      <c r="T236" s="445">
        <v>0</v>
      </c>
      <c r="U236" s="445">
        <v>0</v>
      </c>
      <c r="V236" s="445">
        <v>0</v>
      </c>
      <c r="W236" s="445">
        <v>0</v>
      </c>
      <c r="X236" s="445">
        <v>0</v>
      </c>
      <c r="Y236" s="445">
        <v>0</v>
      </c>
      <c r="Z236" s="445">
        <v>0</v>
      </c>
      <c r="AA236" s="445">
        <v>0</v>
      </c>
      <c r="AB236" s="445">
        <v>0</v>
      </c>
      <c r="AC236" s="445">
        <v>0</v>
      </c>
      <c r="AD236" s="445">
        <v>0</v>
      </c>
      <c r="AE236" s="445">
        <v>0</v>
      </c>
    </row>
    <row r="237" spans="1:31">
      <c r="A237" s="444" t="s">
        <v>1226</v>
      </c>
      <c r="B237" s="445">
        <v>67.118349999999893</v>
      </c>
      <c r="C237" s="445">
        <v>156.19521</v>
      </c>
      <c r="D237" s="445">
        <v>61.991759999999999</v>
      </c>
      <c r="E237" s="445">
        <v>133.579859999999</v>
      </c>
      <c r="F237" s="445">
        <v>0.45072000000000001</v>
      </c>
      <c r="G237" s="445">
        <v>145.4023</v>
      </c>
      <c r="H237" s="445">
        <v>199.90714</v>
      </c>
      <c r="I237" s="445">
        <v>34.101140000000001</v>
      </c>
      <c r="J237" s="445">
        <v>70.069839999999999</v>
      </c>
      <c r="K237" s="445">
        <v>70.355029999999999</v>
      </c>
      <c r="L237" s="445">
        <v>41.74044</v>
      </c>
      <c r="M237" s="445">
        <v>41.74044</v>
      </c>
      <c r="N237" s="445">
        <v>115.94119000000001</v>
      </c>
      <c r="P237" s="445">
        <v>49.094549999999998</v>
      </c>
      <c r="Q237" s="445">
        <v>256.73498999999998</v>
      </c>
      <c r="R237" s="445">
        <v>81.832149999999999</v>
      </c>
      <c r="S237" s="445">
        <v>96.494550000000004</v>
      </c>
      <c r="T237" s="445">
        <v>49.442149999999998</v>
      </c>
      <c r="U237" s="445">
        <v>185.63498999999999</v>
      </c>
      <c r="V237" s="445">
        <v>55.090649999999997</v>
      </c>
      <c r="W237" s="445">
        <v>54.743049999999997</v>
      </c>
      <c r="X237" s="445">
        <v>55.090649999999997</v>
      </c>
      <c r="Y237" s="445">
        <v>54.743049999999997</v>
      </c>
      <c r="Z237" s="445">
        <v>49.442149999999998</v>
      </c>
      <c r="AA237" s="445">
        <v>49.442149999999998</v>
      </c>
      <c r="AB237" s="445">
        <v>49.687840000000001</v>
      </c>
      <c r="AC237" s="445">
        <v>261.41415999999998</v>
      </c>
      <c r="AD237" s="445">
        <v>82.425439999999995</v>
      </c>
      <c r="AE237" s="445">
        <v>101.38544</v>
      </c>
    </row>
    <row r="239" spans="1:31">
      <c r="A239" s="444" t="s">
        <v>1227</v>
      </c>
    </row>
    <row r="241" spans="1:31">
      <c r="A241" s="444" t="s">
        <v>1228</v>
      </c>
    </row>
    <row r="242" spans="1:31">
      <c r="A242" s="444" t="s">
        <v>1229</v>
      </c>
      <c r="B242" s="445">
        <v>319.53392000000002</v>
      </c>
      <c r="C242" s="445">
        <v>381.605089999999</v>
      </c>
      <c r="D242" s="445">
        <v>343.62110000000001</v>
      </c>
      <c r="E242" s="445">
        <v>311.57127000000003</v>
      </c>
      <c r="F242" s="445">
        <v>396.22645999999997</v>
      </c>
      <c r="G242" s="445">
        <v>323.68446</v>
      </c>
      <c r="H242" s="445">
        <v>323.68446</v>
      </c>
      <c r="I242" s="445">
        <v>300.53971999999999</v>
      </c>
      <c r="J242" s="445">
        <v>271.56927999999999</v>
      </c>
      <c r="K242" s="445">
        <v>270.46879999999999</v>
      </c>
      <c r="L242" s="445">
        <v>337.18995999999999</v>
      </c>
      <c r="M242" s="445">
        <v>270.25219999999899</v>
      </c>
      <c r="N242" s="445">
        <v>269.93831999999998</v>
      </c>
      <c r="P242" s="445">
        <v>467.44547999999901</v>
      </c>
      <c r="Q242" s="445">
        <v>338.05396000000002</v>
      </c>
      <c r="R242" s="445">
        <v>338.05396000000002</v>
      </c>
      <c r="S242" s="445">
        <v>476.33631999999898</v>
      </c>
      <c r="T242" s="445">
        <v>380.19632000000001</v>
      </c>
      <c r="U242" s="445">
        <v>380.19632000000001</v>
      </c>
      <c r="V242" s="445">
        <v>409.45631999999898</v>
      </c>
      <c r="W242" s="445">
        <v>381.14024000000001</v>
      </c>
      <c r="X242" s="445">
        <v>380.19632000000001</v>
      </c>
      <c r="Y242" s="445">
        <v>409.62047999999902</v>
      </c>
      <c r="Z242" s="445">
        <v>380.36047999999897</v>
      </c>
      <c r="AA242" s="445">
        <v>380.36047999999897</v>
      </c>
      <c r="AB242" s="445">
        <v>509.75199999999899</v>
      </c>
      <c r="AC242" s="445">
        <v>380.36047999999897</v>
      </c>
      <c r="AD242" s="445">
        <v>380.36047999999897</v>
      </c>
      <c r="AE242" s="445">
        <v>519.04944</v>
      </c>
    </row>
    <row r="244" spans="1:31">
      <c r="A244" s="444" t="s">
        <v>1230</v>
      </c>
    </row>
    <row r="245" spans="1:31">
      <c r="A245" s="444" t="s">
        <v>1231</v>
      </c>
      <c r="B245" s="445">
        <v>2260.0525499999999</v>
      </c>
      <c r="C245" s="445">
        <v>2270.4513499999998</v>
      </c>
      <c r="D245" s="445">
        <v>2058.82519</v>
      </c>
      <c r="E245" s="445">
        <v>2386.0415800000001</v>
      </c>
      <c r="F245" s="445">
        <v>1950.2820999999999</v>
      </c>
      <c r="G245" s="445">
        <v>2132.1149500000001</v>
      </c>
      <c r="H245" s="445">
        <v>1922.72821</v>
      </c>
      <c r="I245" s="445">
        <v>1998.42499566333</v>
      </c>
      <c r="J245" s="445">
        <v>2304.52260387862</v>
      </c>
      <c r="K245" s="445">
        <v>1924.2058400000001</v>
      </c>
      <c r="L245" s="445">
        <v>2327.6807159331502</v>
      </c>
      <c r="M245" s="445">
        <v>2037.3067956764701</v>
      </c>
      <c r="N245" s="445">
        <v>1846.46288</v>
      </c>
      <c r="P245" s="445">
        <v>2502.1908752180998</v>
      </c>
      <c r="Q245" s="445">
        <v>2071.5929599999999</v>
      </c>
      <c r="R245" s="445">
        <v>2122.1567248776</v>
      </c>
      <c r="S245" s="445">
        <v>2207.0600046549698</v>
      </c>
      <c r="T245" s="445">
        <v>2485.1452043689101</v>
      </c>
      <c r="U245" s="445">
        <v>1907.4770747032801</v>
      </c>
      <c r="V245" s="445">
        <v>2319.5187164917502</v>
      </c>
      <c r="W245" s="445">
        <v>2330.6162841545101</v>
      </c>
      <c r="X245" s="445">
        <v>2033.7613200000001</v>
      </c>
      <c r="Y245" s="445">
        <v>2445.7282845946602</v>
      </c>
      <c r="Z245" s="445">
        <v>1955.51367999999</v>
      </c>
      <c r="AA245" s="445">
        <v>1828.68235999999</v>
      </c>
      <c r="AB245" s="445">
        <v>2618.0894400000002</v>
      </c>
      <c r="AC245" s="445">
        <v>2134.7732452713899</v>
      </c>
      <c r="AD245" s="445">
        <v>2314.8762703099701</v>
      </c>
      <c r="AE245" s="445">
        <v>2231.7790399999999</v>
      </c>
    </row>
    <row r="246" spans="1:31">
      <c r="A246" s="444" t="s">
        <v>1232</v>
      </c>
      <c r="B246" s="445">
        <v>612.75703999999996</v>
      </c>
      <c r="C246" s="445">
        <v>531.99059</v>
      </c>
      <c r="D246" s="445">
        <v>410.953879999999</v>
      </c>
      <c r="E246" s="445">
        <v>538.75755999999899</v>
      </c>
      <c r="F246" s="445">
        <v>514.21964000000003</v>
      </c>
      <c r="G246" s="445">
        <v>530.09562999999901</v>
      </c>
      <c r="H246" s="445">
        <v>551.78688999999895</v>
      </c>
      <c r="I246" s="445">
        <v>650.56064432320204</v>
      </c>
      <c r="J246" s="445">
        <v>598.88372668429304</v>
      </c>
      <c r="K246" s="445">
        <v>677.41412167383999</v>
      </c>
      <c r="L246" s="445">
        <v>574.87156402075595</v>
      </c>
      <c r="M246" s="445">
        <v>599.13032482099595</v>
      </c>
      <c r="N246" s="445">
        <v>801.60040000000004</v>
      </c>
      <c r="P246" s="445">
        <v>690.00547999999901</v>
      </c>
      <c r="Q246" s="445">
        <v>616.20161210899005</v>
      </c>
      <c r="R246" s="445">
        <v>632.92467999999997</v>
      </c>
      <c r="S246" s="445">
        <v>577.53474915684205</v>
      </c>
      <c r="T246" s="445">
        <v>588.06494883637401</v>
      </c>
      <c r="U246" s="445">
        <v>685.44299999999896</v>
      </c>
      <c r="V246" s="445">
        <v>611.98151078885599</v>
      </c>
      <c r="W246" s="445">
        <v>559.80215999999996</v>
      </c>
      <c r="X246" s="445">
        <v>617.16287999999997</v>
      </c>
      <c r="Y246" s="445">
        <v>615.28908569656198</v>
      </c>
      <c r="Z246" s="445">
        <v>561.76222273314295</v>
      </c>
      <c r="AA246" s="445">
        <v>590.90765032744503</v>
      </c>
      <c r="AB246" s="445">
        <v>591.458159999999</v>
      </c>
      <c r="AC246" s="445">
        <v>628.81575999999995</v>
      </c>
      <c r="AD246" s="445">
        <v>649.92211999999995</v>
      </c>
      <c r="AE246" s="445">
        <v>593.50031999999896</v>
      </c>
    </row>
    <row r="247" spans="1:31">
      <c r="A247" s="444" t="s">
        <v>1233</v>
      </c>
      <c r="B247" s="445">
        <v>-301.13276000000002</v>
      </c>
      <c r="C247" s="445">
        <v>-357.06026999999898</v>
      </c>
      <c r="D247" s="445">
        <v>-361.67354</v>
      </c>
      <c r="E247" s="445">
        <v>-416.78924000000001</v>
      </c>
      <c r="F247" s="445">
        <v>-342.642979999999</v>
      </c>
      <c r="G247" s="445">
        <v>-368.25528000000003</v>
      </c>
      <c r="H247" s="445">
        <v>-326.19502</v>
      </c>
      <c r="I247" s="445">
        <v>-395.01983999999999</v>
      </c>
      <c r="J247" s="445">
        <v>-417.37751999999898</v>
      </c>
      <c r="K247" s="445">
        <v>-374.30907999999999</v>
      </c>
      <c r="L247" s="445">
        <v>-396.17732000000001</v>
      </c>
      <c r="M247" s="445">
        <v>-381.58987999999999</v>
      </c>
      <c r="N247" s="445">
        <v>-360.20576</v>
      </c>
      <c r="P247" s="445">
        <v>-409.76860458301502</v>
      </c>
      <c r="Q247" s="445">
        <v>-359.243039335297</v>
      </c>
      <c r="R247" s="445">
        <v>-366.97832023728301</v>
      </c>
      <c r="S247" s="445">
        <v>-366.20920014939401</v>
      </c>
      <c r="T247" s="445">
        <v>-394.55948315160401</v>
      </c>
      <c r="U247" s="445">
        <v>-344.98999756145201</v>
      </c>
      <c r="V247" s="445">
        <v>-379.66576163312601</v>
      </c>
      <c r="W247" s="445">
        <v>-375.92200123154498</v>
      </c>
      <c r="X247" s="445">
        <v>-349.51199814076398</v>
      </c>
      <c r="Y247" s="445">
        <v>-391.17748281743798</v>
      </c>
      <c r="Z247" s="445">
        <v>-333.88715606865998</v>
      </c>
      <c r="AA247" s="445">
        <v>-323.52531457754202</v>
      </c>
      <c r="AB247" s="445">
        <v>-406.49007999999998</v>
      </c>
      <c r="AC247" s="445">
        <v>-360.69171999999998</v>
      </c>
      <c r="AD247" s="445">
        <v>-384.96611999999999</v>
      </c>
      <c r="AE247" s="445">
        <v>-371.662319999999</v>
      </c>
    </row>
    <row r="248" spans="1:31">
      <c r="A248" s="444" t="s">
        <v>1234</v>
      </c>
      <c r="B248" s="445">
        <v>1449.9600499999999</v>
      </c>
      <c r="C248" s="445">
        <v>859.42079999999999</v>
      </c>
      <c r="D248" s="445">
        <v>1209.0595900000001</v>
      </c>
      <c r="E248" s="445">
        <v>1582.13238</v>
      </c>
      <c r="F248" s="445">
        <v>1199.64104</v>
      </c>
      <c r="G248" s="445">
        <v>1305.8298600000001</v>
      </c>
      <c r="H248" s="445">
        <v>1466.30304</v>
      </c>
      <c r="I248" s="445">
        <v>882.47248000000002</v>
      </c>
      <c r="J248" s="445">
        <v>1241.9737600000001</v>
      </c>
      <c r="K248" s="445">
        <v>1292.5411200000001</v>
      </c>
      <c r="L248" s="445">
        <v>1126.78892</v>
      </c>
      <c r="M248" s="445">
        <v>1186.1175599999999</v>
      </c>
      <c r="N248" s="445">
        <v>1283.8543199999999</v>
      </c>
      <c r="P248" s="445">
        <v>1058.98704</v>
      </c>
      <c r="Q248" s="445">
        <v>1176.42984</v>
      </c>
      <c r="R248" s="445">
        <v>1352.0247999999999</v>
      </c>
      <c r="S248" s="445">
        <v>1278.0730000000001</v>
      </c>
      <c r="T248" s="445">
        <v>1317.2183199999999</v>
      </c>
      <c r="U248" s="445">
        <v>1459.7852</v>
      </c>
      <c r="V248" s="445">
        <v>1186.1851999999999</v>
      </c>
      <c r="W248" s="445">
        <v>1310.50296</v>
      </c>
      <c r="X248" s="445">
        <v>1506.18472</v>
      </c>
      <c r="Y248" s="445">
        <v>1239.8024399999999</v>
      </c>
      <c r="Z248" s="445">
        <v>1218.8013599999999</v>
      </c>
      <c r="AA248" s="445">
        <v>1457.98856</v>
      </c>
      <c r="AB248" s="445">
        <v>1123.1667599999901</v>
      </c>
      <c r="AC248" s="445">
        <v>1233.1053199999999</v>
      </c>
      <c r="AD248" s="445">
        <v>1442.2071599999999</v>
      </c>
      <c r="AE248" s="445">
        <v>1384.8226</v>
      </c>
    </row>
    <row r="249" spans="1:31">
      <c r="A249" s="444" t="s">
        <v>1235</v>
      </c>
      <c r="B249" s="445">
        <v>-143.95639</v>
      </c>
      <c r="C249" s="445">
        <v>224.49703</v>
      </c>
      <c r="D249" s="445">
        <v>221.73946999999899</v>
      </c>
      <c r="E249" s="445">
        <v>-245.94364999999999</v>
      </c>
      <c r="F249" s="445">
        <v>344.76212999999899</v>
      </c>
      <c r="G249" s="445">
        <v>218.37091000000001</v>
      </c>
      <c r="H249" s="445">
        <v>87.926089999999903</v>
      </c>
      <c r="I249" s="445">
        <v>228.41531999999901</v>
      </c>
      <c r="J249" s="445">
        <v>197.12603999999999</v>
      </c>
      <c r="K249" s="445">
        <v>207.338359999999</v>
      </c>
      <c r="L249" s="445">
        <v>216.94280000000001</v>
      </c>
      <c r="M249" s="445">
        <v>194.566319999999</v>
      </c>
      <c r="N249" s="445">
        <v>212.29060000000001</v>
      </c>
      <c r="P249" s="445">
        <v>272.79935999999901</v>
      </c>
      <c r="Q249" s="445">
        <v>202.22555999999901</v>
      </c>
      <c r="R249" s="445">
        <v>213.34304</v>
      </c>
      <c r="S249" s="445">
        <v>238.212279999999</v>
      </c>
      <c r="T249" s="445">
        <v>200.0172</v>
      </c>
      <c r="U249" s="445">
        <v>216.930039999999</v>
      </c>
      <c r="V249" s="445">
        <v>243.30295999999899</v>
      </c>
      <c r="W249" s="445">
        <v>203.32032000000001</v>
      </c>
      <c r="X249" s="445">
        <v>215.563919999999</v>
      </c>
      <c r="Y249" s="445">
        <v>236.40304</v>
      </c>
      <c r="Z249" s="445">
        <v>202.41191999999899</v>
      </c>
      <c r="AA249" s="445">
        <v>215.05796000000001</v>
      </c>
      <c r="AB249" s="445">
        <v>275.53979999999899</v>
      </c>
      <c r="AC249" s="445">
        <v>203.59331999999901</v>
      </c>
      <c r="AD249" s="445">
        <v>214.22664</v>
      </c>
      <c r="AE249" s="445">
        <v>240.60028</v>
      </c>
    </row>
    <row r="250" spans="1:31">
      <c r="A250" s="444" t="s">
        <v>1236</v>
      </c>
      <c r="B250" s="445">
        <v>960.11631</v>
      </c>
      <c r="C250" s="445">
        <v>2149.34482999999</v>
      </c>
      <c r="D250" s="445">
        <v>1928.93198999999</v>
      </c>
      <c r="E250" s="445">
        <v>963.13511000000005</v>
      </c>
      <c r="F250" s="445">
        <v>2831.3290499999898</v>
      </c>
      <c r="G250" s="445">
        <v>1865.42777999999</v>
      </c>
      <c r="H250" s="445">
        <v>1419.8525</v>
      </c>
      <c r="I250" s="445">
        <v>2015.4441999999999</v>
      </c>
      <c r="J250" s="445">
        <v>1866.0816</v>
      </c>
      <c r="K250" s="445">
        <v>1664.6538399999999</v>
      </c>
      <c r="L250" s="445">
        <v>1876.20559999999</v>
      </c>
      <c r="M250" s="445">
        <v>1941.6076399999999</v>
      </c>
      <c r="N250" s="445">
        <v>1929.20335999999</v>
      </c>
      <c r="P250" s="445">
        <v>1718.24415999999</v>
      </c>
      <c r="Q250" s="445">
        <v>1773.31907999999</v>
      </c>
      <c r="R250" s="445">
        <v>1753.33512</v>
      </c>
      <c r="S250" s="445">
        <v>1752.04287999999</v>
      </c>
      <c r="T250" s="445">
        <v>1722.16524</v>
      </c>
      <c r="U250" s="445">
        <v>1791.85952</v>
      </c>
      <c r="V250" s="445">
        <v>1720.10759999999</v>
      </c>
      <c r="W250" s="445">
        <v>1699.8757599999999</v>
      </c>
      <c r="X250" s="445">
        <v>1761.71444</v>
      </c>
      <c r="Y250" s="445">
        <v>1697.7991199999899</v>
      </c>
      <c r="Z250" s="445">
        <v>1777.4890799999901</v>
      </c>
      <c r="AA250" s="445">
        <v>1820.84427999999</v>
      </c>
      <c r="AB250" s="445">
        <v>1700.9186</v>
      </c>
      <c r="AC250" s="445">
        <v>1763.15816</v>
      </c>
      <c r="AD250" s="445">
        <v>1722.45307999999</v>
      </c>
      <c r="AE250" s="445">
        <v>1742.7755199999999</v>
      </c>
    </row>
    <row r="251" spans="1:31">
      <c r="A251" s="444" t="s">
        <v>1237</v>
      </c>
      <c r="B251" s="445">
        <v>-25.423120000000001</v>
      </c>
      <c r="C251" s="445">
        <v>-35.891860000000001</v>
      </c>
      <c r="D251" s="445">
        <v>-15.919589999999999</v>
      </c>
      <c r="E251" s="445">
        <v>-23.943490000000001</v>
      </c>
      <c r="F251" s="445">
        <v>-22.340199999999999</v>
      </c>
      <c r="G251" s="445">
        <v>-21.570399999999999</v>
      </c>
      <c r="H251" s="445">
        <v>-12.980779999999999</v>
      </c>
      <c r="I251" s="445">
        <v>-18.206</v>
      </c>
      <c r="J251" s="445">
        <v>-18.206</v>
      </c>
      <c r="K251" s="445">
        <v>-18.206</v>
      </c>
      <c r="L251" s="445">
        <v>-18.206</v>
      </c>
      <c r="M251" s="445">
        <v>-18.206</v>
      </c>
      <c r="N251" s="445">
        <v>-18.206</v>
      </c>
      <c r="P251" s="445">
        <v>-24.323</v>
      </c>
      <c r="Q251" s="445">
        <v>-21.286000000000001</v>
      </c>
      <c r="R251" s="445">
        <v>-22.888000000000002</v>
      </c>
      <c r="S251" s="445">
        <v>-19.616</v>
      </c>
      <c r="T251" s="445">
        <v>-18.149999999999999</v>
      </c>
      <c r="U251" s="445">
        <v>-13.494</v>
      </c>
      <c r="V251" s="445">
        <v>-12.686</v>
      </c>
      <c r="W251" s="445">
        <v>-12.823</v>
      </c>
      <c r="X251" s="445">
        <v>-12.864000000000001</v>
      </c>
      <c r="Y251" s="445">
        <v>-13.773999999999999</v>
      </c>
      <c r="Z251" s="445">
        <v>-18.373999999999999</v>
      </c>
      <c r="AA251" s="445">
        <v>-25.914999999999999</v>
      </c>
      <c r="AB251" s="445">
        <v>-24.323</v>
      </c>
      <c r="AC251" s="445">
        <v>-21.286000000000001</v>
      </c>
      <c r="AD251" s="445">
        <v>-22.888000000000002</v>
      </c>
      <c r="AE251" s="445">
        <v>-19.616</v>
      </c>
    </row>
    <row r="252" spans="1:31">
      <c r="A252" s="444" t="s">
        <v>1238</v>
      </c>
      <c r="B252" s="445">
        <v>0</v>
      </c>
      <c r="C252" s="445">
        <v>0</v>
      </c>
      <c r="D252" s="445">
        <v>0</v>
      </c>
      <c r="E252" s="445">
        <v>28.71142</v>
      </c>
      <c r="F252" s="445">
        <v>0</v>
      </c>
      <c r="G252" s="445">
        <v>0</v>
      </c>
      <c r="H252" s="445">
        <v>0</v>
      </c>
      <c r="I252" s="445">
        <v>0.88200000000000001</v>
      </c>
      <c r="J252" s="445">
        <v>0.35699999999999998</v>
      </c>
      <c r="K252" s="445">
        <v>1.07249999999999</v>
      </c>
      <c r="L252" s="445">
        <v>0.125</v>
      </c>
      <c r="M252" s="445">
        <v>0.104</v>
      </c>
      <c r="N252" s="445">
        <v>0.157</v>
      </c>
      <c r="P252" s="445">
        <v>0.59350000000000003</v>
      </c>
      <c r="Q252" s="445">
        <v>0.17</v>
      </c>
      <c r="R252" s="445">
        <v>0.28699999999999998</v>
      </c>
      <c r="S252" s="445">
        <v>0.59799999999999998</v>
      </c>
      <c r="T252" s="445">
        <v>0.56299999999999994</v>
      </c>
      <c r="U252" s="445">
        <v>1.30249999999999</v>
      </c>
      <c r="V252" s="445">
        <v>1.0820000000000001</v>
      </c>
      <c r="W252" s="445">
        <v>0.46700000000000003</v>
      </c>
      <c r="X252" s="445">
        <v>0.59799999999999998</v>
      </c>
      <c r="Y252" s="445">
        <v>0.15</v>
      </c>
      <c r="Z252" s="445">
        <v>0.19400000000000001</v>
      </c>
      <c r="AA252" s="445">
        <v>0.185</v>
      </c>
      <c r="AB252" s="445">
        <v>0.59550000000000003</v>
      </c>
      <c r="AC252" s="445">
        <v>0.17499999999999999</v>
      </c>
      <c r="AD252" s="445">
        <v>0.29499999999999998</v>
      </c>
      <c r="AE252" s="445">
        <v>0.61499999999999999</v>
      </c>
    </row>
    <row r="253" spans="1:31">
      <c r="A253" s="444" t="s">
        <v>1239</v>
      </c>
      <c r="B253" s="445">
        <v>261.98437999999999</v>
      </c>
      <c r="C253" s="445">
        <v>323.42881999999997</v>
      </c>
      <c r="D253" s="445">
        <v>273.22262999999998</v>
      </c>
      <c r="E253" s="445">
        <v>251.51298</v>
      </c>
      <c r="F253" s="445">
        <v>264.24157000000002</v>
      </c>
      <c r="G253" s="445">
        <v>242.498919999999</v>
      </c>
      <c r="H253" s="445">
        <v>218.25496999999899</v>
      </c>
      <c r="I253" s="445">
        <v>273.55525999999998</v>
      </c>
      <c r="J253" s="445">
        <v>231.060229999999</v>
      </c>
      <c r="K253" s="445">
        <v>365.34513999999899</v>
      </c>
      <c r="L253" s="445">
        <v>391.40760999999901</v>
      </c>
      <c r="M253" s="445">
        <v>333.57946999999899</v>
      </c>
      <c r="N253" s="445">
        <v>-1.15820999999996</v>
      </c>
      <c r="P253" s="445">
        <v>265.66437000000002</v>
      </c>
      <c r="Q253" s="445">
        <v>234.712739999999</v>
      </c>
      <c r="R253" s="445">
        <v>229.25658999999899</v>
      </c>
      <c r="S253" s="445">
        <v>197.48627999999999</v>
      </c>
      <c r="T253" s="445">
        <v>198.186329999999</v>
      </c>
      <c r="U253" s="445">
        <v>200.99464999999901</v>
      </c>
      <c r="V253" s="445">
        <v>206.13320999999999</v>
      </c>
      <c r="W253" s="445">
        <v>216.46537000000001</v>
      </c>
      <c r="X253" s="445">
        <v>197.73965999999999</v>
      </c>
      <c r="Y253" s="445">
        <v>214.64866000000001</v>
      </c>
      <c r="Z253" s="445">
        <v>194.486629999999</v>
      </c>
      <c r="AA253" s="445">
        <v>201.49476000000001</v>
      </c>
      <c r="AB253" s="445">
        <v>269.19495999999901</v>
      </c>
      <c r="AC253" s="445">
        <v>234.7543</v>
      </c>
      <c r="AD253" s="445">
        <v>229.83142000000001</v>
      </c>
      <c r="AE253" s="445">
        <v>198.42510999999899</v>
      </c>
    </row>
    <row r="254" spans="1:31">
      <c r="A254" s="444" t="s">
        <v>1240</v>
      </c>
      <c r="B254" s="445">
        <v>141.13517999999999</v>
      </c>
      <c r="C254" s="445">
        <v>147.96369000000001</v>
      </c>
      <c r="D254" s="445">
        <v>138.27825999999999</v>
      </c>
      <c r="E254" s="445">
        <v>156.57405</v>
      </c>
      <c r="F254" s="445">
        <v>178.15808999999999</v>
      </c>
      <c r="G254" s="445">
        <v>113.38262</v>
      </c>
      <c r="H254" s="445">
        <v>156.64129</v>
      </c>
      <c r="I254" s="445">
        <v>147.48179999999999</v>
      </c>
      <c r="J254" s="445">
        <v>130.09451999999999</v>
      </c>
      <c r="K254" s="445">
        <v>147.60339999999999</v>
      </c>
      <c r="L254" s="445">
        <v>147.60416000000001</v>
      </c>
      <c r="M254" s="445">
        <v>130.12415999999999</v>
      </c>
      <c r="N254" s="445">
        <v>147.60339999999999</v>
      </c>
      <c r="P254" s="445">
        <v>159.74972</v>
      </c>
      <c r="Q254" s="445">
        <v>141.51048</v>
      </c>
      <c r="R254" s="445">
        <v>159.74972</v>
      </c>
      <c r="S254" s="445">
        <v>159.75048000000001</v>
      </c>
      <c r="T254" s="445">
        <v>143.63468</v>
      </c>
      <c r="U254" s="445">
        <v>161.87544</v>
      </c>
      <c r="V254" s="445">
        <v>161.87468000000001</v>
      </c>
      <c r="W254" s="445">
        <v>143.63695999999999</v>
      </c>
      <c r="X254" s="445">
        <v>161.87620000000001</v>
      </c>
      <c r="Y254" s="445">
        <v>161.87696</v>
      </c>
      <c r="Z254" s="445">
        <v>145.47767999999999</v>
      </c>
      <c r="AA254" s="445">
        <v>161.87696</v>
      </c>
      <c r="AB254" s="445">
        <v>159.54375999999999</v>
      </c>
      <c r="AC254" s="445">
        <v>141.30452</v>
      </c>
      <c r="AD254" s="445">
        <v>159.54375999999999</v>
      </c>
      <c r="AE254" s="445">
        <v>159.54452000000001</v>
      </c>
    </row>
    <row r="255" spans="1:31">
      <c r="A255" s="444" t="s">
        <v>1241</v>
      </c>
      <c r="B255" s="445">
        <v>5215.4932399999998</v>
      </c>
      <c r="C255" s="445">
        <v>6114.14497999999</v>
      </c>
      <c r="D255" s="445">
        <v>5863.41787999999</v>
      </c>
      <c r="E255" s="445">
        <v>5220.1886999999997</v>
      </c>
      <c r="F255" s="445">
        <v>6917.6504399999903</v>
      </c>
      <c r="G255" s="445">
        <v>6017.8949899999998</v>
      </c>
      <c r="H255" s="445">
        <v>5484.3171899999998</v>
      </c>
      <c r="I255" s="445">
        <v>5784.0108599865298</v>
      </c>
      <c r="J255" s="445">
        <v>6134.5159605629096</v>
      </c>
      <c r="K255" s="445">
        <v>5887.6592416738304</v>
      </c>
      <c r="L255" s="445">
        <v>6247.2430499539096</v>
      </c>
      <c r="M255" s="445">
        <v>6022.7403904974699</v>
      </c>
      <c r="N255" s="445">
        <v>5841.6019900000001</v>
      </c>
      <c r="P255" s="445">
        <v>6234.14290063508</v>
      </c>
      <c r="Q255" s="445">
        <v>5835.63323277369</v>
      </c>
      <c r="R255" s="445">
        <v>6073.2113546403098</v>
      </c>
      <c r="S255" s="445">
        <v>6024.9324736624203</v>
      </c>
      <c r="T255" s="445">
        <v>6242.2854400536798</v>
      </c>
      <c r="U255" s="445">
        <v>6067.1834271418202</v>
      </c>
      <c r="V255" s="445">
        <v>6057.8341156474798</v>
      </c>
      <c r="W255" s="445">
        <v>6075.9418129229698</v>
      </c>
      <c r="X255" s="445">
        <v>6132.2251418592296</v>
      </c>
      <c r="Y255" s="445">
        <v>6206.7461074737803</v>
      </c>
      <c r="Z255" s="445">
        <v>5703.8754166644803</v>
      </c>
      <c r="AA255" s="445">
        <v>5927.5972157499</v>
      </c>
      <c r="AB255" s="445">
        <v>6307.6939000000002</v>
      </c>
      <c r="AC255" s="445">
        <v>5957.7019052713904</v>
      </c>
      <c r="AD255" s="445">
        <v>6325.5013303099704</v>
      </c>
      <c r="AE255" s="445">
        <v>6160.7840699999997</v>
      </c>
    </row>
    <row r="256" spans="1:31">
      <c r="A256" s="444" t="s">
        <v>1242</v>
      </c>
      <c r="B256" s="445">
        <v>63.15466</v>
      </c>
      <c r="C256" s="445">
        <v>81.077359999999999</v>
      </c>
      <c r="D256" s="445">
        <v>71.441159999999996</v>
      </c>
      <c r="E256" s="445">
        <v>68.10051</v>
      </c>
      <c r="F256" s="445">
        <v>71.023600000000002</v>
      </c>
      <c r="G256" s="445">
        <v>66.86439</v>
      </c>
      <c r="H256" s="445">
        <v>73.033240000000006</v>
      </c>
      <c r="I256" s="445">
        <v>68.395839460631805</v>
      </c>
      <c r="J256" s="445">
        <v>66.783720000000002</v>
      </c>
      <c r="K256" s="445">
        <v>63.091819999999998</v>
      </c>
      <c r="L256" s="445">
        <v>73.968918733996205</v>
      </c>
      <c r="M256" s="445">
        <v>63.697792435567699</v>
      </c>
      <c r="N256" s="445">
        <v>60.317941941700703</v>
      </c>
      <c r="P256" s="445">
        <v>95.307630000000003</v>
      </c>
      <c r="Q256" s="445">
        <v>83.790149999999997</v>
      </c>
      <c r="R256" s="445">
        <v>84.597449999999995</v>
      </c>
      <c r="S256" s="445">
        <v>87.006240000000005</v>
      </c>
      <c r="T256" s="445">
        <v>90.831599999999995</v>
      </c>
      <c r="U256" s="445">
        <v>9.8801100000000002</v>
      </c>
      <c r="V256" s="445">
        <v>61.07949</v>
      </c>
      <c r="W256" s="445">
        <v>64.016130000000004</v>
      </c>
      <c r="X256" s="445">
        <v>57.57705</v>
      </c>
      <c r="Y256" s="445">
        <v>67.441289999999995</v>
      </c>
      <c r="Z256" s="445">
        <v>34.873980000000003</v>
      </c>
      <c r="AA256" s="445">
        <v>43.065660000000001</v>
      </c>
      <c r="AB256" s="445">
        <v>98.333280000000002</v>
      </c>
      <c r="AC256" s="445">
        <v>82.48536</v>
      </c>
      <c r="AD256" s="445">
        <v>86.752319999999997</v>
      </c>
      <c r="AE256" s="445">
        <v>87.844589999999997</v>
      </c>
    </row>
    <row r="257" spans="1:31">
      <c r="A257" s="444" t="s">
        <v>1243</v>
      </c>
      <c r="B257" s="445">
        <v>5278.6478999999999</v>
      </c>
      <c r="C257" s="445">
        <v>6195.2223399999903</v>
      </c>
      <c r="D257" s="445">
        <v>5934.8590399999903</v>
      </c>
      <c r="E257" s="445">
        <v>5288.2892099999999</v>
      </c>
      <c r="F257" s="445">
        <v>6988.6740399999899</v>
      </c>
      <c r="G257" s="445">
        <v>6084.7593800000004</v>
      </c>
      <c r="H257" s="445">
        <v>5557.3504299999904</v>
      </c>
      <c r="I257" s="445">
        <v>5852.4066994471696</v>
      </c>
      <c r="J257" s="445">
        <v>6201.29968056291</v>
      </c>
      <c r="K257" s="445">
        <v>5950.75106167383</v>
      </c>
      <c r="L257" s="445">
        <v>6321.2119686878996</v>
      </c>
      <c r="M257" s="445">
        <v>6086.4381829330296</v>
      </c>
      <c r="N257" s="445">
        <v>5901.9199319417003</v>
      </c>
      <c r="P257" s="445">
        <v>6329.4505306350802</v>
      </c>
      <c r="Q257" s="445">
        <v>5919.4233827736898</v>
      </c>
      <c r="R257" s="445">
        <v>6157.80880464031</v>
      </c>
      <c r="S257" s="445">
        <v>6111.93871366242</v>
      </c>
      <c r="T257" s="445">
        <v>6333.1170400536803</v>
      </c>
      <c r="U257" s="445">
        <v>6077.0635371418202</v>
      </c>
      <c r="V257" s="445">
        <v>6118.9136056474799</v>
      </c>
      <c r="W257" s="445">
        <v>6139.9579429229698</v>
      </c>
      <c r="X257" s="445">
        <v>6189.8021918592303</v>
      </c>
      <c r="Y257" s="445">
        <v>6274.18739747378</v>
      </c>
      <c r="Z257" s="445">
        <v>5738.7493966644797</v>
      </c>
      <c r="AA257" s="445">
        <v>5970.6628757499002</v>
      </c>
      <c r="AB257" s="445">
        <v>6406.02718</v>
      </c>
      <c r="AC257" s="445">
        <v>6040.1872652713901</v>
      </c>
      <c r="AD257" s="445">
        <v>6412.25365030997</v>
      </c>
      <c r="AE257" s="445">
        <v>6248.6286600000003</v>
      </c>
    </row>
    <row r="259" spans="1:31">
      <c r="A259" s="444" t="s">
        <v>1244</v>
      </c>
    </row>
    <row r="260" spans="1:31">
      <c r="A260" s="444" t="s">
        <v>1245</v>
      </c>
      <c r="B260" s="445">
        <v>0</v>
      </c>
      <c r="C260" s="445">
        <v>0</v>
      </c>
      <c r="D260" s="445">
        <v>0</v>
      </c>
      <c r="E260" s="445">
        <v>0</v>
      </c>
      <c r="F260" s="445">
        <v>0</v>
      </c>
      <c r="G260" s="445">
        <v>0</v>
      </c>
      <c r="H260" s="445">
        <v>0</v>
      </c>
      <c r="I260" s="445">
        <v>0</v>
      </c>
      <c r="J260" s="445">
        <v>0</v>
      </c>
      <c r="K260" s="445">
        <v>0</v>
      </c>
      <c r="L260" s="445">
        <v>0</v>
      </c>
      <c r="M260" s="445">
        <v>0</v>
      </c>
      <c r="N260" s="445">
        <v>0</v>
      </c>
      <c r="P260" s="445">
        <v>0</v>
      </c>
      <c r="Q260" s="445">
        <v>0</v>
      </c>
      <c r="R260" s="445">
        <v>0</v>
      </c>
      <c r="S260" s="445">
        <v>0</v>
      </c>
      <c r="T260" s="445">
        <v>0</v>
      </c>
      <c r="U260" s="445">
        <v>0</v>
      </c>
      <c r="V260" s="445">
        <v>0</v>
      </c>
      <c r="W260" s="445">
        <v>0</v>
      </c>
      <c r="X260" s="445">
        <v>0</v>
      </c>
      <c r="Y260" s="445">
        <v>0</v>
      </c>
      <c r="Z260" s="445">
        <v>0</v>
      </c>
      <c r="AA260" s="445">
        <v>0</v>
      </c>
      <c r="AB260" s="445">
        <v>0</v>
      </c>
      <c r="AC260" s="445">
        <v>0</v>
      </c>
      <c r="AD260" s="445">
        <v>0</v>
      </c>
      <c r="AE260" s="445">
        <v>0</v>
      </c>
    </row>
    <row r="261" spans="1:31">
      <c r="A261" s="444" t="s">
        <v>1246</v>
      </c>
      <c r="B261" s="445">
        <v>46.954929999999997</v>
      </c>
      <c r="C261" s="445">
        <v>46.954929999999997</v>
      </c>
      <c r="D261" s="445">
        <v>46.954929999999997</v>
      </c>
      <c r="E261" s="445">
        <v>46.954929999999997</v>
      </c>
      <c r="F261" s="445">
        <v>46.954929999999997</v>
      </c>
      <c r="G261" s="445">
        <v>46.954929999999997</v>
      </c>
      <c r="H261" s="445">
        <v>63.090679999999999</v>
      </c>
      <c r="I261" s="445">
        <v>110.72407819785001</v>
      </c>
      <c r="J261" s="445">
        <v>53.752998589237798</v>
      </c>
      <c r="K261" s="445">
        <v>53.752998589237798</v>
      </c>
      <c r="L261" s="445">
        <v>43.561734846227303</v>
      </c>
      <c r="M261" s="445">
        <v>43.752576235615301</v>
      </c>
      <c r="N261" s="445">
        <v>43.592993034310801</v>
      </c>
      <c r="P261" s="445">
        <v>49.429244386138798</v>
      </c>
      <c r="Q261" s="445">
        <v>49.429244386138798</v>
      </c>
      <c r="R261" s="445">
        <v>49.429244386138798</v>
      </c>
      <c r="S261" s="445">
        <v>49.052545279947402</v>
      </c>
      <c r="T261" s="445">
        <v>47.743118631282897</v>
      </c>
      <c r="U261" s="445">
        <v>47.743118631282897</v>
      </c>
      <c r="V261" s="445">
        <v>104.382407295242</v>
      </c>
      <c r="W261" s="445">
        <v>47.883727312299698</v>
      </c>
      <c r="X261" s="445">
        <v>47.883727312299698</v>
      </c>
      <c r="Y261" s="445">
        <v>47.715515959119401</v>
      </c>
      <c r="Z261" s="445">
        <v>47.883727312299698</v>
      </c>
      <c r="AA261" s="445">
        <v>47.743118631282897</v>
      </c>
      <c r="AB261" s="445">
        <v>48.196692868272201</v>
      </c>
      <c r="AC261" s="445">
        <v>48.196692868272201</v>
      </c>
      <c r="AD261" s="445">
        <v>48.196692868272201</v>
      </c>
      <c r="AE261" s="445">
        <v>47.8612678341783</v>
      </c>
    </row>
    <row r="262" spans="1:31">
      <c r="A262" s="444" t="s">
        <v>1247</v>
      </c>
      <c r="B262" s="445">
        <v>62.150460000000002</v>
      </c>
      <c r="C262" s="445">
        <v>62.150460000000002</v>
      </c>
      <c r="D262" s="445">
        <v>62.150460000000002</v>
      </c>
      <c r="E262" s="445">
        <v>62.150460000000002</v>
      </c>
      <c r="F262" s="445">
        <v>62.8645</v>
      </c>
      <c r="G262" s="445">
        <v>62.150460000000002</v>
      </c>
      <c r="H262" s="445">
        <v>62.150539999999999</v>
      </c>
      <c r="I262" s="445">
        <v>73.738421802149304</v>
      </c>
      <c r="J262" s="445">
        <v>69.157001410762007</v>
      </c>
      <c r="K262" s="445">
        <v>69.157001410762007</v>
      </c>
      <c r="L262" s="445">
        <v>70.454265153772695</v>
      </c>
      <c r="M262" s="445">
        <v>68.400423764384598</v>
      </c>
      <c r="N262" s="445">
        <v>70.112506965688993</v>
      </c>
      <c r="P262" s="445">
        <v>69.428255613860998</v>
      </c>
      <c r="Q262" s="445">
        <v>69.428255613860998</v>
      </c>
      <c r="R262" s="445">
        <v>69.428255613860998</v>
      </c>
      <c r="S262" s="445">
        <v>73.220454720052501</v>
      </c>
      <c r="T262" s="445">
        <v>76.166881368716901</v>
      </c>
      <c r="U262" s="445">
        <v>76.166881368716901</v>
      </c>
      <c r="V262" s="445">
        <v>78.295092704757195</v>
      </c>
      <c r="W262" s="445">
        <v>74.473772687700205</v>
      </c>
      <c r="X262" s="445">
        <v>74.473772687700205</v>
      </c>
      <c r="Y262" s="445">
        <v>76.504984040880402</v>
      </c>
      <c r="Z262" s="445">
        <v>74.473772687700205</v>
      </c>
      <c r="AA262" s="445">
        <v>76.166881368716901</v>
      </c>
      <c r="AB262" s="445">
        <v>73.934307131727607</v>
      </c>
      <c r="AC262" s="445">
        <v>73.934307131727607</v>
      </c>
      <c r="AD262" s="445">
        <v>73.934307131727607</v>
      </c>
      <c r="AE262" s="445">
        <v>77.995732165821707</v>
      </c>
    </row>
    <row r="263" spans="1:31">
      <c r="A263" s="444" t="s">
        <v>1248</v>
      </c>
      <c r="B263" s="445">
        <v>0</v>
      </c>
      <c r="C263" s="445">
        <v>0</v>
      </c>
      <c r="D263" s="445">
        <v>0</v>
      </c>
      <c r="E263" s="445">
        <v>0</v>
      </c>
      <c r="F263" s="445">
        <v>0</v>
      </c>
      <c r="G263" s="445">
        <v>0</v>
      </c>
      <c r="H263" s="445">
        <v>0</v>
      </c>
      <c r="I263" s="445">
        <v>0</v>
      </c>
      <c r="J263" s="445">
        <v>0</v>
      </c>
      <c r="K263" s="445">
        <v>0</v>
      </c>
      <c r="L263" s="445">
        <v>0</v>
      </c>
      <c r="M263" s="445">
        <v>0</v>
      </c>
      <c r="N263" s="445">
        <v>0</v>
      </c>
      <c r="P263" s="445">
        <v>0</v>
      </c>
      <c r="Q263" s="445">
        <v>0</v>
      </c>
      <c r="R263" s="445">
        <v>0</v>
      </c>
      <c r="S263" s="445">
        <v>0</v>
      </c>
      <c r="T263" s="445">
        <v>0</v>
      </c>
      <c r="U263" s="445">
        <v>0</v>
      </c>
      <c r="V263" s="445">
        <v>0</v>
      </c>
      <c r="W263" s="445">
        <v>0</v>
      </c>
      <c r="X263" s="445">
        <v>0</v>
      </c>
      <c r="Y263" s="445">
        <v>0</v>
      </c>
      <c r="Z263" s="445">
        <v>0</v>
      </c>
      <c r="AA263" s="445">
        <v>0</v>
      </c>
      <c r="AB263" s="445">
        <v>0</v>
      </c>
      <c r="AC263" s="445">
        <v>0</v>
      </c>
      <c r="AD263" s="445">
        <v>0</v>
      </c>
      <c r="AE263" s="445">
        <v>0</v>
      </c>
    </row>
    <row r="264" spans="1:31">
      <c r="A264" s="444" t="s">
        <v>1249</v>
      </c>
      <c r="B264" s="445">
        <v>0</v>
      </c>
      <c r="C264" s="445">
        <v>0</v>
      </c>
      <c r="D264" s="445">
        <v>0</v>
      </c>
      <c r="E264" s="445">
        <v>0</v>
      </c>
      <c r="F264" s="445">
        <v>0</v>
      </c>
      <c r="G264" s="445">
        <v>0</v>
      </c>
      <c r="H264" s="445">
        <v>0</v>
      </c>
      <c r="I264" s="445">
        <v>0</v>
      </c>
      <c r="J264" s="445">
        <v>0</v>
      </c>
      <c r="K264" s="445">
        <v>0</v>
      </c>
      <c r="L264" s="445">
        <v>0</v>
      </c>
      <c r="M264" s="445">
        <v>0</v>
      </c>
      <c r="N264" s="445">
        <v>0</v>
      </c>
      <c r="P264" s="445">
        <v>0</v>
      </c>
      <c r="Q264" s="445">
        <v>0</v>
      </c>
      <c r="R264" s="445">
        <v>0</v>
      </c>
      <c r="S264" s="445">
        <v>0</v>
      </c>
      <c r="T264" s="445">
        <v>0</v>
      </c>
      <c r="U264" s="445">
        <v>0</v>
      </c>
      <c r="V264" s="445">
        <v>0</v>
      </c>
      <c r="W264" s="445">
        <v>0</v>
      </c>
      <c r="X264" s="445">
        <v>0</v>
      </c>
      <c r="Y264" s="445">
        <v>0</v>
      </c>
      <c r="Z264" s="445">
        <v>0</v>
      </c>
      <c r="AA264" s="445">
        <v>0</v>
      </c>
      <c r="AB264" s="445">
        <v>0</v>
      </c>
      <c r="AC264" s="445">
        <v>0</v>
      </c>
      <c r="AD264" s="445">
        <v>0</v>
      </c>
      <c r="AE264" s="445">
        <v>0</v>
      </c>
    </row>
    <row r="265" spans="1:31">
      <c r="A265" s="444" t="s">
        <v>1250</v>
      </c>
      <c r="B265" s="445">
        <v>109.10539</v>
      </c>
      <c r="C265" s="445">
        <v>109.10539</v>
      </c>
      <c r="D265" s="445">
        <v>109.10539</v>
      </c>
      <c r="E265" s="445">
        <v>109.10539</v>
      </c>
      <c r="F265" s="445">
        <v>109.81943</v>
      </c>
      <c r="G265" s="445">
        <v>109.10539</v>
      </c>
      <c r="H265" s="445">
        <v>125.24122</v>
      </c>
      <c r="I265" s="445">
        <v>184.46250000000001</v>
      </c>
      <c r="J265" s="445">
        <v>122.909999999999</v>
      </c>
      <c r="K265" s="445">
        <v>122.909999999999</v>
      </c>
      <c r="L265" s="445">
        <v>114.01600000000001</v>
      </c>
      <c r="M265" s="445">
        <v>112.152999999999</v>
      </c>
      <c r="N265" s="445">
        <v>113.70549999999901</v>
      </c>
      <c r="P265" s="445">
        <v>118.85749999999901</v>
      </c>
      <c r="Q265" s="445">
        <v>118.85749999999901</v>
      </c>
      <c r="R265" s="445">
        <v>118.85749999999901</v>
      </c>
      <c r="S265" s="445">
        <v>122.272999999999</v>
      </c>
      <c r="T265" s="445">
        <v>123.909999999999</v>
      </c>
      <c r="U265" s="445">
        <v>123.909999999999</v>
      </c>
      <c r="V265" s="445">
        <v>182.67750000000001</v>
      </c>
      <c r="W265" s="445">
        <v>122.3575</v>
      </c>
      <c r="X265" s="445">
        <v>122.3575</v>
      </c>
      <c r="Y265" s="445">
        <v>124.22049999999901</v>
      </c>
      <c r="Z265" s="445">
        <v>122.3575</v>
      </c>
      <c r="AA265" s="445">
        <v>123.909999999999</v>
      </c>
      <c r="AB265" s="445">
        <v>122.13099999999901</v>
      </c>
      <c r="AC265" s="445">
        <v>122.13099999999901</v>
      </c>
      <c r="AD265" s="445">
        <v>122.13099999999901</v>
      </c>
      <c r="AE265" s="445">
        <v>125.857</v>
      </c>
    </row>
    <row r="267" spans="1:31">
      <c r="A267" s="444" t="s">
        <v>1251</v>
      </c>
      <c r="B267" s="445">
        <v>2.7956699999999999</v>
      </c>
      <c r="C267" s="445">
        <v>7.5696599999999998</v>
      </c>
      <c r="D267" s="445">
        <v>0</v>
      </c>
      <c r="E267" s="445">
        <v>3.0246900000000001</v>
      </c>
      <c r="F267" s="445">
        <v>2.78843</v>
      </c>
      <c r="G267" s="445">
        <v>2.88673</v>
      </c>
      <c r="H267" s="445">
        <v>1.7569399999999999</v>
      </c>
      <c r="I267" s="445">
        <v>0</v>
      </c>
      <c r="J267" s="445">
        <v>0</v>
      </c>
      <c r="K267" s="445">
        <v>0</v>
      </c>
      <c r="L267" s="445">
        <v>0</v>
      </c>
      <c r="M267" s="445">
        <v>0</v>
      </c>
      <c r="N267" s="445">
        <v>0</v>
      </c>
      <c r="P267" s="445">
        <v>0</v>
      </c>
      <c r="Q267" s="445">
        <v>0</v>
      </c>
      <c r="R267" s="445">
        <v>0</v>
      </c>
      <c r="S267" s="445">
        <v>0</v>
      </c>
      <c r="T267" s="445">
        <v>0</v>
      </c>
      <c r="U267" s="445">
        <v>0</v>
      </c>
      <c r="V267" s="445">
        <v>0</v>
      </c>
      <c r="W267" s="445">
        <v>0</v>
      </c>
      <c r="X267" s="445">
        <v>0</v>
      </c>
      <c r="Y267" s="445">
        <v>0</v>
      </c>
      <c r="Z267" s="445">
        <v>0</v>
      </c>
      <c r="AA267" s="445">
        <v>0</v>
      </c>
      <c r="AB267" s="445">
        <v>0</v>
      </c>
      <c r="AC267" s="445">
        <v>0</v>
      </c>
      <c r="AD267" s="445">
        <v>0</v>
      </c>
      <c r="AE267" s="445">
        <v>0</v>
      </c>
    </row>
    <row r="269" spans="1:31">
      <c r="A269" s="444" t="s">
        <v>1252</v>
      </c>
      <c r="B269" s="445">
        <v>5710.0828799999999</v>
      </c>
      <c r="C269" s="445">
        <v>6693.5024799999901</v>
      </c>
      <c r="D269" s="445">
        <v>6387.5855299999903</v>
      </c>
      <c r="E269" s="445">
        <v>5711.9905600000002</v>
      </c>
      <c r="F269" s="445">
        <v>7497.5083599999898</v>
      </c>
      <c r="G269" s="445">
        <v>6520.4359599999998</v>
      </c>
      <c r="H269" s="445">
        <v>6008.03305</v>
      </c>
      <c r="I269" s="445">
        <v>6337.4089194471599</v>
      </c>
      <c r="J269" s="445">
        <v>6595.7789605629096</v>
      </c>
      <c r="K269" s="445">
        <v>6344.1298616738304</v>
      </c>
      <c r="L269" s="445">
        <v>6772.4179286878998</v>
      </c>
      <c r="M269" s="445">
        <v>6468.8433829330297</v>
      </c>
      <c r="N269" s="445">
        <v>6285.5637519416996</v>
      </c>
      <c r="P269" s="445">
        <v>6915.7535106350797</v>
      </c>
      <c r="Q269" s="445">
        <v>6376.3348427736901</v>
      </c>
      <c r="R269" s="445">
        <v>6614.7202646403102</v>
      </c>
      <c r="S269" s="445">
        <v>6710.5480336624196</v>
      </c>
      <c r="T269" s="445">
        <v>6837.2233600536802</v>
      </c>
      <c r="U269" s="445">
        <v>6581.1698571418201</v>
      </c>
      <c r="V269" s="445">
        <v>6711.0474256474799</v>
      </c>
      <c r="W269" s="445">
        <v>6643.4556829229696</v>
      </c>
      <c r="X269" s="445">
        <v>6692.3560118592304</v>
      </c>
      <c r="Y269" s="445">
        <v>6808.02837747378</v>
      </c>
      <c r="Z269" s="445">
        <v>6241.4673766644801</v>
      </c>
      <c r="AA269" s="445">
        <v>6474.9333557499003</v>
      </c>
      <c r="AB269" s="445">
        <v>7037.9101799999999</v>
      </c>
      <c r="AC269" s="445">
        <v>6542.6787452713897</v>
      </c>
      <c r="AD269" s="445">
        <v>6914.7451303099697</v>
      </c>
      <c r="AE269" s="445">
        <v>6893.5351000000001</v>
      </c>
    </row>
    <row r="271" spans="1:31">
      <c r="A271" s="444" t="s">
        <v>1253</v>
      </c>
      <c r="B271" s="445">
        <v>46713.754150000001</v>
      </c>
      <c r="C271" s="445">
        <v>59219.0624399999</v>
      </c>
      <c r="D271" s="445">
        <v>41665.369180000002</v>
      </c>
      <c r="E271" s="445">
        <v>43208.386019999904</v>
      </c>
      <c r="F271" s="445">
        <v>41939.014349999998</v>
      </c>
      <c r="G271" s="445">
        <v>45732.115429999903</v>
      </c>
      <c r="H271" s="445">
        <v>46747.442040000002</v>
      </c>
      <c r="I271" s="445">
        <v>49414.259690302497</v>
      </c>
      <c r="J271" s="445">
        <v>51239.9986924232</v>
      </c>
      <c r="K271" s="445">
        <v>44809.539510124603</v>
      </c>
      <c r="L271" s="445">
        <v>41301.557099699297</v>
      </c>
      <c r="M271" s="445">
        <v>41013.702289653098</v>
      </c>
      <c r="N271" s="445">
        <v>48559.373357215503</v>
      </c>
      <c r="P271" s="445">
        <v>49873.726323528397</v>
      </c>
      <c r="Q271" s="445">
        <v>44200.610131151298</v>
      </c>
      <c r="R271" s="445">
        <v>45344.178560743399</v>
      </c>
      <c r="S271" s="445">
        <v>41100.587166306599</v>
      </c>
      <c r="T271" s="445">
        <v>44894.367166635602</v>
      </c>
      <c r="U271" s="445">
        <v>45462.922406015998</v>
      </c>
      <c r="V271" s="445">
        <v>50144.609903395598</v>
      </c>
      <c r="W271" s="445">
        <v>50571.367222433902</v>
      </c>
      <c r="X271" s="445">
        <v>44470.705727097004</v>
      </c>
      <c r="Y271" s="445">
        <v>41124.987463524303</v>
      </c>
      <c r="Z271" s="445">
        <v>42420.7683926143</v>
      </c>
      <c r="AA271" s="445">
        <v>46605.331660253898</v>
      </c>
      <c r="AB271" s="445">
        <v>49367.3513673251</v>
      </c>
      <c r="AC271" s="445">
        <v>43261.5470666861</v>
      </c>
      <c r="AD271" s="445">
        <v>49730.170988346697</v>
      </c>
      <c r="AE271" s="445">
        <v>40102.668800624997</v>
      </c>
    </row>
    <row r="272" spans="1:31">
      <c r="A272" s="444" t="s">
        <v>1254</v>
      </c>
      <c r="B272" s="445">
        <v>7201.8556099999996</v>
      </c>
      <c r="C272" s="445">
        <v>5202.74107</v>
      </c>
      <c r="D272" s="445">
        <v>5805.6052099999997</v>
      </c>
      <c r="E272" s="445">
        <v>8267.0794600000008</v>
      </c>
      <c r="F272" s="445">
        <v>10393.812669999999</v>
      </c>
      <c r="G272" s="445">
        <v>6169.0857799999903</v>
      </c>
      <c r="H272" s="445">
        <v>6745.4481100000003</v>
      </c>
      <c r="I272" s="445">
        <v>8914.4458394606299</v>
      </c>
      <c r="J272" s="445">
        <v>7254.5037199999997</v>
      </c>
      <c r="K272" s="445">
        <v>7442.3508199999997</v>
      </c>
      <c r="L272" s="445">
        <v>11149.6769187339</v>
      </c>
      <c r="M272" s="445">
        <v>6772.5987924355604</v>
      </c>
      <c r="N272" s="445">
        <v>6593.6549419416997</v>
      </c>
      <c r="P272" s="445">
        <v>5454.4916299999904</v>
      </c>
      <c r="Q272" s="445">
        <v>5894.38015</v>
      </c>
      <c r="R272" s="445">
        <v>7812.4504500000003</v>
      </c>
      <c r="S272" s="445">
        <v>10569.4072399999</v>
      </c>
      <c r="T272" s="445">
        <v>7177.4236000000001</v>
      </c>
      <c r="U272" s="445">
        <v>7203.9851099999996</v>
      </c>
      <c r="V272" s="445">
        <v>7289.0694899999999</v>
      </c>
      <c r="W272" s="445">
        <v>6547.9281300000002</v>
      </c>
      <c r="X272" s="445">
        <v>7805.7640499999998</v>
      </c>
      <c r="Y272" s="445">
        <v>10824.693289999999</v>
      </c>
      <c r="Z272" s="445">
        <v>9090.4229799999994</v>
      </c>
      <c r="AA272" s="445">
        <v>6425.7046600000003</v>
      </c>
      <c r="AB272" s="445">
        <v>5583.8952799999997</v>
      </c>
      <c r="AC272" s="445">
        <v>5690.5963599999995</v>
      </c>
      <c r="AD272" s="445">
        <v>8595.8123200000009</v>
      </c>
      <c r="AE272" s="445">
        <v>10560.258589999999</v>
      </c>
    </row>
    <row r="273" spans="1:32">
      <c r="A273" s="444" t="s">
        <v>1255</v>
      </c>
      <c r="B273" s="445">
        <v>53915.609759999999</v>
      </c>
      <c r="C273" s="445">
        <v>64421.803509999903</v>
      </c>
      <c r="D273" s="445">
        <v>47470.974390000003</v>
      </c>
      <c r="E273" s="445">
        <v>51475.465479999897</v>
      </c>
      <c r="F273" s="445">
        <v>52332.827019999997</v>
      </c>
      <c r="G273" s="445">
        <v>51901.201209999897</v>
      </c>
      <c r="H273" s="445">
        <v>53492.890149999999</v>
      </c>
      <c r="I273" s="445">
        <v>58328.705529763203</v>
      </c>
      <c r="J273" s="445">
        <v>58494.5024124232</v>
      </c>
      <c r="K273" s="445">
        <v>52251.890330124603</v>
      </c>
      <c r="L273" s="445">
        <v>52451.234018433301</v>
      </c>
      <c r="M273" s="445">
        <v>47786.301082088597</v>
      </c>
      <c r="N273" s="445">
        <v>55153.028299157202</v>
      </c>
      <c r="O273" s="137">
        <f>SUM(C273:N273)</f>
        <v>645560.82343198976</v>
      </c>
      <c r="P273" s="445">
        <v>55328.217953528401</v>
      </c>
      <c r="Q273" s="445">
        <v>50094.990281151302</v>
      </c>
      <c r="R273" s="445">
        <v>53156.629010743403</v>
      </c>
      <c r="S273" s="445">
        <v>51669.9944063066</v>
      </c>
      <c r="T273" s="445">
        <v>52071.790766635597</v>
      </c>
      <c r="U273" s="445">
        <v>52666.907516015999</v>
      </c>
      <c r="V273" s="445">
        <v>57433.6793933956</v>
      </c>
      <c r="W273" s="445">
        <v>57119.295352433903</v>
      </c>
      <c r="X273" s="445">
        <v>52276.469777097001</v>
      </c>
      <c r="Y273" s="445">
        <v>51949.680753524299</v>
      </c>
      <c r="Z273" s="445">
        <v>51511.191372614303</v>
      </c>
      <c r="AA273" s="445">
        <v>53031.036320253901</v>
      </c>
      <c r="AB273" s="445">
        <v>54951.246647325097</v>
      </c>
      <c r="AC273" s="445">
        <v>48952.143426686103</v>
      </c>
      <c r="AD273" s="445">
        <v>58325.983308346702</v>
      </c>
      <c r="AE273" s="445">
        <v>50662.927390625002</v>
      </c>
      <c r="AF273" s="137">
        <f>SUM(T273:AE273)</f>
        <v>640952.35202495358</v>
      </c>
    </row>
    <row r="274" spans="1:32">
      <c r="A274" s="444" t="s">
        <v>1256</v>
      </c>
      <c r="B274" s="445">
        <v>14875.4474499999</v>
      </c>
      <c r="C274" s="445">
        <v>17110.945699999898</v>
      </c>
      <c r="D274" s="445">
        <v>14741.7837099999</v>
      </c>
      <c r="E274" s="445">
        <v>14917.079169999901</v>
      </c>
      <c r="F274" s="445">
        <v>16535.659489999998</v>
      </c>
      <c r="G274" s="445">
        <v>15591.691639999901</v>
      </c>
      <c r="H274" s="445">
        <v>15645.74829</v>
      </c>
      <c r="I274" s="445">
        <v>16137.6306499865</v>
      </c>
      <c r="J274" s="445">
        <v>17796.583930562902</v>
      </c>
      <c r="K274" s="445">
        <v>16153.4016216738</v>
      </c>
      <c r="L274" s="445">
        <v>16261.633019953901</v>
      </c>
      <c r="M274" s="445">
        <v>15101.9509404974</v>
      </c>
      <c r="N274" s="445">
        <v>16572.05371</v>
      </c>
      <c r="P274" s="445">
        <v>16467.173910635</v>
      </c>
      <c r="Q274" s="445">
        <v>15344.0526727736</v>
      </c>
      <c r="R274" s="445">
        <v>15787.4601846403</v>
      </c>
      <c r="S274" s="445">
        <v>15783.4418636624</v>
      </c>
      <c r="T274" s="445">
        <v>16382.041380053601</v>
      </c>
      <c r="U274" s="445">
        <v>16249.555687141799</v>
      </c>
      <c r="V274" s="445">
        <v>17450.5002356474</v>
      </c>
      <c r="W274" s="445">
        <v>16979.957222922902</v>
      </c>
      <c r="X274" s="445">
        <v>16536.223241859199</v>
      </c>
      <c r="Y274" s="445">
        <v>16634.559217473699</v>
      </c>
      <c r="Z274" s="445">
        <v>15225.6858566644</v>
      </c>
      <c r="AA274" s="445">
        <v>16165.4405457499</v>
      </c>
      <c r="AB274" s="445">
        <v>17317.134269999999</v>
      </c>
      <c r="AC274" s="445">
        <v>16052.1891752713</v>
      </c>
      <c r="AD274" s="445">
        <v>16895.746830309901</v>
      </c>
      <c r="AE274" s="445">
        <v>16624.269789999998</v>
      </c>
    </row>
    <row r="276" spans="1:32" s="443" customFormat="1">
      <c r="A276" s="446" t="s">
        <v>1257</v>
      </c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442"/>
      <c r="AE276" s="442"/>
    </row>
    <row r="277" spans="1:32">
      <c r="A277" s="444" t="s">
        <v>1258</v>
      </c>
      <c r="B277" s="445">
        <v>12857.7519399999</v>
      </c>
      <c r="C277" s="445">
        <v>13001.288640000001</v>
      </c>
      <c r="D277" s="445">
        <v>13051.98912</v>
      </c>
      <c r="E277" s="445">
        <v>13038.830529999999</v>
      </c>
      <c r="F277" s="445">
        <v>13047.444680000001</v>
      </c>
      <c r="G277" s="445">
        <v>13073.7099</v>
      </c>
      <c r="H277" s="445">
        <v>13102.043879999999</v>
      </c>
      <c r="I277" s="445">
        <v>13172.4269362103</v>
      </c>
      <c r="J277" s="445">
        <v>13290.684143398499</v>
      </c>
      <c r="K277" s="445">
        <v>13401.0732854953</v>
      </c>
      <c r="L277" s="445">
        <v>13589.4072683797</v>
      </c>
      <c r="M277" s="445">
        <v>13773.1021144775</v>
      </c>
      <c r="N277" s="445">
        <v>13909.2565286222</v>
      </c>
      <c r="O277" s="137">
        <f>SUM(C277:N277)</f>
        <v>159451.25702658351</v>
      </c>
      <c r="P277" s="445">
        <v>14196.179520523299</v>
      </c>
      <c r="Q277" s="445">
        <v>14384.331267456701</v>
      </c>
      <c r="R277" s="445">
        <v>14385.047394606599</v>
      </c>
      <c r="S277" s="445">
        <v>14344.0618172574</v>
      </c>
      <c r="T277" s="445">
        <v>18081.277615248899</v>
      </c>
      <c r="U277" s="445">
        <v>18179.715704178001</v>
      </c>
      <c r="V277" s="445">
        <v>18241.536480312301</v>
      </c>
      <c r="W277" s="445">
        <v>18279.5857885935</v>
      </c>
      <c r="X277" s="445">
        <v>18297.608543450398</v>
      </c>
      <c r="Y277" s="445">
        <v>18336.1091462158</v>
      </c>
      <c r="Z277" s="445">
        <v>18422.5107546896</v>
      </c>
      <c r="AA277" s="445">
        <v>18611.122190114998</v>
      </c>
      <c r="AB277" s="445">
        <v>18745.675581859599</v>
      </c>
      <c r="AC277" s="445">
        <v>18724.0662416421</v>
      </c>
      <c r="AD277" s="445">
        <v>18749.730617879199</v>
      </c>
      <c r="AE277" s="445">
        <v>18826.115879715999</v>
      </c>
      <c r="AF277" s="137">
        <f>SUM(T277:AE277)</f>
        <v>221495.05454390042</v>
      </c>
    </row>
    <row r="278" spans="1:32">
      <c r="A278" s="444" t="s">
        <v>1737</v>
      </c>
      <c r="B278" s="445">
        <v>31.5914</v>
      </c>
      <c r="C278" s="445">
        <v>33.215580000000003</v>
      </c>
      <c r="D278" s="445">
        <v>35.355539999999998</v>
      </c>
      <c r="E278" s="445">
        <v>39.074179999999998</v>
      </c>
      <c r="F278" s="445">
        <v>41.143500000000003</v>
      </c>
      <c r="G278" s="445">
        <v>42.014119999999998</v>
      </c>
      <c r="H278" s="445">
        <v>43.675870000000003</v>
      </c>
      <c r="I278" s="445">
        <v>46.068719839678202</v>
      </c>
      <c r="J278" s="445">
        <v>48.193010894223598</v>
      </c>
      <c r="K278" s="445">
        <v>52.084689689844097</v>
      </c>
      <c r="L278" s="445">
        <v>56.225788627573003</v>
      </c>
      <c r="M278" s="445">
        <v>60.283119252573002</v>
      </c>
      <c r="N278" s="445">
        <v>67.158041651096994</v>
      </c>
      <c r="P278" s="445">
        <v>69.591557169615498</v>
      </c>
      <c r="Q278" s="445">
        <v>73.078728879652701</v>
      </c>
      <c r="R278" s="445">
        <v>77.4429049617423</v>
      </c>
      <c r="S278" s="445">
        <v>83.902377583465096</v>
      </c>
      <c r="T278" s="445">
        <v>90.344780553389896</v>
      </c>
      <c r="U278" s="445">
        <v>98.920928440182394</v>
      </c>
      <c r="V278" s="445">
        <v>106.135622341697</v>
      </c>
      <c r="W278" s="445">
        <v>117.522235231431</v>
      </c>
      <c r="X278" s="445">
        <v>127.680277941355</v>
      </c>
      <c r="Y278" s="445">
        <v>134.935064109937</v>
      </c>
      <c r="Z278" s="445">
        <v>137.904484071475</v>
      </c>
      <c r="AA278" s="445">
        <v>140.906534998116</v>
      </c>
      <c r="AB278" s="445">
        <v>143.26642154850401</v>
      </c>
      <c r="AC278" s="445">
        <v>145.635491937609</v>
      </c>
      <c r="AD278" s="445">
        <v>148.791549632921</v>
      </c>
      <c r="AE278" s="445">
        <v>154.21316088782299</v>
      </c>
    </row>
    <row r="280" spans="1:32">
      <c r="A280" s="444" t="s">
        <v>1259</v>
      </c>
    </row>
    <row r="282" spans="1:32">
      <c r="A282" s="444" t="s">
        <v>1260</v>
      </c>
    </row>
    <row r="283" spans="1:32">
      <c r="A283" s="444" t="s">
        <v>1261</v>
      </c>
      <c r="B283" s="445">
        <v>0</v>
      </c>
      <c r="C283" s="445">
        <v>0</v>
      </c>
      <c r="D283" s="445">
        <v>0</v>
      </c>
      <c r="E283" s="445">
        <v>0</v>
      </c>
      <c r="F283" s="445">
        <v>0</v>
      </c>
      <c r="G283" s="445">
        <v>0</v>
      </c>
      <c r="H283" s="445">
        <v>0</v>
      </c>
      <c r="I283" s="445">
        <v>0</v>
      </c>
      <c r="J283" s="445">
        <v>0</v>
      </c>
      <c r="K283" s="445">
        <v>0</v>
      </c>
      <c r="L283" s="445">
        <v>0</v>
      </c>
      <c r="M283" s="445">
        <v>0</v>
      </c>
      <c r="N283" s="445">
        <v>0</v>
      </c>
      <c r="P283" s="445">
        <v>0</v>
      </c>
      <c r="Q283" s="445">
        <v>0</v>
      </c>
      <c r="R283" s="445">
        <v>0</v>
      </c>
      <c r="S283" s="445">
        <v>0</v>
      </c>
      <c r="T283" s="445">
        <v>0</v>
      </c>
      <c r="U283" s="445">
        <v>0</v>
      </c>
      <c r="V283" s="445">
        <v>0</v>
      </c>
      <c r="W283" s="445">
        <v>0</v>
      </c>
      <c r="X283" s="445">
        <v>0</v>
      </c>
      <c r="Y283" s="445">
        <v>0</v>
      </c>
      <c r="Z283" s="445">
        <v>0</v>
      </c>
      <c r="AA283" s="445">
        <v>0</v>
      </c>
      <c r="AB283" s="445">
        <v>0</v>
      </c>
      <c r="AC283" s="445">
        <v>0</v>
      </c>
      <c r="AD283" s="445">
        <v>0</v>
      </c>
      <c r="AE283" s="445">
        <v>0</v>
      </c>
    </row>
    <row r="284" spans="1:32">
      <c r="A284" s="444" t="s">
        <v>1262</v>
      </c>
      <c r="B284" s="445">
        <v>0</v>
      </c>
      <c r="C284" s="445">
        <v>0</v>
      </c>
      <c r="D284" s="445">
        <v>0</v>
      </c>
      <c r="E284" s="445">
        <v>0</v>
      </c>
      <c r="F284" s="445">
        <v>0</v>
      </c>
      <c r="G284" s="445">
        <v>0</v>
      </c>
      <c r="H284" s="445">
        <v>0</v>
      </c>
      <c r="I284" s="445">
        <v>0</v>
      </c>
      <c r="J284" s="445">
        <v>0</v>
      </c>
      <c r="K284" s="445">
        <v>0</v>
      </c>
      <c r="L284" s="445">
        <v>0</v>
      </c>
      <c r="M284" s="445">
        <v>0</v>
      </c>
      <c r="N284" s="445">
        <v>0</v>
      </c>
      <c r="P284" s="445">
        <v>0</v>
      </c>
      <c r="Q284" s="445">
        <v>0</v>
      </c>
      <c r="R284" s="445">
        <v>0</v>
      </c>
      <c r="S284" s="445">
        <v>0</v>
      </c>
      <c r="T284" s="445">
        <v>0</v>
      </c>
      <c r="U284" s="445">
        <v>0</v>
      </c>
      <c r="V284" s="445">
        <v>0</v>
      </c>
      <c r="W284" s="445">
        <v>0</v>
      </c>
      <c r="X284" s="445">
        <v>0</v>
      </c>
      <c r="Y284" s="445">
        <v>0</v>
      </c>
      <c r="Z284" s="445">
        <v>0</v>
      </c>
      <c r="AA284" s="445">
        <v>0</v>
      </c>
      <c r="AB284" s="445">
        <v>0</v>
      </c>
      <c r="AC284" s="445">
        <v>0</v>
      </c>
      <c r="AD284" s="445">
        <v>0</v>
      </c>
      <c r="AE284" s="445">
        <v>0</v>
      </c>
    </row>
    <row r="285" spans="1:32">
      <c r="A285" s="444" t="s">
        <v>1263</v>
      </c>
      <c r="B285" s="445">
        <v>1777.07125</v>
      </c>
      <c r="C285" s="445">
        <v>1942.14624</v>
      </c>
      <c r="D285" s="445">
        <v>1882.5761199999999</v>
      </c>
      <c r="E285" s="445">
        <v>1982.8892000000001</v>
      </c>
      <c r="F285" s="445">
        <v>1993.83664</v>
      </c>
      <c r="G285" s="445">
        <v>1828.9401600000001</v>
      </c>
      <c r="H285" s="445">
        <v>1966.4495400000001</v>
      </c>
      <c r="I285" s="445">
        <v>1967.4478952777599</v>
      </c>
      <c r="J285" s="445">
        <v>1967.4478952777599</v>
      </c>
      <c r="K285" s="445">
        <v>1967.4478952777599</v>
      </c>
      <c r="L285" s="445">
        <v>1967.4478952777599</v>
      </c>
      <c r="M285" s="445">
        <v>1967.4478952777599</v>
      </c>
      <c r="N285" s="445">
        <v>1967.4478952777599</v>
      </c>
      <c r="O285" s="137">
        <f t="shared" ref="O285:O289" si="0">SUM(C285:N285)</f>
        <v>23401.525271666564</v>
      </c>
      <c r="P285" s="445">
        <v>2124.5526469073902</v>
      </c>
      <c r="Q285" s="445">
        <v>2124.5526469073902</v>
      </c>
      <c r="R285" s="445">
        <v>2124.5526469073902</v>
      </c>
      <c r="S285" s="445">
        <v>2124.5526469073902</v>
      </c>
      <c r="T285" s="445">
        <v>2124.5526469073902</v>
      </c>
      <c r="U285" s="445">
        <v>2124.5526469073902</v>
      </c>
      <c r="V285" s="445">
        <v>2124.5526469073902</v>
      </c>
      <c r="W285" s="445">
        <v>2124.5526469073902</v>
      </c>
      <c r="X285" s="445">
        <v>2124.5526469073902</v>
      </c>
      <c r="Y285" s="445">
        <v>2124.5526469073902</v>
      </c>
      <c r="Z285" s="445">
        <v>2124.5526469073902</v>
      </c>
      <c r="AA285" s="445">
        <v>2124.5526469073902</v>
      </c>
      <c r="AB285" s="445">
        <v>2196.8622229542202</v>
      </c>
      <c r="AC285" s="445">
        <v>2196.8622229542202</v>
      </c>
      <c r="AD285" s="445">
        <v>2196.8622229542202</v>
      </c>
      <c r="AE285" s="445">
        <v>2196.8622229542202</v>
      </c>
      <c r="AF285" s="137">
        <f>SUM(T285:AE285)</f>
        <v>25783.870067076001</v>
      </c>
    </row>
    <row r="286" spans="1:32">
      <c r="A286" s="444" t="s">
        <v>1264</v>
      </c>
      <c r="B286" s="445">
        <v>569.45399999999995</v>
      </c>
      <c r="C286" s="445">
        <v>582.16724999999997</v>
      </c>
      <c r="D286" s="445">
        <v>517.49292999999898</v>
      </c>
      <c r="E286" s="445">
        <v>643.01594999999998</v>
      </c>
      <c r="F286" s="445">
        <v>593.98829999999998</v>
      </c>
      <c r="G286" s="445">
        <v>589.27746000000002</v>
      </c>
      <c r="H286" s="445">
        <v>576.00053999999898</v>
      </c>
      <c r="I286" s="445">
        <v>582.55899999999997</v>
      </c>
      <c r="J286" s="445">
        <v>568.31128000000001</v>
      </c>
      <c r="K286" s="445">
        <v>591.67311999999902</v>
      </c>
      <c r="L286" s="445">
        <v>571.48547999999903</v>
      </c>
      <c r="M286" s="445">
        <v>585.69956000000002</v>
      </c>
      <c r="N286" s="445">
        <v>665.42380000000003</v>
      </c>
      <c r="O286" s="137">
        <f t="shared" si="0"/>
        <v>7067.0946699999968</v>
      </c>
      <c r="P286" s="445">
        <v>555.84047999999905</v>
      </c>
      <c r="Q286" s="445">
        <v>572.44611999999995</v>
      </c>
      <c r="R286" s="445">
        <v>562.94891999999902</v>
      </c>
      <c r="S286" s="445">
        <v>565.92060000000004</v>
      </c>
      <c r="T286" s="445">
        <v>554.91959999999995</v>
      </c>
      <c r="U286" s="445">
        <v>573.85335999999995</v>
      </c>
      <c r="V286" s="445">
        <v>557.86027999999897</v>
      </c>
      <c r="W286" s="445">
        <v>552.28304000000003</v>
      </c>
      <c r="X286" s="445">
        <v>566.27503999999897</v>
      </c>
      <c r="Y286" s="445">
        <v>551.57047999999998</v>
      </c>
      <c r="Z286" s="445">
        <v>573.00567999999896</v>
      </c>
      <c r="AA286" s="445">
        <v>573.988239999999</v>
      </c>
      <c r="AB286" s="445">
        <v>565.82687999999996</v>
      </c>
      <c r="AC286" s="445">
        <v>584.07259999999906</v>
      </c>
      <c r="AD286" s="445">
        <v>564.01595999999995</v>
      </c>
      <c r="AE286" s="445">
        <v>577.21467999999902</v>
      </c>
      <c r="AF286" s="137">
        <f>SUM(T286:AE286)</f>
        <v>6794.8858399999926</v>
      </c>
    </row>
    <row r="287" spans="1:32">
      <c r="A287" s="444" t="s">
        <v>1265</v>
      </c>
      <c r="B287" s="445">
        <v>185.14950999999999</v>
      </c>
      <c r="C287" s="445">
        <v>185.14952</v>
      </c>
      <c r="D287" s="445">
        <v>185.14952</v>
      </c>
      <c r="E287" s="445">
        <v>185.14952</v>
      </c>
      <c r="F287" s="445">
        <v>185.14952</v>
      </c>
      <c r="G287" s="445">
        <v>185.14952</v>
      </c>
      <c r="H287" s="445">
        <v>185.14956000000001</v>
      </c>
      <c r="I287" s="445">
        <v>188.85300000000001</v>
      </c>
      <c r="J287" s="445">
        <v>188.85300000000001</v>
      </c>
      <c r="K287" s="445">
        <v>188.85300000000001</v>
      </c>
      <c r="L287" s="445">
        <v>188.85300000000001</v>
      </c>
      <c r="M287" s="445">
        <v>188.85300000000001</v>
      </c>
      <c r="N287" s="445">
        <v>188.85300000000001</v>
      </c>
      <c r="O287" s="137">
        <f t="shared" si="0"/>
        <v>2244.0151600000004</v>
      </c>
      <c r="P287" s="445">
        <v>188.85300000000001</v>
      </c>
      <c r="Q287" s="445">
        <v>188.85300000000001</v>
      </c>
      <c r="R287" s="445">
        <v>188.85300000000001</v>
      </c>
      <c r="S287" s="445">
        <v>188.85300000000001</v>
      </c>
      <c r="T287" s="445">
        <v>188.85300000000001</v>
      </c>
      <c r="U287" s="445">
        <v>188.85300000000001</v>
      </c>
      <c r="V287" s="445">
        <v>192.629999999999</v>
      </c>
      <c r="W287" s="445">
        <v>192.629999999999</v>
      </c>
      <c r="X287" s="445">
        <v>192.629999999999</v>
      </c>
      <c r="Y287" s="445">
        <v>192.629999999999</v>
      </c>
      <c r="Z287" s="445">
        <v>192.629999999999</v>
      </c>
      <c r="AA287" s="445">
        <v>192.629999999999</v>
      </c>
      <c r="AB287" s="445">
        <v>192.629999999999</v>
      </c>
      <c r="AC287" s="445">
        <v>192.629999999999</v>
      </c>
      <c r="AD287" s="445">
        <v>192.629999999999</v>
      </c>
      <c r="AE287" s="445">
        <v>192.629999999999</v>
      </c>
      <c r="AF287" s="137">
        <f>SUM(T287:AE287)</f>
        <v>2304.0059999999903</v>
      </c>
    </row>
    <row r="288" spans="1:32">
      <c r="A288" s="444" t="s">
        <v>1266</v>
      </c>
      <c r="B288" s="445">
        <v>139.70459</v>
      </c>
      <c r="C288" s="445">
        <v>135.67435999999901</v>
      </c>
      <c r="D288" s="445">
        <v>136.45865000000001</v>
      </c>
      <c r="E288" s="445">
        <v>136.45865000000001</v>
      </c>
      <c r="F288" s="445">
        <v>136.45865000000001</v>
      </c>
      <c r="G288" s="445">
        <v>136.45865000000001</v>
      </c>
      <c r="H288" s="445">
        <v>136.45865000000001</v>
      </c>
      <c r="I288" s="445">
        <v>137.12060202047999</v>
      </c>
      <c r="J288" s="445">
        <v>137.12060202047999</v>
      </c>
      <c r="K288" s="445">
        <v>137.12060202047999</v>
      </c>
      <c r="L288" s="445">
        <v>137.12060202047999</v>
      </c>
      <c r="M288" s="445">
        <v>137.12060202047999</v>
      </c>
      <c r="N288" s="445">
        <v>137.12060202047999</v>
      </c>
      <c r="O288" s="137">
        <f t="shared" si="0"/>
        <v>1640.691222122879</v>
      </c>
      <c r="P288" s="445">
        <v>147.56009196553501</v>
      </c>
      <c r="Q288" s="445">
        <v>147.56009196553501</v>
      </c>
      <c r="R288" s="445">
        <v>147.56009196553501</v>
      </c>
      <c r="S288" s="445">
        <v>147.56009196553501</v>
      </c>
      <c r="T288" s="445">
        <v>147.56009196553501</v>
      </c>
      <c r="U288" s="445">
        <v>147.56009196553501</v>
      </c>
      <c r="V288" s="445">
        <v>147.56009196553501</v>
      </c>
      <c r="W288" s="445">
        <v>147.56009196553501</v>
      </c>
      <c r="X288" s="445">
        <v>147.56009196553501</v>
      </c>
      <c r="Y288" s="445">
        <v>147.56009196553501</v>
      </c>
      <c r="Z288" s="445">
        <v>147.56009196553501</v>
      </c>
      <c r="AA288" s="445">
        <v>147.56009196553501</v>
      </c>
      <c r="AB288" s="445">
        <v>177.66260169526899</v>
      </c>
      <c r="AC288" s="445">
        <v>177.66260169526899</v>
      </c>
      <c r="AD288" s="445">
        <v>177.66260169526899</v>
      </c>
      <c r="AE288" s="445">
        <v>177.66260169526899</v>
      </c>
      <c r="AF288" s="137">
        <f>SUM(T288:AE288)</f>
        <v>1891.1311425053557</v>
      </c>
    </row>
    <row r="289" spans="1:32">
      <c r="A289" s="444" t="s">
        <v>1267</v>
      </c>
      <c r="B289" s="445">
        <v>2671.3793500000002</v>
      </c>
      <c r="C289" s="445">
        <v>2845.1373699999999</v>
      </c>
      <c r="D289" s="445">
        <v>2721.67722</v>
      </c>
      <c r="E289" s="445">
        <v>2947.51332</v>
      </c>
      <c r="F289" s="445">
        <v>2909.4331099999999</v>
      </c>
      <c r="G289" s="445">
        <v>2739.8257899999999</v>
      </c>
      <c r="H289" s="445">
        <v>2864.0582899999999</v>
      </c>
      <c r="I289" s="445">
        <v>2875.9804972982402</v>
      </c>
      <c r="J289" s="445">
        <v>2861.7327772982399</v>
      </c>
      <c r="K289" s="445">
        <v>2885.0946172982399</v>
      </c>
      <c r="L289" s="445">
        <v>2864.9069772982398</v>
      </c>
      <c r="M289" s="445">
        <v>2879.12105729824</v>
      </c>
      <c r="N289" s="445">
        <v>2958.84529729824</v>
      </c>
      <c r="O289" s="137">
        <f t="shared" si="0"/>
        <v>34353.326323789443</v>
      </c>
      <c r="P289" s="445">
        <v>3016.80621887293</v>
      </c>
      <c r="Q289" s="445">
        <v>3033.4118588729302</v>
      </c>
      <c r="R289" s="445">
        <v>3023.91465887293</v>
      </c>
      <c r="S289" s="445">
        <v>3026.8863388729301</v>
      </c>
      <c r="T289" s="445">
        <v>3015.8853388729299</v>
      </c>
      <c r="U289" s="445">
        <v>3034.8190988729302</v>
      </c>
      <c r="V289" s="445">
        <v>3022.6030188729301</v>
      </c>
      <c r="W289" s="445">
        <v>3017.02577887293</v>
      </c>
      <c r="X289" s="445">
        <v>3031.0177788729302</v>
      </c>
      <c r="Y289" s="445">
        <v>3016.3132188729301</v>
      </c>
      <c r="Z289" s="445">
        <v>3037.74841887293</v>
      </c>
      <c r="AA289" s="445">
        <v>3038.7309788729299</v>
      </c>
      <c r="AB289" s="445">
        <v>3132.98170464949</v>
      </c>
      <c r="AC289" s="445">
        <v>3151.2274246494899</v>
      </c>
      <c r="AD289" s="445">
        <v>3131.1707846494901</v>
      </c>
      <c r="AE289" s="445">
        <v>3144.36950464949</v>
      </c>
      <c r="AF289" s="137">
        <f>SUM(T289:AE289)</f>
        <v>36773.893049581398</v>
      </c>
    </row>
    <row r="291" spans="1:32">
      <c r="A291" s="444" t="s">
        <v>1268</v>
      </c>
    </row>
    <row r="292" spans="1:32">
      <c r="A292" s="444" t="s">
        <v>1269</v>
      </c>
      <c r="B292" s="445">
        <v>-2.73</v>
      </c>
      <c r="C292" s="445">
        <v>0</v>
      </c>
      <c r="D292" s="445">
        <v>-6.7515000000000001</v>
      </c>
      <c r="E292" s="445">
        <v>-6.9580000000000003E-2</v>
      </c>
      <c r="F292" s="445">
        <v>-3.5070800000000002</v>
      </c>
      <c r="G292" s="445">
        <v>0</v>
      </c>
      <c r="H292" s="445">
        <v>-7.4645999999999999</v>
      </c>
      <c r="I292" s="445">
        <v>0</v>
      </c>
      <c r="J292" s="445">
        <v>0</v>
      </c>
      <c r="K292" s="445">
        <v>0</v>
      </c>
      <c r="L292" s="445">
        <v>0</v>
      </c>
      <c r="M292" s="445">
        <v>0</v>
      </c>
      <c r="N292" s="445">
        <v>0</v>
      </c>
      <c r="P292" s="445">
        <v>0</v>
      </c>
      <c r="Q292" s="445">
        <v>0</v>
      </c>
      <c r="R292" s="445">
        <v>0</v>
      </c>
      <c r="S292" s="445">
        <v>0</v>
      </c>
      <c r="T292" s="445">
        <v>0</v>
      </c>
      <c r="U292" s="445">
        <v>0</v>
      </c>
      <c r="V292" s="445">
        <v>0</v>
      </c>
      <c r="W292" s="445">
        <v>0</v>
      </c>
      <c r="X292" s="445">
        <v>0</v>
      </c>
      <c r="Y292" s="445">
        <v>0</v>
      </c>
      <c r="Z292" s="445">
        <v>0</v>
      </c>
      <c r="AA292" s="445">
        <v>0</v>
      </c>
      <c r="AB292" s="445">
        <v>0</v>
      </c>
      <c r="AC292" s="445">
        <v>0</v>
      </c>
      <c r="AD292" s="445">
        <v>0</v>
      </c>
      <c r="AE292" s="445">
        <v>0</v>
      </c>
    </row>
    <row r="293" spans="1:32">
      <c r="A293" s="444" t="s">
        <v>1738</v>
      </c>
      <c r="B293" s="445">
        <v>0</v>
      </c>
      <c r="C293" s="445">
        <v>0</v>
      </c>
      <c r="D293" s="445">
        <v>0</v>
      </c>
      <c r="E293" s="445">
        <v>0</v>
      </c>
      <c r="F293" s="445">
        <v>0</v>
      </c>
      <c r="G293" s="445">
        <v>0</v>
      </c>
      <c r="H293" s="445">
        <v>0</v>
      </c>
      <c r="I293" s="445">
        <v>0</v>
      </c>
      <c r="J293" s="445">
        <v>0</v>
      </c>
      <c r="K293" s="445">
        <v>0</v>
      </c>
      <c r="L293" s="445">
        <v>0</v>
      </c>
      <c r="M293" s="445">
        <v>0</v>
      </c>
      <c r="N293" s="445">
        <v>0</v>
      </c>
      <c r="P293" s="445">
        <v>0</v>
      </c>
      <c r="Q293" s="445">
        <v>0</v>
      </c>
      <c r="R293" s="445">
        <v>0</v>
      </c>
      <c r="S293" s="445">
        <v>0</v>
      </c>
      <c r="T293" s="445">
        <v>0</v>
      </c>
      <c r="U293" s="445">
        <v>0</v>
      </c>
      <c r="V293" s="445">
        <v>0</v>
      </c>
      <c r="W293" s="445">
        <v>0</v>
      </c>
      <c r="X293" s="445">
        <v>0</v>
      </c>
      <c r="Y293" s="445">
        <v>0</v>
      </c>
      <c r="Z293" s="445">
        <v>0</v>
      </c>
      <c r="AA293" s="445">
        <v>0</v>
      </c>
      <c r="AB293" s="445">
        <v>0</v>
      </c>
      <c r="AC293" s="445">
        <v>0</v>
      </c>
      <c r="AD293" s="445">
        <v>0</v>
      </c>
      <c r="AE293" s="445">
        <v>0</v>
      </c>
    </row>
    <row r="294" spans="1:32">
      <c r="A294" s="444" t="s">
        <v>1270</v>
      </c>
      <c r="B294" s="445">
        <v>-2.73</v>
      </c>
      <c r="C294" s="445">
        <v>0</v>
      </c>
      <c r="D294" s="445">
        <v>-6.7515000000000001</v>
      </c>
      <c r="E294" s="445">
        <v>-6.9580000000000003E-2</v>
      </c>
      <c r="F294" s="445">
        <v>-3.5070800000000002</v>
      </c>
      <c r="G294" s="445">
        <v>0</v>
      </c>
      <c r="H294" s="445">
        <v>-7.4645999999999999</v>
      </c>
      <c r="I294" s="445">
        <v>0</v>
      </c>
      <c r="J294" s="445">
        <v>0</v>
      </c>
      <c r="K294" s="445">
        <v>0</v>
      </c>
      <c r="L294" s="445">
        <v>0</v>
      </c>
      <c r="M294" s="445">
        <v>0</v>
      </c>
      <c r="N294" s="445">
        <v>0</v>
      </c>
      <c r="P294" s="445">
        <v>0</v>
      </c>
      <c r="Q294" s="445">
        <v>0</v>
      </c>
      <c r="R294" s="445">
        <v>0</v>
      </c>
      <c r="S294" s="445">
        <v>0</v>
      </c>
      <c r="T294" s="445">
        <v>0</v>
      </c>
      <c r="U294" s="445">
        <v>0</v>
      </c>
      <c r="V294" s="445">
        <v>0</v>
      </c>
      <c r="W294" s="445">
        <v>0</v>
      </c>
      <c r="X294" s="445">
        <v>0</v>
      </c>
      <c r="Y294" s="445">
        <v>0</v>
      </c>
      <c r="Z294" s="445">
        <v>0</v>
      </c>
      <c r="AA294" s="445">
        <v>0</v>
      </c>
      <c r="AB294" s="445">
        <v>0</v>
      </c>
      <c r="AC294" s="445">
        <v>0</v>
      </c>
      <c r="AD294" s="445">
        <v>0</v>
      </c>
      <c r="AE294" s="445">
        <v>0</v>
      </c>
    </row>
    <row r="295" spans="1:32">
      <c r="O295" s="137">
        <f>SUM(C295:N295)</f>
        <v>0</v>
      </c>
      <c r="AF295" s="137">
        <f>SUM(T295:AE295)</f>
        <v>0</v>
      </c>
    </row>
    <row r="296" spans="1:32">
      <c r="A296" s="444" t="s">
        <v>1271</v>
      </c>
      <c r="B296" s="445">
        <v>29718.833490000001</v>
      </c>
      <c r="C296" s="445">
        <v>32861.977789999997</v>
      </c>
      <c r="D296" s="445">
        <v>21034.904859999999</v>
      </c>
      <c r="E296" s="445">
        <v>20423.81163</v>
      </c>
      <c r="F296" s="445">
        <v>13810.566429999901</v>
      </c>
      <c r="G296" s="445">
        <v>31237.871929999899</v>
      </c>
      <c r="H296" s="445">
        <v>34704.088439999898</v>
      </c>
      <c r="I296" s="445">
        <v>35226.342180122803</v>
      </c>
      <c r="J296" s="445">
        <v>36129.9570093332</v>
      </c>
      <c r="K296" s="445">
        <v>28328.185278605401</v>
      </c>
      <c r="L296" s="445">
        <v>16183.223993490999</v>
      </c>
      <c r="M296" s="445">
        <v>19722.991794307902</v>
      </c>
      <c r="N296" s="445">
        <v>22076.0389284538</v>
      </c>
      <c r="P296" s="445">
        <v>23837.345505431898</v>
      </c>
      <c r="Q296" s="445">
        <v>20780.119796127601</v>
      </c>
      <c r="R296" s="445">
        <v>19108.114230554798</v>
      </c>
      <c r="S296" s="445">
        <v>13192.6683021346</v>
      </c>
      <c r="T296" s="445">
        <v>24128.456944428701</v>
      </c>
      <c r="U296" s="445">
        <v>30083.0184251221</v>
      </c>
      <c r="V296" s="445">
        <v>37761.2210671094</v>
      </c>
      <c r="W296" s="445">
        <v>39321.976138234801</v>
      </c>
      <c r="X296" s="445">
        <v>28995.5507723312</v>
      </c>
      <c r="Y296" s="445">
        <v>16821.619138058501</v>
      </c>
      <c r="Z296" s="445">
        <v>19053.670002758299</v>
      </c>
      <c r="AA296" s="445">
        <v>23461.498761341099</v>
      </c>
      <c r="AB296" s="445">
        <v>26044.751387641601</v>
      </c>
      <c r="AC296" s="445">
        <v>23145.155610542799</v>
      </c>
      <c r="AD296" s="445">
        <v>20448.134974348901</v>
      </c>
      <c r="AE296" s="445">
        <v>14756.185431887499</v>
      </c>
    </row>
    <row r="298" spans="1:32">
      <c r="A298" s="444" t="s">
        <v>1739</v>
      </c>
      <c r="O298" s="336">
        <f>SUM(C298:N298)</f>
        <v>0</v>
      </c>
      <c r="AF298" s="336">
        <f>SUM(T298:AE298)</f>
        <v>0</v>
      </c>
    </row>
    <row r="299" spans="1:32">
      <c r="A299" s="444" t="s">
        <v>1740</v>
      </c>
      <c r="B299" s="445">
        <v>1250.14779</v>
      </c>
      <c r="C299" s="445">
        <v>1669.9537399999999</v>
      </c>
      <c r="D299" s="445">
        <v>966.18361000000004</v>
      </c>
      <c r="E299" s="445">
        <v>681.24711000000002</v>
      </c>
      <c r="F299" s="445">
        <v>-117.33477000000001</v>
      </c>
      <c r="G299" s="445">
        <v>1297.9951000000001</v>
      </c>
      <c r="H299" s="445">
        <v>1164.8985700000001</v>
      </c>
      <c r="I299" s="445">
        <v>1463.3376485016499</v>
      </c>
      <c r="J299" s="445">
        <v>1505.39924417097</v>
      </c>
      <c r="K299" s="445">
        <v>837.01419916081898</v>
      </c>
      <c r="L299" s="445">
        <v>497.74621215648898</v>
      </c>
      <c r="M299" s="445">
        <v>691.798756767481</v>
      </c>
      <c r="N299" s="445">
        <v>692.32430316925604</v>
      </c>
      <c r="P299" s="445">
        <v>903.29692237015104</v>
      </c>
      <c r="Q299" s="445">
        <v>752.21190416112904</v>
      </c>
      <c r="R299" s="445">
        <v>490.862800286886</v>
      </c>
      <c r="S299" s="445">
        <v>350.800920196726</v>
      </c>
      <c r="T299" s="445">
        <v>836.44051185510898</v>
      </c>
      <c r="U299" s="445">
        <v>841.176402731542</v>
      </c>
      <c r="V299" s="445">
        <v>1523.22294412268</v>
      </c>
      <c r="W299" s="445">
        <v>1600.2421245630401</v>
      </c>
      <c r="X299" s="445">
        <v>613.27661965557502</v>
      </c>
      <c r="Y299" s="445">
        <v>475.93211570426899</v>
      </c>
      <c r="Z299" s="445">
        <v>600.95884577264906</v>
      </c>
      <c r="AA299" s="445">
        <v>667.19244449481596</v>
      </c>
      <c r="AB299" s="445">
        <v>958.37277745045799</v>
      </c>
      <c r="AC299" s="445">
        <v>818.59641034376</v>
      </c>
      <c r="AD299" s="445">
        <v>528.55318544447096</v>
      </c>
      <c r="AE299" s="445">
        <v>383.044881312923</v>
      </c>
    </row>
    <row r="300" spans="1:32" s="443" customFormat="1">
      <c r="A300" s="444" t="s">
        <v>1741</v>
      </c>
      <c r="B300" s="445">
        <v>8225.4187500000007</v>
      </c>
      <c r="C300" s="445">
        <v>5494.1478299999999</v>
      </c>
      <c r="D300" s="445">
        <v>3178.7440900000001</v>
      </c>
      <c r="E300" s="445">
        <v>771.97465999999895</v>
      </c>
      <c r="F300" s="445">
        <v>1543.4034200000001</v>
      </c>
      <c r="G300" s="445">
        <v>5179.0004499999995</v>
      </c>
      <c r="H300" s="445">
        <v>4355.6141299999999</v>
      </c>
      <c r="I300" s="445">
        <v>5984.5294656571796</v>
      </c>
      <c r="J300" s="445">
        <v>6156.96979937572</v>
      </c>
      <c r="K300" s="445">
        <v>2172.5801476562301</v>
      </c>
      <c r="L300" s="445">
        <v>2147.1314135202401</v>
      </c>
      <c r="M300" s="445">
        <v>2863.24249837873</v>
      </c>
      <c r="N300" s="445">
        <v>2480.9953850339398</v>
      </c>
      <c r="O300" s="137"/>
      <c r="P300" s="445">
        <v>3677.2706321945202</v>
      </c>
      <c r="Q300" s="445">
        <v>3073.0793360346602</v>
      </c>
      <c r="R300" s="445">
        <v>422.83494741607899</v>
      </c>
      <c r="S300" s="445">
        <v>803.73296737952501</v>
      </c>
      <c r="T300" s="445">
        <v>3478.70908600864</v>
      </c>
      <c r="U300" s="445">
        <v>3662.1511932649</v>
      </c>
      <c r="V300" s="445">
        <v>6236.4147873124102</v>
      </c>
      <c r="W300" s="445">
        <v>6544.1812068912604</v>
      </c>
      <c r="X300" s="445">
        <v>106.151367345895</v>
      </c>
      <c r="Y300" s="445">
        <v>2042.6291795855</v>
      </c>
      <c r="Z300" s="445">
        <v>2490.5708430600298</v>
      </c>
      <c r="AA300" s="445">
        <v>2058.6611828351101</v>
      </c>
      <c r="AB300" s="445">
        <v>3895.1943458431401</v>
      </c>
      <c r="AC300" s="445">
        <v>3336.70499663281</v>
      </c>
      <c r="AD300" s="445">
        <v>233.727974831632</v>
      </c>
      <c r="AE300" s="445">
        <v>1156.72645818194</v>
      </c>
      <c r="AF300" s="137"/>
    </row>
    <row r="301" spans="1:32">
      <c r="A301" s="444" t="s">
        <v>1742</v>
      </c>
      <c r="B301" s="445">
        <v>-89.435000000000002</v>
      </c>
      <c r="C301" s="445">
        <v>-91.873999999999995</v>
      </c>
      <c r="D301" s="445">
        <v>-91.873999999999995</v>
      </c>
      <c r="E301" s="445">
        <v>-91.873999999999995</v>
      </c>
      <c r="F301" s="445">
        <v>-91.873999999999995</v>
      </c>
      <c r="G301" s="445">
        <v>-91.873999999999995</v>
      </c>
      <c r="H301" s="445">
        <v>-91.873999999999995</v>
      </c>
      <c r="I301" s="445">
        <v>-91.874224379976198</v>
      </c>
      <c r="J301" s="445">
        <v>-91.874224379976198</v>
      </c>
      <c r="K301" s="445">
        <v>-91.874224379976198</v>
      </c>
      <c r="L301" s="445">
        <v>-91.874224379976198</v>
      </c>
      <c r="M301" s="445">
        <v>-91.874224379976198</v>
      </c>
      <c r="N301" s="445">
        <v>-91.874224379976198</v>
      </c>
      <c r="P301" s="445">
        <v>-85.465891050856897</v>
      </c>
      <c r="Q301" s="445">
        <v>-85.465891050856897</v>
      </c>
      <c r="R301" s="445">
        <v>-85.465891050856897</v>
      </c>
      <c r="S301" s="445">
        <v>-85.465891050856897</v>
      </c>
      <c r="T301" s="445">
        <v>-85.465891050856897</v>
      </c>
      <c r="U301" s="445">
        <v>-85.465891050856897</v>
      </c>
      <c r="V301" s="445">
        <v>-85.465891050856897</v>
      </c>
      <c r="W301" s="445">
        <v>-85.465891050856897</v>
      </c>
      <c r="X301" s="445">
        <v>-85.465891050856897</v>
      </c>
      <c r="Y301" s="445">
        <v>-85.465891050856897</v>
      </c>
      <c r="Z301" s="445">
        <v>-85.465891050856897</v>
      </c>
      <c r="AA301" s="445">
        <v>-85.465891050856897</v>
      </c>
      <c r="AB301" s="445">
        <v>-80.006724385297801</v>
      </c>
      <c r="AC301" s="445">
        <v>-80.006724385297801</v>
      </c>
      <c r="AD301" s="445">
        <v>-80.006724385297801</v>
      </c>
      <c r="AE301" s="445">
        <v>-80.006724385297801</v>
      </c>
    </row>
    <row r="302" spans="1:32">
      <c r="A302" s="444" t="s">
        <v>1743</v>
      </c>
      <c r="B302" s="445">
        <v>9386.1315400000003</v>
      </c>
      <c r="C302" s="445">
        <v>7072.22757</v>
      </c>
      <c r="D302" s="445">
        <v>4053.0536999999999</v>
      </c>
      <c r="E302" s="445">
        <v>1361.3477700000001</v>
      </c>
      <c r="F302" s="445">
        <v>1334.1946499999999</v>
      </c>
      <c r="G302" s="445">
        <v>6385.1215499999998</v>
      </c>
      <c r="H302" s="445">
        <v>5428.6387000000004</v>
      </c>
      <c r="I302" s="445">
        <v>7355.9928897788504</v>
      </c>
      <c r="J302" s="445">
        <v>7570.4948191667299</v>
      </c>
      <c r="K302" s="445">
        <v>2917.7201224370701</v>
      </c>
      <c r="L302" s="445">
        <v>2553.0034012967499</v>
      </c>
      <c r="M302" s="445">
        <v>3463.1670307662298</v>
      </c>
      <c r="N302" s="445">
        <v>3081.4454638232201</v>
      </c>
      <c r="P302" s="445">
        <v>4495.1016635138103</v>
      </c>
      <c r="Q302" s="445">
        <v>3739.82534914493</v>
      </c>
      <c r="R302" s="445">
        <v>828.23185665210895</v>
      </c>
      <c r="S302" s="445">
        <v>1069.0679965253901</v>
      </c>
      <c r="T302" s="445">
        <v>4229.6837068128998</v>
      </c>
      <c r="U302" s="445">
        <v>4417.8617049455797</v>
      </c>
      <c r="V302" s="445">
        <v>7674.1718403842397</v>
      </c>
      <c r="W302" s="445">
        <v>8058.9574404034502</v>
      </c>
      <c r="X302" s="445">
        <v>633.96209595061396</v>
      </c>
      <c r="Y302" s="445">
        <v>2433.0954042389099</v>
      </c>
      <c r="Z302" s="445">
        <v>3006.0637977818201</v>
      </c>
      <c r="AA302" s="445">
        <v>2640.3877362790699</v>
      </c>
      <c r="AB302" s="445">
        <v>4773.5603989083002</v>
      </c>
      <c r="AC302" s="445">
        <v>4075.29468259128</v>
      </c>
      <c r="AD302" s="445">
        <v>682.27443589080599</v>
      </c>
      <c r="AE302" s="445">
        <v>1459.7646151095701</v>
      </c>
    </row>
    <row r="303" spans="1:32">
      <c r="A303" s="444" t="s">
        <v>1744</v>
      </c>
      <c r="B303" s="445">
        <v>9386.1315400000003</v>
      </c>
      <c r="C303" s="445">
        <v>7072.22757</v>
      </c>
      <c r="D303" s="445">
        <v>4053.0536999999999</v>
      </c>
      <c r="E303" s="445">
        <v>1361.3477700000001</v>
      </c>
      <c r="F303" s="445">
        <v>1334.1946499999999</v>
      </c>
      <c r="G303" s="445">
        <v>6385.1215499999998</v>
      </c>
      <c r="H303" s="445">
        <v>5428.6387000000004</v>
      </c>
      <c r="I303" s="445">
        <v>7355.9928897788504</v>
      </c>
      <c r="J303" s="445">
        <v>7570.4948191667299</v>
      </c>
      <c r="K303" s="445">
        <v>2917.7201224370701</v>
      </c>
      <c r="L303" s="445">
        <v>2553.0034012967499</v>
      </c>
      <c r="M303" s="445">
        <v>3463.1670307662298</v>
      </c>
      <c r="N303" s="445">
        <v>3081.4454638232201</v>
      </c>
      <c r="O303" s="137">
        <f>SUM(C303:N303)</f>
        <v>52576.407667268853</v>
      </c>
      <c r="P303" s="445">
        <v>4495.1016635138103</v>
      </c>
      <c r="Q303" s="445">
        <v>3739.82534914493</v>
      </c>
      <c r="R303" s="445">
        <v>828.23185665210895</v>
      </c>
      <c r="S303" s="445">
        <v>1069.0679965253901</v>
      </c>
      <c r="T303" s="445">
        <v>4229.6837068128998</v>
      </c>
      <c r="U303" s="445">
        <v>4417.8617049455797</v>
      </c>
      <c r="V303" s="445">
        <v>7674.1718403842397</v>
      </c>
      <c r="W303" s="445">
        <v>8058.9574404034502</v>
      </c>
      <c r="X303" s="445">
        <v>633.96209595061396</v>
      </c>
      <c r="Y303" s="445">
        <v>2433.0954042389099</v>
      </c>
      <c r="Z303" s="445">
        <v>3006.0637977818201</v>
      </c>
      <c r="AA303" s="445">
        <v>2640.3877362790699</v>
      </c>
      <c r="AB303" s="445">
        <v>4773.5603989083002</v>
      </c>
      <c r="AC303" s="445">
        <v>4075.29468259128</v>
      </c>
      <c r="AD303" s="445">
        <v>682.27443589080599</v>
      </c>
      <c r="AE303" s="445">
        <v>1459.7646151095701</v>
      </c>
      <c r="AF303" s="137">
        <f>SUM(T303:AE303)</f>
        <v>44085.077859296543</v>
      </c>
    </row>
    <row r="305" spans="1:32">
      <c r="A305" s="447" t="s">
        <v>1745</v>
      </c>
      <c r="B305" s="445">
        <v>20332.701949999999</v>
      </c>
      <c r="C305" s="445">
        <v>25789.750220000002</v>
      </c>
      <c r="D305" s="445">
        <v>16981.851159999998</v>
      </c>
      <c r="E305" s="445">
        <v>19062.46386</v>
      </c>
      <c r="F305" s="445">
        <v>12476.371779999899</v>
      </c>
      <c r="G305" s="445">
        <v>24852.750379999899</v>
      </c>
      <c r="H305" s="445">
        <v>29275.449739999902</v>
      </c>
      <c r="I305" s="445">
        <v>27870.3492903439</v>
      </c>
      <c r="J305" s="445">
        <v>28559.462190166501</v>
      </c>
      <c r="K305" s="445">
        <v>25410.465156168299</v>
      </c>
      <c r="L305" s="445">
        <v>13630.2205921942</v>
      </c>
      <c r="M305" s="445">
        <v>16259.824763541699</v>
      </c>
      <c r="N305" s="445">
        <v>18994.593464630601</v>
      </c>
      <c r="P305" s="445">
        <v>19342.243841918102</v>
      </c>
      <c r="Q305" s="445">
        <v>17040.2944469826</v>
      </c>
      <c r="R305" s="445">
        <v>18279.882373902699</v>
      </c>
      <c r="S305" s="445">
        <v>12123.600305609199</v>
      </c>
      <c r="T305" s="445">
        <v>19898.773237615798</v>
      </c>
      <c r="U305" s="445">
        <v>25665.156720176601</v>
      </c>
      <c r="V305" s="445">
        <v>30087.049226725201</v>
      </c>
      <c r="W305" s="445">
        <v>31263.0186978313</v>
      </c>
      <c r="X305" s="445">
        <v>28361.588676380601</v>
      </c>
      <c r="Y305" s="445">
        <v>14388.5237338196</v>
      </c>
      <c r="Z305" s="445">
        <v>16047.606204976501</v>
      </c>
      <c r="AA305" s="445">
        <v>20821.111025062099</v>
      </c>
      <c r="AB305" s="445">
        <v>21271.190988733299</v>
      </c>
      <c r="AC305" s="445">
        <v>19069.860927951599</v>
      </c>
      <c r="AD305" s="445">
        <v>19765.860538458001</v>
      </c>
      <c r="AE305" s="445">
        <v>13296.420816778</v>
      </c>
    </row>
    <row r="306" spans="1:32">
      <c r="A306" s="444" t="s">
        <v>1746</v>
      </c>
      <c r="B306" s="445">
        <v>112.07714999999899</v>
      </c>
      <c r="C306" s="445">
        <v>772.56518000000005</v>
      </c>
      <c r="D306" s="445">
        <v>355.11865</v>
      </c>
      <c r="E306" s="445">
        <v>111.72244999999999</v>
      </c>
      <c r="F306" s="445">
        <v>76.098489999999998</v>
      </c>
      <c r="G306" s="445">
        <v>182.40493000000001</v>
      </c>
      <c r="H306" s="445">
        <v>47.5643799999999</v>
      </c>
      <c r="I306" s="445">
        <v>-0.63077316773748004</v>
      </c>
      <c r="J306" s="445">
        <v>27.812935000000099</v>
      </c>
      <c r="K306" s="445">
        <v>60.915574166667</v>
      </c>
      <c r="L306" s="445">
        <v>53.0731608333342</v>
      </c>
      <c r="M306" s="445">
        <v>63.097260000001299</v>
      </c>
      <c r="N306" s="445">
        <v>268.00354416666698</v>
      </c>
      <c r="P306" s="445">
        <v>301.98124500000102</v>
      </c>
      <c r="Q306" s="445">
        <v>256.92672416666602</v>
      </c>
      <c r="R306" s="445">
        <v>650.08618499999795</v>
      </c>
      <c r="S306" s="445">
        <v>115.44486666666999</v>
      </c>
      <c r="T306" s="445">
        <v>62.147031666664397</v>
      </c>
      <c r="U306" s="445">
        <v>79.257398333317994</v>
      </c>
      <c r="V306" s="445">
        <v>72.759782499956003</v>
      </c>
      <c r="W306" s="445">
        <v>55.134357499931099</v>
      </c>
      <c r="X306" s="445">
        <v>71.759642499934998</v>
      </c>
      <c r="Y306" s="445">
        <v>49.811672499926999</v>
      </c>
      <c r="Z306" s="445">
        <v>39.279075833250197</v>
      </c>
      <c r="AA306" s="445">
        <v>199.275669999917</v>
      </c>
      <c r="AB306" s="445">
        <v>299.390777499889</v>
      </c>
      <c r="AC306" s="445">
        <v>254.03344666656801</v>
      </c>
      <c r="AD306" s="445">
        <v>648.75815583327199</v>
      </c>
      <c r="AE306" s="445">
        <v>113.07166999995199</v>
      </c>
    </row>
    <row r="307" spans="1:32">
      <c r="A307" s="444" t="s">
        <v>1747</v>
      </c>
      <c r="B307" s="445">
        <v>-35.61927</v>
      </c>
      <c r="C307" s="445">
        <v>-152.41001</v>
      </c>
      <c r="D307" s="445">
        <v>-70.006059999999906</v>
      </c>
      <c r="E307" s="445">
        <v>8.2970300000000208</v>
      </c>
      <c r="F307" s="445">
        <v>-17.364139999999999</v>
      </c>
      <c r="G307" s="445">
        <v>-36.294420000000002</v>
      </c>
      <c r="H307" s="445">
        <v>18.558709999999898</v>
      </c>
      <c r="I307" s="445">
        <v>3.8912292494212899</v>
      </c>
      <c r="J307" s="445">
        <v>-2.35641413004236</v>
      </c>
      <c r="K307" s="445">
        <v>-8.0714425837924004</v>
      </c>
      <c r="L307" s="445">
        <v>-5.7883539437925204</v>
      </c>
      <c r="M307" s="445">
        <v>-9.4450650875426003</v>
      </c>
      <c r="N307" s="445">
        <v>-49.677361098792503</v>
      </c>
      <c r="P307" s="445">
        <v>-52.102295735042503</v>
      </c>
      <c r="Q307" s="445">
        <v>-48.737353008792297</v>
      </c>
      <c r="R307" s="445">
        <v>-126.693546245042</v>
      </c>
      <c r="S307" s="445">
        <v>-20.014560457543102</v>
      </c>
      <c r="T307" s="445">
        <v>-9.3877071750418803</v>
      </c>
      <c r="U307" s="445">
        <v>-13.117504645039199</v>
      </c>
      <c r="V307" s="445">
        <v>-11.016431326283501</v>
      </c>
      <c r="W307" s="445">
        <v>-8.0303741787785903</v>
      </c>
      <c r="X307" s="445">
        <v>-10.4223881562793</v>
      </c>
      <c r="Y307" s="445">
        <v>-6.3453403212777797</v>
      </c>
      <c r="Z307" s="445">
        <v>-5.6050284062757498</v>
      </c>
      <c r="AA307" s="445">
        <v>-33.2291059625258</v>
      </c>
      <c r="AB307" s="445">
        <v>-51.460865828770203</v>
      </c>
      <c r="AC307" s="445">
        <v>-48.045367807522602</v>
      </c>
      <c r="AD307" s="445">
        <v>-126.12293850627999</v>
      </c>
      <c r="AE307" s="445">
        <v>-19.4198117225327</v>
      </c>
    </row>
    <row r="308" spans="1:32">
      <c r="A308" s="444" t="s">
        <v>1748</v>
      </c>
      <c r="B308" s="445">
        <v>-11.141859999999999</v>
      </c>
      <c r="C308" s="445">
        <v>-46.325229999999998</v>
      </c>
      <c r="D308" s="445">
        <v>-21.27844</v>
      </c>
      <c r="E308" s="445">
        <v>2.52189</v>
      </c>
      <c r="F308" s="445">
        <v>7.0659399999999897</v>
      </c>
      <c r="G308" s="445">
        <v>-9.0963499999999993</v>
      </c>
      <c r="H308" s="445">
        <v>6.3808599999999904</v>
      </c>
      <c r="I308" s="445">
        <v>0.97524542592012398</v>
      </c>
      <c r="J308" s="445">
        <v>-0.59057998246675902</v>
      </c>
      <c r="K308" s="445">
        <v>-2.0229179408001001</v>
      </c>
      <c r="L308" s="445">
        <v>-1.4507152741334599</v>
      </c>
      <c r="M308" s="445">
        <v>-2.3671842324668102</v>
      </c>
      <c r="N308" s="445">
        <v>-12.450466440800099</v>
      </c>
      <c r="P308" s="445">
        <v>-13.0582194824668</v>
      </c>
      <c r="Q308" s="445">
        <v>-12.2148754408</v>
      </c>
      <c r="R308" s="445">
        <v>-31.7527684824666</v>
      </c>
      <c r="S308" s="445">
        <v>-5.0161805658002798</v>
      </c>
      <c r="T308" s="445">
        <v>-2.3528088157999698</v>
      </c>
      <c r="U308" s="445">
        <v>-3.2875951491326498</v>
      </c>
      <c r="V308" s="445">
        <v>-2.7610103574645501</v>
      </c>
      <c r="W308" s="445">
        <v>-2.0126251074632999</v>
      </c>
      <c r="X308" s="445">
        <v>-2.6121273574635002</v>
      </c>
      <c r="Y308" s="445">
        <v>-1.5903108574631</v>
      </c>
      <c r="Z308" s="445">
        <v>-1.4047690241292601</v>
      </c>
      <c r="AA308" s="445">
        <v>-8.3280967324626207</v>
      </c>
      <c r="AB308" s="445">
        <v>-12.8974601074612</v>
      </c>
      <c r="AC308" s="445">
        <v>-12.041445565795099</v>
      </c>
      <c r="AD308" s="445">
        <v>-31.609759024130302</v>
      </c>
      <c r="AE308" s="445">
        <v>-4.8671207324643504</v>
      </c>
    </row>
    <row r="309" spans="1:32">
      <c r="A309" s="444" t="s">
        <v>1749</v>
      </c>
      <c r="B309" s="445">
        <v>65.316019999999895</v>
      </c>
      <c r="C309" s="445">
        <v>573.82993999999997</v>
      </c>
      <c r="D309" s="445">
        <v>263.83415000000002</v>
      </c>
      <c r="E309" s="445">
        <v>122.54137</v>
      </c>
      <c r="F309" s="445">
        <v>65.800290000000004</v>
      </c>
      <c r="G309" s="445">
        <v>137.01416</v>
      </c>
      <c r="H309" s="445">
        <v>72.503949999999904</v>
      </c>
      <c r="I309" s="445">
        <v>4.2357015076039302</v>
      </c>
      <c r="J309" s="445">
        <v>24.865940887491</v>
      </c>
      <c r="K309" s="445">
        <v>50.821213642074497</v>
      </c>
      <c r="L309" s="445">
        <v>45.834091615408298</v>
      </c>
      <c r="M309" s="445">
        <v>51.285010679991899</v>
      </c>
      <c r="N309" s="445">
        <v>205.87571662707501</v>
      </c>
      <c r="P309" s="445">
        <v>236.82072978249099</v>
      </c>
      <c r="Q309" s="445">
        <v>195.97449571707401</v>
      </c>
      <c r="R309" s="445">
        <v>491.63987027248902</v>
      </c>
      <c r="S309" s="445">
        <v>90.414125643327196</v>
      </c>
      <c r="T309" s="445">
        <v>50.406515675822497</v>
      </c>
      <c r="U309" s="445">
        <v>62.852298539146098</v>
      </c>
      <c r="V309" s="445">
        <v>58.982340816207902</v>
      </c>
      <c r="W309" s="445">
        <v>45.091358213689197</v>
      </c>
      <c r="X309" s="445">
        <v>58.725126986192102</v>
      </c>
      <c r="Y309" s="445">
        <v>41.876021321186101</v>
      </c>
      <c r="Z309" s="445">
        <v>32.269278402845202</v>
      </c>
      <c r="AA309" s="445">
        <v>157.718467304928</v>
      </c>
      <c r="AB309" s="445">
        <v>235.03245156365799</v>
      </c>
      <c r="AC309" s="445">
        <v>193.94663329324999</v>
      </c>
      <c r="AD309" s="445">
        <v>491.02545830286198</v>
      </c>
      <c r="AE309" s="445">
        <v>88.784737544954893</v>
      </c>
    </row>
    <row r="310" spans="1:32">
      <c r="A310" s="444" t="s">
        <v>1750</v>
      </c>
      <c r="B310" s="445">
        <v>4914.9672599999903</v>
      </c>
      <c r="C310" s="445">
        <v>5028.9374099999905</v>
      </c>
      <c r="D310" s="445">
        <v>4931.3665999999903</v>
      </c>
      <c r="E310" s="445">
        <v>5080.6575899999998</v>
      </c>
      <c r="F310" s="445">
        <v>5132.4868199999901</v>
      </c>
      <c r="G310" s="445">
        <v>5277.49189999999</v>
      </c>
      <c r="H310" s="445">
        <v>5262.8928900000001</v>
      </c>
      <c r="I310" s="445">
        <v>5307.2009039535697</v>
      </c>
      <c r="J310" s="445">
        <v>5337.1091231290102</v>
      </c>
      <c r="K310" s="445">
        <v>5363.7193219522997</v>
      </c>
      <c r="L310" s="445">
        <v>5465.3391654401603</v>
      </c>
      <c r="M310" s="445">
        <v>5536.6999714037202</v>
      </c>
      <c r="N310" s="445">
        <v>5601.2499416427599</v>
      </c>
      <c r="P310" s="445">
        <v>5621.6912492259698</v>
      </c>
      <c r="Q310" s="445">
        <v>5595.7149856347196</v>
      </c>
      <c r="R310" s="445">
        <v>5676.0331537887196</v>
      </c>
      <c r="S310" s="445">
        <v>5798.6963749815004</v>
      </c>
      <c r="T310" s="445">
        <v>6786.9938361491504</v>
      </c>
      <c r="U310" s="445">
        <v>6530.4318530781502</v>
      </c>
      <c r="V310" s="445">
        <v>6565.8163560363</v>
      </c>
      <c r="W310" s="445">
        <v>6583.1079772882804</v>
      </c>
      <c r="X310" s="445">
        <v>6596.9491513625599</v>
      </c>
      <c r="Y310" s="445">
        <v>6673.8136938035204</v>
      </c>
      <c r="Z310" s="445">
        <v>6752.6252117792201</v>
      </c>
      <c r="AA310" s="445">
        <v>6795.7994376219003</v>
      </c>
      <c r="AB310" s="445">
        <v>6730.2647729050304</v>
      </c>
      <c r="AC310" s="445">
        <v>6631.5830881998199</v>
      </c>
      <c r="AD310" s="445">
        <v>6676.11033557059</v>
      </c>
      <c r="AE310" s="445">
        <v>6725.8108762657403</v>
      </c>
    </row>
    <row r="311" spans="1:32">
      <c r="A311" s="444" t="s">
        <v>1751</v>
      </c>
      <c r="B311" s="445">
        <v>4914.9672599999903</v>
      </c>
      <c r="C311" s="445">
        <v>5028.9374099999905</v>
      </c>
      <c r="D311" s="445">
        <v>4931.3665999999903</v>
      </c>
      <c r="E311" s="445">
        <v>5080.6575899999998</v>
      </c>
      <c r="F311" s="445">
        <v>5132.4868199999901</v>
      </c>
      <c r="G311" s="445">
        <v>5277.49189999999</v>
      </c>
      <c r="H311" s="445">
        <v>5262.8928900000001</v>
      </c>
      <c r="I311" s="445">
        <v>5307.2009039535697</v>
      </c>
      <c r="J311" s="445">
        <v>5337.1091231290102</v>
      </c>
      <c r="K311" s="445">
        <v>5363.7193219522997</v>
      </c>
      <c r="L311" s="445">
        <v>5465.3391654401603</v>
      </c>
      <c r="M311" s="445">
        <v>5536.6999714037202</v>
      </c>
      <c r="N311" s="445">
        <v>5601.2499416427599</v>
      </c>
      <c r="O311" s="137">
        <f>SUM(C311:N311)</f>
        <v>63325.151637521485</v>
      </c>
      <c r="P311" s="445">
        <v>5621.6912492259698</v>
      </c>
      <c r="Q311" s="445">
        <v>5595.7149856347196</v>
      </c>
      <c r="R311" s="445">
        <v>5676.0331537887196</v>
      </c>
      <c r="S311" s="445">
        <v>5798.6963749815004</v>
      </c>
      <c r="T311" s="445">
        <v>6786.9938361491504</v>
      </c>
      <c r="U311" s="445">
        <v>6530.4318530781502</v>
      </c>
      <c r="V311" s="445">
        <v>6565.8163560363</v>
      </c>
      <c r="W311" s="445">
        <v>6583.1079772882804</v>
      </c>
      <c r="X311" s="445">
        <v>6596.9491513625599</v>
      </c>
      <c r="Y311" s="445">
        <v>6673.8136938035204</v>
      </c>
      <c r="Z311" s="445">
        <v>6752.6252117792201</v>
      </c>
      <c r="AA311" s="445">
        <v>6795.7994376219003</v>
      </c>
      <c r="AB311" s="445">
        <v>6730.2647729050304</v>
      </c>
      <c r="AC311" s="445">
        <v>6631.5830881998199</v>
      </c>
      <c r="AD311" s="445">
        <v>6676.11033557059</v>
      </c>
      <c r="AE311" s="445">
        <v>6725.8108762657403</v>
      </c>
      <c r="AF311" s="137">
        <f>SUM(T311:AE311)</f>
        <v>80049.306590060252</v>
      </c>
    </row>
    <row r="312" spans="1:32">
      <c r="A312" s="447" t="s">
        <v>1752</v>
      </c>
      <c r="B312" s="445">
        <v>15352.418669999999</v>
      </c>
      <c r="C312" s="445">
        <v>20186.98287</v>
      </c>
      <c r="D312" s="445">
        <v>11786.65041</v>
      </c>
      <c r="E312" s="445">
        <v>13859.2649</v>
      </c>
      <c r="F312" s="445">
        <v>7278.0846699999802</v>
      </c>
      <c r="G312" s="445">
        <v>19438.2443199999</v>
      </c>
      <c r="H312" s="445">
        <v>23940.052899999901</v>
      </c>
      <c r="I312" s="445">
        <v>22558.9126848827</v>
      </c>
      <c r="J312" s="445">
        <v>23197.487126150001</v>
      </c>
      <c r="K312" s="445">
        <v>19995.924620573998</v>
      </c>
      <c r="L312" s="445">
        <v>8119.04733513871</v>
      </c>
      <c r="M312" s="445">
        <v>10671.839781458</v>
      </c>
      <c r="N312" s="445">
        <v>13187.467806360701</v>
      </c>
      <c r="P312" s="445">
        <v>13483.731862909601</v>
      </c>
      <c r="Q312" s="445">
        <v>11248.604965630801</v>
      </c>
      <c r="R312" s="445">
        <v>12112.2093498415</v>
      </c>
      <c r="S312" s="445">
        <v>6234.4898049843796</v>
      </c>
      <c r="T312" s="445">
        <v>13061.372885790801</v>
      </c>
      <c r="U312" s="445">
        <v>19071.872568559302</v>
      </c>
      <c r="V312" s="445">
        <v>23462.250529872701</v>
      </c>
      <c r="W312" s="445">
        <v>24634.819362329301</v>
      </c>
      <c r="X312" s="445">
        <v>21705.914398031899</v>
      </c>
      <c r="Y312" s="445">
        <v>7672.8340186949699</v>
      </c>
      <c r="Z312" s="445">
        <v>9262.7117147944791</v>
      </c>
      <c r="AA312" s="445">
        <v>13867.5931201352</v>
      </c>
      <c r="AB312" s="445">
        <v>14305.8937642646</v>
      </c>
      <c r="AC312" s="445">
        <v>12244.331206458501</v>
      </c>
      <c r="AD312" s="445">
        <v>12598.724744584601</v>
      </c>
      <c r="AE312" s="445">
        <v>6481.8252029673004</v>
      </c>
    </row>
  </sheetData>
  <pageMargins left="0.75" right="0.75" top="1" bottom="1" header="0.5" footer="0.5"/>
  <pageSetup scale="3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9"/>
  <sheetViews>
    <sheetView zoomScaleNormal="100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A434" sqref="A434"/>
    </sheetView>
  </sheetViews>
  <sheetFormatPr defaultRowHeight="15" outlineLevelRow="1"/>
  <cols>
    <col min="1" max="1" width="36.33203125" style="444" customWidth="1"/>
    <col min="2" max="31" width="8.33203125" style="445" customWidth="1"/>
    <col min="32" max="32" width="9.109375" style="627" bestFit="1" customWidth="1"/>
    <col min="33" max="16384" width="8.88671875" style="627"/>
  </cols>
  <sheetData>
    <row r="1" spans="1:31" s="625" customFormat="1">
      <c r="A1" s="438" t="s">
        <v>2138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1" s="625" customFormat="1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439"/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</row>
    <row r="3" spans="1:31" s="625" customFormat="1">
      <c r="A3" s="440" t="s">
        <v>1851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1">
      <c r="A4" s="447" t="s">
        <v>557</v>
      </c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</row>
    <row r="5" spans="1:31">
      <c r="A5" s="447" t="s">
        <v>2139</v>
      </c>
    </row>
    <row r="6" spans="1:31" ht="15.7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outlineLevel="1">
      <c r="A7" s="447" t="s">
        <v>2140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8"/>
      <c r="Y7" s="628"/>
      <c r="Z7" s="628"/>
      <c r="AA7" s="628"/>
      <c r="AB7" s="628"/>
      <c r="AC7" s="628"/>
      <c r="AD7" s="628"/>
      <c r="AE7" s="628"/>
    </row>
    <row r="8" spans="1:31" outlineLevel="1">
      <c r="A8" s="444" t="s">
        <v>2141</v>
      </c>
      <c r="B8" s="445">
        <v>33942.115550000002</v>
      </c>
      <c r="C8" s="445">
        <v>35038.695659999998</v>
      </c>
      <c r="D8" s="445">
        <v>25646.670610000001</v>
      </c>
      <c r="E8" s="445">
        <v>27456.275900000001</v>
      </c>
      <c r="F8" s="445">
        <v>23123.475259999999</v>
      </c>
      <c r="G8" s="445">
        <v>35024.454189999997</v>
      </c>
      <c r="H8" s="445">
        <v>39309.457090000004</v>
      </c>
      <c r="I8" s="445">
        <v>41974.940648867101</v>
      </c>
      <c r="J8" s="445">
        <v>41871.936946367197</v>
      </c>
      <c r="K8" s="445">
        <v>32659.3106762856</v>
      </c>
      <c r="L8" s="445">
        <v>25049.2810484357</v>
      </c>
      <c r="M8" s="445">
        <v>24079.113300410001</v>
      </c>
      <c r="N8" s="445">
        <v>28510.102734792501</v>
      </c>
      <c r="P8" s="445">
        <v>32046.423389854001</v>
      </c>
      <c r="Q8" s="445">
        <v>28253.1092971082</v>
      </c>
      <c r="R8" s="445">
        <v>28214.5211662084</v>
      </c>
      <c r="S8" s="445">
        <v>23639.7172408605</v>
      </c>
      <c r="T8" s="445">
        <v>28239.2667285682</v>
      </c>
      <c r="U8" s="445">
        <v>34368.135397157799</v>
      </c>
      <c r="V8" s="445">
        <v>43729.638469861296</v>
      </c>
      <c r="W8" s="445">
        <v>44255.5703194628</v>
      </c>
      <c r="X8" s="445">
        <v>34660.730648351797</v>
      </c>
      <c r="Y8" s="445">
        <v>26375.513863105702</v>
      </c>
      <c r="Z8" s="445">
        <v>25842.507756214702</v>
      </c>
      <c r="AA8" s="445">
        <v>30069.334012502899</v>
      </c>
      <c r="AB8" s="445">
        <v>33904.880283399099</v>
      </c>
      <c r="AC8" s="445">
        <v>29779.745279355699</v>
      </c>
      <c r="AD8" s="445">
        <v>30777.4743458966</v>
      </c>
      <c r="AE8" s="445">
        <v>24677.0444686193</v>
      </c>
    </row>
    <row r="9" spans="1:31" ht="15.75" outlineLevel="1" thickBot="1">
      <c r="A9" s="444" t="s">
        <v>2142</v>
      </c>
      <c r="B9" s="629">
        <v>33838.896610000003</v>
      </c>
      <c r="C9" s="629">
        <v>38283.407339999998</v>
      </c>
      <c r="D9" s="629">
        <v>25345.499790000002</v>
      </c>
      <c r="E9" s="629">
        <v>23129.421689999999</v>
      </c>
      <c r="F9" s="629">
        <v>14967.739679999901</v>
      </c>
      <c r="G9" s="629">
        <v>8072.4819900000002</v>
      </c>
      <c r="H9" s="629">
        <v>7153.1907300000003</v>
      </c>
      <c r="I9" s="629">
        <v>7098.5721546115801</v>
      </c>
      <c r="J9" s="629">
        <v>7010.7659953319899</v>
      </c>
      <c r="K9" s="629">
        <v>7212.7752381233704</v>
      </c>
      <c r="L9" s="629">
        <v>8895.8716136369694</v>
      </c>
      <c r="M9" s="629">
        <v>17609.8603199391</v>
      </c>
      <c r="N9" s="629">
        <v>30445.144969376401</v>
      </c>
      <c r="O9" s="629"/>
      <c r="P9" s="629">
        <v>38065.519550347897</v>
      </c>
      <c r="Q9" s="629">
        <v>34035.140403030702</v>
      </c>
      <c r="R9" s="629">
        <v>24734.118609771402</v>
      </c>
      <c r="S9" s="629">
        <v>14078.3070691146</v>
      </c>
      <c r="T9" s="629">
        <v>9662.2034277951898</v>
      </c>
      <c r="U9" s="629">
        <v>7576.8428690561104</v>
      </c>
      <c r="V9" s="629">
        <v>7094.29165018597</v>
      </c>
      <c r="W9" s="629">
        <v>6988.6825086239996</v>
      </c>
      <c r="X9" s="629">
        <v>7187.4573369891104</v>
      </c>
      <c r="Y9" s="629">
        <v>8885.6974217717598</v>
      </c>
      <c r="Z9" s="629">
        <v>17872.1127786978</v>
      </c>
      <c r="AA9" s="629">
        <v>30583.9823974971</v>
      </c>
      <c r="AB9" s="629">
        <v>38069.518365379299</v>
      </c>
      <c r="AC9" s="629">
        <v>34014.2144707189</v>
      </c>
      <c r="AD9" s="629">
        <v>24883.425866624199</v>
      </c>
      <c r="AE9" s="629">
        <v>14171.4401774207</v>
      </c>
    </row>
    <row r="10" spans="1:31" ht="15.75" outlineLevel="1">
      <c r="A10"/>
      <c r="B10" s="631">
        <v>67781.012159999998</v>
      </c>
      <c r="C10" s="631">
        <v>73322.103000000003</v>
      </c>
      <c r="D10" s="631">
        <v>50992.170400000003</v>
      </c>
      <c r="E10" s="631">
        <v>50585.697590000003</v>
      </c>
      <c r="F10" s="631">
        <v>38091.214939999998</v>
      </c>
      <c r="G10" s="631">
        <v>43096.936179999997</v>
      </c>
      <c r="H10" s="631">
        <v>46462.647819999998</v>
      </c>
      <c r="I10" s="631">
        <v>49073.512803478698</v>
      </c>
      <c r="J10" s="631">
        <v>48882.702941699201</v>
      </c>
      <c r="K10" s="631">
        <v>39872.085914408999</v>
      </c>
      <c r="L10" s="631">
        <v>33945.152662072702</v>
      </c>
      <c r="M10" s="631">
        <v>41688.973620349199</v>
      </c>
      <c r="N10" s="631">
        <v>58955.247704168898</v>
      </c>
      <c r="O10" s="631"/>
      <c r="P10" s="631">
        <v>70111.942940201901</v>
      </c>
      <c r="Q10" s="631">
        <v>62288.249700138898</v>
      </c>
      <c r="R10" s="631">
        <v>52948.6397759799</v>
      </c>
      <c r="S10" s="631">
        <v>37718.024309975197</v>
      </c>
      <c r="T10" s="631">
        <v>37901.470156363401</v>
      </c>
      <c r="U10" s="631">
        <v>41944.978266213897</v>
      </c>
      <c r="V10" s="631">
        <v>50823.930120047298</v>
      </c>
      <c r="W10" s="631">
        <v>51244.252828086799</v>
      </c>
      <c r="X10" s="631">
        <v>41848.187985340897</v>
      </c>
      <c r="Y10" s="631">
        <v>35261.2112848775</v>
      </c>
      <c r="Z10" s="631">
        <v>43714.620534912501</v>
      </c>
      <c r="AA10" s="631">
        <v>60653.316410000101</v>
      </c>
      <c r="AB10" s="631">
        <v>71974.398648778399</v>
      </c>
      <c r="AC10" s="631">
        <v>63793.959750074697</v>
      </c>
      <c r="AD10" s="631">
        <v>55660.900212520799</v>
      </c>
      <c r="AE10" s="631">
        <v>38848.484646040102</v>
      </c>
    </row>
    <row r="11" spans="1:31" outlineLevel="1"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</row>
    <row r="12" spans="1:31" outlineLevel="1">
      <c r="A12" s="444" t="s">
        <v>2143</v>
      </c>
      <c r="B12" s="445">
        <v>25678.032739999999</v>
      </c>
      <c r="C12" s="445">
        <v>24466.985189999999</v>
      </c>
      <c r="D12" s="445">
        <v>24150.29319</v>
      </c>
      <c r="E12" s="445">
        <v>24472.51353</v>
      </c>
      <c r="F12" s="445">
        <v>22974.764389999898</v>
      </c>
      <c r="G12" s="445">
        <v>28449.757349999902</v>
      </c>
      <c r="H12" s="445">
        <v>29104.05359</v>
      </c>
      <c r="I12" s="445">
        <v>30580.390003135199</v>
      </c>
      <c r="J12" s="445">
        <v>30648.761284656499</v>
      </c>
      <c r="K12" s="445">
        <v>27021.0428820099</v>
      </c>
      <c r="L12" s="445">
        <v>24798.5470337603</v>
      </c>
      <c r="M12" s="445">
        <v>24336.297200827499</v>
      </c>
      <c r="N12" s="445">
        <v>24600.0768353602</v>
      </c>
      <c r="P12" s="445">
        <v>25367.805620519299</v>
      </c>
      <c r="Q12" s="445">
        <v>23622.367022132301</v>
      </c>
      <c r="R12" s="445">
        <v>24326.7095929524</v>
      </c>
      <c r="S12" s="445">
        <v>23816.005184751099</v>
      </c>
      <c r="T12" s="445">
        <v>28223.008744700899</v>
      </c>
      <c r="U12" s="445">
        <v>29769.1703266369</v>
      </c>
      <c r="V12" s="445">
        <v>32033.7501538586</v>
      </c>
      <c r="W12" s="445">
        <v>32327.308756478</v>
      </c>
      <c r="X12" s="445">
        <v>28535.2163737585</v>
      </c>
      <c r="Y12" s="445">
        <v>26021.4020962389</v>
      </c>
      <c r="Z12" s="445">
        <v>25849.274120104099</v>
      </c>
      <c r="AA12" s="445">
        <v>25825.969101667299</v>
      </c>
      <c r="AB12" s="445">
        <v>26602.510341976998</v>
      </c>
      <c r="AC12" s="445">
        <v>24638.024559916001</v>
      </c>
      <c r="AD12" s="445">
        <v>25967.980809290799</v>
      </c>
      <c r="AE12" s="445">
        <v>24800.766507255299</v>
      </c>
    </row>
    <row r="13" spans="1:31" ht="15.75" outlineLevel="1" thickBot="1">
      <c r="A13" s="444" t="s">
        <v>2144</v>
      </c>
      <c r="B13" s="629">
        <v>12417.762549999999</v>
      </c>
      <c r="C13" s="629">
        <v>14966.485710000001</v>
      </c>
      <c r="D13" s="629">
        <v>9917.55861</v>
      </c>
      <c r="E13" s="629">
        <v>9511.7142800000001</v>
      </c>
      <c r="F13" s="629">
        <v>6022.4102199999998</v>
      </c>
      <c r="G13" s="629">
        <v>3416.8064300000001</v>
      </c>
      <c r="H13" s="629">
        <v>3185.6831400000001</v>
      </c>
      <c r="I13" s="629">
        <v>2735.94825203956</v>
      </c>
      <c r="J13" s="629">
        <v>2708.9198545954</v>
      </c>
      <c r="K13" s="629">
        <v>2814.7942988104201</v>
      </c>
      <c r="L13" s="629">
        <v>3972.52455962158</v>
      </c>
      <c r="M13" s="629">
        <v>6812.20803953837</v>
      </c>
      <c r="N13" s="629">
        <v>11358.661361508901</v>
      </c>
      <c r="O13" s="629"/>
      <c r="P13" s="629">
        <v>14325.1560153152</v>
      </c>
      <c r="Q13" s="629">
        <v>12704.642727598801</v>
      </c>
      <c r="R13" s="629">
        <v>9216.60981098091</v>
      </c>
      <c r="S13" s="629">
        <v>5537.49062250305</v>
      </c>
      <c r="T13" s="629">
        <v>3981.6322729725998</v>
      </c>
      <c r="U13" s="629">
        <v>2827.1851172286902</v>
      </c>
      <c r="V13" s="629">
        <v>2643.4233925239901</v>
      </c>
      <c r="W13" s="629">
        <v>2612.1910138806102</v>
      </c>
      <c r="X13" s="629">
        <v>2715.54919270451</v>
      </c>
      <c r="Y13" s="629">
        <v>3935.93697363605</v>
      </c>
      <c r="Z13" s="629">
        <v>6753.2476936923504</v>
      </c>
      <c r="AA13" s="629">
        <v>11114.807535305999</v>
      </c>
      <c r="AB13" s="629">
        <v>13842.5093672735</v>
      </c>
      <c r="AC13" s="629">
        <v>12249.140386962599</v>
      </c>
      <c r="AD13" s="629">
        <v>8920.3393470574592</v>
      </c>
      <c r="AE13" s="629">
        <v>5421.15600928402</v>
      </c>
    </row>
    <row r="14" spans="1:31" outlineLevel="1">
      <c r="A14" s="630" t="s">
        <v>2145</v>
      </c>
      <c r="B14" s="445">
        <v>38095.795290000002</v>
      </c>
      <c r="C14" s="445">
        <v>39433.4709</v>
      </c>
      <c r="D14" s="445">
        <v>34067.851799999997</v>
      </c>
      <c r="E14" s="445">
        <v>33984.227809999997</v>
      </c>
      <c r="F14" s="445">
        <v>28997.1746099999</v>
      </c>
      <c r="G14" s="445">
        <v>31866.563779999899</v>
      </c>
      <c r="H14" s="445">
        <v>32289.736730000001</v>
      </c>
      <c r="I14" s="445">
        <v>33316.3382551748</v>
      </c>
      <c r="J14" s="445">
        <v>33357.681139251901</v>
      </c>
      <c r="K14" s="445">
        <v>29835.837180820301</v>
      </c>
      <c r="L14" s="445">
        <v>28771.071593381799</v>
      </c>
      <c r="M14" s="445">
        <v>31148.505240365899</v>
      </c>
      <c r="N14" s="445">
        <v>35958.738196869199</v>
      </c>
      <c r="P14" s="445">
        <v>39692.961635834501</v>
      </c>
      <c r="Q14" s="445">
        <v>36327.0097497311</v>
      </c>
      <c r="R14" s="445">
        <v>33543.319403933303</v>
      </c>
      <c r="S14" s="445">
        <v>29353.495807254199</v>
      </c>
      <c r="T14" s="445">
        <v>32204.641017673501</v>
      </c>
      <c r="U14" s="445">
        <v>32596.355443865599</v>
      </c>
      <c r="V14" s="445">
        <v>34677.173546382597</v>
      </c>
      <c r="W14" s="445">
        <v>34939.4997703587</v>
      </c>
      <c r="X14" s="445">
        <v>31250.765566463</v>
      </c>
      <c r="Y14" s="445">
        <v>29957.339069874899</v>
      </c>
      <c r="Z14" s="445">
        <v>32602.521813796498</v>
      </c>
      <c r="AA14" s="445">
        <v>36940.776636973402</v>
      </c>
      <c r="AB14" s="445">
        <v>40445.019709250497</v>
      </c>
      <c r="AC14" s="445">
        <v>36887.1649468787</v>
      </c>
      <c r="AD14" s="445">
        <v>34888.3201563482</v>
      </c>
      <c r="AE14" s="445">
        <v>30221.9225165393</v>
      </c>
    </row>
    <row r="15" spans="1:31" outlineLevel="1"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</row>
    <row r="16" spans="1:31" outlineLevel="1">
      <c r="A16" s="444" t="s">
        <v>2146</v>
      </c>
      <c r="B16" s="445">
        <v>12180.5354099999</v>
      </c>
      <c r="C16" s="445">
        <v>10876.3246499999</v>
      </c>
      <c r="D16" s="445">
        <v>12206.0561</v>
      </c>
      <c r="E16" s="445">
        <v>10985.1671899999</v>
      </c>
      <c r="F16" s="445">
        <v>12470.05457</v>
      </c>
      <c r="G16" s="445">
        <v>12597.2072799999</v>
      </c>
      <c r="H16" s="445">
        <v>12609.274219999999</v>
      </c>
      <c r="I16" s="445">
        <v>12818.9534948768</v>
      </c>
      <c r="J16" s="445">
        <v>13321.6167085997</v>
      </c>
      <c r="K16" s="445">
        <v>11934.685180562101</v>
      </c>
      <c r="L16" s="445">
        <v>11575.701497817699</v>
      </c>
      <c r="M16" s="445">
        <v>12201.447520224399</v>
      </c>
      <c r="N16" s="445">
        <v>11899.6801654104</v>
      </c>
      <c r="P16" s="445">
        <v>11871.1119844898</v>
      </c>
      <c r="Q16" s="445">
        <v>11165.346608067801</v>
      </c>
      <c r="R16" s="445">
        <v>11874.8139656441</v>
      </c>
      <c r="S16" s="445">
        <v>11881.818268793</v>
      </c>
      <c r="T16" s="445">
        <v>14280.366251208899</v>
      </c>
      <c r="U16" s="445">
        <v>13835.9917180753</v>
      </c>
      <c r="V16" s="445">
        <v>13597.985014665799</v>
      </c>
      <c r="W16" s="445">
        <v>14274.631369520799</v>
      </c>
      <c r="X16" s="445">
        <v>12936.9093739318</v>
      </c>
      <c r="Y16" s="445">
        <v>12275.1731318032</v>
      </c>
      <c r="Z16" s="445">
        <v>13269.571848245199</v>
      </c>
      <c r="AA16" s="445">
        <v>12823.0581926667</v>
      </c>
      <c r="AB16" s="445">
        <v>12726.9484499789</v>
      </c>
      <c r="AC16" s="445">
        <v>11879.586485424399</v>
      </c>
      <c r="AD16" s="445">
        <v>12954.6011292167</v>
      </c>
      <c r="AE16" s="445">
        <v>12664.208334172399</v>
      </c>
    </row>
    <row r="17" spans="1:31" ht="15.75" outlineLevel="1" thickBot="1">
      <c r="A17" s="444" t="s">
        <v>2147</v>
      </c>
      <c r="B17" s="629">
        <v>1147.3664200000001</v>
      </c>
      <c r="C17" s="629">
        <v>1095.58925</v>
      </c>
      <c r="D17" s="629">
        <v>968.43700000000001</v>
      </c>
      <c r="E17" s="629">
        <v>1094.8919000000001</v>
      </c>
      <c r="F17" s="629">
        <v>661.270029999999</v>
      </c>
      <c r="G17" s="629">
        <v>644.55718999999999</v>
      </c>
      <c r="H17" s="629">
        <v>550.52490999999998</v>
      </c>
      <c r="I17" s="629">
        <v>490.51540873055501</v>
      </c>
      <c r="J17" s="629">
        <v>511.666744528008</v>
      </c>
      <c r="K17" s="629">
        <v>579.14365639971902</v>
      </c>
      <c r="L17" s="629">
        <v>779.99393913617098</v>
      </c>
      <c r="M17" s="629">
        <v>1023.03398447686</v>
      </c>
      <c r="N17" s="629">
        <v>1262.5427662698401</v>
      </c>
      <c r="O17" s="629"/>
      <c r="P17" s="629">
        <v>1371.8617166868501</v>
      </c>
      <c r="Q17" s="629">
        <v>1221.9607497016</v>
      </c>
      <c r="R17" s="629">
        <v>914.41259204198502</v>
      </c>
      <c r="S17" s="629">
        <v>654.18357721820803</v>
      </c>
      <c r="T17" s="629">
        <v>627.60815798782096</v>
      </c>
      <c r="U17" s="629">
        <v>548.38019693147396</v>
      </c>
      <c r="V17" s="629">
        <v>506.06819165957</v>
      </c>
      <c r="W17" s="629">
        <v>522.04584572786905</v>
      </c>
      <c r="X17" s="629">
        <v>588.87652438236398</v>
      </c>
      <c r="Y17" s="629">
        <v>804.01217504219505</v>
      </c>
      <c r="Z17" s="629">
        <v>1043.47690278037</v>
      </c>
      <c r="AA17" s="629">
        <v>1278.4106434155001</v>
      </c>
      <c r="AB17" s="629">
        <v>1353.0376259240099</v>
      </c>
      <c r="AC17" s="629">
        <v>1200.6314467987099</v>
      </c>
      <c r="AD17" s="629">
        <v>885.07125593506498</v>
      </c>
      <c r="AE17" s="629">
        <v>654.89095481371703</v>
      </c>
    </row>
    <row r="18" spans="1:31" outlineLevel="1">
      <c r="A18" s="630" t="s">
        <v>2148</v>
      </c>
      <c r="B18" s="445">
        <v>13327.901829999901</v>
      </c>
      <c r="C18" s="445">
        <v>11971.9139</v>
      </c>
      <c r="D18" s="445">
        <v>13174.4931</v>
      </c>
      <c r="E18" s="445">
        <v>12080.059089999901</v>
      </c>
      <c r="F18" s="445">
        <v>13131.3246</v>
      </c>
      <c r="G18" s="445">
        <v>13241.7644699999</v>
      </c>
      <c r="H18" s="445">
        <v>13159.799129999999</v>
      </c>
      <c r="I18" s="445">
        <v>13309.4689036074</v>
      </c>
      <c r="J18" s="445">
        <v>13833.2834531277</v>
      </c>
      <c r="K18" s="445">
        <v>12513.8288369618</v>
      </c>
      <c r="L18" s="445">
        <v>12355.6954369539</v>
      </c>
      <c r="M18" s="445">
        <v>13224.4815047012</v>
      </c>
      <c r="N18" s="445">
        <v>13162.2229316802</v>
      </c>
      <c r="P18" s="445">
        <v>13242.973701176699</v>
      </c>
      <c r="Q18" s="445">
        <v>12387.307357769399</v>
      </c>
      <c r="R18" s="445">
        <v>12789.226557686099</v>
      </c>
      <c r="S18" s="445">
        <v>12536.001846011201</v>
      </c>
      <c r="T18" s="445">
        <v>14907.9744091967</v>
      </c>
      <c r="U18" s="445">
        <v>14384.371915006799</v>
      </c>
      <c r="V18" s="445">
        <v>14104.0532063254</v>
      </c>
      <c r="W18" s="445">
        <v>14796.677215248699</v>
      </c>
      <c r="X18" s="445">
        <v>13525.7858983142</v>
      </c>
      <c r="Y18" s="445">
        <v>13079.1853068453</v>
      </c>
      <c r="Z18" s="445">
        <v>14313.048751025501</v>
      </c>
      <c r="AA18" s="445">
        <v>14101.4688360822</v>
      </c>
      <c r="AB18" s="445">
        <v>14079.9860759029</v>
      </c>
      <c r="AC18" s="445">
        <v>13080.2179322231</v>
      </c>
      <c r="AD18" s="445">
        <v>13839.6723851518</v>
      </c>
      <c r="AE18" s="445">
        <v>13319.099288986101</v>
      </c>
    </row>
    <row r="19" spans="1:31" outlineLevel="1">
      <c r="B19" s="628"/>
      <c r="C19" s="628"/>
      <c r="D19" s="628"/>
      <c r="E19" s="628"/>
      <c r="F19" s="628"/>
      <c r="G19" s="628"/>
      <c r="H19" s="628"/>
      <c r="I19" s="628"/>
      <c r="J19" s="628"/>
      <c r="K19" s="628"/>
      <c r="L19" s="628"/>
      <c r="M19" s="628"/>
      <c r="N19" s="628"/>
      <c r="O19" s="628"/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</row>
    <row r="20" spans="1:31" ht="15.75" outlineLevel="1" thickBot="1">
      <c r="A20" s="444" t="s">
        <v>2149</v>
      </c>
      <c r="B20" s="629">
        <v>275.71487999999999</v>
      </c>
      <c r="C20" s="629">
        <v>230.30518000000001</v>
      </c>
      <c r="D20" s="629">
        <v>204.98122999999899</v>
      </c>
      <c r="E20" s="629">
        <v>259.45972999999998</v>
      </c>
      <c r="F20" s="629">
        <v>198.53811999999999</v>
      </c>
      <c r="G20" s="629">
        <v>208.68151</v>
      </c>
      <c r="H20" s="629">
        <v>207.6026</v>
      </c>
      <c r="I20" s="629">
        <v>244.90912147984699</v>
      </c>
      <c r="J20" s="629">
        <v>244.33917968657599</v>
      </c>
      <c r="K20" s="629">
        <v>242.31154973429801</v>
      </c>
      <c r="L20" s="629">
        <v>241.43286097684501</v>
      </c>
      <c r="M20" s="629">
        <v>241.87828017558701</v>
      </c>
      <c r="N20" s="629">
        <v>243.09440131667299</v>
      </c>
      <c r="O20" s="629"/>
      <c r="P20" s="629">
        <v>246.86570434143599</v>
      </c>
      <c r="Q20" s="629">
        <v>244.01910292746101</v>
      </c>
      <c r="R20" s="629">
        <v>240.498171601927</v>
      </c>
      <c r="S20" s="629">
        <v>242.37501785969701</v>
      </c>
      <c r="T20" s="629">
        <v>249.33635806123499</v>
      </c>
      <c r="U20" s="629">
        <v>249.53722547959299</v>
      </c>
      <c r="V20" s="629">
        <v>249.26267435164601</v>
      </c>
      <c r="W20" s="629">
        <v>249.68315143076001</v>
      </c>
      <c r="X20" s="629">
        <v>248.63191800614101</v>
      </c>
      <c r="Y20" s="629">
        <v>247.89380764638801</v>
      </c>
      <c r="Z20" s="629">
        <v>250.81747362086199</v>
      </c>
      <c r="AA20" s="629">
        <v>252.430717251993</v>
      </c>
      <c r="AB20" s="629">
        <v>255.64654279196199</v>
      </c>
      <c r="AC20" s="629">
        <v>251.171834934609</v>
      </c>
      <c r="AD20" s="629">
        <v>247.99543653500601</v>
      </c>
      <c r="AE20" s="629">
        <v>247.60266057961701</v>
      </c>
    </row>
    <row r="21" spans="1:31" outlineLevel="1">
      <c r="A21" s="630" t="s">
        <v>2150</v>
      </c>
      <c r="B21" s="445">
        <v>275.71487999999999</v>
      </c>
      <c r="C21" s="445">
        <v>230.30518000000001</v>
      </c>
      <c r="D21" s="445">
        <v>204.98122999999899</v>
      </c>
      <c r="E21" s="445">
        <v>259.45972999999998</v>
      </c>
      <c r="F21" s="445">
        <v>198.53811999999999</v>
      </c>
      <c r="G21" s="445">
        <v>208.68151</v>
      </c>
      <c r="H21" s="445">
        <v>207.6026</v>
      </c>
      <c r="I21" s="445">
        <v>244.90912147984699</v>
      </c>
      <c r="J21" s="445">
        <v>244.33917968657599</v>
      </c>
      <c r="K21" s="445">
        <v>242.31154973429801</v>
      </c>
      <c r="L21" s="445">
        <v>241.43286097684501</v>
      </c>
      <c r="M21" s="445">
        <v>241.87828017558701</v>
      </c>
      <c r="N21" s="445">
        <v>243.09440131667299</v>
      </c>
      <c r="P21" s="445">
        <v>246.86570434143599</v>
      </c>
      <c r="Q21" s="445">
        <v>244.01910292746101</v>
      </c>
      <c r="R21" s="445">
        <v>240.498171601927</v>
      </c>
      <c r="S21" s="445">
        <v>242.37501785969701</v>
      </c>
      <c r="T21" s="445">
        <v>249.33635806123499</v>
      </c>
      <c r="U21" s="445">
        <v>249.53722547959299</v>
      </c>
      <c r="V21" s="445">
        <v>249.26267435164601</v>
      </c>
      <c r="W21" s="445">
        <v>249.68315143076001</v>
      </c>
      <c r="X21" s="445">
        <v>248.63191800614101</v>
      </c>
      <c r="Y21" s="445">
        <v>247.89380764638801</v>
      </c>
      <c r="Z21" s="445">
        <v>250.81747362086199</v>
      </c>
      <c r="AA21" s="445">
        <v>252.430717251993</v>
      </c>
      <c r="AB21" s="445">
        <v>255.64654279196199</v>
      </c>
      <c r="AC21" s="445">
        <v>251.171834934609</v>
      </c>
      <c r="AD21" s="445">
        <v>247.99543653500601</v>
      </c>
      <c r="AE21" s="445">
        <v>247.60266057961701</v>
      </c>
    </row>
    <row r="22" spans="1:31" outlineLevel="1">
      <c r="B22" s="628"/>
      <c r="C22" s="628"/>
      <c r="D22" s="628"/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8"/>
      <c r="R22" s="628"/>
      <c r="S22" s="628"/>
      <c r="T22" s="628"/>
      <c r="U22" s="628"/>
      <c r="V22" s="628"/>
      <c r="W22" s="628"/>
      <c r="X22" s="628"/>
      <c r="Y22" s="628"/>
      <c r="Z22" s="628"/>
      <c r="AA22" s="628"/>
      <c r="AB22" s="628"/>
      <c r="AC22" s="628"/>
      <c r="AD22" s="628"/>
      <c r="AE22" s="628"/>
    </row>
    <row r="23" spans="1:31" outlineLevel="1">
      <c r="A23" s="444" t="s">
        <v>2151</v>
      </c>
      <c r="B23" s="445">
        <v>6347.5088400000004</v>
      </c>
      <c r="C23" s="445">
        <v>5503.8080799999998</v>
      </c>
      <c r="D23" s="445">
        <v>5849.8670700000002</v>
      </c>
      <c r="E23" s="445">
        <v>6744.4547000000002</v>
      </c>
      <c r="F23" s="445">
        <v>6499.7129299999997</v>
      </c>
      <c r="G23" s="445">
        <v>7396.7907299999997</v>
      </c>
      <c r="H23" s="445">
        <v>7367.3383899999999</v>
      </c>
      <c r="I23" s="445">
        <v>7691.7066549314304</v>
      </c>
      <c r="J23" s="445">
        <v>7848.3639039464697</v>
      </c>
      <c r="K23" s="445">
        <v>6880.0608852297501</v>
      </c>
      <c r="L23" s="445">
        <v>6188.0616403938802</v>
      </c>
      <c r="M23" s="445">
        <v>5899.1678265189403</v>
      </c>
      <c r="N23" s="445">
        <v>5853.0246277833903</v>
      </c>
      <c r="P23" s="445">
        <v>5978.5642472773197</v>
      </c>
      <c r="Q23" s="445">
        <v>5704.5624990409297</v>
      </c>
      <c r="R23" s="445">
        <v>5900.8317360295196</v>
      </c>
      <c r="S23" s="445">
        <v>5540.4673661031302</v>
      </c>
      <c r="T23" s="445">
        <v>6800.9828029989303</v>
      </c>
      <c r="U23" s="445">
        <v>6796.0298327208102</v>
      </c>
      <c r="V23" s="445">
        <v>7507.7955115800396</v>
      </c>
      <c r="W23" s="445">
        <v>7739.5183482708499</v>
      </c>
      <c r="X23" s="445">
        <v>6740.0660936653903</v>
      </c>
      <c r="Y23" s="445">
        <v>6230.9162484997096</v>
      </c>
      <c r="Z23" s="445">
        <v>6210.2095715283604</v>
      </c>
      <c r="AA23" s="445">
        <v>6107.0881249207596</v>
      </c>
      <c r="AB23" s="445">
        <v>6238.2721268872701</v>
      </c>
      <c r="AC23" s="445">
        <v>5920.5157599505701</v>
      </c>
      <c r="AD23" s="445">
        <v>6319.6207442831901</v>
      </c>
      <c r="AE23" s="445">
        <v>5777.9819030094204</v>
      </c>
    </row>
    <row r="24" spans="1:31" ht="15.75" outlineLevel="1" thickBot="1">
      <c r="A24" s="444" t="s">
        <v>2152</v>
      </c>
      <c r="B24" s="629">
        <v>1610.89905</v>
      </c>
      <c r="C24" s="629">
        <v>1848.5395799999999</v>
      </c>
      <c r="D24" s="629">
        <v>1374.6034199999999</v>
      </c>
      <c r="E24" s="629">
        <v>1143.9704300000001</v>
      </c>
      <c r="F24" s="629">
        <v>666.49761999999998</v>
      </c>
      <c r="G24" s="629">
        <v>356.12711000000002</v>
      </c>
      <c r="H24" s="629">
        <v>233.24591000000001</v>
      </c>
      <c r="I24" s="629">
        <v>281.29136629895999</v>
      </c>
      <c r="J24" s="629">
        <v>278.606201969126</v>
      </c>
      <c r="K24" s="629">
        <v>293.96239775357998</v>
      </c>
      <c r="L24" s="629">
        <v>444.94448662485001</v>
      </c>
      <c r="M24" s="629">
        <v>813.48841446872598</v>
      </c>
      <c r="N24" s="629">
        <v>1404.0269832286899</v>
      </c>
      <c r="O24" s="629"/>
      <c r="P24" s="629">
        <v>1790.8651644235799</v>
      </c>
      <c r="Q24" s="629">
        <v>1572.9914180533201</v>
      </c>
      <c r="R24" s="629">
        <v>1117.3084852292</v>
      </c>
      <c r="S24" s="629">
        <v>639.98098658276297</v>
      </c>
      <c r="T24" s="629">
        <v>440.41305014640898</v>
      </c>
      <c r="U24" s="629">
        <v>290.63043772262</v>
      </c>
      <c r="V24" s="629">
        <v>267.04948184994299</v>
      </c>
      <c r="W24" s="629">
        <v>263.53332016100097</v>
      </c>
      <c r="X24" s="629">
        <v>278.57682199278202</v>
      </c>
      <c r="Y24" s="629">
        <v>437.73828417451699</v>
      </c>
      <c r="Z24" s="629">
        <v>803.23142160228701</v>
      </c>
      <c r="AA24" s="629">
        <v>1369.9620244154801</v>
      </c>
      <c r="AB24" s="629">
        <v>1727.5007680519</v>
      </c>
      <c r="AC24" s="629">
        <v>1513.2767862820399</v>
      </c>
      <c r="AD24" s="629">
        <v>1077.9918528824101</v>
      </c>
      <c r="AE24" s="629">
        <v>624.83621118379699</v>
      </c>
    </row>
    <row r="25" spans="1:31" outlineLevel="1">
      <c r="A25" s="630" t="s">
        <v>2153</v>
      </c>
      <c r="B25" s="445">
        <v>7958.4078900000004</v>
      </c>
      <c r="C25" s="445">
        <v>7352.3476600000004</v>
      </c>
      <c r="D25" s="445">
        <v>7224.4704899999997</v>
      </c>
      <c r="E25" s="445">
        <v>7888.4251299999996</v>
      </c>
      <c r="F25" s="445">
        <v>7166.2105499999998</v>
      </c>
      <c r="G25" s="445">
        <v>7752.9178400000001</v>
      </c>
      <c r="H25" s="445">
        <v>7600.5843000000004</v>
      </c>
      <c r="I25" s="445">
        <v>7972.9980212303899</v>
      </c>
      <c r="J25" s="445">
        <v>8126.9701059155996</v>
      </c>
      <c r="K25" s="445">
        <v>7174.0232829833303</v>
      </c>
      <c r="L25" s="445">
        <v>6633.0061270187298</v>
      </c>
      <c r="M25" s="445">
        <v>6712.6562409876697</v>
      </c>
      <c r="N25" s="445">
        <v>7257.0516110120898</v>
      </c>
      <c r="P25" s="445">
        <v>7769.4294117009003</v>
      </c>
      <c r="Q25" s="445">
        <v>7277.5539170942502</v>
      </c>
      <c r="R25" s="445">
        <v>7018.14022125873</v>
      </c>
      <c r="S25" s="445">
        <v>6180.4483526859003</v>
      </c>
      <c r="T25" s="445">
        <v>7241.39585314534</v>
      </c>
      <c r="U25" s="445">
        <v>7086.6602704434299</v>
      </c>
      <c r="V25" s="445">
        <v>7774.8449934299797</v>
      </c>
      <c r="W25" s="445">
        <v>8003.05166843185</v>
      </c>
      <c r="X25" s="445">
        <v>7018.6429156581698</v>
      </c>
      <c r="Y25" s="445">
        <v>6668.6545326742298</v>
      </c>
      <c r="Z25" s="445">
        <v>7013.44099313065</v>
      </c>
      <c r="AA25" s="445">
        <v>7477.0501493362499</v>
      </c>
      <c r="AB25" s="445">
        <v>7965.7728949391803</v>
      </c>
      <c r="AC25" s="445">
        <v>7433.7925462326202</v>
      </c>
      <c r="AD25" s="445">
        <v>7397.6125971656102</v>
      </c>
      <c r="AE25" s="445">
        <v>6402.81811419321</v>
      </c>
    </row>
    <row r="26" spans="1:31" outlineLevel="1">
      <c r="B26" s="628"/>
      <c r="C26" s="628"/>
      <c r="D26" s="628"/>
      <c r="E26" s="628"/>
      <c r="F26" s="628"/>
      <c r="G26" s="628"/>
      <c r="H26" s="628"/>
      <c r="I26" s="628"/>
      <c r="J26" s="628"/>
      <c r="K26" s="628"/>
      <c r="L26" s="628"/>
      <c r="M26" s="628"/>
      <c r="N26" s="628"/>
      <c r="O26" s="628"/>
      <c r="P26" s="628"/>
      <c r="Q26" s="628"/>
      <c r="R26" s="628"/>
      <c r="S26" s="628"/>
      <c r="T26" s="628"/>
      <c r="U26" s="628"/>
      <c r="V26" s="628"/>
      <c r="W26" s="628"/>
      <c r="X26" s="628"/>
      <c r="Y26" s="628"/>
      <c r="Z26" s="628"/>
      <c r="AA26" s="628"/>
      <c r="AB26" s="628"/>
      <c r="AC26" s="628"/>
      <c r="AD26" s="628"/>
      <c r="AE26" s="628"/>
    </row>
    <row r="27" spans="1:31" ht="15.75" outlineLevel="1" thickBot="1">
      <c r="A27" s="444" t="s">
        <v>2154</v>
      </c>
      <c r="B27" s="629">
        <v>0</v>
      </c>
      <c r="C27" s="629">
        <v>0</v>
      </c>
      <c r="D27" s="629">
        <v>0</v>
      </c>
      <c r="E27" s="629">
        <v>0</v>
      </c>
      <c r="F27" s="629">
        <v>0</v>
      </c>
      <c r="G27" s="629">
        <v>0</v>
      </c>
      <c r="H27" s="629">
        <v>0</v>
      </c>
      <c r="I27" s="629">
        <v>0</v>
      </c>
      <c r="J27" s="629">
        <v>0</v>
      </c>
      <c r="K27" s="629">
        <v>0</v>
      </c>
      <c r="L27" s="629">
        <v>0</v>
      </c>
      <c r="M27" s="629">
        <v>0</v>
      </c>
      <c r="N27" s="629">
        <v>0</v>
      </c>
      <c r="O27" s="629"/>
      <c r="P27" s="629">
        <v>0</v>
      </c>
      <c r="Q27" s="629">
        <v>0</v>
      </c>
      <c r="R27" s="629">
        <v>0</v>
      </c>
      <c r="S27" s="629">
        <v>0</v>
      </c>
      <c r="T27" s="629">
        <v>0</v>
      </c>
      <c r="U27" s="629">
        <v>0</v>
      </c>
      <c r="V27" s="629">
        <v>0</v>
      </c>
      <c r="W27" s="629">
        <v>0</v>
      </c>
      <c r="X27" s="629">
        <v>0</v>
      </c>
      <c r="Y27" s="629">
        <v>0</v>
      </c>
      <c r="Z27" s="629">
        <v>0</v>
      </c>
      <c r="AA27" s="629">
        <v>0</v>
      </c>
      <c r="AB27" s="629">
        <v>0</v>
      </c>
      <c r="AC27" s="629">
        <v>0</v>
      </c>
      <c r="AD27" s="629">
        <v>0</v>
      </c>
      <c r="AE27" s="629">
        <v>0</v>
      </c>
    </row>
    <row r="28" spans="1:31" outlineLevel="1">
      <c r="A28" s="630" t="s">
        <v>2155</v>
      </c>
      <c r="B28" s="445">
        <v>0</v>
      </c>
      <c r="C28" s="445">
        <v>0</v>
      </c>
      <c r="D28" s="445">
        <v>0</v>
      </c>
      <c r="E28" s="445">
        <v>0</v>
      </c>
      <c r="F28" s="445">
        <v>0</v>
      </c>
      <c r="G28" s="445">
        <v>0</v>
      </c>
      <c r="H28" s="445">
        <v>0</v>
      </c>
      <c r="I28" s="445">
        <v>0</v>
      </c>
      <c r="J28" s="445">
        <v>0</v>
      </c>
      <c r="K28" s="445">
        <v>0</v>
      </c>
      <c r="L28" s="445">
        <v>0</v>
      </c>
      <c r="M28" s="445">
        <v>0</v>
      </c>
      <c r="N28" s="445">
        <v>0</v>
      </c>
      <c r="P28" s="445">
        <v>0</v>
      </c>
      <c r="Q28" s="445">
        <v>0</v>
      </c>
      <c r="R28" s="445">
        <v>0</v>
      </c>
      <c r="S28" s="445">
        <v>0</v>
      </c>
      <c r="T28" s="445">
        <v>0</v>
      </c>
      <c r="U28" s="445">
        <v>0</v>
      </c>
      <c r="V28" s="445">
        <v>0</v>
      </c>
      <c r="W28" s="445">
        <v>0</v>
      </c>
      <c r="X28" s="445">
        <v>0</v>
      </c>
      <c r="Y28" s="445">
        <v>0</v>
      </c>
      <c r="Z28" s="445">
        <v>0</v>
      </c>
      <c r="AA28" s="445">
        <v>0</v>
      </c>
      <c r="AB28" s="445">
        <v>0</v>
      </c>
      <c r="AC28" s="445">
        <v>0</v>
      </c>
      <c r="AD28" s="445">
        <v>0</v>
      </c>
      <c r="AE28" s="445">
        <v>0</v>
      </c>
    </row>
    <row r="29" spans="1:31" outlineLevel="1">
      <c r="B29" s="628"/>
      <c r="C29" s="628"/>
      <c r="D29" s="628"/>
      <c r="E29" s="628"/>
      <c r="F29" s="628"/>
      <c r="G29" s="628"/>
      <c r="H29" s="628"/>
      <c r="I29" s="628"/>
      <c r="J29" s="628"/>
      <c r="K29" s="628"/>
      <c r="L29" s="628"/>
      <c r="M29" s="62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  <c r="Z29" s="628"/>
      <c r="AA29" s="628"/>
      <c r="AB29" s="628"/>
      <c r="AC29" s="628"/>
      <c r="AD29" s="628"/>
      <c r="AE29" s="628"/>
    </row>
    <row r="30" spans="1:31" outlineLevel="1">
      <c r="A30" s="444" t="s">
        <v>2156</v>
      </c>
      <c r="B30" s="445">
        <v>11236.870419999999</v>
      </c>
      <c r="C30" s="445">
        <v>9504.0490900000004</v>
      </c>
      <c r="D30" s="445">
        <v>10526.413920000001</v>
      </c>
      <c r="E30" s="445">
        <v>10541.73503</v>
      </c>
      <c r="F30" s="445">
        <v>10589.498239999901</v>
      </c>
      <c r="G30" s="445">
        <v>10225.524649999999</v>
      </c>
      <c r="H30" s="445">
        <v>10555.34482</v>
      </c>
      <c r="I30" s="445">
        <v>11011.5180086931</v>
      </c>
      <c r="J30" s="445">
        <v>11295.684567193</v>
      </c>
      <c r="K30" s="445">
        <v>11038.558762236</v>
      </c>
      <c r="L30" s="445">
        <v>11126.984019691999</v>
      </c>
      <c r="M30" s="445">
        <v>11056.122741427</v>
      </c>
      <c r="N30" s="445">
        <v>10573.8872020446</v>
      </c>
      <c r="P30" s="445">
        <v>11025.8752058758</v>
      </c>
      <c r="Q30" s="445">
        <v>11229.445906382</v>
      </c>
      <c r="R30" s="445">
        <v>11391.661672278</v>
      </c>
      <c r="S30" s="445">
        <v>11976.879169133699</v>
      </c>
      <c r="T30" s="445">
        <v>14519.4375650612</v>
      </c>
      <c r="U30" s="445">
        <v>14714.3579751043</v>
      </c>
      <c r="V30" s="445">
        <v>14890.826074883</v>
      </c>
      <c r="W30" s="445">
        <v>14904.041535456299</v>
      </c>
      <c r="X30" s="445">
        <v>14862.6652322051</v>
      </c>
      <c r="Y30" s="445">
        <v>14669.6272393734</v>
      </c>
      <c r="Z30" s="445">
        <v>14212.8869245277</v>
      </c>
      <c r="AA30" s="445">
        <v>14051.483518290701</v>
      </c>
      <c r="AB30" s="445">
        <v>14445.8884628581</v>
      </c>
      <c r="AC30" s="445">
        <v>14501.2547822985</v>
      </c>
      <c r="AD30" s="445">
        <v>13997.7526274182</v>
      </c>
      <c r="AE30" s="445">
        <v>14887.0733846077</v>
      </c>
    </row>
    <row r="31" spans="1:31" outlineLevel="1">
      <c r="A31" s="444" t="s">
        <v>2157</v>
      </c>
      <c r="B31" s="445">
        <v>1544.0099700000001</v>
      </c>
      <c r="C31" s="445">
        <v>954.97523000000001</v>
      </c>
      <c r="D31" s="445">
        <v>876.11171000000002</v>
      </c>
      <c r="E31" s="445">
        <v>1119.5418099999999</v>
      </c>
      <c r="F31" s="445">
        <v>1673.4468899999999</v>
      </c>
      <c r="G31" s="445">
        <v>1435.2724499999999</v>
      </c>
      <c r="H31" s="445">
        <v>1448.41975999999</v>
      </c>
      <c r="I31" s="445">
        <v>1478.3317997428101</v>
      </c>
      <c r="J31" s="445">
        <v>1579.03409159384</v>
      </c>
      <c r="K31" s="445">
        <v>1397.4258287632999</v>
      </c>
      <c r="L31" s="445">
        <v>1072.0423632372299</v>
      </c>
      <c r="M31" s="445">
        <v>1108.9785118065399</v>
      </c>
      <c r="N31" s="445">
        <v>2182.7243964854802</v>
      </c>
      <c r="P31" s="445">
        <v>582.81339233063204</v>
      </c>
      <c r="Q31" s="445">
        <v>495.61715353850099</v>
      </c>
      <c r="R31" s="445">
        <v>505.22967560823798</v>
      </c>
      <c r="S31" s="445">
        <v>511.746958339841</v>
      </c>
      <c r="T31" s="445">
        <v>583.59100174325397</v>
      </c>
      <c r="U31" s="445">
        <v>666.08080579853197</v>
      </c>
      <c r="V31" s="445">
        <v>1056.7653705156699</v>
      </c>
      <c r="W31" s="445">
        <v>718.24069590463102</v>
      </c>
      <c r="X31" s="445">
        <v>751.88178194545105</v>
      </c>
      <c r="Y31" s="445">
        <v>588.12362864813895</v>
      </c>
      <c r="Z31" s="445">
        <v>609.85723601269297</v>
      </c>
      <c r="AA31" s="445">
        <v>666.97560404939895</v>
      </c>
      <c r="AB31" s="445">
        <v>553.07290734129003</v>
      </c>
      <c r="AC31" s="445">
        <v>473.96873141106801</v>
      </c>
      <c r="AD31" s="445">
        <v>486.02140545902898</v>
      </c>
      <c r="AE31" s="445">
        <v>491.18292917517198</v>
      </c>
    </row>
    <row r="32" spans="1:31" outlineLevel="1">
      <c r="A32" s="444" t="s">
        <v>2158</v>
      </c>
      <c r="B32" s="445">
        <v>319.98680000000002</v>
      </c>
      <c r="C32" s="445">
        <v>-136.48061000000001</v>
      </c>
      <c r="D32" s="445">
        <v>246.30674999999999</v>
      </c>
      <c r="E32" s="445">
        <v>197.07425000000001</v>
      </c>
      <c r="F32" s="445">
        <v>293.56813</v>
      </c>
      <c r="G32" s="445">
        <v>271.36669000000001</v>
      </c>
      <c r="H32" s="445">
        <v>252.01468</v>
      </c>
      <c r="I32" s="445">
        <v>-5.83060661533227</v>
      </c>
      <c r="J32" s="445">
        <v>315.36539338466702</v>
      </c>
      <c r="K32" s="445">
        <v>147.94239338466701</v>
      </c>
      <c r="L32" s="445">
        <v>201.39439338466701</v>
      </c>
      <c r="M32" s="445">
        <v>300.63139338466698</v>
      </c>
      <c r="N32" s="445">
        <v>-506.43760661533202</v>
      </c>
      <c r="P32" s="445">
        <v>179.01773637847799</v>
      </c>
      <c r="Q32" s="445">
        <v>173.89673637847801</v>
      </c>
      <c r="R32" s="445">
        <v>171.841736378478</v>
      </c>
      <c r="S32" s="445">
        <v>161.08673637847801</v>
      </c>
      <c r="T32" s="445">
        <v>163.64873637847799</v>
      </c>
      <c r="U32" s="445">
        <v>184.30073637847801</v>
      </c>
      <c r="V32" s="445">
        <v>169.88373637847801</v>
      </c>
      <c r="W32" s="445">
        <v>194.030736378478</v>
      </c>
      <c r="X32" s="445">
        <v>193.59473637847799</v>
      </c>
      <c r="Y32" s="445">
        <v>207.82773637847799</v>
      </c>
      <c r="Z32" s="445">
        <v>234.01673637847799</v>
      </c>
      <c r="AA32" s="445">
        <v>231.62973637847799</v>
      </c>
      <c r="AB32" s="445">
        <v>180.093180070953</v>
      </c>
      <c r="AC32" s="445">
        <v>174.99718007095299</v>
      </c>
      <c r="AD32" s="445">
        <v>172.91218007095301</v>
      </c>
      <c r="AE32" s="445">
        <v>162.18518007095301</v>
      </c>
    </row>
    <row r="33" spans="1:31" ht="15.75" outlineLevel="1" thickBot="1">
      <c r="A33" s="444" t="s">
        <v>2159</v>
      </c>
      <c r="B33" s="629">
        <v>270.50503999999898</v>
      </c>
      <c r="C33" s="629">
        <v>317.58474000000001</v>
      </c>
      <c r="D33" s="629">
        <v>183.63128</v>
      </c>
      <c r="E33" s="629">
        <v>220.12673000000001</v>
      </c>
      <c r="F33" s="629">
        <v>141.31645</v>
      </c>
      <c r="G33" s="629">
        <v>339.89231000000001</v>
      </c>
      <c r="H33" s="629">
        <v>343.09836999999999</v>
      </c>
      <c r="I33" s="629">
        <v>442.70557691401399</v>
      </c>
      <c r="J33" s="629">
        <v>465.33032689401398</v>
      </c>
      <c r="K33" s="629">
        <v>442.59001817021402</v>
      </c>
      <c r="L33" s="629">
        <v>457.49613796421397</v>
      </c>
      <c r="M33" s="629">
        <v>442.39890680901402</v>
      </c>
      <c r="N33" s="629">
        <v>428.87311015046402</v>
      </c>
      <c r="O33" s="629"/>
      <c r="P33" s="629">
        <v>1033.1806634857501</v>
      </c>
      <c r="Q33" s="629">
        <v>959.45206708344995</v>
      </c>
      <c r="R33" s="629">
        <v>943.47514782844996</v>
      </c>
      <c r="S33" s="629">
        <v>847.12958711545002</v>
      </c>
      <c r="T33" s="629">
        <v>1012.65495803845</v>
      </c>
      <c r="U33" s="629">
        <v>1009.00945881674</v>
      </c>
      <c r="V33" s="629">
        <v>1016.92510182895</v>
      </c>
      <c r="W33" s="629">
        <v>1020.87053430095</v>
      </c>
      <c r="X33" s="629">
        <v>1018.96593866945</v>
      </c>
      <c r="Y33" s="629">
        <v>1029.3464392027499</v>
      </c>
      <c r="Z33" s="629">
        <v>1014.7365241687399</v>
      </c>
      <c r="AA33" s="629">
        <v>1051.46970041081</v>
      </c>
      <c r="AB33" s="629">
        <v>1494.7044603864899</v>
      </c>
      <c r="AC33" s="629">
        <v>1481.1659717064899</v>
      </c>
      <c r="AD33" s="629">
        <v>1511.3788187729899</v>
      </c>
      <c r="AE33" s="629">
        <v>1540.7180822299899</v>
      </c>
    </row>
    <row r="34" spans="1:31" outlineLevel="1">
      <c r="A34" s="630" t="s">
        <v>2160</v>
      </c>
      <c r="B34" s="445">
        <v>13371.372229999901</v>
      </c>
      <c r="C34" s="445">
        <v>10640.12845</v>
      </c>
      <c r="D34" s="445">
        <v>11832.463659999999</v>
      </c>
      <c r="E34" s="445">
        <v>12078.47782</v>
      </c>
      <c r="F34" s="445">
        <v>12697.8297099999</v>
      </c>
      <c r="G34" s="445">
        <v>12272.0561</v>
      </c>
      <c r="H34" s="445">
        <v>12598.877629999901</v>
      </c>
      <c r="I34" s="445">
        <v>12926.7247787346</v>
      </c>
      <c r="J34" s="445">
        <v>13655.4143790656</v>
      </c>
      <c r="K34" s="445">
        <v>13026.517002554099</v>
      </c>
      <c r="L34" s="445">
        <v>12857.916914278099</v>
      </c>
      <c r="M34" s="445">
        <v>12908.1315534272</v>
      </c>
      <c r="N34" s="445">
        <v>12679.0471020652</v>
      </c>
      <c r="P34" s="445">
        <v>12820.8869980707</v>
      </c>
      <c r="Q34" s="445">
        <v>12858.4118633824</v>
      </c>
      <c r="R34" s="445">
        <v>13012.2082320932</v>
      </c>
      <c r="S34" s="445">
        <v>13496.842450967501</v>
      </c>
      <c r="T34" s="445">
        <v>16279.3322612214</v>
      </c>
      <c r="U34" s="445">
        <v>16573.748976098101</v>
      </c>
      <c r="V34" s="445">
        <v>17134.400283606101</v>
      </c>
      <c r="W34" s="445">
        <v>16837.183502040301</v>
      </c>
      <c r="X34" s="445">
        <v>16827.107689198401</v>
      </c>
      <c r="Y34" s="445">
        <v>16494.9250436027</v>
      </c>
      <c r="Z34" s="445">
        <v>16071.497421087601</v>
      </c>
      <c r="AA34" s="445">
        <v>16001.5585591293</v>
      </c>
      <c r="AB34" s="445">
        <v>16673.759010656799</v>
      </c>
      <c r="AC34" s="445">
        <v>16631.386665487</v>
      </c>
      <c r="AD34" s="445">
        <v>16168.0650317212</v>
      </c>
      <c r="AE34" s="445">
        <v>17081.159576083901</v>
      </c>
    </row>
    <row r="35" spans="1:31" outlineLevel="1"/>
    <row r="36" spans="1:31" outlineLevel="1"/>
    <row r="37" spans="1:31" ht="15.75">
      <c r="A37"/>
      <c r="B37" s="445">
        <v>140810.20428000001</v>
      </c>
      <c r="C37" s="445">
        <v>142950.26908999999</v>
      </c>
      <c r="D37" s="445">
        <v>117496.43068</v>
      </c>
      <c r="E37" s="445">
        <v>116876.34716999999</v>
      </c>
      <c r="F37" s="445">
        <v>100282.29253000001</v>
      </c>
      <c r="G37" s="445">
        <v>108438.919879999</v>
      </c>
      <c r="H37" s="445">
        <v>112319.24821000001</v>
      </c>
      <c r="I37" s="445">
        <v>116843.951883705</v>
      </c>
      <c r="J37" s="445">
        <v>118100.391198746</v>
      </c>
      <c r="K37" s="445">
        <v>102664.60376746301</v>
      </c>
      <c r="L37" s="445">
        <v>94804.2755946822</v>
      </c>
      <c r="M37" s="445">
        <v>105924.626440006</v>
      </c>
      <c r="N37" s="445">
        <v>128255.401947112</v>
      </c>
      <c r="P37" s="445">
        <v>143885.060391326</v>
      </c>
      <c r="Q37" s="445">
        <v>131382.55169104299</v>
      </c>
      <c r="R37" s="445">
        <v>119552.032362553</v>
      </c>
      <c r="S37" s="445">
        <v>99527.187784753798</v>
      </c>
      <c r="T37" s="445">
        <v>108784.150055661</v>
      </c>
      <c r="U37" s="445">
        <v>112835.652097107</v>
      </c>
      <c r="V37" s="445">
        <v>124763.66482414299</v>
      </c>
      <c r="W37" s="445">
        <v>126070.348135597</v>
      </c>
      <c r="X37" s="445">
        <v>110719.121972981</v>
      </c>
      <c r="Y37" s="445">
        <v>101709.209045521</v>
      </c>
      <c r="Z37" s="445">
        <v>113965.946987573</v>
      </c>
      <c r="AA37" s="445">
        <v>135426.60130877301</v>
      </c>
      <c r="AB37" s="445">
        <v>151394.58288231899</v>
      </c>
      <c r="AC37" s="445">
        <v>138077.69367583</v>
      </c>
      <c r="AD37" s="445">
        <v>128202.565819442</v>
      </c>
      <c r="AE37" s="445">
        <v>106121.086802422</v>
      </c>
    </row>
    <row r="39" spans="1:31">
      <c r="A39" s="444" t="s">
        <v>2161</v>
      </c>
      <c r="B39" s="445">
        <v>0</v>
      </c>
      <c r="C39" s="445">
        <v>0</v>
      </c>
      <c r="D39" s="445">
        <v>0</v>
      </c>
      <c r="E39" s="445">
        <v>0</v>
      </c>
      <c r="F39" s="445">
        <v>0</v>
      </c>
      <c r="G39" s="445">
        <v>0</v>
      </c>
      <c r="H39" s="445">
        <v>0</v>
      </c>
      <c r="I39" s="445">
        <v>0</v>
      </c>
      <c r="J39" s="445">
        <v>0</v>
      </c>
      <c r="K39" s="445">
        <v>0</v>
      </c>
      <c r="L39" s="445">
        <v>0</v>
      </c>
      <c r="M39" s="445">
        <v>0</v>
      </c>
      <c r="N39" s="445">
        <v>0</v>
      </c>
      <c r="P39" s="445">
        <v>0</v>
      </c>
      <c r="Q39" s="445">
        <v>0</v>
      </c>
      <c r="R39" s="445">
        <v>0</v>
      </c>
      <c r="S39" s="445">
        <v>0</v>
      </c>
      <c r="T39" s="445">
        <v>0</v>
      </c>
      <c r="U39" s="445">
        <v>0</v>
      </c>
      <c r="V39" s="445">
        <v>0</v>
      </c>
      <c r="W39" s="445">
        <v>0</v>
      </c>
      <c r="X39" s="445">
        <v>0</v>
      </c>
      <c r="Y39" s="445">
        <v>0</v>
      </c>
      <c r="Z39" s="445">
        <v>0</v>
      </c>
      <c r="AA39" s="445">
        <v>0</v>
      </c>
      <c r="AB39" s="445">
        <v>0</v>
      </c>
      <c r="AC39" s="445">
        <v>0</v>
      </c>
      <c r="AD39" s="445">
        <v>0</v>
      </c>
      <c r="AE39" s="445">
        <v>0</v>
      </c>
    </row>
    <row r="40" spans="1:31">
      <c r="A40" s="444" t="s">
        <v>2162</v>
      </c>
      <c r="B40" s="445">
        <v>1195.56051</v>
      </c>
      <c r="C40" s="445">
        <v>18801.12428</v>
      </c>
      <c r="D40" s="445">
        <v>427.55056000000002</v>
      </c>
      <c r="E40" s="445">
        <v>532.57516999999996</v>
      </c>
      <c r="F40" s="445">
        <v>1411.38834</v>
      </c>
      <c r="G40" s="445">
        <v>825.29782999999998</v>
      </c>
      <c r="H40" s="445">
        <v>473.99909000000002</v>
      </c>
      <c r="I40" s="445">
        <v>710.62737317887195</v>
      </c>
      <c r="J40" s="445">
        <v>452.82276200220798</v>
      </c>
      <c r="K40" s="445">
        <v>1014.9760551495</v>
      </c>
      <c r="L40" s="445">
        <v>1207.10304606574</v>
      </c>
      <c r="M40" s="445">
        <v>524.52460653517096</v>
      </c>
      <c r="N40" s="445">
        <v>2133.3692727245598</v>
      </c>
      <c r="P40" s="445">
        <v>861.4703208894</v>
      </c>
      <c r="Q40" s="445">
        <v>771.61178829898699</v>
      </c>
      <c r="R40" s="445">
        <v>1233.4936780647299</v>
      </c>
      <c r="S40" s="445">
        <v>377.22176671286201</v>
      </c>
      <c r="T40" s="445">
        <v>495.13693627391899</v>
      </c>
      <c r="U40" s="445">
        <v>437.29635458342602</v>
      </c>
      <c r="V40" s="445">
        <v>422.24716153056198</v>
      </c>
      <c r="W40" s="445">
        <v>292.350932657236</v>
      </c>
      <c r="X40" s="445">
        <v>461.07336235557102</v>
      </c>
      <c r="Y40" s="445">
        <v>279.45916616600601</v>
      </c>
      <c r="Z40" s="445">
        <v>17.807939892021501</v>
      </c>
      <c r="AA40" s="445">
        <v>1391.2890885516299</v>
      </c>
      <c r="AB40" s="445">
        <v>737.78968994906097</v>
      </c>
      <c r="AC40" s="445">
        <v>848.01759911773604</v>
      </c>
      <c r="AD40" s="445">
        <v>255.67881284129899</v>
      </c>
      <c r="AE40" s="445">
        <v>432.23170160017901</v>
      </c>
    </row>
    <row r="41" spans="1:31">
      <c r="A41" s="444" t="s">
        <v>2163</v>
      </c>
      <c r="B41" s="445">
        <v>0</v>
      </c>
      <c r="C41" s="445">
        <v>0</v>
      </c>
      <c r="D41" s="445">
        <v>0</v>
      </c>
      <c r="E41" s="445">
        <v>0</v>
      </c>
      <c r="F41" s="445">
        <v>0</v>
      </c>
      <c r="G41" s="445">
        <v>0</v>
      </c>
      <c r="H41" s="445">
        <v>0</v>
      </c>
      <c r="I41" s="445">
        <v>0</v>
      </c>
      <c r="J41" s="445">
        <v>0</v>
      </c>
      <c r="K41" s="445">
        <v>0</v>
      </c>
      <c r="L41" s="445">
        <v>0</v>
      </c>
      <c r="M41" s="445">
        <v>0</v>
      </c>
      <c r="N41" s="445">
        <v>0</v>
      </c>
      <c r="P41" s="445">
        <v>0</v>
      </c>
      <c r="Q41" s="445">
        <v>0</v>
      </c>
      <c r="R41" s="445">
        <v>0</v>
      </c>
      <c r="S41" s="445">
        <v>0</v>
      </c>
      <c r="T41" s="445">
        <v>0</v>
      </c>
      <c r="U41" s="445">
        <v>0</v>
      </c>
      <c r="V41" s="445">
        <v>0</v>
      </c>
      <c r="W41" s="445">
        <v>0</v>
      </c>
      <c r="X41" s="445">
        <v>0</v>
      </c>
      <c r="Y41" s="445">
        <v>0</v>
      </c>
      <c r="Z41" s="445">
        <v>0</v>
      </c>
      <c r="AA41" s="445">
        <v>0</v>
      </c>
      <c r="AB41" s="445">
        <v>0</v>
      </c>
      <c r="AC41" s="445">
        <v>0</v>
      </c>
      <c r="AD41" s="445">
        <v>0</v>
      </c>
      <c r="AE41" s="445">
        <v>0</v>
      </c>
    </row>
    <row r="42" spans="1:31">
      <c r="A42" s="444" t="s">
        <v>2164</v>
      </c>
      <c r="B42" s="445">
        <v>5094.3487999999998</v>
      </c>
      <c r="C42" s="445">
        <v>5770.3649500000001</v>
      </c>
      <c r="D42" s="445">
        <v>2436.5582399999998</v>
      </c>
      <c r="E42" s="445">
        <v>4180.9399700000004</v>
      </c>
      <c r="F42" s="445">
        <v>1621.4001799999901</v>
      </c>
      <c r="G42" s="445">
        <v>1101.5574999999999</v>
      </c>
      <c r="H42" s="445">
        <v>1155.5797500000001</v>
      </c>
      <c r="I42" s="445">
        <v>1138.3936999999901</v>
      </c>
      <c r="J42" s="445">
        <v>1444.3729000000001</v>
      </c>
      <c r="K42" s="445">
        <v>2746.0195999999901</v>
      </c>
      <c r="L42" s="445">
        <v>2123.7955999999999</v>
      </c>
      <c r="M42" s="445">
        <v>3067.2006999999999</v>
      </c>
      <c r="N42" s="445">
        <v>6385.4115999999904</v>
      </c>
      <c r="P42" s="445">
        <v>6576.8886999999904</v>
      </c>
      <c r="Q42" s="445">
        <v>4986.5882999999903</v>
      </c>
      <c r="R42" s="445">
        <v>4316.1904999999997</v>
      </c>
      <c r="S42" s="445">
        <v>2689.7147</v>
      </c>
      <c r="T42" s="445">
        <v>2294.9373000000001</v>
      </c>
      <c r="U42" s="445">
        <v>1396.5302999999999</v>
      </c>
      <c r="V42" s="445">
        <v>1089.5035</v>
      </c>
      <c r="W42" s="445">
        <v>976.2826</v>
      </c>
      <c r="X42" s="445">
        <v>1566.1632999999999</v>
      </c>
      <c r="Y42" s="445">
        <v>1854.8505</v>
      </c>
      <c r="Z42" s="445">
        <v>4256.3441999999995</v>
      </c>
      <c r="AA42" s="445">
        <v>5445.8319000000001</v>
      </c>
      <c r="AB42" s="445">
        <v>5689.6603999999998</v>
      </c>
      <c r="AC42" s="445">
        <v>3938.076</v>
      </c>
      <c r="AD42" s="445">
        <v>8039.3729999999996</v>
      </c>
      <c r="AE42" s="445">
        <v>1911.2873</v>
      </c>
    </row>
    <row r="43" spans="1:31">
      <c r="A43" s="444" t="s">
        <v>2165</v>
      </c>
      <c r="B43" s="445">
        <v>0</v>
      </c>
      <c r="C43" s="445">
        <v>1908.32698</v>
      </c>
      <c r="D43" s="445">
        <v>0</v>
      </c>
      <c r="E43" s="445">
        <v>0</v>
      </c>
      <c r="F43" s="445">
        <v>0</v>
      </c>
      <c r="G43" s="445">
        <v>0</v>
      </c>
      <c r="H43" s="445">
        <v>0</v>
      </c>
      <c r="I43" s="445">
        <v>0</v>
      </c>
      <c r="J43" s="445">
        <v>0</v>
      </c>
      <c r="K43" s="445">
        <v>0</v>
      </c>
      <c r="L43" s="445">
        <v>0</v>
      </c>
      <c r="M43" s="445">
        <v>0</v>
      </c>
      <c r="N43" s="445">
        <v>0</v>
      </c>
      <c r="P43" s="445">
        <v>0</v>
      </c>
      <c r="Q43" s="445">
        <v>0</v>
      </c>
      <c r="R43" s="445">
        <v>0</v>
      </c>
      <c r="S43" s="445">
        <v>0</v>
      </c>
      <c r="T43" s="445">
        <v>0</v>
      </c>
      <c r="U43" s="445">
        <v>0</v>
      </c>
      <c r="V43" s="445">
        <v>0</v>
      </c>
      <c r="W43" s="445">
        <v>0</v>
      </c>
      <c r="X43" s="445">
        <v>0</v>
      </c>
      <c r="Y43" s="445">
        <v>0</v>
      </c>
      <c r="Z43" s="445">
        <v>0</v>
      </c>
      <c r="AA43" s="445">
        <v>0</v>
      </c>
      <c r="AB43" s="445">
        <v>0</v>
      </c>
      <c r="AC43" s="445">
        <v>0</v>
      </c>
      <c r="AD43" s="445">
        <v>0</v>
      </c>
      <c r="AE43" s="445">
        <v>0</v>
      </c>
    </row>
    <row r="44" spans="1:31" ht="15.75" thickBot="1">
      <c r="A44" s="444" t="s">
        <v>2166</v>
      </c>
      <c r="B44" s="629">
        <v>272.80470000000003</v>
      </c>
      <c r="C44" s="629">
        <v>310.16627</v>
      </c>
      <c r="D44" s="629">
        <v>295.62016</v>
      </c>
      <c r="E44" s="629">
        <v>265.23622999999998</v>
      </c>
      <c r="F44" s="629">
        <v>191.28704999999999</v>
      </c>
      <c r="G44" s="629">
        <v>417.01940000000002</v>
      </c>
      <c r="H44" s="629">
        <v>287.98388999999997</v>
      </c>
      <c r="I44" s="629">
        <v>282.84956652586197</v>
      </c>
      <c r="J44" s="629">
        <v>286.33677172573499</v>
      </c>
      <c r="K44" s="629">
        <v>287.86111645383602</v>
      </c>
      <c r="L44" s="629">
        <v>240.33420610934999</v>
      </c>
      <c r="M44" s="629">
        <v>348.61645205907098</v>
      </c>
      <c r="N44" s="629">
        <v>340.319148053427</v>
      </c>
      <c r="O44" s="629"/>
      <c r="P44" s="629">
        <v>348.83519175641499</v>
      </c>
      <c r="Q44" s="629">
        <v>375.86998221412102</v>
      </c>
      <c r="R44" s="629">
        <v>312.96562426938402</v>
      </c>
      <c r="S44" s="629">
        <v>373.02333448047699</v>
      </c>
      <c r="T44" s="629">
        <v>355.28298029837202</v>
      </c>
      <c r="U44" s="629">
        <v>287.51773070809298</v>
      </c>
      <c r="V44" s="629">
        <v>263.62932981194899</v>
      </c>
      <c r="W44" s="629">
        <v>258.075795067699</v>
      </c>
      <c r="X44" s="629">
        <v>314.74141288941598</v>
      </c>
      <c r="Y44" s="629">
        <v>249.30394477617</v>
      </c>
      <c r="Z44" s="629">
        <v>307.84174513048299</v>
      </c>
      <c r="AA44" s="629">
        <v>371.08356613660698</v>
      </c>
      <c r="AB44" s="629">
        <v>338.87284428727997</v>
      </c>
      <c r="AC44" s="629">
        <v>349.40654868681099</v>
      </c>
      <c r="AD44" s="629">
        <v>337.66113319294402</v>
      </c>
      <c r="AE44" s="629">
        <v>332.88274617972201</v>
      </c>
    </row>
    <row r="45" spans="1:31">
      <c r="A45" s="630" t="s">
        <v>2167</v>
      </c>
      <c r="B45" s="445">
        <v>6562.7140099999997</v>
      </c>
      <c r="C45" s="445">
        <v>26789.982479999999</v>
      </c>
      <c r="D45" s="445">
        <v>3159.7289599999999</v>
      </c>
      <c r="E45" s="445">
        <v>4978.75137</v>
      </c>
      <c r="F45" s="445">
        <v>3224.07557</v>
      </c>
      <c r="G45" s="445">
        <v>2343.87473</v>
      </c>
      <c r="H45" s="445">
        <v>1917.5627300000001</v>
      </c>
      <c r="I45" s="445">
        <v>2131.8706397047299</v>
      </c>
      <c r="J45" s="445">
        <v>2183.5324337279399</v>
      </c>
      <c r="K45" s="445">
        <v>4048.8567716033399</v>
      </c>
      <c r="L45" s="445">
        <v>3571.2328521750901</v>
      </c>
      <c r="M45" s="445">
        <v>3940.3417585942402</v>
      </c>
      <c r="N45" s="445">
        <v>8859.1000207779907</v>
      </c>
      <c r="P45" s="445">
        <v>7787.1942126458098</v>
      </c>
      <c r="Q45" s="445">
        <v>6134.0700705131003</v>
      </c>
      <c r="R45" s="445">
        <v>5862.6498023341201</v>
      </c>
      <c r="S45" s="445">
        <v>3439.9598011933399</v>
      </c>
      <c r="T45" s="445">
        <v>3145.3572165722899</v>
      </c>
      <c r="U45" s="445">
        <v>2121.3443852915102</v>
      </c>
      <c r="V45" s="445">
        <v>1775.37999134251</v>
      </c>
      <c r="W45" s="445">
        <v>1526.7093277249301</v>
      </c>
      <c r="X45" s="445">
        <v>2341.9780752449801</v>
      </c>
      <c r="Y45" s="445">
        <v>2383.61361094217</v>
      </c>
      <c r="Z45" s="445">
        <v>4581.9938850224999</v>
      </c>
      <c r="AA45" s="445">
        <v>7208.20455468824</v>
      </c>
      <c r="AB45" s="445">
        <v>6766.3229342363402</v>
      </c>
      <c r="AC45" s="445">
        <v>5135.5001478045397</v>
      </c>
      <c r="AD45" s="445">
        <v>8632.7129460342403</v>
      </c>
      <c r="AE45" s="445">
        <v>2676.4017477798998</v>
      </c>
    </row>
    <row r="47" spans="1:31">
      <c r="A47" s="444" t="s">
        <v>2168</v>
      </c>
      <c r="B47" s="445">
        <v>199.42839000000001</v>
      </c>
      <c r="C47" s="445">
        <v>265.17410999999998</v>
      </c>
      <c r="D47" s="445">
        <v>336.94344000000001</v>
      </c>
      <c r="E47" s="445">
        <v>184.64671999999999</v>
      </c>
      <c r="F47" s="445">
        <v>140.84802999999999</v>
      </c>
      <c r="G47" s="445">
        <v>191.17168000000001</v>
      </c>
      <c r="H47" s="445">
        <v>201.45929999999899</v>
      </c>
      <c r="I47" s="445">
        <v>288.10770666666701</v>
      </c>
      <c r="J47" s="445">
        <v>397.87133333333298</v>
      </c>
      <c r="K47" s="445">
        <v>284.50550333333302</v>
      </c>
      <c r="L47" s="445">
        <v>230.34508666666699</v>
      </c>
      <c r="M47" s="445">
        <v>136.767396666667</v>
      </c>
      <c r="N47" s="445">
        <v>169.27195</v>
      </c>
      <c r="P47" s="445">
        <v>238.78933000000001</v>
      </c>
      <c r="Q47" s="445">
        <v>276.94877333333301</v>
      </c>
      <c r="R47" s="445">
        <v>189.64506333333301</v>
      </c>
      <c r="S47" s="445">
        <v>168.13290333333299</v>
      </c>
      <c r="T47" s="445">
        <v>138.46476999999999</v>
      </c>
      <c r="U47" s="445">
        <v>191.27621666666701</v>
      </c>
      <c r="V47" s="445">
        <v>288.10770666666701</v>
      </c>
      <c r="W47" s="445">
        <v>397.87133333333298</v>
      </c>
      <c r="X47" s="445">
        <v>284.50550333333302</v>
      </c>
      <c r="Y47" s="445">
        <v>230.34508666666699</v>
      </c>
      <c r="Z47" s="445">
        <v>136.767396666667</v>
      </c>
      <c r="AA47" s="445">
        <v>169.27195</v>
      </c>
      <c r="AB47" s="445">
        <v>238.78933000000001</v>
      </c>
      <c r="AC47" s="445">
        <v>276.94877333333301</v>
      </c>
      <c r="AD47" s="445">
        <v>189.64506333333301</v>
      </c>
      <c r="AE47" s="445">
        <v>168.13290333333299</v>
      </c>
    </row>
    <row r="48" spans="1:31">
      <c r="A48" s="444" t="s">
        <v>2169</v>
      </c>
      <c r="B48" s="445">
        <v>66.929550000000006</v>
      </c>
      <c r="C48" s="445">
        <v>106.56625</v>
      </c>
      <c r="D48" s="445">
        <v>159.35794999999999</v>
      </c>
      <c r="E48" s="445">
        <v>160.14510000000001</v>
      </c>
      <c r="F48" s="445">
        <v>155.5</v>
      </c>
      <c r="G48" s="445">
        <v>167.08947000000001</v>
      </c>
      <c r="H48" s="445">
        <v>208.78614999999999</v>
      </c>
      <c r="I48" s="445">
        <v>101.380586111111</v>
      </c>
      <c r="J48" s="445">
        <v>135.16725277777701</v>
      </c>
      <c r="K48" s="445">
        <v>119.440586111111</v>
      </c>
      <c r="L48" s="445">
        <v>131.79791944444401</v>
      </c>
      <c r="M48" s="445">
        <v>113.644586111111</v>
      </c>
      <c r="N48" s="445">
        <v>96.583252777777702</v>
      </c>
      <c r="P48" s="445">
        <v>106.672586111111</v>
      </c>
      <c r="Q48" s="445">
        <v>131.65791944444399</v>
      </c>
      <c r="R48" s="445">
        <v>144.033919444444</v>
      </c>
      <c r="S48" s="445">
        <v>143.91258611111101</v>
      </c>
      <c r="T48" s="445">
        <v>120.28620277777701</v>
      </c>
      <c r="U48" s="445">
        <v>128.52191944444399</v>
      </c>
      <c r="V48" s="445">
        <v>101.380586111111</v>
      </c>
      <c r="W48" s="445">
        <v>135.16725277777701</v>
      </c>
      <c r="X48" s="445">
        <v>119.440586111111</v>
      </c>
      <c r="Y48" s="445">
        <v>131.79791944444401</v>
      </c>
      <c r="Z48" s="445">
        <v>113.644586111111</v>
      </c>
      <c r="AA48" s="445">
        <v>96.583252777777702</v>
      </c>
      <c r="AB48" s="445">
        <v>106.672586111111</v>
      </c>
      <c r="AC48" s="445">
        <v>131.65791944444399</v>
      </c>
      <c r="AD48" s="445">
        <v>144.033919444444</v>
      </c>
      <c r="AE48" s="445">
        <v>143.91258611111101</v>
      </c>
    </row>
    <row r="49" spans="1:31">
      <c r="A49" s="444" t="s">
        <v>2170</v>
      </c>
      <c r="B49" s="445">
        <v>288.39294000000001</v>
      </c>
      <c r="C49" s="445">
        <v>339.81637999999998</v>
      </c>
      <c r="D49" s="445">
        <v>412.45105999999998</v>
      </c>
      <c r="E49" s="445">
        <v>290.32227999999998</v>
      </c>
      <c r="F49" s="445">
        <v>290.46868999999998</v>
      </c>
      <c r="G49" s="445">
        <v>291.15127999999999</v>
      </c>
      <c r="H49" s="445">
        <v>304.44391000000002</v>
      </c>
      <c r="I49" s="445">
        <v>315.78137249999997</v>
      </c>
      <c r="J49" s="445">
        <v>315.78137249999997</v>
      </c>
      <c r="K49" s="445">
        <v>315.78137249999997</v>
      </c>
      <c r="L49" s="445">
        <v>315.78137249999997</v>
      </c>
      <c r="M49" s="445">
        <v>315.78137249999997</v>
      </c>
      <c r="N49" s="445">
        <v>315.78137249999997</v>
      </c>
      <c r="P49" s="445">
        <v>315.78137249999997</v>
      </c>
      <c r="Q49" s="445">
        <v>315.78137249999997</v>
      </c>
      <c r="R49" s="445">
        <v>315.78137249999997</v>
      </c>
      <c r="S49" s="445">
        <v>315.78137249999997</v>
      </c>
      <c r="T49" s="445">
        <v>315.78137249999997</v>
      </c>
      <c r="U49" s="445">
        <v>315.78137249999997</v>
      </c>
      <c r="V49" s="445">
        <v>315.78137249999997</v>
      </c>
      <c r="W49" s="445">
        <v>315.78137249999997</v>
      </c>
      <c r="X49" s="445">
        <v>315.78137249999997</v>
      </c>
      <c r="Y49" s="445">
        <v>315.78137249999997</v>
      </c>
      <c r="Z49" s="445">
        <v>315.78137249999997</v>
      </c>
      <c r="AA49" s="445">
        <v>315.78137249999997</v>
      </c>
      <c r="AB49" s="445">
        <v>315.78137249999997</v>
      </c>
      <c r="AC49" s="445">
        <v>315.78137249999997</v>
      </c>
      <c r="AD49" s="445">
        <v>315.78137249999997</v>
      </c>
      <c r="AE49" s="445">
        <v>315.78137249999997</v>
      </c>
    </row>
    <row r="50" spans="1:31">
      <c r="A50" s="444" t="s">
        <v>2171</v>
      </c>
      <c r="B50" s="445">
        <v>24.070889999999999</v>
      </c>
      <c r="C50" s="445">
        <v>24.18158</v>
      </c>
      <c r="D50" s="445">
        <v>24.190359999999998</v>
      </c>
      <c r="E50" s="445">
        <v>24.175730000000001</v>
      </c>
      <c r="F50" s="445">
        <v>24.116679999999999</v>
      </c>
      <c r="G50" s="445">
        <v>23.55256</v>
      </c>
      <c r="H50" s="445">
        <v>23.593599999999999</v>
      </c>
      <c r="I50" s="445">
        <v>27.501000000000001</v>
      </c>
      <c r="J50" s="445">
        <v>27.501000000000001</v>
      </c>
      <c r="K50" s="445">
        <v>27.501000000000001</v>
      </c>
      <c r="L50" s="445">
        <v>27.501000000000001</v>
      </c>
      <c r="M50" s="445">
        <v>27.501000000000001</v>
      </c>
      <c r="N50" s="445">
        <v>27.501000000000001</v>
      </c>
      <c r="P50" s="445">
        <v>24.042999999999999</v>
      </c>
      <c r="Q50" s="445">
        <v>24.042999999999999</v>
      </c>
      <c r="R50" s="445">
        <v>24.042999999999999</v>
      </c>
      <c r="S50" s="445">
        <v>24.042999999999999</v>
      </c>
      <c r="T50" s="445">
        <v>24.042999999999999</v>
      </c>
      <c r="U50" s="445">
        <v>24.042999999999999</v>
      </c>
      <c r="V50" s="445">
        <v>24.042999999999999</v>
      </c>
      <c r="W50" s="445">
        <v>24.042999999999999</v>
      </c>
      <c r="X50" s="445">
        <v>24.042999999999999</v>
      </c>
      <c r="Y50" s="445">
        <v>24.042999999999999</v>
      </c>
      <c r="Z50" s="445">
        <v>24.042999999999999</v>
      </c>
      <c r="AA50" s="445">
        <v>24.042999999999999</v>
      </c>
      <c r="AB50" s="445">
        <v>24.042999999999999</v>
      </c>
      <c r="AC50" s="445">
        <v>24.042999999999999</v>
      </c>
      <c r="AD50" s="445">
        <v>24.042999999999999</v>
      </c>
      <c r="AE50" s="445">
        <v>24.042999999999999</v>
      </c>
    </row>
    <row r="51" spans="1:31">
      <c r="A51" s="444" t="s">
        <v>2172</v>
      </c>
      <c r="B51" s="445">
        <v>69.616739999999993</v>
      </c>
      <c r="C51" s="445">
        <v>9.5910899999999994</v>
      </c>
      <c r="D51" s="445">
        <v>9.5910899999999994</v>
      </c>
      <c r="E51" s="445">
        <v>9.5910899999999994</v>
      </c>
      <c r="F51" s="445">
        <v>9.5910899999999994</v>
      </c>
      <c r="G51" s="445">
        <v>9.5910899999999994</v>
      </c>
      <c r="H51" s="445">
        <v>9.5910899999999994</v>
      </c>
      <c r="I51" s="445">
        <v>9.9740000000000002</v>
      </c>
      <c r="J51" s="445">
        <v>9.9740000000000002</v>
      </c>
      <c r="K51" s="445">
        <v>9.9740000000000002</v>
      </c>
      <c r="L51" s="445">
        <v>9.9740000000000002</v>
      </c>
      <c r="M51" s="445">
        <v>9.9740000000000002</v>
      </c>
      <c r="N51" s="445">
        <v>9.9740000000000002</v>
      </c>
      <c r="P51" s="445">
        <v>10.224</v>
      </c>
      <c r="Q51" s="445">
        <v>10.224</v>
      </c>
      <c r="R51" s="445">
        <v>10.224</v>
      </c>
      <c r="S51" s="445">
        <v>10.224</v>
      </c>
      <c r="T51" s="445">
        <v>10.224</v>
      </c>
      <c r="U51" s="445">
        <v>10.224</v>
      </c>
      <c r="V51" s="445">
        <v>10.224</v>
      </c>
      <c r="W51" s="445">
        <v>10.224</v>
      </c>
      <c r="X51" s="445">
        <v>10.224</v>
      </c>
      <c r="Y51" s="445">
        <v>10.224</v>
      </c>
      <c r="Z51" s="445">
        <v>10.224</v>
      </c>
      <c r="AA51" s="445">
        <v>10.224</v>
      </c>
      <c r="AB51" s="445">
        <v>10.48</v>
      </c>
      <c r="AC51" s="445">
        <v>10.48</v>
      </c>
      <c r="AD51" s="445">
        <v>10.48</v>
      </c>
      <c r="AE51" s="445">
        <v>10.48</v>
      </c>
    </row>
    <row r="52" spans="1:31">
      <c r="A52" s="444" t="s">
        <v>2173</v>
      </c>
      <c r="B52" s="445">
        <v>1008.55236999999</v>
      </c>
      <c r="C52" s="445">
        <v>1186.7744</v>
      </c>
      <c r="D52" s="445">
        <v>998.78116999999997</v>
      </c>
      <c r="E52" s="445">
        <v>894.68637999999999</v>
      </c>
      <c r="F52" s="445">
        <v>862.73266999999998</v>
      </c>
      <c r="G52" s="445">
        <v>974.84639999999899</v>
      </c>
      <c r="H52" s="445">
        <v>1134.9118000000001</v>
      </c>
      <c r="I52" s="445">
        <v>1183.9885277732801</v>
      </c>
      <c r="J52" s="445">
        <v>1158.9261854129199</v>
      </c>
      <c r="K52" s="445">
        <v>1155.0764540206501</v>
      </c>
      <c r="L52" s="445">
        <v>973.67569196148202</v>
      </c>
      <c r="M52" s="445">
        <v>1030.27225894412</v>
      </c>
      <c r="N52" s="445">
        <v>1092.3262687092299</v>
      </c>
      <c r="P52" s="445">
        <v>1111.3157360595001</v>
      </c>
      <c r="Q52" s="445">
        <v>1086.82702443639</v>
      </c>
      <c r="R52" s="445">
        <v>989.89052079660098</v>
      </c>
      <c r="S52" s="445">
        <v>905.89954237879999</v>
      </c>
      <c r="T52" s="445">
        <v>1019.39924656731</v>
      </c>
      <c r="U52" s="445">
        <v>1086.7470131835801</v>
      </c>
      <c r="V52" s="445">
        <v>1174.3408202297301</v>
      </c>
      <c r="W52" s="445">
        <v>1161.18746029623</v>
      </c>
      <c r="X52" s="445">
        <v>1137.3734382509299</v>
      </c>
      <c r="Y52" s="445">
        <v>929.97109541133398</v>
      </c>
      <c r="Z52" s="445">
        <v>969.592442305389</v>
      </c>
      <c r="AA52" s="445">
        <v>960.19578512413898</v>
      </c>
      <c r="AB52" s="445">
        <v>1083.8159339527799</v>
      </c>
      <c r="AC52" s="445">
        <v>1080.99478249394</v>
      </c>
      <c r="AD52" s="445">
        <v>999.62325336080596</v>
      </c>
      <c r="AE52" s="445">
        <v>918.33100152445695</v>
      </c>
    </row>
    <row r="53" spans="1:31" ht="15.75" thickBot="1">
      <c r="A53" s="444" t="s">
        <v>2174</v>
      </c>
      <c r="B53" s="629">
        <v>40.74794</v>
      </c>
      <c r="C53" s="629">
        <v>84.686769999999996</v>
      </c>
      <c r="D53" s="629">
        <v>42.3319299999999</v>
      </c>
      <c r="E53" s="629">
        <v>68.395229999999998</v>
      </c>
      <c r="F53" s="629">
        <v>92.371579999999994</v>
      </c>
      <c r="G53" s="629">
        <v>72.67698</v>
      </c>
      <c r="H53" s="629">
        <v>85.436869999999999</v>
      </c>
      <c r="I53" s="629">
        <v>73.019865277777697</v>
      </c>
      <c r="J53" s="629">
        <v>72.915865277777698</v>
      </c>
      <c r="K53" s="629">
        <v>71.657865277777702</v>
      </c>
      <c r="L53" s="629">
        <v>72.973865277777705</v>
      </c>
      <c r="M53" s="629">
        <v>73.127865277777701</v>
      </c>
      <c r="N53" s="629">
        <v>71.518015277777707</v>
      </c>
      <c r="O53" s="629"/>
      <c r="P53" s="629">
        <v>83.496165277777706</v>
      </c>
      <c r="Q53" s="629">
        <v>47.7821652777777</v>
      </c>
      <c r="R53" s="629">
        <v>73.580165277777695</v>
      </c>
      <c r="S53" s="629">
        <v>73.574165277777695</v>
      </c>
      <c r="T53" s="629">
        <v>73.493165277777706</v>
      </c>
      <c r="U53" s="629">
        <v>73.6582152777777</v>
      </c>
      <c r="V53" s="629">
        <v>73.524165277777698</v>
      </c>
      <c r="W53" s="629">
        <v>73.503165277777697</v>
      </c>
      <c r="X53" s="629">
        <v>73.621165277777706</v>
      </c>
      <c r="Y53" s="629">
        <v>73.535165277777693</v>
      </c>
      <c r="Z53" s="629">
        <v>73.695165277777704</v>
      </c>
      <c r="AA53" s="629">
        <v>73.735165277777696</v>
      </c>
      <c r="AB53" s="629">
        <v>83.670315277777703</v>
      </c>
      <c r="AC53" s="629">
        <v>47.9613152777777</v>
      </c>
      <c r="AD53" s="629">
        <v>73.706315277777705</v>
      </c>
      <c r="AE53" s="629">
        <v>73.751315277777707</v>
      </c>
    </row>
    <row r="54" spans="1:31">
      <c r="A54" s="630" t="s">
        <v>2175</v>
      </c>
      <c r="B54" s="445">
        <v>1697.73881999999</v>
      </c>
      <c r="C54" s="445">
        <v>2016.7905800000001</v>
      </c>
      <c r="D54" s="445">
        <v>1983.6469999999999</v>
      </c>
      <c r="E54" s="445">
        <v>1631.96253</v>
      </c>
      <c r="F54" s="445">
        <v>1575.6287400000001</v>
      </c>
      <c r="G54" s="445">
        <v>1730.0794599999999</v>
      </c>
      <c r="H54" s="445">
        <v>1968.22272</v>
      </c>
      <c r="I54" s="445">
        <v>1999.7530583288401</v>
      </c>
      <c r="J54" s="445">
        <v>2118.1370093018099</v>
      </c>
      <c r="K54" s="445">
        <v>1983.93678124287</v>
      </c>
      <c r="L54" s="445">
        <v>1762.0489358503701</v>
      </c>
      <c r="M54" s="445">
        <v>1707.06847949967</v>
      </c>
      <c r="N54" s="445">
        <v>1782.95585926479</v>
      </c>
      <c r="P54" s="445">
        <v>1890.3221899483799</v>
      </c>
      <c r="Q54" s="445">
        <v>1893.2642549919501</v>
      </c>
      <c r="R54" s="445">
        <v>1747.1980413521501</v>
      </c>
      <c r="S54" s="445">
        <v>1641.5675696010201</v>
      </c>
      <c r="T54" s="445">
        <v>1701.6917571228701</v>
      </c>
      <c r="U54" s="445">
        <v>1830.25173707247</v>
      </c>
      <c r="V54" s="445">
        <v>1987.40165078528</v>
      </c>
      <c r="W54" s="445">
        <v>2117.7775841851198</v>
      </c>
      <c r="X54" s="445">
        <v>1964.98906547315</v>
      </c>
      <c r="Y54" s="445">
        <v>1715.6976393002201</v>
      </c>
      <c r="Z54" s="445">
        <v>1643.7479628609401</v>
      </c>
      <c r="AA54" s="445">
        <v>1649.8345256796899</v>
      </c>
      <c r="AB54" s="445">
        <v>1863.2525378416699</v>
      </c>
      <c r="AC54" s="445">
        <v>1887.8671630495</v>
      </c>
      <c r="AD54" s="445">
        <v>1757.31292391636</v>
      </c>
      <c r="AE54" s="445">
        <v>1654.4321787466699</v>
      </c>
    </row>
    <row r="56" spans="1:31">
      <c r="A56" s="444" t="s">
        <v>2176</v>
      </c>
      <c r="B56" s="445">
        <v>93.982550000000003</v>
      </c>
      <c r="C56" s="445">
        <v>192.70992000000001</v>
      </c>
      <c r="D56" s="445">
        <v>249.05631</v>
      </c>
      <c r="E56" s="445">
        <v>137.27501999999899</v>
      </c>
      <c r="F56" s="445">
        <v>98.973179999999999</v>
      </c>
      <c r="G56" s="445">
        <v>98.886660000000006</v>
      </c>
      <c r="H56" s="445">
        <v>60.71116</v>
      </c>
      <c r="I56" s="445">
        <v>58.2381933333333</v>
      </c>
      <c r="J56" s="445">
        <v>66.120876666666703</v>
      </c>
      <c r="K56" s="445">
        <v>46.6364466666667</v>
      </c>
      <c r="L56" s="445">
        <v>41.147833333333303</v>
      </c>
      <c r="M56" s="445">
        <v>35.372860000000003</v>
      </c>
      <c r="N56" s="445">
        <v>79.260356666666695</v>
      </c>
      <c r="P56" s="445">
        <v>156.28439</v>
      </c>
      <c r="Q56" s="445">
        <v>201.52302666666699</v>
      </c>
      <c r="R56" s="445">
        <v>139.85096666666701</v>
      </c>
      <c r="S56" s="445">
        <v>113.394113333333</v>
      </c>
      <c r="T56" s="445">
        <v>68.548159999999996</v>
      </c>
      <c r="U56" s="445">
        <v>59.571696666666703</v>
      </c>
      <c r="V56" s="445">
        <v>58.2381933333333</v>
      </c>
      <c r="W56" s="445">
        <v>66.120876666666703</v>
      </c>
      <c r="X56" s="445">
        <v>46.6364466666667</v>
      </c>
      <c r="Y56" s="445">
        <v>41.147833333333303</v>
      </c>
      <c r="Z56" s="445">
        <v>35.372860000000003</v>
      </c>
      <c r="AA56" s="445">
        <v>79.260356666666695</v>
      </c>
      <c r="AB56" s="445">
        <v>156.28439</v>
      </c>
      <c r="AC56" s="445">
        <v>201.52302666666699</v>
      </c>
      <c r="AD56" s="445">
        <v>139.85096666666701</v>
      </c>
      <c r="AE56" s="445">
        <v>113.394113333333</v>
      </c>
    </row>
    <row r="57" spans="1:31">
      <c r="A57" s="444" t="s">
        <v>2177</v>
      </c>
      <c r="B57" s="445">
        <v>2.86314</v>
      </c>
      <c r="C57" s="445">
        <v>5.6954799999999999</v>
      </c>
      <c r="D57" s="445">
        <v>6.4867999999999997</v>
      </c>
      <c r="E57" s="445">
        <v>11.88148</v>
      </c>
      <c r="F57" s="445">
        <v>12.82748</v>
      </c>
      <c r="G57" s="445">
        <v>24.501480000000001</v>
      </c>
      <c r="H57" s="445">
        <v>11.18948</v>
      </c>
      <c r="I57" s="445">
        <v>6.7053161111111104</v>
      </c>
      <c r="J57" s="445">
        <v>5.2679827777777701</v>
      </c>
      <c r="K57" s="445">
        <v>4.2599827777777701</v>
      </c>
      <c r="L57" s="445">
        <v>4.22264944444444</v>
      </c>
      <c r="M57" s="445">
        <v>4.0173161111111098</v>
      </c>
      <c r="N57" s="445">
        <v>4.0359827777777699</v>
      </c>
      <c r="P57" s="445">
        <v>4.7359827777777701</v>
      </c>
      <c r="Q57" s="445">
        <v>6.3599827777777698</v>
      </c>
      <c r="R57" s="445">
        <v>11.3253161111111</v>
      </c>
      <c r="S57" s="445">
        <v>15.4786494444444</v>
      </c>
      <c r="T57" s="445">
        <v>13.807982777777699</v>
      </c>
      <c r="U57" s="445">
        <v>10.7746494444444</v>
      </c>
      <c r="V57" s="445">
        <v>6.7053161111111104</v>
      </c>
      <c r="W57" s="445">
        <v>5.2679827777777701</v>
      </c>
      <c r="X57" s="445">
        <v>4.2599827777777701</v>
      </c>
      <c r="Y57" s="445">
        <v>4.22264944444444</v>
      </c>
      <c r="Z57" s="445">
        <v>4.0173161111111098</v>
      </c>
      <c r="AA57" s="445">
        <v>4.0359827777777699</v>
      </c>
      <c r="AB57" s="445">
        <v>4.7359827777777701</v>
      </c>
      <c r="AC57" s="445">
        <v>6.3599827777777698</v>
      </c>
      <c r="AD57" s="445">
        <v>11.3253161111111</v>
      </c>
      <c r="AE57" s="445">
        <v>15.4786494444444</v>
      </c>
    </row>
    <row r="58" spans="1:31">
      <c r="A58" s="444" t="s">
        <v>2178</v>
      </c>
      <c r="B58" s="445">
        <v>921.16233</v>
      </c>
      <c r="C58" s="445">
        <v>380.53789999999998</v>
      </c>
      <c r="D58" s="445">
        <v>183.10489000000001</v>
      </c>
      <c r="E58" s="445">
        <v>1002.49384</v>
      </c>
      <c r="F58" s="445">
        <v>532.70106999999996</v>
      </c>
      <c r="G58" s="445">
        <v>459.77551999999997</v>
      </c>
      <c r="H58" s="445">
        <v>419.36867000000001</v>
      </c>
      <c r="I58" s="445">
        <v>336.36258009144598</v>
      </c>
      <c r="J58" s="445">
        <v>349.25804002124198</v>
      </c>
      <c r="K58" s="445">
        <v>365.57774190038702</v>
      </c>
      <c r="L58" s="445">
        <v>500.52168981869801</v>
      </c>
      <c r="M58" s="445">
        <v>599.34740289827005</v>
      </c>
      <c r="N58" s="445">
        <v>649.15700035467796</v>
      </c>
      <c r="P58" s="445">
        <v>646.69587008891301</v>
      </c>
      <c r="Q58" s="445">
        <v>530.85260416188305</v>
      </c>
      <c r="R58" s="445">
        <v>458.83658043580198</v>
      </c>
      <c r="S58" s="445">
        <v>321.83294469208602</v>
      </c>
      <c r="T58" s="445">
        <v>453.73777358010199</v>
      </c>
      <c r="U58" s="445">
        <v>441.025919453021</v>
      </c>
      <c r="V58" s="445">
        <v>453.10931458471498</v>
      </c>
      <c r="W58" s="445">
        <v>485.36753531662299</v>
      </c>
      <c r="X58" s="445">
        <v>502.179229223319</v>
      </c>
      <c r="Y58" s="445">
        <v>696.10838760144998</v>
      </c>
      <c r="Z58" s="445">
        <v>833.64312161156397</v>
      </c>
      <c r="AA58" s="445">
        <v>876.29480220048197</v>
      </c>
      <c r="AB58" s="445">
        <v>853.21957250966102</v>
      </c>
      <c r="AC58" s="445">
        <v>677.97043725608899</v>
      </c>
      <c r="AD58" s="445">
        <v>586.80771494614396</v>
      </c>
      <c r="AE58" s="445">
        <v>430.05188726559697</v>
      </c>
    </row>
    <row r="59" spans="1:31">
      <c r="A59" s="444" t="s">
        <v>2179</v>
      </c>
      <c r="B59" s="445">
        <v>0</v>
      </c>
      <c r="C59" s="445">
        <v>0</v>
      </c>
      <c r="D59" s="445">
        <v>0</v>
      </c>
      <c r="E59" s="445">
        <v>0</v>
      </c>
      <c r="F59" s="445">
        <v>0</v>
      </c>
      <c r="G59" s="445">
        <v>0</v>
      </c>
      <c r="H59" s="445">
        <v>0</v>
      </c>
      <c r="I59" s="445">
        <v>0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P59" s="445">
        <v>0</v>
      </c>
      <c r="Q59" s="445">
        <v>0</v>
      </c>
      <c r="R59" s="445">
        <v>0</v>
      </c>
      <c r="S59" s="445">
        <v>0</v>
      </c>
      <c r="T59" s="445">
        <v>0</v>
      </c>
      <c r="U59" s="445">
        <v>0</v>
      </c>
      <c r="V59" s="445">
        <v>0</v>
      </c>
      <c r="W59" s="445">
        <v>0</v>
      </c>
      <c r="X59" s="445">
        <v>0</v>
      </c>
      <c r="Y59" s="445">
        <v>0</v>
      </c>
      <c r="Z59" s="445">
        <v>0</v>
      </c>
      <c r="AA59" s="445">
        <v>0</v>
      </c>
      <c r="AB59" s="445">
        <v>0</v>
      </c>
      <c r="AC59" s="445">
        <v>0</v>
      </c>
      <c r="AD59" s="445">
        <v>0</v>
      </c>
      <c r="AE59" s="445">
        <v>0</v>
      </c>
    </row>
    <row r="60" spans="1:31">
      <c r="A60" s="444" t="s">
        <v>2180</v>
      </c>
      <c r="B60" s="445">
        <v>19.21866</v>
      </c>
      <c r="C60" s="445">
        <v>38.43732</v>
      </c>
      <c r="D60" s="445">
        <v>19.21866</v>
      </c>
      <c r="E60" s="445">
        <v>19.60303</v>
      </c>
      <c r="F60" s="445">
        <v>19.60303</v>
      </c>
      <c r="G60" s="445">
        <v>19.60303</v>
      </c>
      <c r="H60" s="445">
        <v>19.60303</v>
      </c>
      <c r="I60" s="445">
        <v>18.015532222222198</v>
      </c>
      <c r="J60" s="445">
        <v>18.015532222222198</v>
      </c>
      <c r="K60" s="445">
        <v>18.015532222222198</v>
      </c>
      <c r="L60" s="445">
        <v>18.015532222222198</v>
      </c>
      <c r="M60" s="445">
        <v>18.015532222222198</v>
      </c>
      <c r="N60" s="445">
        <v>18.015532222222198</v>
      </c>
      <c r="P60" s="445">
        <v>18.015532222222198</v>
      </c>
      <c r="Q60" s="445">
        <v>18.015532222222198</v>
      </c>
      <c r="R60" s="445">
        <v>18.015532222222198</v>
      </c>
      <c r="S60" s="445">
        <v>18.015532222222198</v>
      </c>
      <c r="T60" s="445">
        <v>18.015532222222198</v>
      </c>
      <c r="U60" s="445">
        <v>18.015532222222198</v>
      </c>
      <c r="V60" s="445">
        <v>18.015532222222198</v>
      </c>
      <c r="W60" s="445">
        <v>18.015532222222198</v>
      </c>
      <c r="X60" s="445">
        <v>18.015532222222198</v>
      </c>
      <c r="Y60" s="445">
        <v>18.015532222222198</v>
      </c>
      <c r="Z60" s="445">
        <v>18.015532222222198</v>
      </c>
      <c r="AA60" s="445">
        <v>18.015532222222198</v>
      </c>
      <c r="AB60" s="445">
        <v>18.015532222222198</v>
      </c>
      <c r="AC60" s="445">
        <v>18.015532222222198</v>
      </c>
      <c r="AD60" s="445">
        <v>18.015532222222198</v>
      </c>
      <c r="AE60" s="445">
        <v>18.015532222222198</v>
      </c>
    </row>
    <row r="61" spans="1:31">
      <c r="A61" s="444" t="s">
        <v>2181</v>
      </c>
      <c r="B61" s="445">
        <v>8.7360299999999995</v>
      </c>
      <c r="C61" s="445">
        <v>8.7790199999999992</v>
      </c>
      <c r="D61" s="445">
        <v>8.7829499999999996</v>
      </c>
      <c r="E61" s="445">
        <v>8.7763899999999992</v>
      </c>
      <c r="F61" s="445">
        <v>8.7498699999999996</v>
      </c>
      <c r="G61" s="445">
        <v>8.7158999999999995</v>
      </c>
      <c r="H61" s="445">
        <v>8.6964600000000001</v>
      </c>
      <c r="I61" s="445">
        <v>10.45</v>
      </c>
      <c r="J61" s="445">
        <v>10.45</v>
      </c>
      <c r="K61" s="445">
        <v>10.45</v>
      </c>
      <c r="L61" s="445">
        <v>10.45</v>
      </c>
      <c r="M61" s="445">
        <v>10.45</v>
      </c>
      <c r="N61" s="445">
        <v>10.45</v>
      </c>
      <c r="P61" s="445">
        <v>8.7609999999999992</v>
      </c>
      <c r="Q61" s="445">
        <v>8.7609999999999992</v>
      </c>
      <c r="R61" s="445">
        <v>8.7609999999999992</v>
      </c>
      <c r="S61" s="445">
        <v>8.7609999999999992</v>
      </c>
      <c r="T61" s="445">
        <v>8.7609999999999992</v>
      </c>
      <c r="U61" s="445">
        <v>8.7609999999999992</v>
      </c>
      <c r="V61" s="445">
        <v>8.7609999999999992</v>
      </c>
      <c r="W61" s="445">
        <v>8.7609999999999992</v>
      </c>
      <c r="X61" s="445">
        <v>8.7609999999999992</v>
      </c>
      <c r="Y61" s="445">
        <v>8.7609999999999992</v>
      </c>
      <c r="Z61" s="445">
        <v>8.7609999999999992</v>
      </c>
      <c r="AA61" s="445">
        <v>8.7609999999999992</v>
      </c>
      <c r="AB61" s="445">
        <v>8.7609999999999992</v>
      </c>
      <c r="AC61" s="445">
        <v>8.7609999999999992</v>
      </c>
      <c r="AD61" s="445">
        <v>8.7609999999999992</v>
      </c>
      <c r="AE61" s="445">
        <v>8.7609999999999992</v>
      </c>
    </row>
    <row r="62" spans="1:31">
      <c r="A62" s="444" t="s">
        <v>2182</v>
      </c>
      <c r="B62" s="445">
        <v>4.1700400000000002</v>
      </c>
      <c r="C62" s="445">
        <v>4.30905</v>
      </c>
      <c r="D62" s="445">
        <v>4.30905</v>
      </c>
      <c r="E62" s="445">
        <v>4.30905</v>
      </c>
      <c r="F62" s="445">
        <v>4.30905</v>
      </c>
      <c r="G62" s="445">
        <v>4.30905</v>
      </c>
      <c r="H62" s="445">
        <v>4.30905</v>
      </c>
      <c r="I62" s="445">
        <v>4.2750000000000004</v>
      </c>
      <c r="J62" s="445">
        <v>4.2750000000000004</v>
      </c>
      <c r="K62" s="445">
        <v>4.2750000000000004</v>
      </c>
      <c r="L62" s="445">
        <v>4.2750000000000004</v>
      </c>
      <c r="M62" s="445">
        <v>4.2750000000000004</v>
      </c>
      <c r="N62" s="445">
        <v>4.2750000000000004</v>
      </c>
      <c r="P62" s="445">
        <v>4.3819999999999997</v>
      </c>
      <c r="Q62" s="445">
        <v>4.3819999999999997</v>
      </c>
      <c r="R62" s="445">
        <v>4.3819999999999997</v>
      </c>
      <c r="S62" s="445">
        <v>4.3819999999999997</v>
      </c>
      <c r="T62" s="445">
        <v>4.3819999999999997</v>
      </c>
      <c r="U62" s="445">
        <v>4.3819999999999997</v>
      </c>
      <c r="V62" s="445">
        <v>4.3819999999999997</v>
      </c>
      <c r="W62" s="445">
        <v>4.3819999999999997</v>
      </c>
      <c r="X62" s="445">
        <v>4.3819999999999997</v>
      </c>
      <c r="Y62" s="445">
        <v>4.3819999999999997</v>
      </c>
      <c r="Z62" s="445">
        <v>4.3819999999999997</v>
      </c>
      <c r="AA62" s="445">
        <v>4.3819999999999997</v>
      </c>
      <c r="AB62" s="445">
        <v>4.492</v>
      </c>
      <c r="AC62" s="445">
        <v>4.492</v>
      </c>
      <c r="AD62" s="445">
        <v>4.492</v>
      </c>
      <c r="AE62" s="445">
        <v>4.492</v>
      </c>
    </row>
    <row r="63" spans="1:31" ht="15.75" thickBot="1">
      <c r="A63" s="444" t="s">
        <v>2183</v>
      </c>
      <c r="B63" s="629">
        <v>1.4500000000000001E-2</v>
      </c>
      <c r="C63" s="629">
        <v>1.4500000000000001E-2</v>
      </c>
      <c r="D63" s="629">
        <v>1.4500000000000001E-2</v>
      </c>
      <c r="E63" s="629">
        <v>1.4500000000000001E-2</v>
      </c>
      <c r="F63" s="629">
        <v>1.4500000000000001E-2</v>
      </c>
      <c r="G63" s="629">
        <v>1.4500000000000001E-2</v>
      </c>
      <c r="H63" s="629">
        <v>1.4500000000000001E-2</v>
      </c>
      <c r="I63" s="629">
        <v>2.7154166666666701E-2</v>
      </c>
      <c r="J63" s="629">
        <v>2.7154166666666701E-2</v>
      </c>
      <c r="K63" s="629">
        <v>2.7154166666666701E-2</v>
      </c>
      <c r="L63" s="629">
        <v>2.7154166666666701E-2</v>
      </c>
      <c r="M63" s="629">
        <v>2.7154166666666701E-2</v>
      </c>
      <c r="N63" s="629">
        <v>2.7154166666666701E-2</v>
      </c>
      <c r="O63" s="629"/>
      <c r="P63" s="629">
        <v>2.7154166666666701E-2</v>
      </c>
      <c r="Q63" s="629">
        <v>2.7154166666666701E-2</v>
      </c>
      <c r="R63" s="629">
        <v>2.7154166666666701E-2</v>
      </c>
      <c r="S63" s="629">
        <v>2.7154166666666701E-2</v>
      </c>
      <c r="T63" s="629">
        <v>2.7154166666666701E-2</v>
      </c>
      <c r="U63" s="629">
        <v>2.7154166666666701E-2</v>
      </c>
      <c r="V63" s="629">
        <v>2.7154166666666701E-2</v>
      </c>
      <c r="W63" s="629">
        <v>2.7154166666666701E-2</v>
      </c>
      <c r="X63" s="629">
        <v>2.7154166666666701E-2</v>
      </c>
      <c r="Y63" s="629">
        <v>2.7154166666666701E-2</v>
      </c>
      <c r="Z63" s="629">
        <v>2.7154166666666701E-2</v>
      </c>
      <c r="AA63" s="629">
        <v>2.7154166666666701E-2</v>
      </c>
      <c r="AB63" s="629">
        <v>2.7154166666666701E-2</v>
      </c>
      <c r="AC63" s="629">
        <v>2.7154166666666701E-2</v>
      </c>
      <c r="AD63" s="629">
        <v>2.7154166666666701E-2</v>
      </c>
      <c r="AE63" s="629">
        <v>2.7154166666666701E-2</v>
      </c>
    </row>
    <row r="64" spans="1:31">
      <c r="A64" s="630" t="s">
        <v>2184</v>
      </c>
      <c r="B64" s="445">
        <v>1050.14725</v>
      </c>
      <c r="C64" s="445">
        <v>630.48318999999901</v>
      </c>
      <c r="D64" s="445">
        <v>470.97316000000001</v>
      </c>
      <c r="E64" s="445">
        <v>1184.35331</v>
      </c>
      <c r="F64" s="445">
        <v>677.17817999999897</v>
      </c>
      <c r="G64" s="445">
        <v>615.806139999999</v>
      </c>
      <c r="H64" s="445">
        <v>523.89234999999996</v>
      </c>
      <c r="I64" s="445">
        <v>434.073775924779</v>
      </c>
      <c r="J64" s="445">
        <v>453.41458585457502</v>
      </c>
      <c r="K64" s="445">
        <v>449.24185773372102</v>
      </c>
      <c r="L64" s="445">
        <v>578.65985898536496</v>
      </c>
      <c r="M64" s="445">
        <v>671.50526539827001</v>
      </c>
      <c r="N64" s="445">
        <v>765.22102618801102</v>
      </c>
      <c r="P64" s="445">
        <v>838.90192925557994</v>
      </c>
      <c r="Q64" s="445">
        <v>769.92129999521603</v>
      </c>
      <c r="R64" s="445">
        <v>641.19854960246903</v>
      </c>
      <c r="S64" s="445">
        <v>481.89139385875302</v>
      </c>
      <c r="T64" s="445">
        <v>567.279602746769</v>
      </c>
      <c r="U64" s="445">
        <v>542.55795195302096</v>
      </c>
      <c r="V64" s="445">
        <v>549.23851041804801</v>
      </c>
      <c r="W64" s="445">
        <v>587.94208114995604</v>
      </c>
      <c r="X64" s="445">
        <v>584.26134505665198</v>
      </c>
      <c r="Y64" s="445">
        <v>772.66455676811597</v>
      </c>
      <c r="Z64" s="445">
        <v>904.21898411156405</v>
      </c>
      <c r="AA64" s="445">
        <v>990.77682803381595</v>
      </c>
      <c r="AB64" s="445">
        <v>1045.53563167632</v>
      </c>
      <c r="AC64" s="445">
        <v>917.14913308942198</v>
      </c>
      <c r="AD64" s="445">
        <v>769.27968411281097</v>
      </c>
      <c r="AE64" s="445">
        <v>590.22033643226303</v>
      </c>
    </row>
    <row r="65" spans="1:31">
      <c r="A65" s="444" t="s">
        <v>539</v>
      </c>
    </row>
    <row r="66" spans="1:31">
      <c r="A66" s="444" t="s">
        <v>2185</v>
      </c>
      <c r="B66" s="445">
        <v>0</v>
      </c>
      <c r="C66" s="445">
        <v>0</v>
      </c>
      <c r="D66" s="445">
        <v>0</v>
      </c>
      <c r="E66" s="445">
        <v>0</v>
      </c>
      <c r="F66" s="445">
        <v>0</v>
      </c>
      <c r="G66" s="445">
        <v>0</v>
      </c>
      <c r="H66" s="445">
        <v>0</v>
      </c>
      <c r="I66" s="445">
        <v>0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P66" s="445">
        <v>0</v>
      </c>
      <c r="Q66" s="445">
        <v>0</v>
      </c>
      <c r="R66" s="445">
        <v>0</v>
      </c>
      <c r="S66" s="445">
        <v>0</v>
      </c>
      <c r="T66" s="445">
        <v>0</v>
      </c>
      <c r="U66" s="445">
        <v>0</v>
      </c>
      <c r="V66" s="445">
        <v>0</v>
      </c>
      <c r="W66" s="445">
        <v>0</v>
      </c>
      <c r="X66" s="445">
        <v>0</v>
      </c>
      <c r="Y66" s="445">
        <v>0</v>
      </c>
      <c r="Z66" s="445">
        <v>0</v>
      </c>
      <c r="AA66" s="445">
        <v>0</v>
      </c>
      <c r="AB66" s="445">
        <v>0</v>
      </c>
      <c r="AC66" s="445">
        <v>0</v>
      </c>
      <c r="AD66" s="445">
        <v>0</v>
      </c>
      <c r="AE66" s="445">
        <v>0</v>
      </c>
    </row>
    <row r="68" spans="1:31">
      <c r="A68" s="447" t="s">
        <v>2186</v>
      </c>
      <c r="B68" s="445">
        <v>150120.80436000001</v>
      </c>
      <c r="C68" s="445">
        <v>172387.52533999999</v>
      </c>
      <c r="D68" s="445">
        <v>123110.779799999</v>
      </c>
      <c r="E68" s="445">
        <v>124671.41438</v>
      </c>
      <c r="F68" s="445">
        <v>105759.17502</v>
      </c>
      <c r="G68" s="445">
        <v>113128.680209999</v>
      </c>
      <c r="H68" s="445">
        <v>116728.92601</v>
      </c>
      <c r="I68" s="445">
        <v>121409.64935766401</v>
      </c>
      <c r="J68" s="445">
        <v>122855.475227631</v>
      </c>
      <c r="K68" s="445">
        <v>109146.639178043</v>
      </c>
      <c r="L68" s="445">
        <v>100716.217241693</v>
      </c>
      <c r="M68" s="445">
        <v>112243.541943499</v>
      </c>
      <c r="N68" s="445">
        <v>139662.67885334301</v>
      </c>
      <c r="P68" s="445">
        <v>154401.478723176</v>
      </c>
      <c r="Q68" s="445">
        <v>140179.807316544</v>
      </c>
      <c r="R68" s="445">
        <v>127803.078755842</v>
      </c>
      <c r="S68" s="445">
        <v>105090.606549406</v>
      </c>
      <c r="T68" s="445">
        <v>114198.478632103</v>
      </c>
      <c r="U68" s="445">
        <v>117329.806171424</v>
      </c>
      <c r="V68" s="445">
        <v>129075.68497668899</v>
      </c>
      <c r="W68" s="445">
        <v>130302.77712865701</v>
      </c>
      <c r="X68" s="445">
        <v>115610.350458755</v>
      </c>
      <c r="Y68" s="445">
        <v>106581.18485253101</v>
      </c>
      <c r="Z68" s="445">
        <v>121095.907819568</v>
      </c>
      <c r="AA68" s="445">
        <v>145275.41721717501</v>
      </c>
      <c r="AB68" s="445">
        <v>161069.69398607401</v>
      </c>
      <c r="AC68" s="445">
        <v>146018.21011977401</v>
      </c>
      <c r="AD68" s="445">
        <v>139361.871373506</v>
      </c>
      <c r="AE68" s="445">
        <v>111042.141065381</v>
      </c>
    </row>
    <row r="70" spans="1:31">
      <c r="A70" s="447" t="s">
        <v>2187</v>
      </c>
    </row>
    <row r="72" spans="1:31">
      <c r="A72" s="444" t="s">
        <v>2188</v>
      </c>
      <c r="B72" s="445">
        <v>22671.37617</v>
      </c>
      <c r="C72" s="445">
        <v>24774.01454</v>
      </c>
      <c r="D72" s="445">
        <v>19318.03499</v>
      </c>
      <c r="E72" s="445">
        <v>19292.752259999899</v>
      </c>
      <c r="F72" s="445">
        <v>14676.133390000001</v>
      </c>
      <c r="G72" s="445">
        <v>20321.223499999898</v>
      </c>
      <c r="H72" s="445">
        <v>23018.899159999899</v>
      </c>
      <c r="I72" s="445">
        <v>22577.708893498799</v>
      </c>
      <c r="J72" s="445">
        <v>23101.458211498801</v>
      </c>
      <c r="K72" s="445">
        <v>20508.867739289199</v>
      </c>
      <c r="L72" s="445">
        <v>17104.715812498798</v>
      </c>
      <c r="M72" s="445">
        <v>17102.0692247488</v>
      </c>
      <c r="N72" s="445">
        <v>22171.644989045199</v>
      </c>
      <c r="P72" s="445">
        <v>23679.518561045199</v>
      </c>
      <c r="Q72" s="445">
        <v>20468.944478589201</v>
      </c>
      <c r="R72" s="445">
        <v>19792.3229536404</v>
      </c>
      <c r="S72" s="445">
        <v>15927.5953387892</v>
      </c>
      <c r="T72" s="445">
        <v>19911.623699699201</v>
      </c>
      <c r="U72" s="445">
        <v>20904.531649789202</v>
      </c>
      <c r="V72" s="445">
        <v>23246.283724998801</v>
      </c>
      <c r="W72" s="445">
        <v>22726.1938189988</v>
      </c>
      <c r="X72" s="445">
        <v>19444.3784907892</v>
      </c>
      <c r="Y72" s="445">
        <v>16204.7081759988</v>
      </c>
      <c r="Z72" s="445">
        <v>17599.966783127598</v>
      </c>
      <c r="AA72" s="445">
        <v>22105.779847834801</v>
      </c>
      <c r="AB72" s="445">
        <v>23112.355643834799</v>
      </c>
      <c r="AC72" s="445">
        <v>20353.919414781001</v>
      </c>
      <c r="AD72" s="445">
        <v>25161.446517115201</v>
      </c>
      <c r="AE72" s="445">
        <v>15550.0277689617</v>
      </c>
    </row>
    <row r="73" spans="1:31">
      <c r="A73" s="444" t="s">
        <v>2189</v>
      </c>
      <c r="B73" s="445">
        <v>415.36962999999997</v>
      </c>
      <c r="C73" s="445">
        <v>580.77710000000002</v>
      </c>
      <c r="D73" s="445">
        <v>96.664339999999996</v>
      </c>
      <c r="E73" s="445">
        <v>40.98509</v>
      </c>
      <c r="F73" s="445">
        <v>285.80874999999997</v>
      </c>
      <c r="G73" s="445">
        <v>231.31255999999999</v>
      </c>
      <c r="H73" s="445">
        <v>108.82462</v>
      </c>
      <c r="I73" s="445">
        <v>275.54026140009802</v>
      </c>
      <c r="J73" s="445">
        <v>172.53522937855499</v>
      </c>
      <c r="K73" s="445">
        <v>376.567709876827</v>
      </c>
      <c r="L73" s="445">
        <v>608.93730064306101</v>
      </c>
      <c r="M73" s="445">
        <v>89.884845421078694</v>
      </c>
      <c r="N73" s="445">
        <v>274.07454704393803</v>
      </c>
      <c r="P73" s="445">
        <v>249.52624949398</v>
      </c>
      <c r="Q73" s="445">
        <v>224.32901159197999</v>
      </c>
      <c r="R73" s="445">
        <v>493.44191289148398</v>
      </c>
      <c r="S73" s="445">
        <v>128.30010424943799</v>
      </c>
      <c r="T73" s="445">
        <v>263.39969468133501</v>
      </c>
      <c r="U73" s="445">
        <v>251.45082454403399</v>
      </c>
      <c r="V73" s="445">
        <v>232.69477451768199</v>
      </c>
      <c r="W73" s="445">
        <v>136.80171663380801</v>
      </c>
      <c r="X73" s="445">
        <v>214.37151978340799</v>
      </c>
      <c r="Y73" s="445">
        <v>145.362150467823</v>
      </c>
      <c r="Z73" s="445">
        <v>9.9065544519890398</v>
      </c>
      <c r="AA73" s="445">
        <v>525.72997911054404</v>
      </c>
      <c r="AB73" s="445">
        <v>268.43435548661</v>
      </c>
      <c r="AC73" s="445">
        <v>396.75417948926298</v>
      </c>
      <c r="AD73" s="445">
        <v>81.253137800788906</v>
      </c>
      <c r="AE73" s="445">
        <v>236.425022236209</v>
      </c>
    </row>
    <row r="74" spans="1:31" ht="15.75" thickBot="1">
      <c r="A74" s="444" t="s">
        <v>2190</v>
      </c>
      <c r="B74" s="629">
        <v>2.0389999999999998E-2</v>
      </c>
      <c r="C74" s="629">
        <v>0.24510000000000001</v>
      </c>
      <c r="D74" s="629">
        <v>32.511850000000003</v>
      </c>
      <c r="E74" s="629">
        <v>0</v>
      </c>
      <c r="F74" s="629">
        <v>20.99756</v>
      </c>
      <c r="G74" s="629">
        <v>47.389519999999997</v>
      </c>
      <c r="H74" s="629">
        <v>25.038540000000001</v>
      </c>
      <c r="I74" s="629">
        <v>103.765117331326</v>
      </c>
      <c r="J74" s="629">
        <v>32.507928563789697</v>
      </c>
      <c r="K74" s="629">
        <v>45.863191369966799</v>
      </c>
      <c r="L74" s="629">
        <v>115.013488184388</v>
      </c>
      <c r="M74" s="629">
        <v>12.615533153395599</v>
      </c>
      <c r="N74" s="629">
        <v>0</v>
      </c>
      <c r="O74" s="629"/>
      <c r="P74" s="629">
        <v>4.1495633755061698</v>
      </c>
      <c r="Q74" s="629">
        <v>0.392904175617173</v>
      </c>
      <c r="R74" s="629">
        <v>4.4690491110196904</v>
      </c>
      <c r="S74" s="629">
        <v>27.630977394127399</v>
      </c>
      <c r="T74" s="629">
        <v>131.23757543571301</v>
      </c>
      <c r="U74" s="629">
        <v>131.43419432955301</v>
      </c>
      <c r="V74" s="629">
        <v>159.36457451589101</v>
      </c>
      <c r="W74" s="629">
        <v>94.813970607015506</v>
      </c>
      <c r="X74" s="629">
        <v>187.30382289821301</v>
      </c>
      <c r="Y74" s="629">
        <v>27.776518560014701</v>
      </c>
      <c r="Z74" s="629">
        <v>2.5677555601685</v>
      </c>
      <c r="AA74" s="629">
        <v>9.6377851257342098</v>
      </c>
      <c r="AB74" s="629">
        <v>1.4703647603199801</v>
      </c>
      <c r="AC74" s="629">
        <v>11.9521737552917</v>
      </c>
      <c r="AD74" s="629">
        <v>0</v>
      </c>
      <c r="AE74" s="629">
        <v>81.656537563833695</v>
      </c>
    </row>
    <row r="75" spans="1:31">
      <c r="A75" s="632" t="s">
        <v>2191</v>
      </c>
      <c r="B75" s="445">
        <v>23086.766189999998</v>
      </c>
      <c r="C75" s="445">
        <v>25355.03674</v>
      </c>
      <c r="D75" s="445">
        <v>19447.211179999998</v>
      </c>
      <c r="E75" s="445">
        <v>19333.737349999901</v>
      </c>
      <c r="F75" s="445">
        <v>14982.939700000001</v>
      </c>
      <c r="G75" s="445">
        <v>20599.925579999901</v>
      </c>
      <c r="H75" s="445">
        <v>23152.7623199999</v>
      </c>
      <c r="I75" s="445">
        <v>22957.014272230201</v>
      </c>
      <c r="J75" s="445">
        <v>23306.501369441201</v>
      </c>
      <c r="K75" s="445">
        <v>20931.298640535999</v>
      </c>
      <c r="L75" s="445">
        <v>17828.666601326298</v>
      </c>
      <c r="M75" s="445">
        <v>17204.5696033233</v>
      </c>
      <c r="N75" s="445">
        <v>22445.719536089098</v>
      </c>
      <c r="P75" s="445">
        <v>23933.194373914601</v>
      </c>
      <c r="Q75" s="445">
        <v>20693.666394356798</v>
      </c>
      <c r="R75" s="445">
        <v>20290.233915642901</v>
      </c>
      <c r="S75" s="445">
        <v>16083.5264204327</v>
      </c>
      <c r="T75" s="445">
        <v>20306.2609698163</v>
      </c>
      <c r="U75" s="445">
        <v>21287.416668662801</v>
      </c>
      <c r="V75" s="445">
        <v>23638.3430740324</v>
      </c>
      <c r="W75" s="445">
        <v>22957.809506239599</v>
      </c>
      <c r="X75" s="445">
        <v>19846.0538334708</v>
      </c>
      <c r="Y75" s="445">
        <v>16377.846845026699</v>
      </c>
      <c r="Z75" s="445">
        <v>17612.441093139802</v>
      </c>
      <c r="AA75" s="445">
        <v>22641.147612071101</v>
      </c>
      <c r="AB75" s="445">
        <v>23382.260364081802</v>
      </c>
      <c r="AC75" s="445">
        <v>20762.6257680255</v>
      </c>
      <c r="AD75" s="445">
        <v>25242.699654915999</v>
      </c>
      <c r="AE75" s="445">
        <v>15868.1093287618</v>
      </c>
    </row>
    <row r="76" spans="1:31">
      <c r="A76" s="444" t="s">
        <v>2192</v>
      </c>
      <c r="B76" s="445">
        <v>0</v>
      </c>
      <c r="C76" s="445">
        <v>0</v>
      </c>
      <c r="D76" s="445">
        <v>0</v>
      </c>
      <c r="E76" s="445">
        <v>0</v>
      </c>
      <c r="F76" s="445">
        <v>0</v>
      </c>
      <c r="G76" s="445">
        <v>0</v>
      </c>
      <c r="H76" s="445">
        <v>0</v>
      </c>
      <c r="I76" s="445">
        <v>0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P76" s="445">
        <v>0</v>
      </c>
      <c r="Q76" s="445">
        <v>0</v>
      </c>
      <c r="R76" s="445">
        <v>0</v>
      </c>
      <c r="S76" s="445">
        <v>0</v>
      </c>
      <c r="T76" s="445">
        <v>0</v>
      </c>
      <c r="U76" s="445">
        <v>0</v>
      </c>
      <c r="V76" s="445">
        <v>0</v>
      </c>
      <c r="W76" s="445">
        <v>0</v>
      </c>
      <c r="X76" s="445">
        <v>0</v>
      </c>
      <c r="Y76" s="445">
        <v>0</v>
      </c>
      <c r="Z76" s="445">
        <v>0</v>
      </c>
      <c r="AA76" s="445">
        <v>0</v>
      </c>
      <c r="AB76" s="445">
        <v>0</v>
      </c>
      <c r="AC76" s="445">
        <v>0</v>
      </c>
      <c r="AD76" s="445">
        <v>0</v>
      </c>
      <c r="AE76" s="445">
        <v>0</v>
      </c>
    </row>
    <row r="77" spans="1:31">
      <c r="A77" s="444" t="s">
        <v>2193</v>
      </c>
      <c r="B77" s="445">
        <v>458.91147999999998</v>
      </c>
      <c r="C77" s="445">
        <v>405.84933999999998</v>
      </c>
      <c r="D77" s="445">
        <v>394.72602999999998</v>
      </c>
      <c r="E77" s="445">
        <v>413.81407000000002</v>
      </c>
      <c r="F77" s="445">
        <v>401.02650999999997</v>
      </c>
      <c r="G77" s="445">
        <v>406.27134000000001</v>
      </c>
      <c r="H77" s="445">
        <v>399.50700000000001</v>
      </c>
      <c r="I77" s="445">
        <v>409.43200000000002</v>
      </c>
      <c r="J77" s="445">
        <v>514.02</v>
      </c>
      <c r="K77" s="445">
        <v>440.63099999999997</v>
      </c>
      <c r="L77" s="445">
        <v>486.01399999999899</v>
      </c>
      <c r="M77" s="445">
        <v>420.26400000000001</v>
      </c>
      <c r="N77" s="445">
        <v>386.16300000000001</v>
      </c>
      <c r="P77" s="445">
        <v>427.589</v>
      </c>
      <c r="Q77" s="445">
        <v>377.73599999999999</v>
      </c>
      <c r="R77" s="445">
        <v>444.875</v>
      </c>
      <c r="S77" s="445">
        <v>409.339</v>
      </c>
      <c r="T77" s="445">
        <v>437.59699999999998</v>
      </c>
      <c r="U77" s="445">
        <v>415.72</v>
      </c>
      <c r="V77" s="445">
        <v>439.834</v>
      </c>
      <c r="W77" s="445">
        <v>446.85</v>
      </c>
      <c r="X77" s="445">
        <v>437.065</v>
      </c>
      <c r="Y77" s="445">
        <v>471.37900000000002</v>
      </c>
      <c r="Z77" s="445">
        <v>431.11799999999999</v>
      </c>
      <c r="AA77" s="445">
        <v>383.65499999999997</v>
      </c>
      <c r="AB77" s="445">
        <v>464.94600000000003</v>
      </c>
      <c r="AC77" s="445">
        <v>406.815</v>
      </c>
      <c r="AD77" s="445">
        <v>478.90899999999999</v>
      </c>
      <c r="AE77" s="445">
        <v>431.44499999999999</v>
      </c>
    </row>
    <row r="78" spans="1:31">
      <c r="A78" s="444" t="s">
        <v>2194</v>
      </c>
      <c r="B78" s="445">
        <v>912.76421000000005</v>
      </c>
      <c r="C78" s="445">
        <v>895.27035999999998</v>
      </c>
      <c r="D78" s="445">
        <v>825.17285999999899</v>
      </c>
      <c r="E78" s="445">
        <v>986.24862999999903</v>
      </c>
      <c r="F78" s="445">
        <v>866.22500000000002</v>
      </c>
      <c r="G78" s="445">
        <v>920.19070999999997</v>
      </c>
      <c r="H78" s="445">
        <v>850.49018999999998</v>
      </c>
      <c r="I78" s="445">
        <v>998.99999999999898</v>
      </c>
      <c r="J78" s="445">
        <v>1087.454</v>
      </c>
      <c r="K78" s="445">
        <v>911.56500000000005</v>
      </c>
      <c r="L78" s="445">
        <v>1050.8209999999999</v>
      </c>
      <c r="M78" s="445">
        <v>936.65599999999995</v>
      </c>
      <c r="N78" s="445">
        <v>947.93</v>
      </c>
      <c r="P78" s="445">
        <v>1116.4739999999999</v>
      </c>
      <c r="Q78" s="445">
        <v>1087.566</v>
      </c>
      <c r="R78" s="445">
        <v>1095.9639999999999</v>
      </c>
      <c r="S78" s="445">
        <v>1143.1659999999999</v>
      </c>
      <c r="T78" s="445">
        <v>1225.0219999999999</v>
      </c>
      <c r="U78" s="445">
        <v>1075.78</v>
      </c>
      <c r="V78" s="445">
        <v>1221.02</v>
      </c>
      <c r="W78" s="445">
        <v>1222.182</v>
      </c>
      <c r="X78" s="445">
        <v>1127.7619999999999</v>
      </c>
      <c r="Y78" s="445">
        <v>1269.4839999999999</v>
      </c>
      <c r="Z78" s="445">
        <v>1101.57</v>
      </c>
      <c r="AA78" s="445">
        <v>1145.5039999999999</v>
      </c>
      <c r="AB78" s="445">
        <v>1262.4490000000001</v>
      </c>
      <c r="AC78" s="445">
        <v>1158.797</v>
      </c>
      <c r="AD78" s="445">
        <v>1212.7559999999901</v>
      </c>
      <c r="AE78" s="445">
        <v>1207.0119999999999</v>
      </c>
    </row>
    <row r="79" spans="1:31">
      <c r="A79" s="444" t="s">
        <v>2195</v>
      </c>
      <c r="B79" s="445">
        <v>50.761629999999997</v>
      </c>
      <c r="C79" s="445">
        <v>33.948720000000002</v>
      </c>
      <c r="D79" s="445">
        <v>30.442160000000001</v>
      </c>
      <c r="E79" s="445">
        <v>20.149640000000002</v>
      </c>
      <c r="F79" s="445">
        <v>13.52923</v>
      </c>
      <c r="G79" s="445">
        <v>25.544919999999902</v>
      </c>
      <c r="H79" s="445">
        <v>-21.227340000000002</v>
      </c>
      <c r="I79" s="445">
        <v>-3.6359797171751902</v>
      </c>
      <c r="J79" s="445">
        <v>33.176351188851697</v>
      </c>
      <c r="K79" s="445">
        <v>21.3228928165321</v>
      </c>
      <c r="L79" s="445">
        <v>17.914834832260102</v>
      </c>
      <c r="M79" s="445">
        <v>29.3938796324096</v>
      </c>
      <c r="N79" s="445">
        <v>-11.36756761943</v>
      </c>
      <c r="P79" s="445">
        <v>13.303341082569601</v>
      </c>
      <c r="Q79" s="445">
        <v>-8.8110059458480894</v>
      </c>
      <c r="R79" s="445">
        <v>-27.349852568996699</v>
      </c>
      <c r="S79" s="445">
        <v>-9.4320562483486494</v>
      </c>
      <c r="T79" s="445">
        <v>-10.7048979949287</v>
      </c>
      <c r="U79" s="445">
        <v>-7.9380653932268199</v>
      </c>
      <c r="V79" s="445">
        <v>-7.77767098684728</v>
      </c>
      <c r="W79" s="445">
        <v>26.3584962932932</v>
      </c>
      <c r="X79" s="445">
        <v>23.1262870721499</v>
      </c>
      <c r="Y79" s="445">
        <v>25.950212185448301</v>
      </c>
      <c r="Z79" s="445">
        <v>31.6109691237404</v>
      </c>
      <c r="AA79" s="445">
        <v>23.440929257953702</v>
      </c>
      <c r="AB79" s="445">
        <v>38.507192186085497</v>
      </c>
      <c r="AC79" s="445">
        <v>13.926207064573299</v>
      </c>
      <c r="AD79" s="445">
        <v>18.2804270782567</v>
      </c>
      <c r="AE79" s="445">
        <v>12.901767032054099</v>
      </c>
    </row>
    <row r="80" spans="1:31">
      <c r="A80" s="444" t="s">
        <v>2196</v>
      </c>
      <c r="B80" s="445">
        <v>6.3078099999999999</v>
      </c>
      <c r="C80" s="445">
        <v>8.3502299999999998</v>
      </c>
      <c r="D80" s="445">
        <v>1.44004</v>
      </c>
      <c r="E80" s="445">
        <v>0.85351999999999995</v>
      </c>
      <c r="F80" s="445">
        <v>5.31257</v>
      </c>
      <c r="G80" s="445">
        <v>4.66296</v>
      </c>
      <c r="H80" s="445">
        <v>2.51186</v>
      </c>
      <c r="I80" s="445">
        <v>14.383979717175199</v>
      </c>
      <c r="J80" s="445">
        <v>9.5716488111482292</v>
      </c>
      <c r="K80" s="445">
        <v>21.117107183467802</v>
      </c>
      <c r="L80" s="445">
        <v>24.5251651677398</v>
      </c>
      <c r="M80" s="445">
        <v>13.046120367590399</v>
      </c>
      <c r="N80" s="445">
        <v>53.2965676194301</v>
      </c>
      <c r="P80" s="445">
        <v>18.696658917430302</v>
      </c>
      <c r="Q80" s="445">
        <v>16.811005945848098</v>
      </c>
      <c r="R80" s="445">
        <v>27.349852568996699</v>
      </c>
      <c r="S80" s="445">
        <v>9.4320562483486494</v>
      </c>
      <c r="T80" s="445">
        <v>10.7048979949287</v>
      </c>
      <c r="U80" s="445">
        <v>7.9380653932268199</v>
      </c>
      <c r="V80" s="445">
        <v>7.77767098684728</v>
      </c>
      <c r="W80" s="445">
        <v>5.6415037067067404</v>
      </c>
      <c r="X80" s="445">
        <v>8.8737129278500202</v>
      </c>
      <c r="Y80" s="445">
        <v>6.0497878145517001</v>
      </c>
      <c r="Z80" s="445">
        <v>0.38903087625959398</v>
      </c>
      <c r="AA80" s="445">
        <v>31.773070742046201</v>
      </c>
      <c r="AB80" s="445">
        <v>17.1708078139145</v>
      </c>
      <c r="AC80" s="445">
        <v>17.7517929354267</v>
      </c>
      <c r="AD80" s="445">
        <v>5.3975729217432402</v>
      </c>
      <c r="AE80" s="445">
        <v>10.7762329679459</v>
      </c>
    </row>
    <row r="81" spans="1:31">
      <c r="A81" s="444" t="s">
        <v>2197</v>
      </c>
      <c r="B81" s="445">
        <v>467.63490999999902</v>
      </c>
      <c r="C81" s="445">
        <v>615.49237000000005</v>
      </c>
      <c r="D81" s="445">
        <v>453.94264999999899</v>
      </c>
      <c r="E81" s="445">
        <v>471.58364</v>
      </c>
      <c r="F81" s="445">
        <v>398.55059999999997</v>
      </c>
      <c r="G81" s="445">
        <v>487.50187999999901</v>
      </c>
      <c r="H81" s="445">
        <v>571.75355000000002</v>
      </c>
      <c r="I81" s="445">
        <v>500.64593761415102</v>
      </c>
      <c r="J81" s="445">
        <v>511.483779752641</v>
      </c>
      <c r="K81" s="445">
        <v>435.11368418649897</v>
      </c>
      <c r="L81" s="445">
        <v>442.76892301664799</v>
      </c>
      <c r="M81" s="445">
        <v>391.43441278580502</v>
      </c>
      <c r="N81" s="445">
        <v>494.325432380569</v>
      </c>
      <c r="P81" s="445">
        <v>638.94290445807496</v>
      </c>
      <c r="Q81" s="445">
        <v>624.27529822976896</v>
      </c>
      <c r="R81" s="445">
        <v>580.47359654202296</v>
      </c>
      <c r="S81" s="445">
        <v>483.72172114577802</v>
      </c>
      <c r="T81" s="445">
        <v>603.65707744078395</v>
      </c>
      <c r="U81" s="445">
        <v>627.28482893632702</v>
      </c>
      <c r="V81" s="445">
        <v>690.62390352904299</v>
      </c>
      <c r="W81" s="445">
        <v>676.16796690030799</v>
      </c>
      <c r="X81" s="445">
        <v>577.27750997036298</v>
      </c>
      <c r="Y81" s="445">
        <v>517.41853074546304</v>
      </c>
      <c r="Z81" s="445">
        <v>550.45592468390805</v>
      </c>
      <c r="AA81" s="445">
        <v>684.99241438368801</v>
      </c>
      <c r="AB81" s="445">
        <v>750.33075694640502</v>
      </c>
      <c r="AC81" s="445">
        <v>653.24928081986502</v>
      </c>
      <c r="AD81" s="445">
        <v>777.07542707825598</v>
      </c>
      <c r="AE81" s="445">
        <v>513.352104595887</v>
      </c>
    </row>
    <row r="82" spans="1:31">
      <c r="A82" s="444" t="s">
        <v>2198</v>
      </c>
      <c r="B82" s="445">
        <v>0</v>
      </c>
      <c r="C82" s="445">
        <v>0</v>
      </c>
      <c r="D82" s="445">
        <v>0</v>
      </c>
      <c r="E82" s="445">
        <v>0</v>
      </c>
      <c r="F82" s="445">
        <v>0</v>
      </c>
      <c r="G82" s="445">
        <v>0</v>
      </c>
      <c r="H82" s="445">
        <v>0</v>
      </c>
      <c r="I82" s="445">
        <v>14.383979717175199</v>
      </c>
      <c r="J82" s="445">
        <v>9.5716488111482292</v>
      </c>
      <c r="K82" s="445">
        <v>21.117107183467802</v>
      </c>
      <c r="L82" s="445">
        <v>24.5251651677398</v>
      </c>
      <c r="M82" s="445">
        <v>13.046120367590399</v>
      </c>
      <c r="N82" s="445">
        <v>53.2965676194301</v>
      </c>
      <c r="P82" s="445">
        <v>18.696658917430302</v>
      </c>
      <c r="Q82" s="445">
        <v>16.811005945848098</v>
      </c>
      <c r="R82" s="445">
        <v>27.349852568996699</v>
      </c>
      <c r="S82" s="445">
        <v>9.4320562483486494</v>
      </c>
      <c r="T82" s="445">
        <v>10.7048979949287</v>
      </c>
      <c r="U82" s="445">
        <v>7.9380653932268199</v>
      </c>
      <c r="V82" s="445">
        <v>7.77767098684728</v>
      </c>
      <c r="W82" s="445">
        <v>5.6415037067067404</v>
      </c>
      <c r="X82" s="445">
        <v>8.8737129278500202</v>
      </c>
      <c r="Y82" s="445">
        <v>6.0497878145517001</v>
      </c>
      <c r="Z82" s="445">
        <v>0.38903087625959398</v>
      </c>
      <c r="AA82" s="445">
        <v>31.773070742046201</v>
      </c>
      <c r="AB82" s="445">
        <v>17.1708078139145</v>
      </c>
      <c r="AC82" s="445">
        <v>17.7517929354267</v>
      </c>
      <c r="AD82" s="445">
        <v>5.3975729217432402</v>
      </c>
      <c r="AE82" s="445">
        <v>10.7762329679459</v>
      </c>
    </row>
    <row r="83" spans="1:31">
      <c r="A83" s="444" t="s">
        <v>2199</v>
      </c>
      <c r="B83" s="445">
        <v>2.9E-4</v>
      </c>
      <c r="C83" s="445">
        <v>3.0400000000000002E-3</v>
      </c>
      <c r="D83" s="445">
        <v>0.48734</v>
      </c>
      <c r="E83" s="445">
        <v>0</v>
      </c>
      <c r="F83" s="445">
        <v>0.40077000000000002</v>
      </c>
      <c r="G83" s="445">
        <v>0.95225000000000004</v>
      </c>
      <c r="H83" s="445">
        <v>0.58209</v>
      </c>
      <c r="I83" s="445">
        <v>6.9170826686734799</v>
      </c>
      <c r="J83" s="445">
        <v>2.1945714362102402</v>
      </c>
      <c r="K83" s="445">
        <v>3.1752086300331999</v>
      </c>
      <c r="L83" s="445">
        <v>7.2929118156112898</v>
      </c>
      <c r="M83" s="445">
        <v>0.97746684660433603</v>
      </c>
      <c r="N83" s="445">
        <v>0</v>
      </c>
      <c r="P83" s="445">
        <v>0.31443662449382798</v>
      </c>
      <c r="Q83" s="445">
        <v>3.0695824382826399E-2</v>
      </c>
      <c r="R83" s="445">
        <v>0.36055088898030602</v>
      </c>
      <c r="S83" s="445">
        <v>2.2932226058725398</v>
      </c>
      <c r="T83" s="445">
        <v>9.2330245642865503</v>
      </c>
      <c r="U83" s="445">
        <v>7.9701056704460997</v>
      </c>
      <c r="V83" s="445">
        <v>10.278425484109</v>
      </c>
      <c r="W83" s="445">
        <v>6.1115293929844601</v>
      </c>
      <c r="X83" s="445">
        <v>12.9987771017861</v>
      </c>
      <c r="Y83" s="445">
        <v>1.98368143998524</v>
      </c>
      <c r="Z83" s="445">
        <v>0.202044439831499</v>
      </c>
      <c r="AA83" s="445">
        <v>0.749514874265784</v>
      </c>
      <c r="AB83" s="445">
        <v>0.121435239680017</v>
      </c>
      <c r="AC83" s="445">
        <v>0.89592624470829096</v>
      </c>
      <c r="AD83" s="445">
        <v>0</v>
      </c>
      <c r="AE83" s="445">
        <v>6.6886624361662399</v>
      </c>
    </row>
    <row r="84" spans="1:31">
      <c r="A84" s="444" t="s">
        <v>2200</v>
      </c>
      <c r="B84" s="445">
        <v>0</v>
      </c>
      <c r="C84" s="445">
        <v>0</v>
      </c>
      <c r="D84" s="445">
        <v>0</v>
      </c>
      <c r="E84" s="445">
        <v>0</v>
      </c>
      <c r="F84" s="445">
        <v>0</v>
      </c>
      <c r="G84" s="445">
        <v>0</v>
      </c>
      <c r="H84" s="445">
        <v>0</v>
      </c>
      <c r="I84" s="445">
        <v>0</v>
      </c>
      <c r="J84" s="445">
        <v>0</v>
      </c>
      <c r="K84" s="445">
        <v>0</v>
      </c>
      <c r="L84" s="445">
        <v>0</v>
      </c>
      <c r="M84" s="445">
        <v>0</v>
      </c>
      <c r="N84" s="445">
        <v>0</v>
      </c>
      <c r="P84" s="445">
        <v>0</v>
      </c>
      <c r="Q84" s="445">
        <v>0</v>
      </c>
      <c r="R84" s="445">
        <v>0</v>
      </c>
      <c r="S84" s="445">
        <v>0</v>
      </c>
      <c r="T84" s="445">
        <v>0</v>
      </c>
      <c r="U84" s="445">
        <v>0</v>
      </c>
      <c r="V84" s="445">
        <v>0</v>
      </c>
      <c r="W84" s="445">
        <v>0</v>
      </c>
      <c r="X84" s="445">
        <v>0</v>
      </c>
      <c r="Y84" s="445">
        <v>0</v>
      </c>
      <c r="Z84" s="445">
        <v>0</v>
      </c>
      <c r="AA84" s="445">
        <v>0</v>
      </c>
      <c r="AB84" s="445">
        <v>0</v>
      </c>
      <c r="AC84" s="445">
        <v>0</v>
      </c>
      <c r="AD84" s="445">
        <v>0</v>
      </c>
      <c r="AE84" s="445">
        <v>0</v>
      </c>
    </row>
    <row r="85" spans="1:31">
      <c r="A85" s="444" t="s">
        <v>2201</v>
      </c>
      <c r="B85" s="445">
        <v>238.52074999999999</v>
      </c>
      <c r="C85" s="445">
        <v>236.56710999999899</v>
      </c>
      <c r="D85" s="445">
        <v>225.52628999999999</v>
      </c>
      <c r="E85" s="445">
        <v>280.304229999999</v>
      </c>
      <c r="F85" s="445">
        <v>229.77035999999899</v>
      </c>
      <c r="G85" s="445">
        <v>248.73017999999999</v>
      </c>
      <c r="H85" s="445">
        <v>206.06106</v>
      </c>
      <c r="I85" s="445">
        <v>189.26</v>
      </c>
      <c r="J85" s="445">
        <v>206.226</v>
      </c>
      <c r="K85" s="445">
        <v>170.875</v>
      </c>
      <c r="L85" s="445">
        <v>204.74199999999999</v>
      </c>
      <c r="M85" s="445">
        <v>181.37200000000001</v>
      </c>
      <c r="N85" s="445">
        <v>166.494</v>
      </c>
      <c r="P85" s="445">
        <v>201.08699999999999</v>
      </c>
      <c r="Q85" s="445">
        <v>177.761</v>
      </c>
      <c r="R85" s="445">
        <v>182.60300000000001</v>
      </c>
      <c r="S85" s="445">
        <v>186.464</v>
      </c>
      <c r="T85" s="445">
        <v>197.38800000000001</v>
      </c>
      <c r="U85" s="445">
        <v>166.21899999999999</v>
      </c>
      <c r="V85" s="445">
        <v>195.74299999999999</v>
      </c>
      <c r="W85" s="445">
        <v>196.88800000000001</v>
      </c>
      <c r="X85" s="445">
        <v>175.577</v>
      </c>
      <c r="Y85" s="445">
        <v>206.542</v>
      </c>
      <c r="Z85" s="445">
        <v>175.31899999999999</v>
      </c>
      <c r="AA85" s="445">
        <v>181.24700000000001</v>
      </c>
      <c r="AB85" s="445">
        <v>205.24600000000001</v>
      </c>
      <c r="AC85" s="445">
        <v>182.017</v>
      </c>
      <c r="AD85" s="445">
        <v>194.702</v>
      </c>
      <c r="AE85" s="445">
        <v>189.99700000000001</v>
      </c>
    </row>
    <row r="86" spans="1:31">
      <c r="A86" s="444" t="s">
        <v>2202</v>
      </c>
      <c r="B86" s="445">
        <v>576.97465999999997</v>
      </c>
      <c r="C86" s="445">
        <v>705.19027000000006</v>
      </c>
      <c r="D86" s="445">
        <v>653.81917999999996</v>
      </c>
      <c r="E86" s="445">
        <v>657.41255999999998</v>
      </c>
      <c r="F86" s="445">
        <v>621.91269999999895</v>
      </c>
      <c r="G86" s="445">
        <v>607.86762999999996</v>
      </c>
      <c r="H86" s="445">
        <v>674.06132999999897</v>
      </c>
      <c r="I86" s="445">
        <v>579.55200000000002</v>
      </c>
      <c r="J86" s="445">
        <v>571.20999999999901</v>
      </c>
      <c r="K86" s="445">
        <v>539.88699999999994</v>
      </c>
      <c r="L86" s="445">
        <v>610.84100000000001</v>
      </c>
      <c r="M86" s="445">
        <v>547.47400000000005</v>
      </c>
      <c r="N86" s="445">
        <v>637.524</v>
      </c>
      <c r="P86" s="445">
        <v>528.97900000000004</v>
      </c>
      <c r="Q86" s="445">
        <v>512.14800000000002</v>
      </c>
      <c r="R86" s="445">
        <v>521.63199999999995</v>
      </c>
      <c r="S86" s="445">
        <v>607.18200000000002</v>
      </c>
      <c r="T86" s="445">
        <v>551.19000000000005</v>
      </c>
      <c r="U86" s="445">
        <v>566.02499999999998</v>
      </c>
      <c r="V86" s="445">
        <v>540.61</v>
      </c>
      <c r="W86" s="445">
        <v>552.42200000000003</v>
      </c>
      <c r="X86" s="445">
        <v>535.35500000000002</v>
      </c>
      <c r="Y86" s="445">
        <v>596.93499999999995</v>
      </c>
      <c r="Z86" s="445">
        <v>530.14700000000005</v>
      </c>
      <c r="AA86" s="445">
        <v>537.76499999999999</v>
      </c>
      <c r="AB86" s="445">
        <v>559.62400000000002</v>
      </c>
      <c r="AC86" s="445">
        <v>542.55399999999997</v>
      </c>
      <c r="AD86" s="445">
        <v>558.85500000000002</v>
      </c>
      <c r="AE86" s="445">
        <v>637.01099999999997</v>
      </c>
    </row>
    <row r="87" spans="1:31">
      <c r="A87" s="444" t="s">
        <v>2203</v>
      </c>
      <c r="B87" s="445">
        <v>614.26049999999998</v>
      </c>
      <c r="C87" s="445">
        <v>439.28334999999998</v>
      </c>
      <c r="D87" s="445">
        <v>484.48842000000002</v>
      </c>
      <c r="E87" s="445">
        <v>270.57776000000001</v>
      </c>
      <c r="F87" s="445">
        <v>343.85699</v>
      </c>
      <c r="G87" s="445">
        <v>325.91059999999999</v>
      </c>
      <c r="H87" s="445">
        <v>419.16351999999898</v>
      </c>
      <c r="I87" s="445">
        <v>452.13299999999998</v>
      </c>
      <c r="J87" s="445">
        <v>521.96399999999903</v>
      </c>
      <c r="K87" s="445">
        <v>475.23200000000003</v>
      </c>
      <c r="L87" s="445">
        <v>440.28899999999999</v>
      </c>
      <c r="M87" s="445">
        <v>414.464</v>
      </c>
      <c r="N87" s="445">
        <v>523.92099999999903</v>
      </c>
      <c r="P87" s="445">
        <v>548.15699999999902</v>
      </c>
      <c r="Q87" s="445">
        <v>473.135999999999</v>
      </c>
      <c r="R87" s="445">
        <v>486.58699999999999</v>
      </c>
      <c r="S87" s="445">
        <v>391.70599999999899</v>
      </c>
      <c r="T87" s="445">
        <v>440.346</v>
      </c>
      <c r="U87" s="445">
        <v>470.72199999999901</v>
      </c>
      <c r="V87" s="445">
        <v>522.803</v>
      </c>
      <c r="W87" s="445">
        <v>507.459</v>
      </c>
      <c r="X87" s="445">
        <v>446.99099999999999</v>
      </c>
      <c r="Y87" s="445">
        <v>325.77100000000002</v>
      </c>
      <c r="Z87" s="445">
        <v>374.17399999999998</v>
      </c>
      <c r="AA87" s="445">
        <v>516.86900000000003</v>
      </c>
      <c r="AB87" s="445">
        <v>554.30999999999995</v>
      </c>
      <c r="AC87" s="445">
        <v>495.16399999999999</v>
      </c>
      <c r="AD87" s="445">
        <v>607.15</v>
      </c>
      <c r="AE87" s="445">
        <v>418.534999999999</v>
      </c>
    </row>
    <row r="88" spans="1:31">
      <c r="A88" s="444" t="s">
        <v>2204</v>
      </c>
      <c r="B88" s="445">
        <v>2.1284800000000001</v>
      </c>
      <c r="C88" s="445">
        <v>4.4274800000000001</v>
      </c>
      <c r="D88" s="445">
        <v>0.55927000000000004</v>
      </c>
      <c r="E88" s="445">
        <v>0.36196</v>
      </c>
      <c r="F88" s="445">
        <v>2.0404800000000001</v>
      </c>
      <c r="G88" s="445">
        <v>1.85867</v>
      </c>
      <c r="H88" s="445">
        <v>0.95372999999999997</v>
      </c>
      <c r="I88" s="445">
        <v>0</v>
      </c>
      <c r="J88" s="445">
        <v>0</v>
      </c>
      <c r="K88" s="445">
        <v>0</v>
      </c>
      <c r="L88" s="445">
        <v>0</v>
      </c>
      <c r="M88" s="445">
        <v>0</v>
      </c>
      <c r="N88" s="445">
        <v>0</v>
      </c>
      <c r="P88" s="445">
        <v>0</v>
      </c>
      <c r="Q88" s="445">
        <v>0</v>
      </c>
      <c r="R88" s="445">
        <v>0</v>
      </c>
      <c r="S88" s="445">
        <v>0</v>
      </c>
      <c r="T88" s="445">
        <v>0</v>
      </c>
      <c r="U88" s="445">
        <v>0</v>
      </c>
      <c r="V88" s="445">
        <v>0</v>
      </c>
      <c r="W88" s="445">
        <v>0</v>
      </c>
      <c r="X88" s="445">
        <v>0</v>
      </c>
      <c r="Y88" s="445">
        <v>0</v>
      </c>
      <c r="Z88" s="445">
        <v>0</v>
      </c>
      <c r="AA88" s="445">
        <v>0</v>
      </c>
      <c r="AB88" s="445">
        <v>0</v>
      </c>
      <c r="AC88" s="445">
        <v>0</v>
      </c>
      <c r="AD88" s="445">
        <v>0</v>
      </c>
      <c r="AE88" s="445">
        <v>0</v>
      </c>
    </row>
    <row r="89" spans="1:31">
      <c r="A89" s="444" t="s">
        <v>2205</v>
      </c>
      <c r="B89" s="445">
        <v>177.94081</v>
      </c>
      <c r="C89" s="445">
        <v>265.76774</v>
      </c>
      <c r="D89" s="445">
        <v>172.670209999999</v>
      </c>
      <c r="E89" s="445">
        <v>150.83153999999999</v>
      </c>
      <c r="F89" s="445">
        <v>105.36954</v>
      </c>
      <c r="G89" s="445">
        <v>156.3357</v>
      </c>
      <c r="H89" s="445">
        <v>190.83672999999899</v>
      </c>
      <c r="I89" s="445">
        <v>231.58</v>
      </c>
      <c r="J89" s="445">
        <v>285.08199999999999</v>
      </c>
      <c r="K89" s="445">
        <v>254.03100000000001</v>
      </c>
      <c r="L89" s="445">
        <v>214.58099999999999</v>
      </c>
      <c r="M89" s="445">
        <v>176.45099999999999</v>
      </c>
      <c r="N89" s="445">
        <v>272.63900000000001</v>
      </c>
      <c r="P89" s="445">
        <v>240.53200000000001</v>
      </c>
      <c r="Q89" s="445">
        <v>208.274</v>
      </c>
      <c r="R89" s="445">
        <v>208.624</v>
      </c>
      <c r="S89" s="445">
        <v>158.19200000000001</v>
      </c>
      <c r="T89" s="445">
        <v>215.291</v>
      </c>
      <c r="U89" s="445">
        <v>218.393</v>
      </c>
      <c r="V89" s="445">
        <v>243.55500000000001</v>
      </c>
      <c r="W89" s="445">
        <v>236.26</v>
      </c>
      <c r="X89" s="445">
        <v>193.05099999999999</v>
      </c>
      <c r="Y89" s="445">
        <v>155.06100000000001</v>
      </c>
      <c r="Z89" s="445">
        <v>152.471</v>
      </c>
      <c r="AA89" s="445">
        <v>204.76400000000001</v>
      </c>
      <c r="AB89" s="445">
        <v>244.34100000000001</v>
      </c>
      <c r="AC89" s="445">
        <v>215.453</v>
      </c>
      <c r="AD89" s="445">
        <v>250.00899999999999</v>
      </c>
      <c r="AE89" s="445">
        <v>198.18</v>
      </c>
    </row>
    <row r="90" spans="1:31">
      <c r="A90" s="444" t="s">
        <v>2206</v>
      </c>
      <c r="B90" s="445">
        <v>9.3613099999999996</v>
      </c>
      <c r="C90" s="445">
        <v>9.04312</v>
      </c>
      <c r="D90" s="445">
        <v>2.23454</v>
      </c>
      <c r="E90" s="445">
        <v>0.49103999999999998</v>
      </c>
      <c r="F90" s="445">
        <v>5.5743</v>
      </c>
      <c r="G90" s="445">
        <v>3.1840700000000002</v>
      </c>
      <c r="H90" s="445">
        <v>1.67252</v>
      </c>
      <c r="I90" s="445">
        <v>0</v>
      </c>
      <c r="J90" s="445">
        <v>0</v>
      </c>
      <c r="K90" s="445">
        <v>0</v>
      </c>
      <c r="L90" s="445">
        <v>0</v>
      </c>
      <c r="M90" s="445">
        <v>0</v>
      </c>
      <c r="N90" s="445">
        <v>0</v>
      </c>
      <c r="P90" s="445">
        <v>0</v>
      </c>
      <c r="Q90" s="445">
        <v>0</v>
      </c>
      <c r="R90" s="445">
        <v>0</v>
      </c>
      <c r="S90" s="445">
        <v>0</v>
      </c>
      <c r="T90" s="445">
        <v>0</v>
      </c>
      <c r="U90" s="445">
        <v>0</v>
      </c>
      <c r="V90" s="445">
        <v>0</v>
      </c>
      <c r="W90" s="445">
        <v>0</v>
      </c>
      <c r="X90" s="445">
        <v>0</v>
      </c>
      <c r="Y90" s="445">
        <v>0</v>
      </c>
      <c r="Z90" s="445">
        <v>0</v>
      </c>
      <c r="AA90" s="445">
        <v>0</v>
      </c>
      <c r="AB90" s="445">
        <v>0</v>
      </c>
      <c r="AC90" s="445">
        <v>0</v>
      </c>
      <c r="AD90" s="445">
        <v>0</v>
      </c>
      <c r="AE90" s="445">
        <v>0</v>
      </c>
    </row>
    <row r="91" spans="1:31">
      <c r="A91" s="444" t="s">
        <v>2207</v>
      </c>
      <c r="B91" s="445">
        <v>1E-4</v>
      </c>
      <c r="C91" s="445">
        <v>1.6100000000000001E-3</v>
      </c>
      <c r="D91" s="445">
        <v>0.18942000000000001</v>
      </c>
      <c r="E91" s="445">
        <v>0</v>
      </c>
      <c r="F91" s="445">
        <v>0.15393999999999999</v>
      </c>
      <c r="G91" s="445">
        <v>0.37957000000000002</v>
      </c>
      <c r="H91" s="445">
        <v>0.221</v>
      </c>
      <c r="I91" s="445">
        <v>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P91" s="445">
        <v>0</v>
      </c>
      <c r="Q91" s="445">
        <v>0</v>
      </c>
      <c r="R91" s="445">
        <v>0</v>
      </c>
      <c r="S91" s="445">
        <v>0</v>
      </c>
      <c r="T91" s="445">
        <v>0</v>
      </c>
      <c r="U91" s="445">
        <v>0</v>
      </c>
      <c r="V91" s="445">
        <v>0</v>
      </c>
      <c r="W91" s="445">
        <v>0</v>
      </c>
      <c r="X91" s="445">
        <v>0</v>
      </c>
      <c r="Y91" s="445">
        <v>0</v>
      </c>
      <c r="Z91" s="445">
        <v>0</v>
      </c>
      <c r="AA91" s="445">
        <v>0</v>
      </c>
      <c r="AB91" s="445">
        <v>0</v>
      </c>
      <c r="AC91" s="445">
        <v>0</v>
      </c>
      <c r="AD91" s="445">
        <v>0</v>
      </c>
      <c r="AE91" s="445">
        <v>0</v>
      </c>
    </row>
    <row r="92" spans="1:31">
      <c r="A92" s="444" t="s">
        <v>2208</v>
      </c>
      <c r="B92" s="445">
        <v>0</v>
      </c>
      <c r="C92" s="445">
        <v>0</v>
      </c>
      <c r="D92" s="445">
        <v>0</v>
      </c>
      <c r="E92" s="445">
        <v>0</v>
      </c>
      <c r="F92" s="445">
        <v>0</v>
      </c>
      <c r="G92" s="445">
        <v>0</v>
      </c>
      <c r="H92" s="445">
        <v>0</v>
      </c>
      <c r="I92" s="445">
        <v>0</v>
      </c>
      <c r="J92" s="445">
        <v>0</v>
      </c>
      <c r="K92" s="445">
        <v>0</v>
      </c>
      <c r="L92" s="445">
        <v>0</v>
      </c>
      <c r="M92" s="445">
        <v>0</v>
      </c>
      <c r="N92" s="445">
        <v>0</v>
      </c>
      <c r="P92" s="445">
        <v>0</v>
      </c>
      <c r="Q92" s="445">
        <v>0</v>
      </c>
      <c r="R92" s="445">
        <v>0</v>
      </c>
      <c r="S92" s="445">
        <v>0</v>
      </c>
      <c r="T92" s="445">
        <v>0</v>
      </c>
      <c r="U92" s="445">
        <v>0</v>
      </c>
      <c r="V92" s="445">
        <v>0</v>
      </c>
      <c r="W92" s="445">
        <v>0</v>
      </c>
      <c r="X92" s="445">
        <v>0</v>
      </c>
      <c r="Y92" s="445">
        <v>0</v>
      </c>
      <c r="Z92" s="445">
        <v>0</v>
      </c>
      <c r="AA92" s="445">
        <v>0</v>
      </c>
      <c r="AB92" s="445">
        <v>0</v>
      </c>
      <c r="AC92" s="445">
        <v>0</v>
      </c>
      <c r="AD92" s="445">
        <v>0</v>
      </c>
      <c r="AE92" s="445">
        <v>0</v>
      </c>
    </row>
    <row r="93" spans="1:31">
      <c r="A93" s="444" t="s">
        <v>2209</v>
      </c>
      <c r="B93" s="445">
        <v>4.2999999999999999E-4</v>
      </c>
      <c r="C93" s="445">
        <v>3.5999999999999899E-4</v>
      </c>
      <c r="D93" s="445">
        <v>1.9000000000000001E-4</v>
      </c>
      <c r="E93" s="445">
        <v>2.9E-4</v>
      </c>
      <c r="F93" s="445">
        <v>2.4000000000000001E-4</v>
      </c>
      <c r="G93" s="445">
        <v>2.5999999999999998E-4</v>
      </c>
      <c r="H93" s="445">
        <v>2.7E-4</v>
      </c>
      <c r="I93" s="445">
        <v>0</v>
      </c>
      <c r="J93" s="445">
        <v>1</v>
      </c>
      <c r="K93" s="445">
        <v>0</v>
      </c>
      <c r="L93" s="445">
        <v>0</v>
      </c>
      <c r="M93" s="445">
        <v>0</v>
      </c>
      <c r="N93" s="445">
        <v>1</v>
      </c>
      <c r="P93" s="445">
        <v>0</v>
      </c>
      <c r="Q93" s="445">
        <v>0</v>
      </c>
      <c r="R93" s="445">
        <v>0</v>
      </c>
      <c r="S93" s="445">
        <v>0</v>
      </c>
      <c r="T93" s="445">
        <v>0</v>
      </c>
      <c r="U93" s="445">
        <v>0</v>
      </c>
      <c r="V93" s="445">
        <v>0</v>
      </c>
      <c r="W93" s="445">
        <v>0</v>
      </c>
      <c r="X93" s="445">
        <v>0</v>
      </c>
      <c r="Y93" s="445">
        <v>0</v>
      </c>
      <c r="Z93" s="445">
        <v>0</v>
      </c>
      <c r="AA93" s="445">
        <v>0</v>
      </c>
      <c r="AB93" s="445">
        <v>0</v>
      </c>
      <c r="AC93" s="445">
        <v>0</v>
      </c>
      <c r="AD93" s="445">
        <v>0</v>
      </c>
      <c r="AE93" s="445">
        <v>0</v>
      </c>
    </row>
    <row r="94" spans="1:31">
      <c r="A94" s="444" t="s">
        <v>2210</v>
      </c>
      <c r="B94" s="445">
        <v>0</v>
      </c>
      <c r="C94" s="445">
        <v>0</v>
      </c>
      <c r="D94" s="445">
        <v>0</v>
      </c>
      <c r="E94" s="445">
        <v>0</v>
      </c>
      <c r="F94" s="445">
        <v>0</v>
      </c>
      <c r="G94" s="445">
        <v>0</v>
      </c>
      <c r="H94" s="445">
        <v>0</v>
      </c>
      <c r="I94" s="445">
        <v>0</v>
      </c>
      <c r="J94" s="445">
        <v>0</v>
      </c>
      <c r="K94" s="445">
        <v>0</v>
      </c>
      <c r="L94" s="445">
        <v>0</v>
      </c>
      <c r="M94" s="445">
        <v>0</v>
      </c>
      <c r="N94" s="445">
        <v>0</v>
      </c>
      <c r="P94" s="445">
        <v>0</v>
      </c>
      <c r="Q94" s="445">
        <v>0</v>
      </c>
      <c r="R94" s="445">
        <v>0</v>
      </c>
      <c r="S94" s="445">
        <v>0</v>
      </c>
      <c r="T94" s="445">
        <v>0</v>
      </c>
      <c r="U94" s="445">
        <v>0</v>
      </c>
      <c r="V94" s="445">
        <v>0</v>
      </c>
      <c r="W94" s="445">
        <v>0</v>
      </c>
      <c r="X94" s="445">
        <v>0</v>
      </c>
      <c r="Y94" s="445">
        <v>0</v>
      </c>
      <c r="Z94" s="445">
        <v>0</v>
      </c>
      <c r="AA94" s="445">
        <v>0</v>
      </c>
      <c r="AB94" s="445">
        <v>0</v>
      </c>
      <c r="AC94" s="445">
        <v>0</v>
      </c>
      <c r="AD94" s="445">
        <v>0</v>
      </c>
      <c r="AE94" s="445">
        <v>0</v>
      </c>
    </row>
    <row r="95" spans="1:31" ht="15.75" thickBot="1">
      <c r="A95" s="444" t="s">
        <v>2211</v>
      </c>
      <c r="B95" s="629">
        <v>0</v>
      </c>
      <c r="C95" s="629">
        <v>0</v>
      </c>
      <c r="D95" s="629">
        <v>0</v>
      </c>
      <c r="E95" s="629">
        <v>0</v>
      </c>
      <c r="F95" s="629">
        <v>0</v>
      </c>
      <c r="G95" s="629">
        <v>0</v>
      </c>
      <c r="H95" s="629">
        <v>0</v>
      </c>
      <c r="I95" s="629">
        <v>0</v>
      </c>
      <c r="J95" s="629">
        <v>0</v>
      </c>
      <c r="K95" s="629">
        <v>0</v>
      </c>
      <c r="L95" s="629">
        <v>0</v>
      </c>
      <c r="M95" s="629">
        <v>0</v>
      </c>
      <c r="N95" s="629">
        <v>0</v>
      </c>
      <c r="O95" s="629"/>
      <c r="P95" s="629">
        <v>0</v>
      </c>
      <c r="Q95" s="629">
        <v>0</v>
      </c>
      <c r="R95" s="629">
        <v>0</v>
      </c>
      <c r="S95" s="629">
        <v>0</v>
      </c>
      <c r="T95" s="629">
        <v>0</v>
      </c>
      <c r="U95" s="629">
        <v>0</v>
      </c>
      <c r="V95" s="629">
        <v>0</v>
      </c>
      <c r="W95" s="629">
        <v>0</v>
      </c>
      <c r="X95" s="629">
        <v>0</v>
      </c>
      <c r="Y95" s="629">
        <v>0</v>
      </c>
      <c r="Z95" s="629">
        <v>0</v>
      </c>
      <c r="AA95" s="629">
        <v>0</v>
      </c>
      <c r="AB95" s="629">
        <v>0</v>
      </c>
      <c r="AC95" s="629">
        <v>0</v>
      </c>
      <c r="AD95" s="629">
        <v>0</v>
      </c>
      <c r="AE95" s="629">
        <v>0</v>
      </c>
    </row>
    <row r="96" spans="1:31">
      <c r="A96" s="632" t="s">
        <v>2212</v>
      </c>
      <c r="B96" s="445">
        <v>3515.5673699999902</v>
      </c>
      <c r="C96" s="445">
        <v>3619.1950999999999</v>
      </c>
      <c r="D96" s="445">
        <v>3245.6985999999902</v>
      </c>
      <c r="E96" s="445">
        <v>3252.6288800000002</v>
      </c>
      <c r="F96" s="445">
        <v>2993.7232300000001</v>
      </c>
      <c r="G96" s="445">
        <v>3189.3907399999998</v>
      </c>
      <c r="H96" s="445">
        <v>3296.5875099999898</v>
      </c>
      <c r="I96" s="445">
        <v>3393.652</v>
      </c>
      <c r="J96" s="445">
        <v>3752.9540000000002</v>
      </c>
      <c r="K96" s="445">
        <v>3294.067</v>
      </c>
      <c r="L96" s="445">
        <v>3524.3150000000001</v>
      </c>
      <c r="M96" s="445">
        <v>3124.5790000000002</v>
      </c>
      <c r="N96" s="445">
        <v>3525.2220000000002</v>
      </c>
      <c r="P96" s="445">
        <v>3752.7719999999999</v>
      </c>
      <c r="Q96" s="445">
        <v>3485.7379999999998</v>
      </c>
      <c r="R96" s="445">
        <v>3548.4690000000001</v>
      </c>
      <c r="S96" s="445">
        <v>3391.4960000000001</v>
      </c>
      <c r="T96" s="445">
        <v>3690.4290000000001</v>
      </c>
      <c r="U96" s="445">
        <v>3556.0519999999901</v>
      </c>
      <c r="V96" s="445">
        <v>3872.2449999999999</v>
      </c>
      <c r="W96" s="445">
        <v>3881.982</v>
      </c>
      <c r="X96" s="445">
        <v>3546.951</v>
      </c>
      <c r="Y96" s="445">
        <v>3582.6239999999998</v>
      </c>
      <c r="Z96" s="445">
        <v>3347.846</v>
      </c>
      <c r="AA96" s="445">
        <v>3742.5329999999999</v>
      </c>
      <c r="AB96" s="445">
        <v>4114.2169999999996</v>
      </c>
      <c r="AC96" s="445">
        <v>3704.37499999999</v>
      </c>
      <c r="AD96" s="445">
        <v>4108.5320000000002</v>
      </c>
      <c r="AE96" s="445">
        <v>3636.6749999999902</v>
      </c>
    </row>
    <row r="97" spans="1:31">
      <c r="A97" s="444" t="s">
        <v>2213</v>
      </c>
      <c r="B97" s="445">
        <v>309.41293999999999</v>
      </c>
      <c r="C97" s="445">
        <v>388.69476999999898</v>
      </c>
      <c r="D97" s="445">
        <v>361.67191000000003</v>
      </c>
      <c r="E97" s="445">
        <v>590.36145999999997</v>
      </c>
      <c r="F97" s="445">
        <v>595.16886999999997</v>
      </c>
      <c r="G97" s="445">
        <v>378.22232000000002</v>
      </c>
      <c r="H97" s="445">
        <v>469.94085000000001</v>
      </c>
      <c r="I97" s="445">
        <v>310.56799999999998</v>
      </c>
      <c r="J97" s="445">
        <v>398.87099999999998</v>
      </c>
      <c r="K97" s="445">
        <v>465.88499999999999</v>
      </c>
      <c r="L97" s="445">
        <v>768.851</v>
      </c>
      <c r="M97" s="445">
        <v>339.41899999999998</v>
      </c>
      <c r="N97" s="445">
        <v>254.149</v>
      </c>
      <c r="P97" s="445">
        <v>406.70100000000002</v>
      </c>
      <c r="Q97" s="445">
        <v>377.97800000000001</v>
      </c>
      <c r="R97" s="445">
        <v>566.84100000000001</v>
      </c>
      <c r="S97" s="445">
        <v>593.77200000000005</v>
      </c>
      <c r="T97" s="445">
        <v>365.19600000000003</v>
      </c>
      <c r="U97" s="445">
        <v>397.63400000000001</v>
      </c>
      <c r="V97" s="445">
        <v>385.68799999999999</v>
      </c>
      <c r="W97" s="445">
        <v>427.47699999999998</v>
      </c>
      <c r="X97" s="445">
        <v>413.32499999999999</v>
      </c>
      <c r="Y97" s="445">
        <v>746.49</v>
      </c>
      <c r="Z97" s="445">
        <v>549.09699999999998</v>
      </c>
      <c r="AA97" s="445">
        <v>312.40300000000002</v>
      </c>
      <c r="AB97" s="445">
        <v>457.11599999999999</v>
      </c>
      <c r="AC97" s="445">
        <v>344.32399999999899</v>
      </c>
      <c r="AD97" s="445">
        <v>577.59299999999996</v>
      </c>
      <c r="AE97" s="445">
        <v>636.23399999999901</v>
      </c>
    </row>
    <row r="98" spans="1:31">
      <c r="A98" s="444" t="s">
        <v>2214</v>
      </c>
      <c r="B98" s="445">
        <v>285.79235</v>
      </c>
      <c r="C98" s="445">
        <v>130.92167000000001</v>
      </c>
      <c r="D98" s="445">
        <v>172.70423</v>
      </c>
      <c r="E98" s="445">
        <v>215.94284999999999</v>
      </c>
      <c r="F98" s="445">
        <v>172.45876999999999</v>
      </c>
      <c r="G98" s="445">
        <v>184.42176000000001</v>
      </c>
      <c r="H98" s="445">
        <v>212.75451000000001</v>
      </c>
      <c r="I98" s="445">
        <v>348.80500000000001</v>
      </c>
      <c r="J98" s="445">
        <v>247.523</v>
      </c>
      <c r="K98" s="445">
        <v>405.14699999999999</v>
      </c>
      <c r="L98" s="445">
        <v>321.01499999999999</v>
      </c>
      <c r="M98" s="445">
        <v>232.09800000000001</v>
      </c>
      <c r="N98" s="445">
        <v>217.74799999999999</v>
      </c>
      <c r="P98" s="445">
        <v>212.464</v>
      </c>
      <c r="Q98" s="445">
        <v>209.57300000000001</v>
      </c>
      <c r="R98" s="445">
        <v>243.67</v>
      </c>
      <c r="S98" s="445">
        <v>236.58</v>
      </c>
      <c r="T98" s="445">
        <v>231.703</v>
      </c>
      <c r="U98" s="445">
        <v>287.24299999999999</v>
      </c>
      <c r="V98" s="445">
        <v>249.81899999999999</v>
      </c>
      <c r="W98" s="445">
        <v>250.309</v>
      </c>
      <c r="X98" s="445">
        <v>222.06</v>
      </c>
      <c r="Y98" s="445">
        <v>285.67700000000002</v>
      </c>
      <c r="Z98" s="445">
        <v>233.703</v>
      </c>
      <c r="AA98" s="445">
        <v>226.03800000000001</v>
      </c>
      <c r="AB98" s="445">
        <v>217.69300000000001</v>
      </c>
      <c r="AC98" s="445">
        <v>214.864</v>
      </c>
      <c r="AD98" s="445">
        <v>215.06399999999999</v>
      </c>
      <c r="AE98" s="445">
        <v>246.90700000000001</v>
      </c>
    </row>
    <row r="99" spans="1:31">
      <c r="A99" s="444" t="s">
        <v>2215</v>
      </c>
      <c r="B99" s="445">
        <v>2798.7379499999902</v>
      </c>
      <c r="C99" s="445">
        <v>1551.7406800000001</v>
      </c>
      <c r="D99" s="445">
        <v>1568.14409</v>
      </c>
      <c r="E99" s="445">
        <v>2715.8733099999899</v>
      </c>
      <c r="F99" s="445">
        <v>3927.8072399999901</v>
      </c>
      <c r="G99" s="445">
        <v>2243.2682799999998</v>
      </c>
      <c r="H99" s="445">
        <v>1526.7155499999999</v>
      </c>
      <c r="I99" s="445">
        <v>1730.443</v>
      </c>
      <c r="J99" s="445">
        <v>2119.3029999999999</v>
      </c>
      <c r="K99" s="445">
        <v>2284.7809999999899</v>
      </c>
      <c r="L99" s="445">
        <v>4047.692</v>
      </c>
      <c r="M99" s="445">
        <v>3267.5740000000001</v>
      </c>
      <c r="N99" s="445">
        <v>1954.25</v>
      </c>
      <c r="P99" s="445">
        <v>1504.992</v>
      </c>
      <c r="Q99" s="445">
        <v>1929.19099999999</v>
      </c>
      <c r="R99" s="445">
        <v>2868.4180000000001</v>
      </c>
      <c r="S99" s="445">
        <v>3753.4110000000001</v>
      </c>
      <c r="T99" s="445">
        <v>2552.5940000000001</v>
      </c>
      <c r="U99" s="445">
        <v>1906.9459999999999</v>
      </c>
      <c r="V99" s="445">
        <v>2000.82</v>
      </c>
      <c r="W99" s="445">
        <v>1849.1579999999999</v>
      </c>
      <c r="X99" s="445">
        <v>2592.7449999999999</v>
      </c>
      <c r="Y99" s="445">
        <v>4061.848</v>
      </c>
      <c r="Z99" s="445">
        <v>3430.6</v>
      </c>
      <c r="AA99" s="445">
        <v>2056.9839999999999</v>
      </c>
      <c r="AB99" s="445">
        <v>1613.0319999999999</v>
      </c>
      <c r="AC99" s="445">
        <v>1857.673</v>
      </c>
      <c r="AD99" s="445">
        <v>3344.998</v>
      </c>
      <c r="AE99" s="445">
        <v>4079.3409999999999</v>
      </c>
    </row>
    <row r="100" spans="1:31">
      <c r="A100" s="444" t="s">
        <v>2216</v>
      </c>
      <c r="B100" s="445">
        <v>197.74790999999999</v>
      </c>
      <c r="C100" s="445">
        <v>194.44654999999901</v>
      </c>
      <c r="D100" s="445">
        <v>139.57514</v>
      </c>
      <c r="E100" s="445">
        <v>406.03548000000001</v>
      </c>
      <c r="F100" s="445">
        <v>335.96824999999899</v>
      </c>
      <c r="G100" s="445">
        <v>160.15306000000001</v>
      </c>
      <c r="H100" s="445">
        <v>204.65826999999999</v>
      </c>
      <c r="I100" s="445">
        <v>312.68099999999998</v>
      </c>
      <c r="J100" s="445">
        <v>337.07</v>
      </c>
      <c r="K100" s="445">
        <v>269.59100000000001</v>
      </c>
      <c r="L100" s="445">
        <v>382.15600000000001</v>
      </c>
      <c r="M100" s="445">
        <v>392.54300000000001</v>
      </c>
      <c r="N100" s="445">
        <v>268.892</v>
      </c>
      <c r="P100" s="445">
        <v>256.149</v>
      </c>
      <c r="Q100" s="445">
        <v>253.79300000000001</v>
      </c>
      <c r="R100" s="445">
        <v>257.75400000000002</v>
      </c>
      <c r="S100" s="445">
        <v>625.34</v>
      </c>
      <c r="T100" s="445">
        <v>276.57600000000002</v>
      </c>
      <c r="U100" s="445">
        <v>265.95499999999998</v>
      </c>
      <c r="V100" s="445">
        <v>312.89800000000002</v>
      </c>
      <c r="W100" s="445">
        <v>276.50299999999999</v>
      </c>
      <c r="X100" s="445">
        <v>420.471</v>
      </c>
      <c r="Y100" s="445">
        <v>432.3</v>
      </c>
      <c r="Z100" s="445">
        <v>268.49900000000002</v>
      </c>
      <c r="AA100" s="445">
        <v>346.70699999999903</v>
      </c>
      <c r="AB100" s="445">
        <v>362.548</v>
      </c>
      <c r="AC100" s="445">
        <v>355.09099999999899</v>
      </c>
      <c r="AD100" s="445">
        <v>359.351</v>
      </c>
      <c r="AE100" s="445">
        <v>610.74900000000002</v>
      </c>
    </row>
    <row r="101" spans="1:31">
      <c r="A101" s="444" t="s">
        <v>2217</v>
      </c>
      <c r="B101" s="445">
        <v>414.84960999999998</v>
      </c>
      <c r="C101" s="445">
        <v>291.02555999999998</v>
      </c>
      <c r="D101" s="445">
        <v>432.09449999999998</v>
      </c>
      <c r="E101" s="445">
        <v>857.56255999999996</v>
      </c>
      <c r="F101" s="445">
        <v>2001.1455100000001</v>
      </c>
      <c r="G101" s="445">
        <v>760.69302000000005</v>
      </c>
      <c r="H101" s="445">
        <v>368.18036999999998</v>
      </c>
      <c r="I101" s="445">
        <v>454.45499999999998</v>
      </c>
      <c r="J101" s="445">
        <v>631.53700000000003</v>
      </c>
      <c r="K101" s="445">
        <v>560.85400000000004</v>
      </c>
      <c r="L101" s="445">
        <v>1696.5650000000001</v>
      </c>
      <c r="M101" s="445">
        <v>1514.5840000000001</v>
      </c>
      <c r="N101" s="445">
        <v>485.78</v>
      </c>
      <c r="P101" s="445">
        <v>512.596</v>
      </c>
      <c r="Q101" s="445">
        <v>498.96899999999999</v>
      </c>
      <c r="R101" s="445">
        <v>1043.646</v>
      </c>
      <c r="S101" s="445">
        <v>2213.1079999999902</v>
      </c>
      <c r="T101" s="445">
        <v>961.50800000000004</v>
      </c>
      <c r="U101" s="445">
        <v>736.52800000000002</v>
      </c>
      <c r="V101" s="445">
        <v>644.11199999999997</v>
      </c>
      <c r="W101" s="445">
        <v>519.07500000000005</v>
      </c>
      <c r="X101" s="445">
        <v>674.16499999999996</v>
      </c>
      <c r="Y101" s="445">
        <v>2137.6059999999902</v>
      </c>
      <c r="Z101" s="445">
        <v>1766.56</v>
      </c>
      <c r="AA101" s="445">
        <v>605.48599999999999</v>
      </c>
      <c r="AB101" s="445">
        <v>577.39699999999903</v>
      </c>
      <c r="AC101" s="445">
        <v>519.58600000000001</v>
      </c>
      <c r="AD101" s="445">
        <v>1021.035</v>
      </c>
      <c r="AE101" s="445">
        <v>2053.453</v>
      </c>
    </row>
    <row r="102" spans="1:31" ht="15.75" thickBot="1">
      <c r="A102" s="444" t="s">
        <v>2218</v>
      </c>
      <c r="B102" s="629">
        <v>462.81529</v>
      </c>
      <c r="C102" s="629">
        <v>224.20392999999899</v>
      </c>
      <c r="D102" s="629">
        <v>183.58832000000001</v>
      </c>
      <c r="E102" s="629">
        <v>183.73083</v>
      </c>
      <c r="F102" s="629">
        <v>197.01963000000001</v>
      </c>
      <c r="G102" s="629">
        <v>190.01719</v>
      </c>
      <c r="H102" s="629">
        <v>254.22441000000001</v>
      </c>
      <c r="I102" s="629">
        <v>199.10900000000001</v>
      </c>
      <c r="J102" s="629">
        <v>155.74799999999999</v>
      </c>
      <c r="K102" s="629">
        <v>154.27799999999999</v>
      </c>
      <c r="L102" s="629">
        <v>162.392</v>
      </c>
      <c r="M102" s="629">
        <v>125.425</v>
      </c>
      <c r="N102" s="629">
        <v>111.622</v>
      </c>
      <c r="O102" s="629"/>
      <c r="P102" s="629">
        <v>131.267</v>
      </c>
      <c r="Q102" s="629">
        <v>122.733</v>
      </c>
      <c r="R102" s="629">
        <v>122.76600000000001</v>
      </c>
      <c r="S102" s="629">
        <v>123.809</v>
      </c>
      <c r="T102" s="629">
        <v>124.529</v>
      </c>
      <c r="U102" s="629">
        <v>152.97300000000001</v>
      </c>
      <c r="V102" s="629">
        <v>153.489</v>
      </c>
      <c r="W102" s="629">
        <v>154.44300000000001</v>
      </c>
      <c r="X102" s="629">
        <v>180.89699999999999</v>
      </c>
      <c r="Y102" s="629">
        <v>120.779</v>
      </c>
      <c r="Z102" s="629">
        <v>123.623</v>
      </c>
      <c r="AA102" s="629">
        <v>120.38200000000001</v>
      </c>
      <c r="AB102" s="629">
        <v>124.57899999999999</v>
      </c>
      <c r="AC102" s="629">
        <v>123.77500000000001</v>
      </c>
      <c r="AD102" s="629">
        <v>124.697</v>
      </c>
      <c r="AE102" s="629">
        <v>124.116</v>
      </c>
    </row>
    <row r="103" spans="1:31">
      <c r="A103" s="632" t="s">
        <v>2219</v>
      </c>
      <c r="B103" s="445">
        <v>4469.3560500000003</v>
      </c>
      <c r="C103" s="445">
        <v>2781.03316</v>
      </c>
      <c r="D103" s="445">
        <v>2857.77819</v>
      </c>
      <c r="E103" s="445">
        <v>4969.5064899999998</v>
      </c>
      <c r="F103" s="445">
        <v>7229.5682699999998</v>
      </c>
      <c r="G103" s="445">
        <v>3916.7756300000001</v>
      </c>
      <c r="H103" s="445">
        <v>3036.4739599999998</v>
      </c>
      <c r="I103" s="445">
        <v>3356.0609999999901</v>
      </c>
      <c r="J103" s="445">
        <v>3890.0520000000001</v>
      </c>
      <c r="K103" s="445">
        <v>4140.5359999999901</v>
      </c>
      <c r="L103" s="445">
        <v>7378.6710000000003</v>
      </c>
      <c r="M103" s="445">
        <v>5871.643</v>
      </c>
      <c r="N103" s="445">
        <v>3292.4409999999898</v>
      </c>
      <c r="P103" s="445">
        <v>3024.1689999999999</v>
      </c>
      <c r="Q103" s="445">
        <v>3392.2370000000001</v>
      </c>
      <c r="R103" s="445">
        <v>5103.0949999999903</v>
      </c>
      <c r="S103" s="445">
        <v>7546.0199999999904</v>
      </c>
      <c r="T103" s="445">
        <v>4512.1059999999998</v>
      </c>
      <c r="U103" s="445">
        <v>3747.279</v>
      </c>
      <c r="V103" s="445">
        <v>3746.826</v>
      </c>
      <c r="W103" s="445">
        <v>3476.9650000000001</v>
      </c>
      <c r="X103" s="445">
        <v>4503.6629999999996</v>
      </c>
      <c r="Y103" s="445">
        <v>7784.7</v>
      </c>
      <c r="Z103" s="445">
        <v>6372.0820000000003</v>
      </c>
      <c r="AA103" s="445">
        <v>3668</v>
      </c>
      <c r="AB103" s="445">
        <v>3352.3649999999998</v>
      </c>
      <c r="AC103" s="445">
        <v>3415.3129999999901</v>
      </c>
      <c r="AD103" s="445">
        <v>5642.7379999999903</v>
      </c>
      <c r="AE103" s="445">
        <v>7750.8</v>
      </c>
    </row>
    <row r="104" spans="1:31" ht="15.75" thickBot="1">
      <c r="A104" s="444" t="s">
        <v>2220</v>
      </c>
      <c r="B104" s="629">
        <v>3</v>
      </c>
      <c r="C104" s="629">
        <v>3</v>
      </c>
      <c r="D104" s="629">
        <v>3</v>
      </c>
      <c r="E104" s="629">
        <v>3</v>
      </c>
      <c r="F104" s="629">
        <v>3</v>
      </c>
      <c r="G104" s="629">
        <v>3</v>
      </c>
      <c r="H104" s="629">
        <v>3</v>
      </c>
      <c r="I104" s="629">
        <v>0</v>
      </c>
      <c r="J104" s="629">
        <v>0</v>
      </c>
      <c r="K104" s="629">
        <v>0</v>
      </c>
      <c r="L104" s="629">
        <v>0</v>
      </c>
      <c r="M104" s="629">
        <v>0</v>
      </c>
      <c r="N104" s="629">
        <v>0</v>
      </c>
      <c r="O104" s="629"/>
      <c r="P104" s="629">
        <v>0</v>
      </c>
      <c r="Q104" s="629">
        <v>0</v>
      </c>
      <c r="R104" s="629">
        <v>0</v>
      </c>
      <c r="S104" s="629">
        <v>0</v>
      </c>
      <c r="T104" s="629">
        <v>0</v>
      </c>
      <c r="U104" s="629">
        <v>0</v>
      </c>
      <c r="V104" s="629">
        <v>0</v>
      </c>
      <c r="W104" s="629">
        <v>0</v>
      </c>
      <c r="X104" s="629">
        <v>0</v>
      </c>
      <c r="Y104" s="629">
        <v>0</v>
      </c>
      <c r="Z104" s="629">
        <v>0</v>
      </c>
      <c r="AA104" s="629">
        <v>0</v>
      </c>
      <c r="AB104" s="629">
        <v>0</v>
      </c>
      <c r="AC104" s="629">
        <v>0</v>
      </c>
      <c r="AD104" s="629">
        <v>0</v>
      </c>
      <c r="AE104" s="629">
        <v>0</v>
      </c>
    </row>
    <row r="105" spans="1:31" ht="15.75" thickBot="1">
      <c r="A105" s="444" t="s">
        <v>2221</v>
      </c>
      <c r="B105" s="629">
        <v>3</v>
      </c>
      <c r="C105" s="629">
        <v>3</v>
      </c>
      <c r="D105" s="629">
        <v>3</v>
      </c>
      <c r="E105" s="629">
        <v>3</v>
      </c>
      <c r="F105" s="629">
        <v>3</v>
      </c>
      <c r="G105" s="629">
        <v>3</v>
      </c>
      <c r="H105" s="629">
        <v>3</v>
      </c>
      <c r="I105" s="629">
        <v>0</v>
      </c>
      <c r="J105" s="629">
        <v>0</v>
      </c>
      <c r="K105" s="629">
        <v>0</v>
      </c>
      <c r="L105" s="629">
        <v>0</v>
      </c>
      <c r="M105" s="629">
        <v>0</v>
      </c>
      <c r="N105" s="629">
        <v>0</v>
      </c>
      <c r="O105" s="629"/>
      <c r="P105" s="629">
        <v>0</v>
      </c>
      <c r="Q105" s="629">
        <v>0</v>
      </c>
      <c r="R105" s="629">
        <v>0</v>
      </c>
      <c r="S105" s="629">
        <v>0</v>
      </c>
      <c r="T105" s="629">
        <v>0</v>
      </c>
      <c r="U105" s="629">
        <v>0</v>
      </c>
      <c r="V105" s="629">
        <v>0</v>
      </c>
      <c r="W105" s="629">
        <v>0</v>
      </c>
      <c r="X105" s="629">
        <v>0</v>
      </c>
      <c r="Y105" s="629">
        <v>0</v>
      </c>
      <c r="Z105" s="629">
        <v>0</v>
      </c>
      <c r="AA105" s="629">
        <v>0</v>
      </c>
      <c r="AB105" s="629">
        <v>0</v>
      </c>
      <c r="AC105" s="629">
        <v>0</v>
      </c>
      <c r="AD105" s="629">
        <v>0</v>
      </c>
      <c r="AE105" s="629">
        <v>0</v>
      </c>
    </row>
    <row r="106" spans="1:31">
      <c r="A106" s="630" t="s">
        <v>2222</v>
      </c>
      <c r="B106" s="626">
        <v>31074.689610000001</v>
      </c>
      <c r="C106" s="626">
        <v>31758.264999999999</v>
      </c>
      <c r="D106" s="626">
        <v>25553.687969999999</v>
      </c>
      <c r="E106" s="626">
        <v>27558.872719999901</v>
      </c>
      <c r="F106" s="626">
        <v>25209.231199999998</v>
      </c>
      <c r="G106" s="626">
        <v>27709.0919499999</v>
      </c>
      <c r="H106" s="626">
        <v>29488.8237899999</v>
      </c>
      <c r="I106" s="626">
        <v>29706.7272722302</v>
      </c>
      <c r="J106" s="626">
        <v>30949.507369441199</v>
      </c>
      <c r="K106" s="626">
        <v>28365.901640536002</v>
      </c>
      <c r="L106" s="626">
        <v>28731.652601326299</v>
      </c>
      <c r="M106" s="626">
        <v>26200.791603323301</v>
      </c>
      <c r="N106" s="626">
        <v>29263.382536089099</v>
      </c>
      <c r="O106" s="626"/>
      <c r="P106" s="626">
        <v>30710.1353739146</v>
      </c>
      <c r="Q106" s="626">
        <v>27571.6413943568</v>
      </c>
      <c r="R106" s="626">
        <v>28941.797915642899</v>
      </c>
      <c r="S106" s="626">
        <v>27021.042420432699</v>
      </c>
      <c r="T106" s="626">
        <v>28508.795969816299</v>
      </c>
      <c r="U106" s="626">
        <v>28590.7476686628</v>
      </c>
      <c r="V106" s="626">
        <v>31257.4140740324</v>
      </c>
      <c r="W106" s="626">
        <v>30316.756506239599</v>
      </c>
      <c r="X106" s="626">
        <v>27896.667833470801</v>
      </c>
      <c r="Y106" s="626">
        <v>27745.1708450267</v>
      </c>
      <c r="Z106" s="626">
        <v>27332.369093139801</v>
      </c>
      <c r="AA106" s="626">
        <v>30051.680612071101</v>
      </c>
      <c r="AB106" s="626">
        <v>30848.8423640818</v>
      </c>
      <c r="AC106" s="626">
        <v>27882.313768025499</v>
      </c>
      <c r="AD106" s="626">
        <v>34993.969654916</v>
      </c>
      <c r="AE106" s="626">
        <v>27255.584328761801</v>
      </c>
    </row>
    <row r="107" spans="1:31">
      <c r="A107" s="444" t="s">
        <v>539</v>
      </c>
    </row>
    <row r="108" spans="1:31">
      <c r="A108" s="444" t="s">
        <v>2223</v>
      </c>
      <c r="B108" s="445">
        <v>8.8575099999999996</v>
      </c>
      <c r="C108" s="445">
        <v>11.945069999999999</v>
      </c>
      <c r="D108" s="445">
        <v>11.019920000000001</v>
      </c>
      <c r="E108" s="445">
        <v>12.087249999999999</v>
      </c>
      <c r="F108" s="445">
        <v>11.68797</v>
      </c>
      <c r="G108" s="445">
        <v>2.9573200000000002</v>
      </c>
      <c r="H108" s="445">
        <v>12.2744</v>
      </c>
      <c r="I108" s="445">
        <v>10.225</v>
      </c>
      <c r="J108" s="445">
        <v>11.061999999999999</v>
      </c>
      <c r="K108" s="445">
        <v>9.1379999999999999</v>
      </c>
      <c r="L108" s="445">
        <v>10.760999999999999</v>
      </c>
      <c r="M108" s="445">
        <v>10.37</v>
      </c>
      <c r="N108" s="445">
        <v>7.9630000000000001</v>
      </c>
      <c r="P108" s="445">
        <v>11.769</v>
      </c>
      <c r="Q108" s="445">
        <v>10.127000000000001</v>
      </c>
      <c r="R108" s="445">
        <v>10.423</v>
      </c>
      <c r="S108" s="445">
        <v>11.648999999999999</v>
      </c>
      <c r="T108" s="445">
        <v>10.618</v>
      </c>
      <c r="U108" s="445">
        <v>9.484</v>
      </c>
      <c r="V108" s="445">
        <v>10.968999999999999</v>
      </c>
      <c r="W108" s="445">
        <v>11.48</v>
      </c>
      <c r="X108" s="445">
        <v>11.132999999999999</v>
      </c>
      <c r="Y108" s="445">
        <v>11.731</v>
      </c>
      <c r="Z108" s="445">
        <v>10.416</v>
      </c>
      <c r="AA108" s="445">
        <v>8.83</v>
      </c>
      <c r="AB108" s="445">
        <v>12.132999999999999</v>
      </c>
      <c r="AC108" s="445">
        <v>10.438000000000001</v>
      </c>
      <c r="AD108" s="445">
        <v>11.340999999999999</v>
      </c>
      <c r="AE108" s="445">
        <v>12.009</v>
      </c>
    </row>
    <row r="109" spans="1:31">
      <c r="A109" s="444" t="s">
        <v>2224</v>
      </c>
      <c r="B109" s="445">
        <v>3.2210800000000002</v>
      </c>
      <c r="C109" s="445">
        <v>3.2276699999999998</v>
      </c>
      <c r="D109" s="445">
        <v>3.2276699999999998</v>
      </c>
      <c r="E109" s="445">
        <v>3.2276699999999998</v>
      </c>
      <c r="F109" s="445">
        <v>3.7595700000000001</v>
      </c>
      <c r="G109" s="445">
        <v>3.2301700000000002</v>
      </c>
      <c r="H109" s="445">
        <v>3.2301700000000002</v>
      </c>
      <c r="I109" s="445">
        <v>3.4180000000000001</v>
      </c>
      <c r="J109" s="445">
        <v>3.4180000000000001</v>
      </c>
      <c r="K109" s="445">
        <v>3.4180000000000001</v>
      </c>
      <c r="L109" s="445">
        <v>3.4180000000000001</v>
      </c>
      <c r="M109" s="445">
        <v>3.4180000000000001</v>
      </c>
      <c r="N109" s="445">
        <v>3.4180000000000001</v>
      </c>
      <c r="P109" s="445">
        <v>3.4689999999999999</v>
      </c>
      <c r="Q109" s="445">
        <v>3.4689999999999999</v>
      </c>
      <c r="R109" s="445">
        <v>3.4689999999999999</v>
      </c>
      <c r="S109" s="445">
        <v>3.4689999999999999</v>
      </c>
      <c r="T109" s="445">
        <v>3.4689999999999999</v>
      </c>
      <c r="U109" s="445">
        <v>3.4689999999999999</v>
      </c>
      <c r="V109" s="445">
        <v>3.4689999999999999</v>
      </c>
      <c r="W109" s="445">
        <v>3.4689999999999999</v>
      </c>
      <c r="X109" s="445">
        <v>3.4689999999999999</v>
      </c>
      <c r="Y109" s="445">
        <v>3.4689999999999999</v>
      </c>
      <c r="Z109" s="445">
        <v>3.4689999999999999</v>
      </c>
      <c r="AA109" s="445">
        <v>3.4689999999999999</v>
      </c>
      <c r="AB109" s="445">
        <v>3.5209999999999999</v>
      </c>
      <c r="AC109" s="445">
        <v>3.5209999999999999</v>
      </c>
      <c r="AD109" s="445">
        <v>3.5209999999999999</v>
      </c>
      <c r="AE109" s="445">
        <v>3.5209999999999999</v>
      </c>
    </row>
    <row r="110" spans="1:31">
      <c r="A110" s="444" t="s">
        <v>2225</v>
      </c>
      <c r="B110" s="445">
        <v>28.476099999999999</v>
      </c>
      <c r="C110" s="445">
        <v>40.782710000000002</v>
      </c>
      <c r="D110" s="445">
        <v>36.501080000000002</v>
      </c>
      <c r="E110" s="445">
        <v>29.329180000000001</v>
      </c>
      <c r="F110" s="445">
        <v>25.881360000000001</v>
      </c>
      <c r="G110" s="445">
        <v>32.348439999999997</v>
      </c>
      <c r="H110" s="445">
        <v>29.067789999999999</v>
      </c>
      <c r="I110" s="445">
        <v>35.564999999999998</v>
      </c>
      <c r="J110" s="445">
        <v>38.283999999999999</v>
      </c>
      <c r="K110" s="445">
        <v>31.934999999999999</v>
      </c>
      <c r="L110" s="445">
        <v>37.357999999999997</v>
      </c>
      <c r="M110" s="445">
        <v>36.091000000000001</v>
      </c>
      <c r="N110" s="445">
        <v>28.532</v>
      </c>
      <c r="P110" s="445">
        <v>30.600999999999999</v>
      </c>
      <c r="Q110" s="445">
        <v>26.492000000000001</v>
      </c>
      <c r="R110" s="445">
        <v>27.286000000000001</v>
      </c>
      <c r="S110" s="445">
        <v>30.207999999999998</v>
      </c>
      <c r="T110" s="445">
        <v>27.971</v>
      </c>
      <c r="U110" s="445">
        <v>25.021999999999998</v>
      </c>
      <c r="V110" s="445">
        <v>28.773</v>
      </c>
      <c r="W110" s="445">
        <v>29.821999999999999</v>
      </c>
      <c r="X110" s="445">
        <v>28.91</v>
      </c>
      <c r="Y110" s="445">
        <v>30.515000000000001</v>
      </c>
      <c r="Z110" s="445">
        <v>27.332999999999998</v>
      </c>
      <c r="AA110" s="445">
        <v>23.831</v>
      </c>
      <c r="AB110" s="445">
        <v>31.398</v>
      </c>
      <c r="AC110" s="445">
        <v>27.177</v>
      </c>
      <c r="AD110" s="445">
        <v>29.475000000000001</v>
      </c>
      <c r="AE110" s="445">
        <v>30.995000000000001</v>
      </c>
    </row>
    <row r="111" spans="1:31" ht="15.75" thickBot="1">
      <c r="A111" s="444" t="s">
        <v>2226</v>
      </c>
      <c r="B111" s="629">
        <v>8.9037099999999896</v>
      </c>
      <c r="C111" s="629">
        <v>11.655329999999999</v>
      </c>
      <c r="D111" s="629">
        <v>24.839639999999999</v>
      </c>
      <c r="E111" s="629">
        <v>5.5862699999999998</v>
      </c>
      <c r="F111" s="629">
        <v>15.20341</v>
      </c>
      <c r="G111" s="629">
        <v>13.05613</v>
      </c>
      <c r="H111" s="629">
        <v>45.884709999999998</v>
      </c>
      <c r="I111" s="629">
        <v>12.388</v>
      </c>
      <c r="J111" s="629">
        <v>40.454999999999998</v>
      </c>
      <c r="K111" s="629">
        <v>26.643999999999998</v>
      </c>
      <c r="L111" s="629">
        <v>22.984000000000002</v>
      </c>
      <c r="M111" s="629">
        <v>15.949</v>
      </c>
      <c r="N111" s="629">
        <v>16.846</v>
      </c>
      <c r="O111" s="629"/>
      <c r="P111" s="629">
        <v>12.223000000000001</v>
      </c>
      <c r="Q111" s="629">
        <v>12.223000000000001</v>
      </c>
      <c r="R111" s="629">
        <v>19.577999999999999</v>
      </c>
      <c r="S111" s="629">
        <v>13.44</v>
      </c>
      <c r="T111" s="629">
        <v>13.44</v>
      </c>
      <c r="U111" s="629">
        <v>20.574000000000002</v>
      </c>
      <c r="V111" s="629">
        <v>12.997999999999999</v>
      </c>
      <c r="W111" s="629">
        <v>12.997999999999999</v>
      </c>
      <c r="X111" s="629">
        <v>20.131</v>
      </c>
      <c r="Y111" s="629">
        <v>12.997999999999999</v>
      </c>
      <c r="Z111" s="629">
        <v>12.223000000000001</v>
      </c>
      <c r="AA111" s="629">
        <v>19.577999999999999</v>
      </c>
      <c r="AB111" s="629">
        <v>12.43</v>
      </c>
      <c r="AC111" s="629">
        <v>12.43</v>
      </c>
      <c r="AD111" s="629">
        <v>19.332000000000001</v>
      </c>
      <c r="AE111" s="629">
        <v>13.673</v>
      </c>
    </row>
    <row r="112" spans="1:31">
      <c r="A112" s="632" t="s">
        <v>2212</v>
      </c>
      <c r="B112" s="445">
        <v>49.458399999999997</v>
      </c>
      <c r="C112" s="445">
        <v>67.610780000000005</v>
      </c>
      <c r="D112" s="445">
        <v>75.588310000000007</v>
      </c>
      <c r="E112" s="445">
        <v>50.230370000000001</v>
      </c>
      <c r="F112" s="445">
        <v>56.532310000000003</v>
      </c>
      <c r="G112" s="445">
        <v>51.592059999999897</v>
      </c>
      <c r="H112" s="445">
        <v>90.457070000000002</v>
      </c>
      <c r="I112" s="445">
        <v>61.595999999999997</v>
      </c>
      <c r="J112" s="445">
        <v>93.218999999999994</v>
      </c>
      <c r="K112" s="445">
        <v>71.135000000000005</v>
      </c>
      <c r="L112" s="445">
        <v>74.521000000000001</v>
      </c>
      <c r="M112" s="445">
        <v>65.828000000000003</v>
      </c>
      <c r="N112" s="445">
        <v>56.759</v>
      </c>
      <c r="P112" s="445">
        <v>58.061999999999998</v>
      </c>
      <c r="Q112" s="445">
        <v>52.311</v>
      </c>
      <c r="R112" s="445">
        <v>60.756</v>
      </c>
      <c r="S112" s="445">
        <v>58.765999999999998</v>
      </c>
      <c r="T112" s="445">
        <v>55.497999999999998</v>
      </c>
      <c r="U112" s="445">
        <v>58.548999999999999</v>
      </c>
      <c r="V112" s="445">
        <v>56.209000000000003</v>
      </c>
      <c r="W112" s="445">
        <v>57.768999999999998</v>
      </c>
      <c r="X112" s="445">
        <v>63.643000000000001</v>
      </c>
      <c r="Y112" s="445">
        <v>58.713000000000001</v>
      </c>
      <c r="Z112" s="445">
        <v>53.441000000000003</v>
      </c>
      <c r="AA112" s="445">
        <v>55.707999999999998</v>
      </c>
      <c r="AB112" s="445">
        <v>59.481999999999999</v>
      </c>
      <c r="AC112" s="445">
        <v>53.565999999999903</v>
      </c>
      <c r="AD112" s="445">
        <v>63.668999999999997</v>
      </c>
      <c r="AE112" s="445">
        <v>60.198</v>
      </c>
    </row>
    <row r="113" spans="1:31">
      <c r="A113" s="444" t="s">
        <v>2227</v>
      </c>
      <c r="B113" s="445">
        <v>0</v>
      </c>
      <c r="C113" s="445">
        <v>0</v>
      </c>
      <c r="D113" s="445">
        <v>0</v>
      </c>
      <c r="E113" s="445">
        <v>0</v>
      </c>
      <c r="F113" s="445">
        <v>0</v>
      </c>
      <c r="G113" s="445">
        <v>0</v>
      </c>
      <c r="H113" s="445">
        <v>0</v>
      </c>
      <c r="I113" s="445">
        <v>0</v>
      </c>
      <c r="J113" s="445">
        <v>0</v>
      </c>
      <c r="K113" s="445">
        <v>0</v>
      </c>
      <c r="L113" s="445">
        <v>0</v>
      </c>
      <c r="M113" s="445">
        <v>0</v>
      </c>
      <c r="N113" s="445">
        <v>0</v>
      </c>
      <c r="P113" s="445">
        <v>0</v>
      </c>
      <c r="Q113" s="445">
        <v>0</v>
      </c>
      <c r="R113" s="445">
        <v>0</v>
      </c>
      <c r="S113" s="445">
        <v>0</v>
      </c>
      <c r="T113" s="445">
        <v>0</v>
      </c>
      <c r="U113" s="445">
        <v>0</v>
      </c>
      <c r="V113" s="445">
        <v>0</v>
      </c>
      <c r="W113" s="445">
        <v>0</v>
      </c>
      <c r="X113" s="445">
        <v>0</v>
      </c>
      <c r="Y113" s="445">
        <v>0</v>
      </c>
      <c r="Z113" s="445">
        <v>0</v>
      </c>
      <c r="AA113" s="445">
        <v>0</v>
      </c>
      <c r="AB113" s="445">
        <v>0</v>
      </c>
      <c r="AC113" s="445">
        <v>0</v>
      </c>
      <c r="AD113" s="445">
        <v>0</v>
      </c>
      <c r="AE113" s="445">
        <v>0</v>
      </c>
    </row>
    <row r="114" spans="1:31">
      <c r="A114" s="444" t="s">
        <v>2228</v>
      </c>
      <c r="B114" s="445">
        <v>17.527290000000001</v>
      </c>
      <c r="C114" s="445">
        <v>13.272180000000001</v>
      </c>
      <c r="D114" s="445">
        <v>16.558610000000002</v>
      </c>
      <c r="E114" s="445">
        <v>3.17441</v>
      </c>
      <c r="F114" s="445">
        <v>27.31457</v>
      </c>
      <c r="G114" s="445">
        <v>46.422240000000002</v>
      </c>
      <c r="H114" s="445">
        <v>26.803169999999898</v>
      </c>
      <c r="I114" s="445">
        <v>14.752000000000001</v>
      </c>
      <c r="J114" s="445">
        <v>42.173000000000002</v>
      </c>
      <c r="K114" s="445">
        <v>71.040999999999997</v>
      </c>
      <c r="L114" s="445">
        <v>40.311999999999998</v>
      </c>
      <c r="M114" s="445">
        <v>10.476000000000001</v>
      </c>
      <c r="N114" s="445">
        <v>57.448999999999998</v>
      </c>
      <c r="P114" s="445">
        <v>10.207000000000001</v>
      </c>
      <c r="Q114" s="445">
        <v>11.816000000000001</v>
      </c>
      <c r="R114" s="445">
        <v>22.687999999999999</v>
      </c>
      <c r="S114" s="445">
        <v>61.637</v>
      </c>
      <c r="T114" s="445">
        <v>9.8019999999999996</v>
      </c>
      <c r="U114" s="445">
        <v>65.180999999999997</v>
      </c>
      <c r="V114" s="445">
        <v>47.143000000000001</v>
      </c>
      <c r="W114" s="445">
        <v>12.329000000000001</v>
      </c>
      <c r="X114" s="445">
        <v>45.95</v>
      </c>
      <c r="Y114" s="445">
        <v>47.115000000000002</v>
      </c>
      <c r="Z114" s="445">
        <v>9.7040000000000006</v>
      </c>
      <c r="AA114" s="445">
        <v>46.034999999999997</v>
      </c>
      <c r="AB114" s="445">
        <v>7.8890000000000002</v>
      </c>
      <c r="AC114" s="445">
        <v>9.5220000000000002</v>
      </c>
      <c r="AD114" s="445">
        <v>20.783000000000001</v>
      </c>
      <c r="AE114" s="445">
        <v>24.89</v>
      </c>
    </row>
    <row r="115" spans="1:31">
      <c r="A115" s="444" t="s">
        <v>2229</v>
      </c>
      <c r="B115" s="445">
        <v>0.92381999999999997</v>
      </c>
      <c r="C115" s="445">
        <v>2.3231899999999999</v>
      </c>
      <c r="D115" s="445">
        <v>0.99851999999999996</v>
      </c>
      <c r="E115" s="445">
        <v>3.1108199999999999</v>
      </c>
      <c r="F115" s="445">
        <v>7.5359699999999998</v>
      </c>
      <c r="G115" s="445">
        <v>43.621180000000003</v>
      </c>
      <c r="H115" s="445">
        <v>7.8669000000000002</v>
      </c>
      <c r="I115" s="445">
        <v>14.98</v>
      </c>
      <c r="J115" s="445">
        <v>12.045999999999999</v>
      </c>
      <c r="K115" s="445">
        <v>7.0830000000000002</v>
      </c>
      <c r="L115" s="445">
        <v>3.1339999999999999</v>
      </c>
      <c r="M115" s="445">
        <v>6.2990000000000004</v>
      </c>
      <c r="N115" s="445">
        <v>11.79</v>
      </c>
      <c r="P115" s="445">
        <v>8.5329999999999995</v>
      </c>
      <c r="Q115" s="445">
        <v>8.0540000000000003</v>
      </c>
      <c r="R115" s="445">
        <v>16.254000000000001</v>
      </c>
      <c r="S115" s="445">
        <v>8.4870000000000001</v>
      </c>
      <c r="T115" s="445">
        <v>8.2260000000000009</v>
      </c>
      <c r="U115" s="445">
        <v>15.99</v>
      </c>
      <c r="V115" s="445">
        <v>19.306999999999999</v>
      </c>
      <c r="W115" s="445">
        <v>8.4420000000000002</v>
      </c>
      <c r="X115" s="445">
        <v>12.818</v>
      </c>
      <c r="Y115" s="445">
        <v>8.5229999999999997</v>
      </c>
      <c r="Z115" s="445">
        <v>8.1519999999999992</v>
      </c>
      <c r="AA115" s="445">
        <v>12.226000000000001</v>
      </c>
      <c r="AB115" s="445">
        <v>8.6989999999999998</v>
      </c>
      <c r="AC115" s="445">
        <v>8.2059999999999995</v>
      </c>
      <c r="AD115" s="445">
        <v>91.703999999999994</v>
      </c>
      <c r="AE115" s="445">
        <v>8.6519999999999992</v>
      </c>
    </row>
    <row r="116" spans="1:31">
      <c r="A116" s="444" t="s">
        <v>2230</v>
      </c>
      <c r="B116" s="445">
        <v>18.662759999999999</v>
      </c>
      <c r="C116" s="445">
        <v>14.847160000000001</v>
      </c>
      <c r="D116" s="445">
        <v>41.239229999999999</v>
      </c>
      <c r="E116" s="445">
        <v>96.193299999999994</v>
      </c>
      <c r="F116" s="445">
        <v>49.1614</v>
      </c>
      <c r="G116" s="445">
        <v>2.1915399999999998</v>
      </c>
      <c r="H116" s="445">
        <v>40.509970000000003</v>
      </c>
      <c r="I116" s="445">
        <v>63.932000000000002</v>
      </c>
      <c r="J116" s="445">
        <v>32.542000000000002</v>
      </c>
      <c r="K116" s="445">
        <v>18.920999999999999</v>
      </c>
      <c r="L116" s="445">
        <v>19.681000000000001</v>
      </c>
      <c r="M116" s="445">
        <v>15.888999999999999</v>
      </c>
      <c r="N116" s="445">
        <v>33.747999999999998</v>
      </c>
      <c r="P116" s="445">
        <v>12.891</v>
      </c>
      <c r="Q116" s="445">
        <v>23.43</v>
      </c>
      <c r="R116" s="445">
        <v>21.308</v>
      </c>
      <c r="S116" s="445">
        <v>12.744</v>
      </c>
      <c r="T116" s="445">
        <v>18.427</v>
      </c>
      <c r="U116" s="445">
        <v>48.372</v>
      </c>
      <c r="V116" s="445">
        <v>12.206</v>
      </c>
      <c r="W116" s="445">
        <v>12.599</v>
      </c>
      <c r="X116" s="445">
        <v>21.917000000000002</v>
      </c>
      <c r="Y116" s="445">
        <v>19.381</v>
      </c>
      <c r="Z116" s="445">
        <v>11.666</v>
      </c>
      <c r="AA116" s="445">
        <v>47.924999999999997</v>
      </c>
      <c r="AB116" s="445">
        <v>13.206</v>
      </c>
      <c r="AC116" s="445">
        <v>23.884</v>
      </c>
      <c r="AD116" s="445">
        <v>22.29</v>
      </c>
      <c r="AE116" s="445">
        <v>13.055</v>
      </c>
    </row>
    <row r="117" spans="1:31" ht="15.75" thickBot="1">
      <c r="A117" s="444" t="s">
        <v>2231</v>
      </c>
      <c r="B117" s="629">
        <v>5.0867899999999997</v>
      </c>
      <c r="C117" s="629">
        <v>5.5154199999999998</v>
      </c>
      <c r="D117" s="629">
        <v>5.5154199999999998</v>
      </c>
      <c r="E117" s="629">
        <v>5.4971699999999997</v>
      </c>
      <c r="F117" s="629">
        <v>5.5334899999999996</v>
      </c>
      <c r="G117" s="629">
        <v>5.8129200000000001</v>
      </c>
      <c r="H117" s="629">
        <v>6.90435</v>
      </c>
      <c r="I117" s="629">
        <v>6.16</v>
      </c>
      <c r="J117" s="629">
        <v>6.16</v>
      </c>
      <c r="K117" s="629">
        <v>6.16</v>
      </c>
      <c r="L117" s="629">
        <v>6.16</v>
      </c>
      <c r="M117" s="629">
        <v>6.16</v>
      </c>
      <c r="N117" s="629">
        <v>6.16</v>
      </c>
      <c r="O117" s="629"/>
      <c r="P117" s="629">
        <v>6.27</v>
      </c>
      <c r="Q117" s="629">
        <v>6.27</v>
      </c>
      <c r="R117" s="629">
        <v>6.27</v>
      </c>
      <c r="S117" s="629">
        <v>6.27</v>
      </c>
      <c r="T117" s="629">
        <v>6.27</v>
      </c>
      <c r="U117" s="629">
        <v>6.27</v>
      </c>
      <c r="V117" s="629">
        <v>6.27</v>
      </c>
      <c r="W117" s="629">
        <v>6.27</v>
      </c>
      <c r="X117" s="629">
        <v>6.27</v>
      </c>
      <c r="Y117" s="629">
        <v>6.27</v>
      </c>
      <c r="Z117" s="629">
        <v>6.27</v>
      </c>
      <c r="AA117" s="629">
        <v>6.27</v>
      </c>
      <c r="AB117" s="629">
        <v>6.3920000000000003</v>
      </c>
      <c r="AC117" s="629">
        <v>6.3920000000000003</v>
      </c>
      <c r="AD117" s="629">
        <v>6.3920000000000003</v>
      </c>
      <c r="AE117" s="629">
        <v>6.3920000000000003</v>
      </c>
    </row>
    <row r="118" spans="1:31">
      <c r="A118" s="632" t="s">
        <v>2219</v>
      </c>
      <c r="B118" s="445">
        <v>42.200659999999999</v>
      </c>
      <c r="C118" s="445">
        <v>35.957949999999997</v>
      </c>
      <c r="D118" s="445">
        <v>64.311779999999999</v>
      </c>
      <c r="E118" s="445">
        <v>107.9757</v>
      </c>
      <c r="F118" s="445">
        <v>89.545429999999996</v>
      </c>
      <c r="G118" s="445">
        <v>98.047880000000006</v>
      </c>
      <c r="H118" s="445">
        <v>82.0843899999999</v>
      </c>
      <c r="I118" s="445">
        <v>99.823999999999998</v>
      </c>
      <c r="J118" s="445">
        <v>92.920999999999907</v>
      </c>
      <c r="K118" s="445">
        <v>103.204999999999</v>
      </c>
      <c r="L118" s="445">
        <v>69.286999999999907</v>
      </c>
      <c r="M118" s="445">
        <v>38.823999999999998</v>
      </c>
      <c r="N118" s="445">
        <v>109.146999999999</v>
      </c>
      <c r="P118" s="445">
        <v>37.901000000000003</v>
      </c>
      <c r="Q118" s="445">
        <v>49.57</v>
      </c>
      <c r="R118" s="445">
        <v>66.52</v>
      </c>
      <c r="S118" s="445">
        <v>89.137999999999906</v>
      </c>
      <c r="T118" s="445">
        <v>42.725000000000001</v>
      </c>
      <c r="U118" s="445">
        <v>135.81299999999999</v>
      </c>
      <c r="V118" s="445">
        <v>84.926000000000002</v>
      </c>
      <c r="W118" s="445">
        <v>39.64</v>
      </c>
      <c r="X118" s="445">
        <v>86.954999999999998</v>
      </c>
      <c r="Y118" s="445">
        <v>81.289000000000001</v>
      </c>
      <c r="Z118" s="445">
        <v>35.792000000000002</v>
      </c>
      <c r="AA118" s="445">
        <v>112.456</v>
      </c>
      <c r="AB118" s="445">
        <v>36.186</v>
      </c>
      <c r="AC118" s="445">
        <v>48.003999999999998</v>
      </c>
      <c r="AD118" s="445">
        <v>141.16900000000001</v>
      </c>
      <c r="AE118" s="445">
        <v>52.988999999999997</v>
      </c>
    </row>
    <row r="119" spans="1:31" ht="15.75" thickBot="1">
      <c r="A119" s="444" t="s">
        <v>2232</v>
      </c>
      <c r="B119" s="629">
        <v>48.82996</v>
      </c>
      <c r="C119" s="629">
        <v>42.143219999999999</v>
      </c>
      <c r="D119" s="629">
        <v>38.177070000000001</v>
      </c>
      <c r="E119" s="629">
        <v>37.344230000000003</v>
      </c>
      <c r="F119" s="629">
        <v>30.433229999999998</v>
      </c>
      <c r="G119" s="629">
        <v>28.683779999999999</v>
      </c>
      <c r="H119" s="629">
        <v>28.340720000000001</v>
      </c>
      <c r="I119" s="629">
        <v>45</v>
      </c>
      <c r="J119" s="629">
        <v>45</v>
      </c>
      <c r="K119" s="629">
        <v>45</v>
      </c>
      <c r="L119" s="629">
        <v>45</v>
      </c>
      <c r="M119" s="629">
        <v>45</v>
      </c>
      <c r="N119" s="629">
        <v>45</v>
      </c>
      <c r="O119" s="629"/>
      <c r="P119" s="629">
        <v>45.674999999999997</v>
      </c>
      <c r="Q119" s="629">
        <v>45.674999999999997</v>
      </c>
      <c r="R119" s="629">
        <v>45.674999999999997</v>
      </c>
      <c r="S119" s="629">
        <v>45.674999999999997</v>
      </c>
      <c r="T119" s="629">
        <v>45.674999999999997</v>
      </c>
      <c r="U119" s="629">
        <v>45.674999999999997</v>
      </c>
      <c r="V119" s="629">
        <v>45.674999999999997</v>
      </c>
      <c r="W119" s="629">
        <v>45.674999999999997</v>
      </c>
      <c r="X119" s="629">
        <v>45.674999999999997</v>
      </c>
      <c r="Y119" s="629">
        <v>45.674999999999997</v>
      </c>
      <c r="Z119" s="629">
        <v>45.674999999999997</v>
      </c>
      <c r="AA119" s="629">
        <v>45.674999999999997</v>
      </c>
      <c r="AB119" s="629">
        <v>46.36</v>
      </c>
      <c r="AC119" s="629">
        <v>46.36</v>
      </c>
      <c r="AD119" s="629">
        <v>46.36</v>
      </c>
      <c r="AE119" s="629">
        <v>46.36</v>
      </c>
    </row>
    <row r="120" spans="1:31" ht="15.75" thickBot="1">
      <c r="A120" s="632" t="s">
        <v>2221</v>
      </c>
      <c r="B120" s="629">
        <v>48.82996</v>
      </c>
      <c r="C120" s="629">
        <v>42.143219999999999</v>
      </c>
      <c r="D120" s="629">
        <v>38.177070000000001</v>
      </c>
      <c r="E120" s="629">
        <v>37.344230000000003</v>
      </c>
      <c r="F120" s="629">
        <v>30.433229999999998</v>
      </c>
      <c r="G120" s="629">
        <v>28.683779999999999</v>
      </c>
      <c r="H120" s="629">
        <v>28.340720000000001</v>
      </c>
      <c r="I120" s="629">
        <v>45</v>
      </c>
      <c r="J120" s="629">
        <v>45</v>
      </c>
      <c r="K120" s="629">
        <v>45</v>
      </c>
      <c r="L120" s="629">
        <v>45</v>
      </c>
      <c r="M120" s="629">
        <v>45</v>
      </c>
      <c r="N120" s="629">
        <v>45</v>
      </c>
      <c r="O120" s="629"/>
      <c r="P120" s="629">
        <v>45.674999999999997</v>
      </c>
      <c r="Q120" s="629">
        <v>45.674999999999997</v>
      </c>
      <c r="R120" s="629">
        <v>45.674999999999997</v>
      </c>
      <c r="S120" s="629">
        <v>45.674999999999997</v>
      </c>
      <c r="T120" s="629">
        <v>45.674999999999997</v>
      </c>
      <c r="U120" s="629">
        <v>45.674999999999997</v>
      </c>
      <c r="V120" s="629">
        <v>45.674999999999997</v>
      </c>
      <c r="W120" s="629">
        <v>45.674999999999997</v>
      </c>
      <c r="X120" s="629">
        <v>45.674999999999997</v>
      </c>
      <c r="Y120" s="629">
        <v>45.674999999999997</v>
      </c>
      <c r="Z120" s="629">
        <v>45.674999999999997</v>
      </c>
      <c r="AA120" s="629">
        <v>45.674999999999997</v>
      </c>
      <c r="AB120" s="629">
        <v>46.36</v>
      </c>
      <c r="AC120" s="629">
        <v>46.36</v>
      </c>
      <c r="AD120" s="629">
        <v>46.36</v>
      </c>
      <c r="AE120" s="629">
        <v>46.36</v>
      </c>
    </row>
    <row r="121" spans="1:31">
      <c r="A121" s="630" t="s">
        <v>2233</v>
      </c>
      <c r="B121" s="626">
        <v>140.48901999999899</v>
      </c>
      <c r="C121" s="626">
        <v>145.71195</v>
      </c>
      <c r="D121" s="626">
        <v>178.07715999999999</v>
      </c>
      <c r="E121" s="626">
        <v>195.55029999999999</v>
      </c>
      <c r="F121" s="626">
        <v>176.51096999999999</v>
      </c>
      <c r="G121" s="626">
        <v>178.32371999999901</v>
      </c>
      <c r="H121" s="626">
        <v>200.88217999999901</v>
      </c>
      <c r="I121" s="626">
        <v>206.42</v>
      </c>
      <c r="J121" s="626">
        <v>231.14</v>
      </c>
      <c r="K121" s="626">
        <v>219.33999999999901</v>
      </c>
      <c r="L121" s="626">
        <v>188.80799999999999</v>
      </c>
      <c r="M121" s="626">
        <v>149.65199999999999</v>
      </c>
      <c r="N121" s="626">
        <v>210.90600000000001</v>
      </c>
      <c r="O121" s="626"/>
      <c r="P121" s="626">
        <v>141.63800000000001</v>
      </c>
      <c r="Q121" s="626">
        <v>147.55600000000001</v>
      </c>
      <c r="R121" s="626">
        <v>172.95099999999999</v>
      </c>
      <c r="S121" s="626">
        <v>193.57900000000001</v>
      </c>
      <c r="T121" s="626">
        <v>143.898</v>
      </c>
      <c r="U121" s="626">
        <v>240.03700000000001</v>
      </c>
      <c r="V121" s="626">
        <v>186.81</v>
      </c>
      <c r="W121" s="626">
        <v>143.084</v>
      </c>
      <c r="X121" s="626">
        <v>196.273</v>
      </c>
      <c r="Y121" s="626">
        <v>185.67699999999999</v>
      </c>
      <c r="Z121" s="626">
        <v>134.90799999999999</v>
      </c>
      <c r="AA121" s="626">
        <v>213.839</v>
      </c>
      <c r="AB121" s="626">
        <v>142.02799999999999</v>
      </c>
      <c r="AC121" s="626">
        <v>147.93</v>
      </c>
      <c r="AD121" s="626">
        <v>251.19800000000001</v>
      </c>
      <c r="AE121" s="626">
        <v>159.547</v>
      </c>
    </row>
    <row r="122" spans="1:31">
      <c r="A122" s="444" t="s">
        <v>539</v>
      </c>
    </row>
    <row r="123" spans="1:31">
      <c r="A123" s="444" t="s">
        <v>2234</v>
      </c>
      <c r="B123" s="445">
        <v>4474.5356000000002</v>
      </c>
      <c r="C123" s="445">
        <v>7676.1310800000001</v>
      </c>
      <c r="D123" s="445">
        <v>3641.10889</v>
      </c>
      <c r="E123" s="445">
        <v>4873.7865899999997</v>
      </c>
      <c r="F123" s="445">
        <v>5667.9965000000002</v>
      </c>
      <c r="G123" s="445">
        <v>4855.8665700000001</v>
      </c>
      <c r="H123" s="445">
        <v>3719.7486399999998</v>
      </c>
      <c r="I123" s="445">
        <v>5018.9086526344799</v>
      </c>
      <c r="J123" s="445">
        <v>4989.4292436344804</v>
      </c>
      <c r="K123" s="445">
        <v>3374.90639913015</v>
      </c>
      <c r="L123" s="445">
        <v>2689.8824296344801</v>
      </c>
      <c r="M123" s="445">
        <v>3422.59134288106</v>
      </c>
      <c r="N123" s="445">
        <v>4082.6631928973702</v>
      </c>
      <c r="P123" s="445">
        <v>4554.0611008973701</v>
      </c>
      <c r="Q123" s="445">
        <v>3625.1520259395602</v>
      </c>
      <c r="R123" s="445">
        <v>4279.9245509437596</v>
      </c>
      <c r="S123" s="445">
        <v>4334.5318441301497</v>
      </c>
      <c r="T123" s="445">
        <v>4203.2459786843201</v>
      </c>
      <c r="U123" s="445">
        <v>3674.5197121301499</v>
      </c>
      <c r="V123" s="445">
        <v>4304.5742556344803</v>
      </c>
      <c r="W123" s="445">
        <v>4538.6400496344804</v>
      </c>
      <c r="X123" s="445">
        <v>3238.42760813015</v>
      </c>
      <c r="Y123" s="445">
        <v>4003.4516136344801</v>
      </c>
      <c r="Z123" s="445">
        <v>5844.8152533398397</v>
      </c>
      <c r="AA123" s="445">
        <v>4001.7382282404901</v>
      </c>
      <c r="AB123" s="445">
        <v>5051.8383472404903</v>
      </c>
      <c r="AC123" s="445">
        <v>3224.7794373862698</v>
      </c>
      <c r="AD123" s="445">
        <v>3773.3034171178401</v>
      </c>
      <c r="AE123" s="445">
        <v>4033.33979586039</v>
      </c>
    </row>
    <row r="124" spans="1:31">
      <c r="A124" s="444" t="s">
        <v>2235</v>
      </c>
      <c r="B124" s="445">
        <v>37.309950000000001</v>
      </c>
      <c r="C124" s="445">
        <v>1139.3329099999901</v>
      </c>
      <c r="D124" s="445">
        <v>2.7124299999999999</v>
      </c>
      <c r="E124" s="445">
        <v>9.5659799999999997</v>
      </c>
      <c r="F124" s="445">
        <v>79.403599999999997</v>
      </c>
      <c r="G124" s="445">
        <v>55.984310000000001</v>
      </c>
      <c r="H124" s="445">
        <v>63.923749999999998</v>
      </c>
      <c r="I124" s="445">
        <v>0</v>
      </c>
      <c r="J124" s="445">
        <v>0</v>
      </c>
      <c r="K124" s="445">
        <v>0</v>
      </c>
      <c r="L124" s="445">
        <v>0</v>
      </c>
      <c r="M124" s="445">
        <v>0</v>
      </c>
      <c r="N124" s="445">
        <v>0</v>
      </c>
      <c r="P124" s="445">
        <v>0</v>
      </c>
      <c r="Q124" s="445">
        <v>0</v>
      </c>
      <c r="R124" s="445">
        <v>0</v>
      </c>
      <c r="S124" s="445">
        <v>0</v>
      </c>
      <c r="T124" s="445">
        <v>0</v>
      </c>
      <c r="U124" s="445">
        <v>0</v>
      </c>
      <c r="V124" s="445">
        <v>0</v>
      </c>
      <c r="W124" s="445">
        <v>0</v>
      </c>
      <c r="X124" s="445">
        <v>0</v>
      </c>
      <c r="Y124" s="445">
        <v>0</v>
      </c>
      <c r="Z124" s="445">
        <v>0</v>
      </c>
      <c r="AA124" s="445">
        <v>0</v>
      </c>
      <c r="AB124" s="445">
        <v>0</v>
      </c>
      <c r="AC124" s="445">
        <v>0</v>
      </c>
      <c r="AD124" s="445">
        <v>0</v>
      </c>
      <c r="AE124" s="445">
        <v>0</v>
      </c>
    </row>
    <row r="125" spans="1:31" ht="15.75" thickBot="1">
      <c r="A125" s="444" t="s">
        <v>2236</v>
      </c>
      <c r="B125" s="629">
        <v>0</v>
      </c>
      <c r="C125" s="629">
        <v>0</v>
      </c>
      <c r="D125" s="629">
        <v>0</v>
      </c>
      <c r="E125" s="629">
        <v>0</v>
      </c>
      <c r="F125" s="629">
        <v>0.27376</v>
      </c>
      <c r="G125" s="629">
        <v>27.082049999999999</v>
      </c>
      <c r="H125" s="629">
        <v>30.102239999999998</v>
      </c>
      <c r="I125" s="629">
        <v>0</v>
      </c>
      <c r="J125" s="629">
        <v>0</v>
      </c>
      <c r="K125" s="629">
        <v>0</v>
      </c>
      <c r="L125" s="629">
        <v>0</v>
      </c>
      <c r="M125" s="629">
        <v>0</v>
      </c>
      <c r="N125" s="629">
        <v>0</v>
      </c>
      <c r="O125" s="629"/>
      <c r="P125" s="629">
        <v>0</v>
      </c>
      <c r="Q125" s="629">
        <v>0</v>
      </c>
      <c r="R125" s="629">
        <v>0</v>
      </c>
      <c r="S125" s="629">
        <v>0</v>
      </c>
      <c r="T125" s="629">
        <v>0</v>
      </c>
      <c r="U125" s="629">
        <v>0</v>
      </c>
      <c r="V125" s="629">
        <v>0</v>
      </c>
      <c r="W125" s="629">
        <v>0</v>
      </c>
      <c r="X125" s="629">
        <v>0</v>
      </c>
      <c r="Y125" s="629">
        <v>0</v>
      </c>
      <c r="Z125" s="629">
        <v>0</v>
      </c>
      <c r="AA125" s="629">
        <v>0</v>
      </c>
      <c r="AB125" s="629">
        <v>0</v>
      </c>
      <c r="AC125" s="629">
        <v>0</v>
      </c>
      <c r="AD125" s="629">
        <v>0</v>
      </c>
      <c r="AE125" s="629">
        <v>0</v>
      </c>
    </row>
    <row r="126" spans="1:31">
      <c r="A126" s="632" t="s">
        <v>2237</v>
      </c>
      <c r="B126" s="445">
        <v>4511.84555</v>
      </c>
      <c r="C126" s="445">
        <v>8815.4639900000002</v>
      </c>
      <c r="D126" s="445">
        <v>3643.82132</v>
      </c>
      <c r="E126" s="445">
        <v>4883.35257</v>
      </c>
      <c r="F126" s="445">
        <v>5747.6738599999999</v>
      </c>
      <c r="G126" s="445">
        <v>4938.9329299999999</v>
      </c>
      <c r="H126" s="445">
        <v>3813.7746299999999</v>
      </c>
      <c r="I126" s="445">
        <v>5018.9086526344799</v>
      </c>
      <c r="J126" s="445">
        <v>4989.4292436344804</v>
      </c>
      <c r="K126" s="445">
        <v>3374.90639913015</v>
      </c>
      <c r="L126" s="445">
        <v>2689.8824296344801</v>
      </c>
      <c r="M126" s="445">
        <v>3422.59134288106</v>
      </c>
      <c r="N126" s="445">
        <v>4082.6631928973702</v>
      </c>
      <c r="P126" s="445">
        <v>4554.0611008973701</v>
      </c>
      <c r="Q126" s="445">
        <v>3625.1520259395602</v>
      </c>
      <c r="R126" s="445">
        <v>4279.9245509437596</v>
      </c>
      <c r="S126" s="445">
        <v>4334.5318441301497</v>
      </c>
      <c r="T126" s="445">
        <v>4203.2459786843201</v>
      </c>
      <c r="U126" s="445">
        <v>3674.5197121301499</v>
      </c>
      <c r="V126" s="445">
        <v>4304.5742556344803</v>
      </c>
      <c r="W126" s="445">
        <v>4538.6400496344804</v>
      </c>
      <c r="X126" s="445">
        <v>3238.42760813015</v>
      </c>
      <c r="Y126" s="445">
        <v>4003.4516136344801</v>
      </c>
      <c r="Z126" s="445">
        <v>5844.8152533398397</v>
      </c>
      <c r="AA126" s="445">
        <v>4001.7382282404901</v>
      </c>
      <c r="AB126" s="445">
        <v>5051.8383472404903</v>
      </c>
      <c r="AC126" s="445">
        <v>3224.7794373862698</v>
      </c>
      <c r="AD126" s="445">
        <v>3773.3034171178401</v>
      </c>
      <c r="AE126" s="445">
        <v>4033.33979586039</v>
      </c>
    </row>
    <row r="127" spans="1:31">
      <c r="A127" s="444" t="s">
        <v>2238</v>
      </c>
      <c r="B127" s="445">
        <v>29.872990000000001</v>
      </c>
      <c r="C127" s="445">
        <v>34.060339999999997</v>
      </c>
      <c r="D127" s="445">
        <v>27.975999999999999</v>
      </c>
      <c r="E127" s="445">
        <v>42.486179999999997</v>
      </c>
      <c r="F127" s="445">
        <v>32.253819999999997</v>
      </c>
      <c r="G127" s="445">
        <v>28.72541</v>
      </c>
      <c r="H127" s="445">
        <v>33.259729999999998</v>
      </c>
      <c r="I127" s="445">
        <v>31.012</v>
      </c>
      <c r="J127" s="445">
        <v>40.408000000000001</v>
      </c>
      <c r="K127" s="445">
        <v>33.848999999999997</v>
      </c>
      <c r="L127" s="445">
        <v>38.531999999999996</v>
      </c>
      <c r="M127" s="445">
        <v>32.726999999999997</v>
      </c>
      <c r="N127" s="445">
        <v>29.073</v>
      </c>
      <c r="P127" s="445">
        <v>31.212</v>
      </c>
      <c r="Q127" s="445">
        <v>27.276</v>
      </c>
      <c r="R127" s="445">
        <v>33.206000000000003</v>
      </c>
      <c r="S127" s="445">
        <v>29.274999999999999</v>
      </c>
      <c r="T127" s="445">
        <v>30.815000000000001</v>
      </c>
      <c r="U127" s="445">
        <v>29.372</v>
      </c>
      <c r="V127" s="445">
        <v>30.097000000000001</v>
      </c>
      <c r="W127" s="445">
        <v>30.439999999999898</v>
      </c>
      <c r="X127" s="445">
        <v>29.673999999999999</v>
      </c>
      <c r="Y127" s="445">
        <v>32.744</v>
      </c>
      <c r="Z127" s="445">
        <v>30.759999999999899</v>
      </c>
      <c r="AA127" s="445">
        <v>26.157</v>
      </c>
      <c r="AB127" s="445">
        <v>31.715</v>
      </c>
      <c r="AC127" s="445">
        <v>27.675999999999998</v>
      </c>
      <c r="AD127" s="445">
        <v>33.465000000000003</v>
      </c>
      <c r="AE127" s="445">
        <v>29.547999999999998</v>
      </c>
    </row>
    <row r="128" spans="1:31">
      <c r="A128" s="444" t="s">
        <v>2239</v>
      </c>
      <c r="B128" s="445">
        <v>16.02731</v>
      </c>
      <c r="C128" s="445">
        <v>27.576699999999999</v>
      </c>
      <c r="D128" s="445">
        <v>19.662420000000001</v>
      </c>
      <c r="E128" s="445">
        <v>23.273019999999999</v>
      </c>
      <c r="F128" s="445">
        <v>19.116289999999999</v>
      </c>
      <c r="G128" s="445">
        <v>25.004899999999999</v>
      </c>
      <c r="H128" s="445">
        <v>24.332329999999999</v>
      </c>
      <c r="I128" s="445">
        <v>15.484999999999999</v>
      </c>
      <c r="J128" s="445">
        <v>16.081999999999901</v>
      </c>
      <c r="K128" s="445">
        <v>15.555</v>
      </c>
      <c r="L128" s="445">
        <v>15.818</v>
      </c>
      <c r="M128" s="445">
        <v>16.387999999999899</v>
      </c>
      <c r="N128" s="445">
        <v>14.608000000000001</v>
      </c>
      <c r="P128" s="445">
        <v>21.617000000000001</v>
      </c>
      <c r="Q128" s="445">
        <v>19.77</v>
      </c>
      <c r="R128" s="445">
        <v>21.797000000000001</v>
      </c>
      <c r="S128" s="445">
        <v>20.277999999999999</v>
      </c>
      <c r="T128" s="445">
        <v>22.094999999999999</v>
      </c>
      <c r="U128" s="445">
        <v>20.036999999999999</v>
      </c>
      <c r="V128" s="445">
        <v>21.459</v>
      </c>
      <c r="W128" s="445">
        <v>21.866</v>
      </c>
      <c r="X128" s="445">
        <v>22.844000000000001</v>
      </c>
      <c r="Y128" s="445">
        <v>22.030999999999999</v>
      </c>
      <c r="Z128" s="445">
        <v>20.29</v>
      </c>
      <c r="AA128" s="445">
        <v>20.611000000000001</v>
      </c>
      <c r="AB128" s="445">
        <v>21.896999999999998</v>
      </c>
      <c r="AC128" s="445">
        <v>20.152999999999999</v>
      </c>
      <c r="AD128" s="445">
        <v>22.49</v>
      </c>
      <c r="AE128" s="445">
        <v>20.529</v>
      </c>
    </row>
    <row r="129" spans="1:31">
      <c r="A129" s="444" t="s">
        <v>2240</v>
      </c>
      <c r="B129" s="445">
        <v>-5.5167900000000003</v>
      </c>
      <c r="C129" s="445">
        <v>84.675539999999998</v>
      </c>
      <c r="D129" s="445">
        <v>103.75769</v>
      </c>
      <c r="E129" s="445">
        <v>89.258889999999994</v>
      </c>
      <c r="F129" s="445">
        <v>88.409729999999996</v>
      </c>
      <c r="G129" s="445">
        <v>95.44171</v>
      </c>
      <c r="H129" s="445">
        <v>108.5445</v>
      </c>
      <c r="I129" s="445">
        <v>96.888000000000005</v>
      </c>
      <c r="J129" s="445">
        <v>114.187</v>
      </c>
      <c r="K129" s="445">
        <v>106.917</v>
      </c>
      <c r="L129" s="445">
        <v>100.46299999999999</v>
      </c>
      <c r="M129" s="445">
        <v>121.646</v>
      </c>
      <c r="N129" s="445">
        <v>103.286</v>
      </c>
      <c r="P129" s="445">
        <v>106.185</v>
      </c>
      <c r="Q129" s="445">
        <v>102.52</v>
      </c>
      <c r="R129" s="445">
        <v>103.584</v>
      </c>
      <c r="S129" s="445">
        <v>108.556</v>
      </c>
      <c r="T129" s="445">
        <v>126.56100000000001</v>
      </c>
      <c r="U129" s="445">
        <v>115.461</v>
      </c>
      <c r="V129" s="445">
        <v>117.578</v>
      </c>
      <c r="W129" s="445">
        <v>121.711</v>
      </c>
      <c r="X129" s="445">
        <v>118.628</v>
      </c>
      <c r="Y129" s="445">
        <v>120.139</v>
      </c>
      <c r="Z129" s="445">
        <v>118.58499999999999</v>
      </c>
      <c r="AA129" s="445">
        <v>115.858</v>
      </c>
      <c r="AB129" s="445">
        <v>118.422</v>
      </c>
      <c r="AC129" s="445">
        <v>106.43899999999999</v>
      </c>
      <c r="AD129" s="445">
        <v>75.314999999999998</v>
      </c>
      <c r="AE129" s="445">
        <v>122.631</v>
      </c>
    </row>
    <row r="130" spans="1:31">
      <c r="A130" s="444" t="s">
        <v>2241</v>
      </c>
      <c r="B130" s="445">
        <v>0</v>
      </c>
      <c r="C130" s="445">
        <v>0</v>
      </c>
      <c r="D130" s="445">
        <v>0</v>
      </c>
      <c r="E130" s="445">
        <v>0</v>
      </c>
      <c r="F130" s="445">
        <v>0</v>
      </c>
      <c r="G130" s="445">
        <v>0</v>
      </c>
      <c r="H130" s="445">
        <v>0</v>
      </c>
      <c r="I130" s="445">
        <v>0</v>
      </c>
      <c r="J130" s="445">
        <v>0</v>
      </c>
      <c r="K130" s="445">
        <v>0</v>
      </c>
      <c r="L130" s="445">
        <v>0</v>
      </c>
      <c r="M130" s="445">
        <v>0</v>
      </c>
      <c r="N130" s="445">
        <v>0</v>
      </c>
      <c r="P130" s="445">
        <v>0</v>
      </c>
      <c r="Q130" s="445">
        <v>0</v>
      </c>
      <c r="R130" s="445">
        <v>0</v>
      </c>
      <c r="S130" s="445">
        <v>0</v>
      </c>
      <c r="T130" s="445">
        <v>0</v>
      </c>
      <c r="U130" s="445">
        <v>0</v>
      </c>
      <c r="V130" s="445">
        <v>0</v>
      </c>
      <c r="W130" s="445">
        <v>0</v>
      </c>
      <c r="X130" s="445">
        <v>0</v>
      </c>
      <c r="Y130" s="445">
        <v>0</v>
      </c>
      <c r="Z130" s="445">
        <v>0</v>
      </c>
      <c r="AA130" s="445">
        <v>0</v>
      </c>
      <c r="AB130" s="445">
        <v>0</v>
      </c>
      <c r="AC130" s="445">
        <v>0</v>
      </c>
      <c r="AD130" s="445">
        <v>0</v>
      </c>
      <c r="AE130" s="445">
        <v>0</v>
      </c>
    </row>
    <row r="131" spans="1:31" ht="15.75" thickBot="1">
      <c r="A131" s="444" t="s">
        <v>2242</v>
      </c>
      <c r="B131" s="629">
        <v>0</v>
      </c>
      <c r="C131" s="629">
        <v>0</v>
      </c>
      <c r="D131" s="629">
        <v>0</v>
      </c>
      <c r="E131" s="629">
        <v>0</v>
      </c>
      <c r="F131" s="629">
        <v>0</v>
      </c>
      <c r="G131" s="629">
        <v>0</v>
      </c>
      <c r="H131" s="629">
        <v>0</v>
      </c>
      <c r="I131" s="629">
        <v>0</v>
      </c>
      <c r="J131" s="629">
        <v>0</v>
      </c>
      <c r="K131" s="629">
        <v>0</v>
      </c>
      <c r="L131" s="629">
        <v>0</v>
      </c>
      <c r="M131" s="629">
        <v>0</v>
      </c>
      <c r="N131" s="629">
        <v>0</v>
      </c>
      <c r="O131" s="629"/>
      <c r="P131" s="629">
        <v>0</v>
      </c>
      <c r="Q131" s="629">
        <v>0</v>
      </c>
      <c r="R131" s="629">
        <v>0</v>
      </c>
      <c r="S131" s="629">
        <v>0</v>
      </c>
      <c r="T131" s="629">
        <v>0</v>
      </c>
      <c r="U131" s="629">
        <v>0</v>
      </c>
      <c r="V131" s="629">
        <v>0</v>
      </c>
      <c r="W131" s="629">
        <v>0</v>
      </c>
      <c r="X131" s="629">
        <v>0</v>
      </c>
      <c r="Y131" s="629">
        <v>0</v>
      </c>
      <c r="Z131" s="629">
        <v>0</v>
      </c>
      <c r="AA131" s="629">
        <v>0</v>
      </c>
      <c r="AB131" s="629">
        <v>0</v>
      </c>
      <c r="AC131" s="629">
        <v>0</v>
      </c>
      <c r="AD131" s="629">
        <v>0</v>
      </c>
      <c r="AE131" s="629">
        <v>0</v>
      </c>
    </row>
    <row r="132" spans="1:31">
      <c r="A132" s="632" t="s">
        <v>2212</v>
      </c>
      <c r="B132" s="445">
        <v>40.383510000000001</v>
      </c>
      <c r="C132" s="445">
        <v>146.31258</v>
      </c>
      <c r="D132" s="445">
        <v>151.39610999999999</v>
      </c>
      <c r="E132" s="445">
        <v>155.01809</v>
      </c>
      <c r="F132" s="445">
        <v>139.77984000000001</v>
      </c>
      <c r="G132" s="445">
        <v>149.17202</v>
      </c>
      <c r="H132" s="445">
        <v>166.13656</v>
      </c>
      <c r="I132" s="445">
        <v>143.38499999999999</v>
      </c>
      <c r="J132" s="445">
        <v>170.67699999999999</v>
      </c>
      <c r="K132" s="445">
        <v>156.321</v>
      </c>
      <c r="L132" s="445">
        <v>154.81299999999999</v>
      </c>
      <c r="M132" s="445">
        <v>170.761</v>
      </c>
      <c r="N132" s="445">
        <v>146.96699999999899</v>
      </c>
      <c r="P132" s="445">
        <v>159.01400000000001</v>
      </c>
      <c r="Q132" s="445">
        <v>149.566</v>
      </c>
      <c r="R132" s="445">
        <v>158.58699999999999</v>
      </c>
      <c r="S132" s="445">
        <v>158.10899999999901</v>
      </c>
      <c r="T132" s="445">
        <v>179.471</v>
      </c>
      <c r="U132" s="445">
        <v>164.87</v>
      </c>
      <c r="V132" s="445">
        <v>169.13399999999999</v>
      </c>
      <c r="W132" s="445">
        <v>174.017</v>
      </c>
      <c r="X132" s="445">
        <v>171.14599999999999</v>
      </c>
      <c r="Y132" s="445">
        <v>174.91399999999999</v>
      </c>
      <c r="Z132" s="445">
        <v>169.63499999999999</v>
      </c>
      <c r="AA132" s="445">
        <v>162.626</v>
      </c>
      <c r="AB132" s="445">
        <v>172.03399999999999</v>
      </c>
      <c r="AC132" s="445">
        <v>154.268</v>
      </c>
      <c r="AD132" s="445">
        <v>131.27000000000001</v>
      </c>
      <c r="AE132" s="445">
        <v>172.708</v>
      </c>
    </row>
    <row r="133" spans="1:31">
      <c r="A133" s="444" t="s">
        <v>2243</v>
      </c>
      <c r="B133" s="445">
        <v>10.681389999999899</v>
      </c>
      <c r="C133" s="445">
        <v>11.98232</v>
      </c>
      <c r="D133" s="445">
        <v>11.913599999999899</v>
      </c>
      <c r="E133" s="445">
        <v>12.51878</v>
      </c>
      <c r="F133" s="445">
        <v>12.83456</v>
      </c>
      <c r="G133" s="445">
        <v>13.40326</v>
      </c>
      <c r="H133" s="445">
        <v>16.619509999999998</v>
      </c>
      <c r="I133" s="445">
        <v>7.6219999999999999</v>
      </c>
      <c r="J133" s="445">
        <v>12.314</v>
      </c>
      <c r="K133" s="445">
        <v>9.5500000000000007</v>
      </c>
      <c r="L133" s="445">
        <v>18.966999999999999</v>
      </c>
      <c r="M133" s="445">
        <v>9.3149999999999995</v>
      </c>
      <c r="N133" s="445">
        <v>7.306</v>
      </c>
      <c r="P133" s="445">
        <v>8.6129999999999995</v>
      </c>
      <c r="Q133" s="445">
        <v>7.8949999999999996</v>
      </c>
      <c r="R133" s="445">
        <v>8.6549999999999994</v>
      </c>
      <c r="S133" s="445">
        <v>8.3330000000000002</v>
      </c>
      <c r="T133" s="445">
        <v>9.157</v>
      </c>
      <c r="U133" s="445">
        <v>8.41</v>
      </c>
      <c r="V133" s="445">
        <v>7.875</v>
      </c>
      <c r="W133" s="445">
        <v>8.7129999999999992</v>
      </c>
      <c r="X133" s="445">
        <v>8.9049999999999994</v>
      </c>
      <c r="Y133" s="445">
        <v>8.9489999999999998</v>
      </c>
      <c r="Z133" s="445">
        <v>8.6880000000000006</v>
      </c>
      <c r="AA133" s="445">
        <v>6.6549999999999896</v>
      </c>
      <c r="AB133" s="445">
        <v>8.7089999999999996</v>
      </c>
      <c r="AC133" s="445">
        <v>7.968</v>
      </c>
      <c r="AD133" s="445">
        <v>27.151</v>
      </c>
      <c r="AE133" s="445">
        <v>8.4969999999999999</v>
      </c>
    </row>
    <row r="134" spans="1:31">
      <c r="A134" s="444" t="s">
        <v>2244</v>
      </c>
      <c r="B134" s="445">
        <v>13.17543</v>
      </c>
      <c r="C134" s="445">
        <v>12.877000000000001</v>
      </c>
      <c r="D134" s="445">
        <v>13.30148</v>
      </c>
      <c r="E134" s="445">
        <v>27.69763</v>
      </c>
      <c r="F134" s="445">
        <v>26.110530000000001</v>
      </c>
      <c r="G134" s="445">
        <v>17.237490000000001</v>
      </c>
      <c r="H134" s="445">
        <v>24.095310000000001</v>
      </c>
      <c r="I134" s="445">
        <v>7.9390000000000001</v>
      </c>
      <c r="J134" s="445">
        <v>27.286999999999999</v>
      </c>
      <c r="K134" s="445">
        <v>16.087</v>
      </c>
      <c r="L134" s="445">
        <v>172.535</v>
      </c>
      <c r="M134" s="445">
        <v>17.698</v>
      </c>
      <c r="N134" s="445">
        <v>16.170999999999999</v>
      </c>
      <c r="P134" s="445">
        <v>16.628</v>
      </c>
      <c r="Q134" s="445">
        <v>15.875</v>
      </c>
      <c r="R134" s="445">
        <v>17.067</v>
      </c>
      <c r="S134" s="445">
        <v>21.087</v>
      </c>
      <c r="T134" s="445">
        <v>17.471</v>
      </c>
      <c r="U134" s="445">
        <v>17.052</v>
      </c>
      <c r="V134" s="445">
        <v>17.524000000000001</v>
      </c>
      <c r="W134" s="445">
        <v>17.414999999999999</v>
      </c>
      <c r="X134" s="445">
        <v>18.739000000000001</v>
      </c>
      <c r="Y134" s="445">
        <v>19.821999999999999</v>
      </c>
      <c r="Z134" s="445">
        <v>23.248000000000001</v>
      </c>
      <c r="AA134" s="445">
        <v>18.538</v>
      </c>
      <c r="AB134" s="445">
        <v>16.302</v>
      </c>
      <c r="AC134" s="445">
        <v>16.567</v>
      </c>
      <c r="AD134" s="445">
        <v>16.95</v>
      </c>
      <c r="AE134" s="445">
        <v>16.658000000000001</v>
      </c>
    </row>
    <row r="135" spans="1:31">
      <c r="A135" s="444" t="s">
        <v>2245</v>
      </c>
      <c r="B135" s="445">
        <v>157.28002000000001</v>
      </c>
      <c r="C135" s="445">
        <v>112.73358</v>
      </c>
      <c r="D135" s="445">
        <v>135.33336</v>
      </c>
      <c r="E135" s="445">
        <v>184.61662000000001</v>
      </c>
      <c r="F135" s="445">
        <v>98.978750000000005</v>
      </c>
      <c r="G135" s="445">
        <v>217.6671</v>
      </c>
      <c r="H135" s="445">
        <v>18.557969999999901</v>
      </c>
      <c r="I135" s="445">
        <v>-67.555999999999997</v>
      </c>
      <c r="J135" s="445">
        <v>425.99299999999999</v>
      </c>
      <c r="K135" s="445">
        <v>91.260999999999996</v>
      </c>
      <c r="L135" s="445">
        <v>314.74599999999998</v>
      </c>
      <c r="M135" s="445">
        <v>236.786</v>
      </c>
      <c r="N135" s="445">
        <v>209.65600000000001</v>
      </c>
      <c r="P135" s="445">
        <v>121.423</v>
      </c>
      <c r="Q135" s="445">
        <v>143.46899999999999</v>
      </c>
      <c r="R135" s="445">
        <v>164.27699999999999</v>
      </c>
      <c r="S135" s="445">
        <v>272.46899999999999</v>
      </c>
      <c r="T135" s="445">
        <v>179.66</v>
      </c>
      <c r="U135" s="445">
        <v>238.727</v>
      </c>
      <c r="V135" s="445">
        <v>147.20099999999999</v>
      </c>
      <c r="W135" s="445">
        <v>139.19399999999999</v>
      </c>
      <c r="X135" s="445">
        <v>165.90199999999999</v>
      </c>
      <c r="Y135" s="445">
        <v>324.16199999999998</v>
      </c>
      <c r="Z135" s="445">
        <v>194.803</v>
      </c>
      <c r="AA135" s="445">
        <v>177.53899999999999</v>
      </c>
      <c r="AB135" s="445">
        <v>138.81899999999999</v>
      </c>
      <c r="AC135" s="445">
        <v>158.78399999999999</v>
      </c>
      <c r="AD135" s="445">
        <v>368.09899999999999</v>
      </c>
      <c r="AE135" s="445">
        <v>223.679</v>
      </c>
    </row>
    <row r="136" spans="1:31" ht="15.75" thickBot="1">
      <c r="A136" s="444" t="s">
        <v>2246</v>
      </c>
      <c r="B136" s="629">
        <v>50.76052</v>
      </c>
      <c r="C136" s="629">
        <v>42.4407</v>
      </c>
      <c r="D136" s="629">
        <v>75.473439999999997</v>
      </c>
      <c r="E136" s="629">
        <v>55.469519999999903</v>
      </c>
      <c r="F136" s="629">
        <v>56.616729999999997</v>
      </c>
      <c r="G136" s="629">
        <v>67.736069999999998</v>
      </c>
      <c r="H136" s="629">
        <v>-51.735349999999997</v>
      </c>
      <c r="I136" s="629">
        <v>70.251000000000005</v>
      </c>
      <c r="J136" s="629">
        <v>102.319</v>
      </c>
      <c r="K136" s="629">
        <v>90.495000000000005</v>
      </c>
      <c r="L136" s="629">
        <v>255.81299999999999</v>
      </c>
      <c r="M136" s="629">
        <v>161.18100000000001</v>
      </c>
      <c r="N136" s="629">
        <v>124.92400000000001</v>
      </c>
      <c r="O136" s="629"/>
      <c r="P136" s="629">
        <v>75.540999999999997</v>
      </c>
      <c r="Q136" s="629">
        <v>78.441999999999993</v>
      </c>
      <c r="R136" s="629">
        <v>93.57</v>
      </c>
      <c r="S136" s="629">
        <v>114.5</v>
      </c>
      <c r="T136" s="629">
        <v>130.791</v>
      </c>
      <c r="U136" s="629">
        <v>102.41800000000001</v>
      </c>
      <c r="V136" s="629">
        <v>104.95399999999999</v>
      </c>
      <c r="W136" s="629">
        <v>97.180999999999997</v>
      </c>
      <c r="X136" s="629">
        <v>168.05799999999999</v>
      </c>
      <c r="Y136" s="629">
        <v>179.94900000000001</v>
      </c>
      <c r="Z136" s="629">
        <v>119.56100000000001</v>
      </c>
      <c r="AA136" s="629">
        <v>100.58</v>
      </c>
      <c r="AB136" s="629">
        <v>89.741</v>
      </c>
      <c r="AC136" s="629">
        <v>112.542</v>
      </c>
      <c r="AD136" s="629">
        <v>295.27800000000002</v>
      </c>
      <c r="AE136" s="629">
        <v>219.524</v>
      </c>
    </row>
    <row r="137" spans="1:31">
      <c r="A137" s="632" t="s">
        <v>2219</v>
      </c>
      <c r="B137" s="445">
        <v>231.89735999999999</v>
      </c>
      <c r="C137" s="445">
        <v>180.03360000000001</v>
      </c>
      <c r="D137" s="445">
        <v>236.02188000000001</v>
      </c>
      <c r="E137" s="445">
        <v>280.30255</v>
      </c>
      <c r="F137" s="445">
        <v>194.54057</v>
      </c>
      <c r="G137" s="445">
        <v>316.04392000000001</v>
      </c>
      <c r="H137" s="445">
        <v>7.5374399999999904</v>
      </c>
      <c r="I137" s="445">
        <v>18.256</v>
      </c>
      <c r="J137" s="445">
        <v>567.91300000000001</v>
      </c>
      <c r="K137" s="445">
        <v>207.393</v>
      </c>
      <c r="L137" s="445">
        <v>762.06100000000004</v>
      </c>
      <c r="M137" s="445">
        <v>424.98</v>
      </c>
      <c r="N137" s="445">
        <v>358.05700000000002</v>
      </c>
      <c r="P137" s="445">
        <v>222.20499999999899</v>
      </c>
      <c r="Q137" s="445">
        <v>245.68100000000001</v>
      </c>
      <c r="R137" s="445">
        <v>283.56900000000002</v>
      </c>
      <c r="S137" s="445">
        <v>416.38900000000001</v>
      </c>
      <c r="T137" s="445">
        <v>337.07900000000001</v>
      </c>
      <c r="U137" s="445">
        <v>366.60700000000003</v>
      </c>
      <c r="V137" s="445">
        <v>277.55399999999997</v>
      </c>
      <c r="W137" s="445">
        <v>262.50299999999999</v>
      </c>
      <c r="X137" s="445">
        <v>361.60399999999998</v>
      </c>
      <c r="Y137" s="445">
        <v>532.88199999999995</v>
      </c>
      <c r="Z137" s="445">
        <v>346.3</v>
      </c>
      <c r="AA137" s="445">
        <v>303.31200000000001</v>
      </c>
      <c r="AB137" s="445">
        <v>253.570999999999</v>
      </c>
      <c r="AC137" s="445">
        <v>295.86099999999999</v>
      </c>
      <c r="AD137" s="445">
        <v>707.47799999999995</v>
      </c>
      <c r="AE137" s="445">
        <v>468.358</v>
      </c>
    </row>
    <row r="138" spans="1:31" ht="15.75" thickBot="1">
      <c r="A138" s="444" t="s">
        <v>2247</v>
      </c>
      <c r="B138" s="629">
        <v>1.24569</v>
      </c>
      <c r="C138" s="629">
        <v>1.35734</v>
      </c>
      <c r="D138" s="629">
        <v>1.9818899999999999</v>
      </c>
      <c r="E138" s="629">
        <v>1.16137</v>
      </c>
      <c r="F138" s="629">
        <v>1.2203900000000001</v>
      </c>
      <c r="G138" s="629">
        <v>1.20912</v>
      </c>
      <c r="H138" s="629">
        <v>1.2203900000000001</v>
      </c>
      <c r="I138" s="629">
        <v>0.92200000000000004</v>
      </c>
      <c r="J138" s="629">
        <v>0.92200000000000004</v>
      </c>
      <c r="K138" s="629">
        <v>0.92200000000000004</v>
      </c>
      <c r="L138" s="629">
        <v>0.92200000000000004</v>
      </c>
      <c r="M138" s="629">
        <v>0.92200000000000004</v>
      </c>
      <c r="N138" s="629">
        <v>0.92200000000000004</v>
      </c>
      <c r="O138" s="629"/>
      <c r="P138" s="629">
        <v>0.93500000000000005</v>
      </c>
      <c r="Q138" s="629">
        <v>0.93500000000000005</v>
      </c>
      <c r="R138" s="629">
        <v>0.93500000000000005</v>
      </c>
      <c r="S138" s="629">
        <v>0.93500000000000005</v>
      </c>
      <c r="T138" s="629">
        <v>0.93500000000000005</v>
      </c>
      <c r="U138" s="629">
        <v>0.93500000000000005</v>
      </c>
      <c r="V138" s="629">
        <v>0.93500000000000005</v>
      </c>
      <c r="W138" s="629">
        <v>0.93500000000000005</v>
      </c>
      <c r="X138" s="629">
        <v>0.93500000000000005</v>
      </c>
      <c r="Y138" s="629">
        <v>0.93500000000000005</v>
      </c>
      <c r="Z138" s="629">
        <v>0.93500000000000005</v>
      </c>
      <c r="AA138" s="629">
        <v>0.93500000000000005</v>
      </c>
      <c r="AB138" s="629">
        <v>0.94899999999999995</v>
      </c>
      <c r="AC138" s="629">
        <v>0.94899999999999995</v>
      </c>
      <c r="AD138" s="629">
        <v>0.94899999999999995</v>
      </c>
      <c r="AE138" s="629">
        <v>0.94899999999999995</v>
      </c>
    </row>
    <row r="139" spans="1:31" ht="15.75" thickBot="1">
      <c r="A139" s="632" t="s">
        <v>2221</v>
      </c>
      <c r="B139" s="629">
        <v>1.24569</v>
      </c>
      <c r="C139" s="629">
        <v>1.35734</v>
      </c>
      <c r="D139" s="629">
        <v>1.9818899999999999</v>
      </c>
      <c r="E139" s="629">
        <v>1.16137</v>
      </c>
      <c r="F139" s="629">
        <v>1.2203900000000001</v>
      </c>
      <c r="G139" s="629">
        <v>1.20912</v>
      </c>
      <c r="H139" s="629">
        <v>1.2203900000000001</v>
      </c>
      <c r="I139" s="629">
        <v>0.92200000000000004</v>
      </c>
      <c r="J139" s="629">
        <v>0.92200000000000004</v>
      </c>
      <c r="K139" s="629">
        <v>0.92200000000000004</v>
      </c>
      <c r="L139" s="629">
        <v>0.92200000000000004</v>
      </c>
      <c r="M139" s="629">
        <v>0.92200000000000004</v>
      </c>
      <c r="N139" s="629">
        <v>0.92200000000000004</v>
      </c>
      <c r="O139" s="629"/>
      <c r="P139" s="629">
        <v>0.93500000000000005</v>
      </c>
      <c r="Q139" s="629">
        <v>0.93500000000000005</v>
      </c>
      <c r="R139" s="629">
        <v>0.93500000000000005</v>
      </c>
      <c r="S139" s="629">
        <v>0.93500000000000005</v>
      </c>
      <c r="T139" s="629">
        <v>0.93500000000000005</v>
      </c>
      <c r="U139" s="629">
        <v>0.93500000000000005</v>
      </c>
      <c r="V139" s="629">
        <v>0.93500000000000005</v>
      </c>
      <c r="W139" s="629">
        <v>0.93500000000000005</v>
      </c>
      <c r="X139" s="629">
        <v>0.93500000000000005</v>
      </c>
      <c r="Y139" s="629">
        <v>0.93500000000000005</v>
      </c>
      <c r="Z139" s="629">
        <v>0.93500000000000005</v>
      </c>
      <c r="AA139" s="629">
        <v>0.93500000000000005</v>
      </c>
      <c r="AB139" s="629">
        <v>0.94899999999999995</v>
      </c>
      <c r="AC139" s="629">
        <v>0.94899999999999995</v>
      </c>
      <c r="AD139" s="629">
        <v>0.94899999999999995</v>
      </c>
      <c r="AE139" s="629">
        <v>0.94899999999999995</v>
      </c>
    </row>
    <row r="140" spans="1:31">
      <c r="A140" s="630" t="s">
        <v>2248</v>
      </c>
      <c r="B140" s="626">
        <v>4785.3721100000002</v>
      </c>
      <c r="C140" s="626">
        <v>9143.1675099999993</v>
      </c>
      <c r="D140" s="626">
        <v>4033.2212</v>
      </c>
      <c r="E140" s="626">
        <v>5319.8345799999997</v>
      </c>
      <c r="F140" s="626">
        <v>6083.2146599999996</v>
      </c>
      <c r="G140" s="626">
        <v>5405.3579900000004</v>
      </c>
      <c r="H140" s="626">
        <v>3988.6690199999998</v>
      </c>
      <c r="I140" s="626">
        <v>5181.4716526344801</v>
      </c>
      <c r="J140" s="626">
        <v>5728.9412436344801</v>
      </c>
      <c r="K140" s="626">
        <v>3739.54239913015</v>
      </c>
      <c r="L140" s="626">
        <v>3607.6784296344799</v>
      </c>
      <c r="M140" s="626">
        <v>4019.25434288106</v>
      </c>
      <c r="N140" s="626">
        <v>4588.6091928973701</v>
      </c>
      <c r="O140" s="626"/>
      <c r="P140" s="626">
        <v>4936.2151008973797</v>
      </c>
      <c r="Q140" s="626">
        <v>4021.33402593956</v>
      </c>
      <c r="R140" s="626">
        <v>4723.01555094376</v>
      </c>
      <c r="S140" s="626">
        <v>4909.9648441301497</v>
      </c>
      <c r="T140" s="626">
        <v>4720.7309786843198</v>
      </c>
      <c r="U140" s="626">
        <v>4206.9317121301501</v>
      </c>
      <c r="V140" s="626">
        <v>4752.1972556344799</v>
      </c>
      <c r="W140" s="626">
        <v>4976.0950496344803</v>
      </c>
      <c r="X140" s="626">
        <v>3772.11260813015</v>
      </c>
      <c r="Y140" s="626">
        <v>4712.1826136344798</v>
      </c>
      <c r="Z140" s="626">
        <v>6361.6852533398396</v>
      </c>
      <c r="AA140" s="626">
        <v>4468.6112282404902</v>
      </c>
      <c r="AB140" s="626">
        <v>5478.3923472404904</v>
      </c>
      <c r="AC140" s="626">
        <v>3675.8574373862698</v>
      </c>
      <c r="AD140" s="626">
        <v>4613.0004171178398</v>
      </c>
      <c r="AE140" s="626">
        <v>4675.3547958603904</v>
      </c>
    </row>
    <row r="141" spans="1:31">
      <c r="A141" s="444" t="s">
        <v>539</v>
      </c>
    </row>
    <row r="142" spans="1:31">
      <c r="A142" s="444" t="s">
        <v>2249</v>
      </c>
      <c r="B142" s="445">
        <v>1328.21667</v>
      </c>
      <c r="C142" s="445">
        <v>1403.3946799999901</v>
      </c>
      <c r="D142" s="445">
        <v>935.22843</v>
      </c>
      <c r="E142" s="445">
        <v>1387.7598700000001</v>
      </c>
      <c r="F142" s="445">
        <v>1099.0248300000001</v>
      </c>
      <c r="G142" s="445">
        <v>857.57497999999998</v>
      </c>
      <c r="H142" s="445">
        <v>1181.3731399999999</v>
      </c>
      <c r="I142" s="445">
        <v>1395.8083999999999</v>
      </c>
      <c r="J142" s="445">
        <v>1419.6981000000001</v>
      </c>
      <c r="K142" s="445">
        <v>1142.1871000000001</v>
      </c>
      <c r="L142" s="445">
        <v>1190.8680999999999</v>
      </c>
      <c r="M142" s="445">
        <v>1289.02519999999</v>
      </c>
      <c r="N142" s="445">
        <v>1303.5070000000001</v>
      </c>
      <c r="P142" s="445">
        <v>1420.6904999999899</v>
      </c>
      <c r="Q142" s="445">
        <v>1108.6599999999901</v>
      </c>
      <c r="R142" s="445">
        <v>1489.0547999999999</v>
      </c>
      <c r="S142" s="445">
        <v>1247.67019999999</v>
      </c>
      <c r="T142" s="445">
        <v>685.67419999999902</v>
      </c>
      <c r="U142" s="445">
        <v>940.4443</v>
      </c>
      <c r="V142" s="445">
        <v>1258.7073</v>
      </c>
      <c r="W142" s="445">
        <v>1856.6255999999901</v>
      </c>
      <c r="X142" s="445">
        <v>877.35180000000003</v>
      </c>
      <c r="Y142" s="445">
        <v>944.58429999999998</v>
      </c>
      <c r="Z142" s="445">
        <v>1394.80789999999</v>
      </c>
      <c r="AA142" s="445">
        <v>1347.2909999999899</v>
      </c>
      <c r="AB142" s="445">
        <v>1364.9595999999999</v>
      </c>
      <c r="AC142" s="445">
        <v>1027.4304999999999</v>
      </c>
      <c r="AD142" s="445">
        <v>1724.2046</v>
      </c>
      <c r="AE142" s="445">
        <v>1031.0540000000001</v>
      </c>
    </row>
    <row r="143" spans="1:31">
      <c r="A143" s="444" t="s">
        <v>2250</v>
      </c>
      <c r="B143" s="445">
        <v>26.997450000000001</v>
      </c>
      <c r="C143" s="445">
        <v>329.81893000000002</v>
      </c>
      <c r="D143" s="445">
        <v>403.24799999999999</v>
      </c>
      <c r="E143" s="445">
        <v>0.87039999999999995</v>
      </c>
      <c r="F143" s="445">
        <v>106.92743</v>
      </c>
      <c r="G143" s="445">
        <v>610.06101000000001</v>
      </c>
      <c r="H143" s="445">
        <v>344.75533999999999</v>
      </c>
      <c r="I143" s="445">
        <v>1124.95539999999</v>
      </c>
      <c r="J143" s="445">
        <v>990.71279999999899</v>
      </c>
      <c r="K143" s="445">
        <v>394.99329999999998</v>
      </c>
      <c r="L143" s="445">
        <v>630.27409999999895</v>
      </c>
      <c r="M143" s="445">
        <v>640.35230000000001</v>
      </c>
      <c r="N143" s="445">
        <v>2.331</v>
      </c>
      <c r="P143" s="445">
        <v>34.691699999999997</v>
      </c>
      <c r="Q143" s="445">
        <v>39.763500000000001</v>
      </c>
      <c r="R143" s="445">
        <v>62.078800000000001</v>
      </c>
      <c r="S143" s="445">
        <v>418.36430000000001</v>
      </c>
      <c r="T143" s="445">
        <v>975.11109999999996</v>
      </c>
      <c r="U143" s="445">
        <v>999.58320000000003</v>
      </c>
      <c r="V143" s="445">
        <v>1183.3743999999999</v>
      </c>
      <c r="W143" s="445">
        <v>1535.1522</v>
      </c>
      <c r="X143" s="445">
        <v>1266.6401000000001</v>
      </c>
      <c r="Y143" s="445">
        <v>475.657499999999</v>
      </c>
      <c r="Z143" s="445">
        <v>169.64570000000001</v>
      </c>
      <c r="AA143" s="445">
        <v>104.3081</v>
      </c>
      <c r="AB143" s="445">
        <v>66.625500000000002</v>
      </c>
      <c r="AC143" s="445">
        <v>80.188900000000004</v>
      </c>
      <c r="AD143" s="445">
        <v>0</v>
      </c>
      <c r="AE143" s="445">
        <v>481.19589999999999</v>
      </c>
    </row>
    <row r="144" spans="1:31">
      <c r="A144" s="444" t="s">
        <v>2251</v>
      </c>
      <c r="B144" s="445">
        <v>6.7291499999999997</v>
      </c>
      <c r="C144" s="445">
        <v>37.480840000000001</v>
      </c>
      <c r="D144" s="445">
        <v>2.18852</v>
      </c>
      <c r="E144" s="445">
        <v>1.44695</v>
      </c>
      <c r="F144" s="445">
        <v>21.94266</v>
      </c>
      <c r="G144" s="445">
        <v>22.401160000000001</v>
      </c>
      <c r="H144" s="445">
        <v>14.6983</v>
      </c>
      <c r="I144" s="445">
        <v>0</v>
      </c>
      <c r="J144" s="445">
        <v>0</v>
      </c>
      <c r="K144" s="445">
        <v>0</v>
      </c>
      <c r="L144" s="445">
        <v>0</v>
      </c>
      <c r="M144" s="445">
        <v>0</v>
      </c>
      <c r="N144" s="445">
        <v>0</v>
      </c>
      <c r="P144" s="445">
        <v>0</v>
      </c>
      <c r="Q144" s="445">
        <v>0</v>
      </c>
      <c r="R144" s="445">
        <v>0.97907143517338502</v>
      </c>
      <c r="S144" s="445">
        <v>0</v>
      </c>
      <c r="T144" s="445">
        <v>0</v>
      </c>
      <c r="U144" s="445">
        <v>0</v>
      </c>
      <c r="V144" s="445">
        <v>0</v>
      </c>
      <c r="W144" s="445">
        <v>0</v>
      </c>
      <c r="X144" s="445">
        <v>0</v>
      </c>
      <c r="Y144" s="445">
        <v>2.21437525920745E-2</v>
      </c>
      <c r="Z144" s="445">
        <v>0</v>
      </c>
      <c r="AA144" s="445">
        <v>0</v>
      </c>
      <c r="AB144" s="445">
        <v>0</v>
      </c>
      <c r="AC144" s="445">
        <v>0</v>
      </c>
      <c r="AD144" s="445">
        <v>0</v>
      </c>
      <c r="AE144" s="445">
        <v>0</v>
      </c>
    </row>
    <row r="145" spans="1:31">
      <c r="A145" s="444" t="s">
        <v>2252</v>
      </c>
      <c r="B145" s="445">
        <v>297.41789</v>
      </c>
      <c r="C145" s="445">
        <v>4099.6743299999998</v>
      </c>
      <c r="D145" s="445">
        <v>213.94292999999999</v>
      </c>
      <c r="E145" s="445">
        <v>298.38128999999998</v>
      </c>
      <c r="F145" s="445">
        <v>474.75125000000003</v>
      </c>
      <c r="G145" s="445">
        <v>193.15588</v>
      </c>
      <c r="H145" s="445">
        <v>88.7684</v>
      </c>
      <c r="I145" s="445">
        <v>122.464</v>
      </c>
      <c r="J145" s="445">
        <v>88.909599999999998</v>
      </c>
      <c r="K145" s="445">
        <v>184.41149999999999</v>
      </c>
      <c r="L145" s="445">
        <v>109.8261</v>
      </c>
      <c r="M145" s="445">
        <v>217.79810000000001</v>
      </c>
      <c r="N145" s="445">
        <v>951.7414</v>
      </c>
      <c r="P145" s="445">
        <v>243.99369999999999</v>
      </c>
      <c r="Q145" s="445">
        <v>206.1123</v>
      </c>
      <c r="R145" s="445">
        <v>184.7253</v>
      </c>
      <c r="S145" s="445">
        <v>98.975399999999993</v>
      </c>
      <c r="T145" s="445">
        <v>41.237699999999997</v>
      </c>
      <c r="U145" s="445">
        <v>10.606999999999999</v>
      </c>
      <c r="V145" s="445">
        <v>8.3148</v>
      </c>
      <c r="W145" s="445">
        <v>38.654400000000003</v>
      </c>
      <c r="X145" s="445">
        <v>41.480899999999998</v>
      </c>
      <c r="Y145" s="445">
        <v>24.337599999999998</v>
      </c>
      <c r="Z145" s="445">
        <v>3.2000000000000002E-3</v>
      </c>
      <c r="AA145" s="445">
        <v>291.48739999999998</v>
      </c>
      <c r="AB145" s="445">
        <v>147.25909999999999</v>
      </c>
      <c r="AC145" s="445">
        <v>77.059100000000001</v>
      </c>
      <c r="AD145" s="445">
        <v>56.942300000000003</v>
      </c>
      <c r="AE145" s="445">
        <v>27.425799999999999</v>
      </c>
    </row>
    <row r="146" spans="1:31">
      <c r="A146" s="444" t="s">
        <v>2253</v>
      </c>
      <c r="B146" s="445">
        <v>2580.3337999999999</v>
      </c>
      <c r="C146" s="445">
        <v>2067.2472299999999</v>
      </c>
      <c r="D146" s="445">
        <v>2277.9450900000002</v>
      </c>
      <c r="E146" s="445">
        <v>2385.7584200000001</v>
      </c>
      <c r="F146" s="445">
        <v>2970.0951299999901</v>
      </c>
      <c r="G146" s="445">
        <v>2918.3722499999999</v>
      </c>
      <c r="H146" s="445">
        <v>2505.5616199999999</v>
      </c>
      <c r="I146" s="445">
        <v>2657.4783154512702</v>
      </c>
      <c r="J146" s="445">
        <v>2648.1636487845999</v>
      </c>
      <c r="K146" s="445">
        <v>2628.3409487846002</v>
      </c>
      <c r="L146" s="445">
        <v>2590.4067487846</v>
      </c>
      <c r="M146" s="445">
        <v>3137.4148029512698</v>
      </c>
      <c r="N146" s="445">
        <v>3201.3575182290401</v>
      </c>
      <c r="P146" s="445">
        <v>3219.9210380812701</v>
      </c>
      <c r="Q146" s="445">
        <v>3183.2032380812698</v>
      </c>
      <c r="R146" s="445">
        <v>3249.7219380812699</v>
      </c>
      <c r="S146" s="445">
        <v>3134.0771380812698</v>
      </c>
      <c r="T146" s="445">
        <v>2300.7958380812702</v>
      </c>
      <c r="U146" s="445">
        <v>2300.7958380812702</v>
      </c>
      <c r="V146" s="445">
        <v>2300.7958380812702</v>
      </c>
      <c r="W146" s="445">
        <v>2664.5282436368202</v>
      </c>
      <c r="X146" s="445">
        <v>2664.5282436368202</v>
      </c>
      <c r="Y146" s="445">
        <v>2664.5282436368202</v>
      </c>
      <c r="Z146" s="445">
        <v>2173.3693894701501</v>
      </c>
      <c r="AA146" s="445">
        <v>2053.9187741923802</v>
      </c>
      <c r="AB146" s="445">
        <v>2037.27418600287</v>
      </c>
      <c r="AC146" s="445">
        <v>2037.27418600287</v>
      </c>
      <c r="AD146" s="445">
        <v>2037.27418600287</v>
      </c>
      <c r="AE146" s="445">
        <v>2037.27418600287</v>
      </c>
    </row>
    <row r="147" spans="1:31">
      <c r="A147" s="444" t="s">
        <v>2254</v>
      </c>
      <c r="B147" s="445">
        <v>100.64382999999999</v>
      </c>
      <c r="C147" s="445">
        <v>108.73772</v>
      </c>
      <c r="D147" s="445">
        <v>93.789050000000003</v>
      </c>
      <c r="E147" s="445">
        <v>101.89079</v>
      </c>
      <c r="F147" s="445">
        <v>93.233410000000006</v>
      </c>
      <c r="G147" s="445">
        <v>93.187370000000001</v>
      </c>
      <c r="H147" s="445">
        <v>79.527149999999907</v>
      </c>
      <c r="I147" s="445">
        <v>101.80800000000001</v>
      </c>
      <c r="J147" s="445">
        <v>108.77500000000001</v>
      </c>
      <c r="K147" s="445">
        <v>93.165000000000006</v>
      </c>
      <c r="L147" s="445">
        <v>108.73099999999999</v>
      </c>
      <c r="M147" s="445">
        <v>98.879000000000005</v>
      </c>
      <c r="N147" s="445">
        <v>82.036000000000001</v>
      </c>
      <c r="P147" s="445">
        <v>117.143</v>
      </c>
      <c r="Q147" s="445">
        <v>97.102000000000004</v>
      </c>
      <c r="R147" s="445">
        <v>105.29</v>
      </c>
      <c r="S147" s="445">
        <v>109.68300000000001</v>
      </c>
      <c r="T147" s="445">
        <v>115.60899999999999</v>
      </c>
      <c r="U147" s="445">
        <v>96.091999999999999</v>
      </c>
      <c r="V147" s="445">
        <v>105.185</v>
      </c>
      <c r="W147" s="445">
        <v>105.009</v>
      </c>
      <c r="X147" s="445">
        <v>96.92</v>
      </c>
      <c r="Y147" s="445">
        <v>104.443</v>
      </c>
      <c r="Z147" s="445">
        <v>92.206000000000003</v>
      </c>
      <c r="AA147" s="445">
        <v>89.501000000000005</v>
      </c>
      <c r="AB147" s="445">
        <v>112.438</v>
      </c>
      <c r="AC147" s="445">
        <v>93.165000000000006</v>
      </c>
      <c r="AD147" s="445">
        <v>106.428</v>
      </c>
      <c r="AE147" s="445">
        <v>104.521</v>
      </c>
    </row>
    <row r="148" spans="1:31">
      <c r="A148" s="444" t="s">
        <v>2255</v>
      </c>
      <c r="B148" s="445">
        <v>0</v>
      </c>
      <c r="C148" s="445">
        <v>0</v>
      </c>
      <c r="D148" s="445">
        <v>0</v>
      </c>
      <c r="E148" s="445">
        <v>20.556270000000001</v>
      </c>
      <c r="F148" s="445">
        <v>6.8520899999999996</v>
      </c>
      <c r="G148" s="445">
        <v>6.8520899999999996</v>
      </c>
      <c r="H148" s="445">
        <v>6.8520899999999996</v>
      </c>
      <c r="I148" s="445">
        <v>5.9</v>
      </c>
      <c r="J148" s="445">
        <v>5.9</v>
      </c>
      <c r="K148" s="445">
        <v>5.9</v>
      </c>
      <c r="L148" s="445">
        <v>5.9</v>
      </c>
      <c r="M148" s="445">
        <v>5.9</v>
      </c>
      <c r="N148" s="445">
        <v>5.9</v>
      </c>
      <c r="P148" s="445">
        <v>7.8</v>
      </c>
      <c r="Q148" s="445">
        <v>7.8</v>
      </c>
      <c r="R148" s="445">
        <v>7.8</v>
      </c>
      <c r="S148" s="445">
        <v>7.8</v>
      </c>
      <c r="T148" s="445">
        <v>7.8</v>
      </c>
      <c r="U148" s="445">
        <v>7.8</v>
      </c>
      <c r="V148" s="445">
        <v>7.8</v>
      </c>
      <c r="W148" s="445">
        <v>7.8</v>
      </c>
      <c r="X148" s="445">
        <v>7.8</v>
      </c>
      <c r="Y148" s="445">
        <v>7.8</v>
      </c>
      <c r="Z148" s="445">
        <v>7.8</v>
      </c>
      <c r="AA148" s="445">
        <v>7.8</v>
      </c>
      <c r="AB148" s="445">
        <v>8</v>
      </c>
      <c r="AC148" s="445">
        <v>8</v>
      </c>
      <c r="AD148" s="445">
        <v>8</v>
      </c>
      <c r="AE148" s="445">
        <v>8</v>
      </c>
    </row>
    <row r="149" spans="1:31">
      <c r="A149" s="444" t="s">
        <v>2256</v>
      </c>
      <c r="B149" s="445">
        <v>2.8188300000000002</v>
      </c>
      <c r="C149" s="445">
        <v>600.87156000000004</v>
      </c>
      <c r="D149" s="445">
        <v>4.6916700000000002</v>
      </c>
      <c r="E149" s="445">
        <v>2.8102</v>
      </c>
      <c r="F149" s="445">
        <v>7.6437499999999998</v>
      </c>
      <c r="G149" s="445">
        <v>15.232999999999899</v>
      </c>
      <c r="H149" s="445">
        <v>-0.82915000000000005</v>
      </c>
      <c r="I149" s="445">
        <v>10.618</v>
      </c>
      <c r="J149" s="445">
        <v>4.8739999999999997</v>
      </c>
      <c r="K149" s="445">
        <v>16.074000000000002</v>
      </c>
      <c r="L149" s="445">
        <v>18.140999999999998</v>
      </c>
      <c r="M149" s="445">
        <v>5.617</v>
      </c>
      <c r="N149" s="445">
        <v>21.15</v>
      </c>
      <c r="P149" s="445">
        <v>25.86</v>
      </c>
      <c r="Q149" s="445">
        <v>27.956</v>
      </c>
      <c r="R149" s="445">
        <v>21.707000000000001</v>
      </c>
      <c r="S149" s="445">
        <v>4.7759999999999998</v>
      </c>
      <c r="T149" s="445">
        <v>8.2279999999999998</v>
      </c>
      <c r="U149" s="445">
        <v>4.4870000000000001</v>
      </c>
      <c r="V149" s="445">
        <v>5.1959999999999997</v>
      </c>
      <c r="W149" s="445">
        <v>3.1179999999999999</v>
      </c>
      <c r="X149" s="445">
        <v>6.7839999999999998</v>
      </c>
      <c r="Y149" s="445">
        <v>4.0529999999999999</v>
      </c>
      <c r="Z149" s="445">
        <v>0.16700000000000001</v>
      </c>
      <c r="AA149" s="445">
        <v>15.206</v>
      </c>
      <c r="AB149" s="445">
        <v>22.26</v>
      </c>
      <c r="AC149" s="445">
        <v>31.288</v>
      </c>
      <c r="AD149" s="445">
        <v>4.5739999999999998</v>
      </c>
      <c r="AE149" s="445">
        <v>5.726</v>
      </c>
    </row>
    <row r="150" spans="1:31" ht="15.75" thickBot="1">
      <c r="A150" s="444" t="s">
        <v>2257</v>
      </c>
      <c r="B150" s="629">
        <v>5.3269999999999998E-2</v>
      </c>
      <c r="C150" s="629">
        <v>-3.0000000000000001E-5</v>
      </c>
      <c r="D150" s="629">
        <v>7.2999999999999996E-4</v>
      </c>
      <c r="E150" s="629">
        <v>3.8600000000000001E-3</v>
      </c>
      <c r="F150" s="629">
        <v>-3.5999999999999899E-4</v>
      </c>
      <c r="G150" s="629">
        <v>1.0000000000000001E-5</v>
      </c>
      <c r="H150" s="629">
        <v>0</v>
      </c>
      <c r="I150" s="629">
        <v>0</v>
      </c>
      <c r="J150" s="629">
        <v>4.2000000000000003E-2</v>
      </c>
      <c r="K150" s="629">
        <v>0</v>
      </c>
      <c r="L150" s="629">
        <v>0</v>
      </c>
      <c r="M150" s="629">
        <v>0</v>
      </c>
      <c r="N150" s="629">
        <v>0</v>
      </c>
      <c r="O150" s="629"/>
      <c r="P150" s="629">
        <v>0</v>
      </c>
      <c r="Q150" s="629">
        <v>0</v>
      </c>
      <c r="R150" s="629">
        <v>0.19600000000000001</v>
      </c>
      <c r="S150" s="629">
        <v>0</v>
      </c>
      <c r="T150" s="629">
        <v>0</v>
      </c>
      <c r="U150" s="629">
        <v>2.3E-2</v>
      </c>
      <c r="V150" s="629">
        <v>0.57799999999999996</v>
      </c>
      <c r="W150" s="629">
        <v>2.2429999999999999</v>
      </c>
      <c r="X150" s="629">
        <v>0.17799999999999999</v>
      </c>
      <c r="Y150" s="629">
        <v>1E-3</v>
      </c>
      <c r="Z150" s="629">
        <v>6.7000000000000004E-2</v>
      </c>
      <c r="AA150" s="629">
        <v>0</v>
      </c>
      <c r="AB150" s="629">
        <v>0</v>
      </c>
      <c r="AC150" s="629">
        <v>0</v>
      </c>
      <c r="AD150" s="629">
        <v>0</v>
      </c>
      <c r="AE150" s="629">
        <v>0</v>
      </c>
    </row>
    <row r="151" spans="1:31">
      <c r="A151" s="630" t="s">
        <v>2258</v>
      </c>
      <c r="B151" s="445">
        <v>4343.2108900000003</v>
      </c>
      <c r="C151" s="445">
        <v>8647.2252599999993</v>
      </c>
      <c r="D151" s="445">
        <v>3931.03442</v>
      </c>
      <c r="E151" s="445">
        <v>4199.4780499999997</v>
      </c>
      <c r="F151" s="445">
        <v>4780.47019</v>
      </c>
      <c r="G151" s="445">
        <v>4716.8377499999997</v>
      </c>
      <c r="H151" s="445">
        <v>4220.7068900000004</v>
      </c>
      <c r="I151" s="445">
        <v>5419.0321154512703</v>
      </c>
      <c r="J151" s="445">
        <v>5267.0751487846001</v>
      </c>
      <c r="K151" s="445">
        <v>4465.0718487845998</v>
      </c>
      <c r="L151" s="445">
        <v>4654.14704878459</v>
      </c>
      <c r="M151" s="445">
        <v>5394.9864029512601</v>
      </c>
      <c r="N151" s="445">
        <v>5568.0229182290304</v>
      </c>
      <c r="P151" s="445">
        <v>5070.09993808127</v>
      </c>
      <c r="Q151" s="445">
        <v>4670.5970380812696</v>
      </c>
      <c r="R151" s="445">
        <v>5121.5529095164402</v>
      </c>
      <c r="S151" s="445">
        <v>5021.3460380812703</v>
      </c>
      <c r="T151" s="445">
        <v>4134.4558380812696</v>
      </c>
      <c r="U151" s="445">
        <v>4359.8323380812699</v>
      </c>
      <c r="V151" s="445">
        <v>4869.9513380812696</v>
      </c>
      <c r="W151" s="445">
        <v>6213.13044363682</v>
      </c>
      <c r="X151" s="445">
        <v>4961.68304363682</v>
      </c>
      <c r="Y151" s="445">
        <v>4225.4267873894096</v>
      </c>
      <c r="Z151" s="445">
        <v>3838.0661894701502</v>
      </c>
      <c r="AA151" s="445">
        <v>3909.5122741923801</v>
      </c>
      <c r="AB151" s="445">
        <v>3758.8163860028699</v>
      </c>
      <c r="AC151" s="445">
        <v>3354.40568600287</v>
      </c>
      <c r="AD151" s="445">
        <v>3937.4230860028601</v>
      </c>
      <c r="AE151" s="445">
        <v>3695.1968860028701</v>
      </c>
    </row>
    <row r="152" spans="1:31">
      <c r="B152" s="628"/>
      <c r="C152" s="628"/>
      <c r="D152" s="628"/>
      <c r="E152" s="628"/>
      <c r="F152" s="628"/>
      <c r="G152" s="628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628"/>
      <c r="S152" s="628"/>
      <c r="T152" s="628"/>
      <c r="U152" s="628"/>
      <c r="V152" s="628"/>
      <c r="W152" s="628"/>
      <c r="X152" s="628"/>
      <c r="Y152" s="628"/>
      <c r="Z152" s="628"/>
      <c r="AA152" s="628"/>
      <c r="AB152" s="628"/>
      <c r="AC152" s="628"/>
      <c r="AD152" s="628"/>
      <c r="AE152" s="628"/>
    </row>
    <row r="153" spans="1:31">
      <c r="A153" s="447" t="s">
        <v>2259</v>
      </c>
      <c r="B153" s="626">
        <v>40343.761630000001</v>
      </c>
      <c r="C153" s="626">
        <v>49694.369720000002</v>
      </c>
      <c r="D153" s="626">
        <v>33696.020750000003</v>
      </c>
      <c r="E153" s="626">
        <v>37273.7356499999</v>
      </c>
      <c r="F153" s="626">
        <v>36249.427020000003</v>
      </c>
      <c r="G153" s="626">
        <v>38009.611409999903</v>
      </c>
      <c r="H153" s="626">
        <v>37899.081879999998</v>
      </c>
      <c r="I153" s="626">
        <v>40513.651040315999</v>
      </c>
      <c r="J153" s="626">
        <v>42176.663761860204</v>
      </c>
      <c r="K153" s="626">
        <v>36789.8558884507</v>
      </c>
      <c r="L153" s="626">
        <v>37182.286079745398</v>
      </c>
      <c r="M153" s="626">
        <v>35764.684349155599</v>
      </c>
      <c r="N153" s="626">
        <v>39630.920647215498</v>
      </c>
      <c r="O153" s="626"/>
      <c r="P153" s="626">
        <v>40858.088412893303</v>
      </c>
      <c r="Q153" s="626">
        <v>36411.1284583776</v>
      </c>
      <c r="R153" s="626">
        <v>38959.317376103099</v>
      </c>
      <c r="S153" s="626">
        <v>37145.9323026442</v>
      </c>
      <c r="T153" s="626">
        <v>37507.880786581904</v>
      </c>
      <c r="U153" s="626">
        <v>37397.548718874197</v>
      </c>
      <c r="V153" s="626">
        <v>41066.372667748103</v>
      </c>
      <c r="W153" s="626">
        <v>41649.065999510902</v>
      </c>
      <c r="X153" s="626">
        <v>36826.736485237801</v>
      </c>
      <c r="Y153" s="626">
        <v>36868.457246050602</v>
      </c>
      <c r="Z153" s="626">
        <v>37667.028535949801</v>
      </c>
      <c r="AA153" s="626">
        <v>38643.643114503997</v>
      </c>
      <c r="AB153" s="626">
        <v>40228.079097325099</v>
      </c>
      <c r="AC153" s="626">
        <v>35060.506891414698</v>
      </c>
      <c r="AD153" s="626">
        <v>43795.591158036703</v>
      </c>
      <c r="AE153" s="626">
        <v>35785.683010624998</v>
      </c>
    </row>
    <row r="154" spans="1:31">
      <c r="A154" s="444" t="s">
        <v>539</v>
      </c>
      <c r="B154" s="628"/>
      <c r="C154" s="628"/>
      <c r="D154" s="628"/>
      <c r="E154" s="628"/>
      <c r="F154" s="628"/>
      <c r="G154" s="628"/>
      <c r="H154" s="628"/>
      <c r="I154" s="628"/>
      <c r="J154" s="628"/>
      <c r="K154" s="628"/>
      <c r="L154" s="628"/>
      <c r="M154" s="628"/>
      <c r="N154" s="628"/>
      <c r="O154" s="628"/>
      <c r="P154" s="628"/>
      <c r="Q154" s="628"/>
      <c r="R154" s="628"/>
      <c r="S154" s="628"/>
      <c r="T154" s="628"/>
      <c r="U154" s="628"/>
      <c r="V154" s="628"/>
      <c r="W154" s="628"/>
      <c r="X154" s="628"/>
      <c r="Y154" s="628"/>
      <c r="Z154" s="628"/>
      <c r="AA154" s="628"/>
      <c r="AB154" s="628"/>
      <c r="AC154" s="628"/>
      <c r="AD154" s="628"/>
      <c r="AE154" s="628"/>
    </row>
    <row r="155" spans="1:31">
      <c r="A155" s="444" t="s">
        <v>2260</v>
      </c>
      <c r="B155" s="445">
        <v>68.364310000000003</v>
      </c>
      <c r="C155" s="445">
        <v>68.982339999999994</v>
      </c>
      <c r="D155" s="445">
        <v>67.092399999999998</v>
      </c>
      <c r="E155" s="445">
        <v>87.606530000000006</v>
      </c>
      <c r="F155" s="445">
        <v>68.073229999999995</v>
      </c>
      <c r="G155" s="445">
        <v>74.554720000000003</v>
      </c>
      <c r="H155" s="445">
        <v>69.220479999999995</v>
      </c>
      <c r="I155" s="445">
        <v>86.394000000000005</v>
      </c>
      <c r="J155" s="445">
        <v>96.108000000000004</v>
      </c>
      <c r="K155" s="445">
        <v>78.105000000000004</v>
      </c>
      <c r="L155" s="445">
        <v>92.378</v>
      </c>
      <c r="M155" s="445">
        <v>85.963999999999999</v>
      </c>
      <c r="N155" s="445">
        <v>73.878</v>
      </c>
      <c r="P155" s="445">
        <v>95.606999999999999</v>
      </c>
      <c r="Q155" s="445">
        <v>84.944999999999993</v>
      </c>
      <c r="R155" s="445">
        <v>89.956999999999994</v>
      </c>
      <c r="S155" s="445">
        <v>87.048000000000002</v>
      </c>
      <c r="T155" s="445">
        <v>102.309</v>
      </c>
      <c r="U155" s="445">
        <v>80.385000000000005</v>
      </c>
      <c r="V155" s="445">
        <v>95.349000000000004</v>
      </c>
      <c r="W155" s="445">
        <v>101.209</v>
      </c>
      <c r="X155" s="445">
        <v>90.173000000000002</v>
      </c>
      <c r="Y155" s="445">
        <v>137.096</v>
      </c>
      <c r="Z155" s="445">
        <v>82.972999999999999</v>
      </c>
      <c r="AA155" s="445">
        <v>75.915999999999997</v>
      </c>
      <c r="AB155" s="445">
        <v>98.358999999999995</v>
      </c>
      <c r="AC155" s="445">
        <v>87.388999999999996</v>
      </c>
      <c r="AD155" s="445">
        <v>97.165999999999997</v>
      </c>
      <c r="AE155" s="445">
        <v>89.504999999999995</v>
      </c>
    </row>
    <row r="156" spans="1:31">
      <c r="A156" s="444" t="s">
        <v>2261</v>
      </c>
      <c r="B156" s="445">
        <v>150.36717999999999</v>
      </c>
      <c r="C156" s="445">
        <v>145.75846999999999</v>
      </c>
      <c r="D156" s="445">
        <v>139.39984000000001</v>
      </c>
      <c r="E156" s="445">
        <v>140.41156000000001</v>
      </c>
      <c r="F156" s="445">
        <v>174.99286999999899</v>
      </c>
      <c r="G156" s="445">
        <v>184.73969</v>
      </c>
      <c r="H156" s="445">
        <v>172.33881</v>
      </c>
      <c r="I156" s="445">
        <v>204.739</v>
      </c>
      <c r="J156" s="445">
        <v>224.84800000000001</v>
      </c>
      <c r="K156" s="445">
        <v>217.56700000000001</v>
      </c>
      <c r="L156" s="445">
        <v>226.44899999999899</v>
      </c>
      <c r="M156" s="445">
        <v>203.15</v>
      </c>
      <c r="N156" s="445">
        <v>175.67599999999999</v>
      </c>
      <c r="P156" s="445">
        <v>230.25</v>
      </c>
      <c r="Q156" s="445">
        <v>204.346</v>
      </c>
      <c r="R156" s="445">
        <v>219.065</v>
      </c>
      <c r="S156" s="445">
        <v>195.29300000000001</v>
      </c>
      <c r="T156" s="445">
        <v>216.85499999999999</v>
      </c>
      <c r="U156" s="445">
        <v>177.084</v>
      </c>
      <c r="V156" s="445">
        <v>208.946</v>
      </c>
      <c r="W156" s="445">
        <v>219.989</v>
      </c>
      <c r="X156" s="445">
        <v>226.494</v>
      </c>
      <c r="Y156" s="445">
        <v>226.31100000000001</v>
      </c>
      <c r="Z156" s="445">
        <v>197.02499999999901</v>
      </c>
      <c r="AA156" s="445">
        <v>186.43700000000001</v>
      </c>
      <c r="AB156" s="445">
        <v>223.91800000000001</v>
      </c>
      <c r="AC156" s="445">
        <v>198.893</v>
      </c>
      <c r="AD156" s="445">
        <v>223.01</v>
      </c>
      <c r="AE156" s="445">
        <v>199.17099999999999</v>
      </c>
    </row>
    <row r="157" spans="1:31">
      <c r="A157" s="444" t="s">
        <v>2262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2263</v>
      </c>
      <c r="B158" s="445">
        <v>27.230820000000001</v>
      </c>
      <c r="C158" s="445">
        <v>27.281890000000001</v>
      </c>
      <c r="D158" s="445">
        <v>28.56344</v>
      </c>
      <c r="E158" s="445">
        <v>34.261130000000001</v>
      </c>
      <c r="F158" s="445">
        <v>26.110520000000001</v>
      </c>
      <c r="G158" s="445">
        <v>27.635439999999999</v>
      </c>
      <c r="H158" s="445">
        <v>22.94444</v>
      </c>
      <c r="I158" s="445">
        <v>44.555999999999997</v>
      </c>
      <c r="J158" s="445">
        <v>23.744</v>
      </c>
      <c r="K158" s="445">
        <v>6.0609999999999999</v>
      </c>
      <c r="L158" s="445">
        <v>26.962</v>
      </c>
      <c r="M158" s="445">
        <v>23.350999999999999</v>
      </c>
      <c r="N158" s="445">
        <v>20.178999999999998</v>
      </c>
      <c r="P158" s="445">
        <v>27.097999999999999</v>
      </c>
      <c r="Q158" s="445">
        <v>24.725000000000001</v>
      </c>
      <c r="R158" s="445">
        <v>26</v>
      </c>
      <c r="S158" s="445">
        <v>25.358000000000001</v>
      </c>
      <c r="T158" s="445">
        <v>28.524000000000001</v>
      </c>
      <c r="U158" s="445">
        <v>24.239000000000001</v>
      </c>
      <c r="V158" s="445">
        <v>27.472999999999999</v>
      </c>
      <c r="W158" s="445">
        <v>28.279</v>
      </c>
      <c r="X158" s="445">
        <v>25.934999999999999</v>
      </c>
      <c r="Y158" s="445">
        <v>28.571000000000002</v>
      </c>
      <c r="Z158" s="445">
        <v>24.344000000000001</v>
      </c>
      <c r="AA158" s="445">
        <v>23.286000000000001</v>
      </c>
      <c r="AB158" s="445">
        <v>27.632999999999999</v>
      </c>
      <c r="AC158" s="445">
        <v>25.196000000000002</v>
      </c>
      <c r="AD158" s="445">
        <v>27.527000000000001</v>
      </c>
      <c r="AE158" s="445">
        <v>25.806999999999999</v>
      </c>
    </row>
    <row r="159" spans="1:31">
      <c r="A159" s="444" t="s">
        <v>2264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2265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2266</v>
      </c>
      <c r="B161" s="445">
        <v>14.96862</v>
      </c>
      <c r="C161" s="445">
        <v>67.442520000000002</v>
      </c>
      <c r="D161" s="445">
        <v>103.44033</v>
      </c>
      <c r="E161" s="445">
        <v>84.908929999999998</v>
      </c>
      <c r="F161" s="445">
        <v>96.904839999999993</v>
      </c>
      <c r="G161" s="445">
        <v>87.794649999999905</v>
      </c>
      <c r="H161" s="445">
        <v>70.358559999999997</v>
      </c>
      <c r="I161" s="445">
        <v>65.646000000000001</v>
      </c>
      <c r="J161" s="445">
        <v>71.983999999999995</v>
      </c>
      <c r="K161" s="445">
        <v>74.448999999999998</v>
      </c>
      <c r="L161" s="445">
        <v>83.251999999999995</v>
      </c>
      <c r="M161" s="445">
        <v>66.86</v>
      </c>
      <c r="N161" s="445">
        <v>62.640999999999998</v>
      </c>
      <c r="P161" s="445">
        <v>67.019000000000005</v>
      </c>
      <c r="Q161" s="445">
        <v>67.019000000000005</v>
      </c>
      <c r="R161" s="445">
        <v>74.564999999999998</v>
      </c>
      <c r="S161" s="445">
        <v>74.564999999999998</v>
      </c>
      <c r="T161" s="445">
        <v>74.564999999999998</v>
      </c>
      <c r="U161" s="445">
        <v>79.269000000000005</v>
      </c>
      <c r="V161" s="445">
        <v>79.269000000000005</v>
      </c>
      <c r="W161" s="445">
        <v>67.019000000000005</v>
      </c>
      <c r="X161" s="445">
        <v>74.564999999999998</v>
      </c>
      <c r="Y161" s="445">
        <v>74.564999999999998</v>
      </c>
      <c r="Z161" s="445">
        <v>67.019000000000005</v>
      </c>
      <c r="AA161" s="445">
        <v>67.070999999999998</v>
      </c>
      <c r="AB161" s="445">
        <v>70.25</v>
      </c>
      <c r="AC161" s="445">
        <v>71.756</v>
      </c>
      <c r="AD161" s="445">
        <v>71.756</v>
      </c>
      <c r="AE161" s="445">
        <v>82.5</v>
      </c>
    </row>
    <row r="162" spans="1:31">
      <c r="A162" s="444" t="s">
        <v>2267</v>
      </c>
      <c r="B162" s="445">
        <v>15.95786</v>
      </c>
      <c r="C162" s="445">
        <v>12.847440000000001</v>
      </c>
      <c r="D162" s="445">
        <v>8.6660199999999996</v>
      </c>
      <c r="E162" s="445">
        <v>22.216169999999899</v>
      </c>
      <c r="F162" s="445">
        <v>17.676310000000001</v>
      </c>
      <c r="G162" s="445">
        <v>13.501670000000001</v>
      </c>
      <c r="H162" s="445">
        <v>22.71782</v>
      </c>
      <c r="I162" s="445">
        <v>34.932000000000002</v>
      </c>
      <c r="J162" s="445">
        <v>19.100000000000001</v>
      </c>
      <c r="K162" s="445">
        <v>117.021</v>
      </c>
      <c r="L162" s="445">
        <v>19.7</v>
      </c>
      <c r="M162" s="445">
        <v>16.2</v>
      </c>
      <c r="N162" s="445">
        <v>32.5</v>
      </c>
      <c r="P162" s="445">
        <v>15.516</v>
      </c>
      <c r="Q162" s="445">
        <v>16.172000000000001</v>
      </c>
      <c r="R162" s="445">
        <v>23.771999999999998</v>
      </c>
      <c r="S162" s="445">
        <v>23.452000000000002</v>
      </c>
      <c r="T162" s="445">
        <v>39.671999999999997</v>
      </c>
      <c r="U162" s="445">
        <v>39.671999999999997</v>
      </c>
      <c r="V162" s="445">
        <v>22.172000000000001</v>
      </c>
      <c r="W162" s="445">
        <v>22.172000000000001</v>
      </c>
      <c r="X162" s="445">
        <v>22.172000000000001</v>
      </c>
      <c r="Y162" s="445">
        <v>22.172000000000001</v>
      </c>
      <c r="Z162" s="445">
        <v>17.771999999999998</v>
      </c>
      <c r="AA162" s="445">
        <v>17.628</v>
      </c>
      <c r="AB162" s="445">
        <v>15.638999999999999</v>
      </c>
      <c r="AC162" s="445">
        <v>16.295000000000002</v>
      </c>
      <c r="AD162" s="445">
        <v>23.895</v>
      </c>
      <c r="AE162" s="445">
        <v>23.574999999999999</v>
      </c>
    </row>
    <row r="163" spans="1:31">
      <c r="A163" s="444" t="s">
        <v>2268</v>
      </c>
      <c r="B163" s="445">
        <v>7.9000000000000008E-3</v>
      </c>
      <c r="C163" s="445">
        <v>-4.1399999999999996E-3</v>
      </c>
      <c r="D163" s="445">
        <v>0</v>
      </c>
      <c r="E163" s="445">
        <v>-2.9260000000000001E-2</v>
      </c>
      <c r="F163" s="445">
        <v>7.5000000000000002E-4</v>
      </c>
      <c r="G163" s="445">
        <v>-3.0000000000000001E-5</v>
      </c>
      <c r="H163" s="445">
        <v>-1.7999999999999901E-4</v>
      </c>
      <c r="I163" s="445">
        <v>0</v>
      </c>
      <c r="J163" s="445">
        <v>0.20300000000000001</v>
      </c>
      <c r="K163" s="445">
        <v>0</v>
      </c>
      <c r="L163" s="445">
        <v>0</v>
      </c>
      <c r="M163" s="445">
        <v>0</v>
      </c>
      <c r="N163" s="445">
        <v>0</v>
      </c>
      <c r="P163" s="445">
        <v>0</v>
      </c>
      <c r="Q163" s="445">
        <v>0</v>
      </c>
      <c r="R163" s="445">
        <v>0.57799999999999996</v>
      </c>
      <c r="S163" s="445">
        <v>0</v>
      </c>
      <c r="T163" s="445">
        <v>0</v>
      </c>
      <c r="U163" s="445">
        <v>0.105</v>
      </c>
      <c r="V163" s="445">
        <v>2.7480000000000002</v>
      </c>
      <c r="W163" s="445">
        <v>10.441000000000001</v>
      </c>
      <c r="X163" s="445">
        <v>0.70599999999999996</v>
      </c>
      <c r="Y163" s="445">
        <v>8.9999999999999993E-3</v>
      </c>
      <c r="Z163" s="445">
        <v>0.307</v>
      </c>
      <c r="AA163" s="445">
        <v>0</v>
      </c>
      <c r="AB163" s="445">
        <v>0</v>
      </c>
      <c r="AC163" s="445">
        <v>0</v>
      </c>
      <c r="AD163" s="445">
        <v>0</v>
      </c>
      <c r="AE163" s="445">
        <v>0</v>
      </c>
    </row>
    <row r="164" spans="1:31">
      <c r="A164" s="444" t="s">
        <v>2269</v>
      </c>
      <c r="B164" s="445">
        <v>0.25346999999999997</v>
      </c>
      <c r="C164" s="445">
        <v>6.3296799999999998</v>
      </c>
      <c r="D164" s="445">
        <v>0.65793000000000001</v>
      </c>
      <c r="E164" s="445">
        <v>0.36207</v>
      </c>
      <c r="F164" s="445">
        <v>1.0013700000000001</v>
      </c>
      <c r="G164" s="445">
        <v>0.70079999999999998</v>
      </c>
      <c r="H164" s="445">
        <v>0.32784999999999997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2270</v>
      </c>
      <c r="B165" s="445">
        <v>113.65864999999999</v>
      </c>
      <c r="C165" s="445">
        <v>833.91822999999999</v>
      </c>
      <c r="D165" s="445">
        <v>47.135750000000002</v>
      </c>
      <c r="E165" s="445">
        <v>59.189549999999997</v>
      </c>
      <c r="F165" s="445">
        <v>164.72953000000001</v>
      </c>
      <c r="G165" s="445">
        <v>95.1511</v>
      </c>
      <c r="H165" s="445">
        <v>48.520269999999996</v>
      </c>
      <c r="I165" s="445">
        <v>99.933000000000007</v>
      </c>
      <c r="J165" s="445">
        <v>49.524000000000001</v>
      </c>
      <c r="K165" s="445">
        <v>144.16200000000001</v>
      </c>
      <c r="L165" s="445">
        <v>190.32599999999999</v>
      </c>
      <c r="M165" s="445">
        <v>86.277000000000001</v>
      </c>
      <c r="N165" s="445">
        <v>250.71700000000001</v>
      </c>
      <c r="P165" s="445">
        <v>107.941</v>
      </c>
      <c r="Q165" s="445">
        <v>99.295000000000002</v>
      </c>
      <c r="R165" s="445">
        <v>146.16900000000001</v>
      </c>
      <c r="S165" s="445">
        <v>51.44</v>
      </c>
      <c r="T165" s="445">
        <v>73.314999999999998</v>
      </c>
      <c r="U165" s="445">
        <v>47.761000000000003</v>
      </c>
      <c r="V165" s="445">
        <v>50.372999999999998</v>
      </c>
      <c r="W165" s="445">
        <v>34.448</v>
      </c>
      <c r="X165" s="445">
        <v>67.350999999999999</v>
      </c>
      <c r="Y165" s="445">
        <v>44.896999999999998</v>
      </c>
      <c r="Z165" s="445">
        <v>2.6989999999999998</v>
      </c>
      <c r="AA165" s="445">
        <v>191.40700000000001</v>
      </c>
      <c r="AB165" s="445">
        <v>94.909000000000006</v>
      </c>
      <c r="AC165" s="445">
        <v>115.729</v>
      </c>
      <c r="AD165" s="445">
        <v>32.133000000000003</v>
      </c>
      <c r="AE165" s="445">
        <v>64.263000000000005</v>
      </c>
    </row>
    <row r="166" spans="1:31">
      <c r="A166" s="444" t="s">
        <v>2271</v>
      </c>
      <c r="B166" s="445">
        <v>-38.376390000000001</v>
      </c>
      <c r="C166" s="445">
        <v>-282.29629</v>
      </c>
      <c r="D166" s="445">
        <v>-16.03462</v>
      </c>
      <c r="E166" s="445">
        <v>-20.133710000000001</v>
      </c>
      <c r="F166" s="445">
        <v>-56.050339999999998</v>
      </c>
      <c r="G166" s="445">
        <v>-32.37388</v>
      </c>
      <c r="H166" s="445">
        <v>-16.502279999999999</v>
      </c>
      <c r="I166" s="445">
        <v>0</v>
      </c>
      <c r="J166" s="445">
        <v>0.874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1.2090000000000001</v>
      </c>
      <c r="S166" s="445">
        <v>0</v>
      </c>
      <c r="T166" s="445">
        <v>0</v>
      </c>
      <c r="U166" s="445">
        <v>0.45100000000000001</v>
      </c>
      <c r="V166" s="445">
        <v>11.815</v>
      </c>
      <c r="W166" s="445">
        <v>44.088999999999999</v>
      </c>
      <c r="X166" s="445">
        <v>3.0329999999999999</v>
      </c>
      <c r="Y166" s="445">
        <v>1.7999999999999999E-2</v>
      </c>
      <c r="Z166" s="445">
        <v>0.76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2272</v>
      </c>
      <c r="B167" s="445">
        <v>133.96652</v>
      </c>
      <c r="C167" s="445">
        <v>199.49761999999899</v>
      </c>
      <c r="D167" s="445">
        <v>103.26948</v>
      </c>
      <c r="E167" s="445">
        <v>96.676739999999995</v>
      </c>
      <c r="F167" s="445">
        <v>189.35837000000001</v>
      </c>
      <c r="G167" s="445">
        <v>98.103999999999999</v>
      </c>
      <c r="H167" s="445">
        <v>314.40778</v>
      </c>
      <c r="I167" s="445">
        <v>109.973</v>
      </c>
      <c r="J167" s="445">
        <v>99.426999999999893</v>
      </c>
      <c r="K167" s="445">
        <v>209.01900000000001</v>
      </c>
      <c r="L167" s="445">
        <v>112.717</v>
      </c>
      <c r="M167" s="445">
        <v>110.77</v>
      </c>
      <c r="N167" s="445">
        <v>115.598</v>
      </c>
      <c r="P167" s="445">
        <v>205.86699999999999</v>
      </c>
      <c r="Q167" s="445">
        <v>103.255</v>
      </c>
      <c r="R167" s="445">
        <v>114.774</v>
      </c>
      <c r="S167" s="445">
        <v>205.35300000000001</v>
      </c>
      <c r="T167" s="445">
        <v>107.783</v>
      </c>
      <c r="U167" s="445">
        <v>106.99299999999999</v>
      </c>
      <c r="V167" s="445">
        <v>206.28700000000001</v>
      </c>
      <c r="W167" s="445">
        <v>104.578</v>
      </c>
      <c r="X167" s="445">
        <v>105.268</v>
      </c>
      <c r="Y167" s="445">
        <v>205.69</v>
      </c>
      <c r="Z167" s="445">
        <v>105.467</v>
      </c>
      <c r="AA167" s="445">
        <v>103.673999999999</v>
      </c>
      <c r="AB167" s="445">
        <v>211.78</v>
      </c>
      <c r="AC167" s="445">
        <v>104.874</v>
      </c>
      <c r="AD167" s="445">
        <v>116.53700000000001</v>
      </c>
      <c r="AE167" s="445">
        <v>211.33199999999999</v>
      </c>
    </row>
    <row r="168" spans="1:31">
      <c r="A168" s="444" t="s">
        <v>2273</v>
      </c>
      <c r="B168" s="445">
        <v>486.01577999999898</v>
      </c>
      <c r="C168" s="445">
        <v>491.24063000000001</v>
      </c>
      <c r="D168" s="445">
        <v>544.67908999999997</v>
      </c>
      <c r="E168" s="445">
        <v>460.44809999999899</v>
      </c>
      <c r="F168" s="445">
        <v>381.35273000000001</v>
      </c>
      <c r="G168" s="445">
        <v>428.19076999999999</v>
      </c>
      <c r="H168" s="445">
        <v>449.38243999999997</v>
      </c>
      <c r="I168" s="445">
        <v>462.57499999999999</v>
      </c>
      <c r="J168" s="445">
        <v>1520.645</v>
      </c>
      <c r="K168" s="445">
        <v>616.28300000000002</v>
      </c>
      <c r="L168" s="445">
        <v>617.72500000000002</v>
      </c>
      <c r="M168" s="445">
        <v>617.00400000000002</v>
      </c>
      <c r="N168" s="445">
        <v>616.28300000000002</v>
      </c>
      <c r="P168" s="445">
        <v>682.16</v>
      </c>
      <c r="Q168" s="445">
        <v>682.16</v>
      </c>
      <c r="R168" s="445">
        <v>682.16</v>
      </c>
      <c r="S168" s="445">
        <v>682.16</v>
      </c>
      <c r="T168" s="445">
        <v>881.29600000000005</v>
      </c>
      <c r="U168" s="445">
        <v>905.54300000000001</v>
      </c>
      <c r="V168" s="445">
        <v>905.54300000000001</v>
      </c>
      <c r="W168" s="445">
        <v>905.54300000000001</v>
      </c>
      <c r="X168" s="445">
        <v>908.14400000000001</v>
      </c>
      <c r="Y168" s="445">
        <v>908.14400000000001</v>
      </c>
      <c r="Z168" s="445">
        <v>908.14400000000001</v>
      </c>
      <c r="AA168" s="445">
        <v>908.14400000000001</v>
      </c>
      <c r="AB168" s="445">
        <v>890.78700000000003</v>
      </c>
      <c r="AC168" s="445">
        <v>890.78700000000003</v>
      </c>
      <c r="AD168" s="445">
        <v>890.78700000000003</v>
      </c>
      <c r="AE168" s="445">
        <v>890.78700000000003</v>
      </c>
    </row>
    <row r="169" spans="1:31">
      <c r="A169" s="444" t="s">
        <v>2274</v>
      </c>
      <c r="B169" s="445">
        <v>0.18966</v>
      </c>
      <c r="C169" s="445">
        <v>2.4459299999999899</v>
      </c>
      <c r="D169" s="445">
        <v>0.32488</v>
      </c>
      <c r="E169" s="445">
        <v>7.4959999999999999E-2</v>
      </c>
      <c r="F169" s="445">
        <v>1.2084299999999999</v>
      </c>
      <c r="G169" s="445">
        <v>0.12913999999999901</v>
      </c>
      <c r="H169" s="445">
        <v>0.42625999999999997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632" t="s">
        <v>2212</v>
      </c>
      <c r="B170" s="445">
        <v>972.60437999999999</v>
      </c>
      <c r="C170" s="445">
        <v>1573.4443200000001</v>
      </c>
      <c r="D170" s="445">
        <v>1027.19454</v>
      </c>
      <c r="E170" s="445">
        <v>965.99276999999995</v>
      </c>
      <c r="F170" s="445">
        <v>1065.35860999999</v>
      </c>
      <c r="G170" s="445">
        <v>978.12806999999998</v>
      </c>
      <c r="H170" s="445">
        <v>1154.1422500000001</v>
      </c>
      <c r="I170" s="445">
        <v>1108.748</v>
      </c>
      <c r="J170" s="445">
        <v>2106.4569999999999</v>
      </c>
      <c r="K170" s="445">
        <v>1462.6669999999999</v>
      </c>
      <c r="L170" s="445">
        <v>1369.509</v>
      </c>
      <c r="M170" s="445">
        <v>1209.576</v>
      </c>
      <c r="N170" s="445">
        <v>1347.472</v>
      </c>
      <c r="P170" s="445">
        <v>1431.4580000000001</v>
      </c>
      <c r="Q170" s="445">
        <v>1281.9169999999999</v>
      </c>
      <c r="R170" s="445">
        <v>1378.24899999999</v>
      </c>
      <c r="S170" s="445">
        <v>1344.6689999999901</v>
      </c>
      <c r="T170" s="445">
        <v>1524.319</v>
      </c>
      <c r="U170" s="445">
        <v>1461.502</v>
      </c>
      <c r="V170" s="445">
        <v>1609.9749999999999</v>
      </c>
      <c r="W170" s="445">
        <v>1537.76699999999</v>
      </c>
      <c r="X170" s="445">
        <v>1523.8409999999999</v>
      </c>
      <c r="Y170" s="445">
        <v>1647.473</v>
      </c>
      <c r="Z170" s="445">
        <v>1406.51</v>
      </c>
      <c r="AA170" s="445">
        <v>1573.5630000000001</v>
      </c>
      <c r="AB170" s="445">
        <v>1633.2750000000001</v>
      </c>
      <c r="AC170" s="445">
        <v>1510.9190000000001</v>
      </c>
      <c r="AD170" s="445">
        <v>1482.8109999999999</v>
      </c>
      <c r="AE170" s="445">
        <v>1586.94</v>
      </c>
    </row>
    <row r="171" spans="1:31">
      <c r="A171" s="444" t="s">
        <v>2275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2276</v>
      </c>
      <c r="B172" s="445">
        <v>181.85129000000001</v>
      </c>
      <c r="C172" s="445">
        <v>149.48645999999999</v>
      </c>
      <c r="D172" s="445">
        <v>169.22376</v>
      </c>
      <c r="E172" s="445">
        <v>168.99148</v>
      </c>
      <c r="F172" s="445">
        <v>132.56986000000001</v>
      </c>
      <c r="G172" s="445">
        <v>156.74940000000001</v>
      </c>
      <c r="H172" s="445">
        <v>298.85534999999999</v>
      </c>
      <c r="I172" s="445">
        <v>131.48099999999999</v>
      </c>
      <c r="J172" s="445">
        <v>148.416</v>
      </c>
      <c r="K172" s="445">
        <v>150.404</v>
      </c>
      <c r="L172" s="445">
        <v>128.73400000000001</v>
      </c>
      <c r="M172" s="445">
        <v>111.39700000000001</v>
      </c>
      <c r="N172" s="445">
        <v>112.858</v>
      </c>
      <c r="P172" s="445">
        <v>122.828</v>
      </c>
      <c r="Q172" s="445">
        <v>115.172</v>
      </c>
      <c r="R172" s="445">
        <v>117.691</v>
      </c>
      <c r="S172" s="445">
        <v>112.89700000000001</v>
      </c>
      <c r="T172" s="445">
        <v>139.096</v>
      </c>
      <c r="U172" s="445">
        <v>129.66200000000001</v>
      </c>
      <c r="V172" s="445">
        <v>137.37299999999999</v>
      </c>
      <c r="W172" s="445">
        <v>136.71199999999999</v>
      </c>
      <c r="X172" s="445">
        <v>132.815</v>
      </c>
      <c r="Y172" s="445">
        <v>140.124</v>
      </c>
      <c r="Z172" s="445">
        <v>130.751</v>
      </c>
      <c r="AA172" s="445">
        <v>126.285</v>
      </c>
      <c r="AB172" s="445">
        <v>141.29400000000001</v>
      </c>
      <c r="AC172" s="445">
        <v>135.47499999999999</v>
      </c>
      <c r="AD172" s="445">
        <v>141.07300000000001</v>
      </c>
      <c r="AE172" s="445">
        <v>136.18700000000001</v>
      </c>
    </row>
    <row r="173" spans="1:31">
      <c r="A173" s="444" t="s">
        <v>2277</v>
      </c>
      <c r="B173" s="445">
        <v>345.34219000000002</v>
      </c>
      <c r="C173" s="445">
        <v>179.61592999999999</v>
      </c>
      <c r="D173" s="445">
        <v>141.2106</v>
      </c>
      <c r="E173" s="445">
        <v>207.59237999999999</v>
      </c>
      <c r="F173" s="445">
        <v>589.84765000000004</v>
      </c>
      <c r="G173" s="445">
        <v>-308.56112000000002</v>
      </c>
      <c r="H173" s="445">
        <v>236.41310999999999</v>
      </c>
      <c r="I173" s="445">
        <v>270.745</v>
      </c>
      <c r="J173" s="445">
        <v>214.667</v>
      </c>
      <c r="K173" s="445">
        <v>536.649</v>
      </c>
      <c r="L173" s="445">
        <v>547.71699999999998</v>
      </c>
      <c r="M173" s="445">
        <v>516.79300000000001</v>
      </c>
      <c r="N173" s="445">
        <v>448.10899999999998</v>
      </c>
      <c r="P173" s="445">
        <v>149.49799999999999</v>
      </c>
      <c r="Q173" s="445">
        <v>161.09</v>
      </c>
      <c r="R173" s="445">
        <v>191.07</v>
      </c>
      <c r="S173" s="445">
        <v>171.899</v>
      </c>
      <c r="T173" s="445">
        <v>202.16</v>
      </c>
      <c r="U173" s="445">
        <v>622.51499999999999</v>
      </c>
      <c r="V173" s="445">
        <v>626.66800000000001</v>
      </c>
      <c r="W173" s="445">
        <v>574.19899999999996</v>
      </c>
      <c r="X173" s="445">
        <v>601.35799999999995</v>
      </c>
      <c r="Y173" s="445">
        <v>226.85900000000001</v>
      </c>
      <c r="Z173" s="445">
        <v>211.33099999999999</v>
      </c>
      <c r="AA173" s="445">
        <v>207.029</v>
      </c>
      <c r="AB173" s="445">
        <v>167.99299999999999</v>
      </c>
      <c r="AC173" s="445">
        <v>167.422</v>
      </c>
      <c r="AD173" s="445">
        <v>205.44</v>
      </c>
      <c r="AE173" s="445">
        <v>223.06399999999999</v>
      </c>
    </row>
    <row r="174" spans="1:31" ht="15.75" thickBot="1">
      <c r="A174" s="444" t="s">
        <v>2278</v>
      </c>
      <c r="B174" s="629">
        <v>16.927289999999999</v>
      </c>
      <c r="C174" s="629">
        <v>13.567689999999899</v>
      </c>
      <c r="D174" s="629">
        <v>11.00356</v>
      </c>
      <c r="E174" s="629">
        <v>11.961569999999901</v>
      </c>
      <c r="F174" s="629">
        <v>31.884599999999999</v>
      </c>
      <c r="G174" s="629">
        <v>13.275840000000001</v>
      </c>
      <c r="H174" s="629">
        <v>25.82029</v>
      </c>
      <c r="I174" s="629">
        <v>18.651</v>
      </c>
      <c r="J174" s="629">
        <v>28.050999999999998</v>
      </c>
      <c r="K174" s="629">
        <v>19.335000000000001</v>
      </c>
      <c r="L174" s="629">
        <v>31.577999999999999</v>
      </c>
      <c r="M174" s="629">
        <v>26.616</v>
      </c>
      <c r="N174" s="629">
        <v>13.507</v>
      </c>
      <c r="O174" s="629"/>
      <c r="P174" s="629">
        <v>15.497</v>
      </c>
      <c r="Q174" s="629">
        <v>16.059000000000001</v>
      </c>
      <c r="R174" s="629">
        <v>16.317</v>
      </c>
      <c r="S174" s="629">
        <v>15.565</v>
      </c>
      <c r="T174" s="629">
        <v>17.361000000000001</v>
      </c>
      <c r="U174" s="629">
        <v>27.582000000000001</v>
      </c>
      <c r="V174" s="629">
        <v>15.564</v>
      </c>
      <c r="W174" s="629">
        <v>15.59</v>
      </c>
      <c r="X174" s="629">
        <v>35.448999999999998</v>
      </c>
      <c r="Y174" s="629">
        <v>25.009</v>
      </c>
      <c r="Z174" s="629">
        <v>17.981000000000002</v>
      </c>
      <c r="AA174" s="629">
        <v>22.917999999999999</v>
      </c>
      <c r="AB174" s="629">
        <v>15.631</v>
      </c>
      <c r="AC174" s="629">
        <v>16.193000000000001</v>
      </c>
      <c r="AD174" s="629">
        <v>16.451000000000001</v>
      </c>
      <c r="AE174" s="629">
        <v>15.698</v>
      </c>
    </row>
    <row r="175" spans="1:31">
      <c r="A175" s="632" t="s">
        <v>2219</v>
      </c>
      <c r="B175" s="445">
        <v>544.12076999999999</v>
      </c>
      <c r="C175" s="445">
        <v>342.67007999999998</v>
      </c>
      <c r="D175" s="445">
        <v>321.437919999999</v>
      </c>
      <c r="E175" s="445">
        <v>388.54543000000001</v>
      </c>
      <c r="F175" s="445">
        <v>754.30210999999997</v>
      </c>
      <c r="G175" s="445">
        <v>-138.53587999999999</v>
      </c>
      <c r="H175" s="445">
        <v>561.08875</v>
      </c>
      <c r="I175" s="445">
        <v>420.87700000000001</v>
      </c>
      <c r="J175" s="445">
        <v>391.13399999999899</v>
      </c>
      <c r="K175" s="445">
        <v>706.38800000000003</v>
      </c>
      <c r="L175" s="445">
        <v>708.029</v>
      </c>
      <c r="M175" s="445">
        <v>654.80600000000004</v>
      </c>
      <c r="N175" s="445">
        <v>574.47400000000005</v>
      </c>
      <c r="P175" s="445">
        <v>287.82299999999998</v>
      </c>
      <c r="Q175" s="445">
        <v>292.32100000000003</v>
      </c>
      <c r="R175" s="445">
        <v>325.07799999999997</v>
      </c>
      <c r="S175" s="445">
        <v>300.36099999999999</v>
      </c>
      <c r="T175" s="445">
        <v>358.616999999999</v>
      </c>
      <c r="U175" s="445">
        <v>779.75900000000001</v>
      </c>
      <c r="V175" s="445">
        <v>779.60500000000002</v>
      </c>
      <c r="W175" s="445">
        <v>726.50099999999998</v>
      </c>
      <c r="X175" s="445">
        <v>769.62199999999996</v>
      </c>
      <c r="Y175" s="445">
        <v>391.99200000000002</v>
      </c>
      <c r="Z175" s="445">
        <v>360.06299999999999</v>
      </c>
      <c r="AA175" s="445">
        <v>356.23200000000003</v>
      </c>
      <c r="AB175" s="445">
        <v>324.91800000000001</v>
      </c>
      <c r="AC175" s="445">
        <v>319.08999999999997</v>
      </c>
      <c r="AD175" s="445">
        <v>362.964</v>
      </c>
      <c r="AE175" s="445">
        <v>374.94899999999899</v>
      </c>
    </row>
    <row r="176" spans="1:31">
      <c r="A176" s="444" t="s">
        <v>2279</v>
      </c>
      <c r="B176" s="445">
        <v>0.48499999999999999</v>
      </c>
      <c r="C176" s="445">
        <v>0.48499999999999999</v>
      </c>
      <c r="D176" s="445">
        <v>27.193009999999902</v>
      </c>
      <c r="E176" s="445">
        <v>2.6767699999999999</v>
      </c>
      <c r="F176" s="445">
        <v>0</v>
      </c>
      <c r="G176" s="445">
        <v>0.1</v>
      </c>
      <c r="H176" s="445">
        <v>12.084759999999999</v>
      </c>
      <c r="I176" s="445">
        <v>1.242</v>
      </c>
      <c r="J176" s="445">
        <v>0</v>
      </c>
      <c r="K176" s="445">
        <v>0</v>
      </c>
      <c r="L176" s="445">
        <v>0</v>
      </c>
      <c r="M176" s="445">
        <v>21.84</v>
      </c>
      <c r="N176" s="445">
        <v>25.794</v>
      </c>
      <c r="P176" s="445">
        <v>0</v>
      </c>
      <c r="Q176" s="445">
        <v>0</v>
      </c>
      <c r="R176" s="445">
        <v>2</v>
      </c>
      <c r="S176" s="445">
        <v>28</v>
      </c>
      <c r="T176" s="445">
        <v>2</v>
      </c>
      <c r="U176" s="445">
        <v>8</v>
      </c>
      <c r="V176" s="445">
        <v>2</v>
      </c>
      <c r="W176" s="445">
        <v>0</v>
      </c>
      <c r="X176" s="445">
        <v>0</v>
      </c>
      <c r="Y176" s="445">
        <v>0</v>
      </c>
      <c r="Z176" s="445">
        <v>28</v>
      </c>
      <c r="AA176" s="445">
        <v>32</v>
      </c>
      <c r="AB176" s="445">
        <v>0</v>
      </c>
      <c r="AC176" s="445">
        <v>0</v>
      </c>
      <c r="AD176" s="445">
        <v>2</v>
      </c>
      <c r="AE176" s="445">
        <v>28</v>
      </c>
    </row>
    <row r="177" spans="1:31" ht="15.75" thickBot="1">
      <c r="A177" s="444" t="s">
        <v>2280</v>
      </c>
      <c r="B177" s="629">
        <v>0.34569</v>
      </c>
      <c r="C177" s="629">
        <v>0.34569</v>
      </c>
      <c r="D177" s="629">
        <v>0.34569</v>
      </c>
      <c r="E177" s="629">
        <v>0.34569</v>
      </c>
      <c r="F177" s="629">
        <v>0.34569</v>
      </c>
      <c r="G177" s="629">
        <v>0.38025999999999999</v>
      </c>
      <c r="H177" s="629">
        <v>0.38025999999999999</v>
      </c>
      <c r="I177" s="629">
        <v>0.36499999999999999</v>
      </c>
      <c r="J177" s="629">
        <v>0.36499999999999999</v>
      </c>
      <c r="K177" s="629">
        <v>0.36499999999999999</v>
      </c>
      <c r="L177" s="629">
        <v>0.36499999999999999</v>
      </c>
      <c r="M177" s="629">
        <v>0.36499999999999999</v>
      </c>
      <c r="N177" s="629">
        <v>0.36499999999999999</v>
      </c>
      <c r="O177" s="629"/>
      <c r="P177" s="629">
        <v>0.35299999999999998</v>
      </c>
      <c r="Q177" s="629">
        <v>0.35299999999999998</v>
      </c>
      <c r="R177" s="629">
        <v>0.35299999999999998</v>
      </c>
      <c r="S177" s="629">
        <v>0.35299999999999998</v>
      </c>
      <c r="T177" s="629">
        <v>0.35299999999999998</v>
      </c>
      <c r="U177" s="629">
        <v>0.35299999999999998</v>
      </c>
      <c r="V177" s="629">
        <v>0.35299999999999998</v>
      </c>
      <c r="W177" s="629">
        <v>0.35299999999999998</v>
      </c>
      <c r="X177" s="629">
        <v>0.35299999999999998</v>
      </c>
      <c r="Y177" s="629">
        <v>0.35299999999999998</v>
      </c>
      <c r="Z177" s="629">
        <v>0.35299999999999998</v>
      </c>
      <c r="AA177" s="629">
        <v>0.35299999999999998</v>
      </c>
      <c r="AB177" s="629">
        <v>0.35299999999999998</v>
      </c>
      <c r="AC177" s="629">
        <v>0.35299999999999998</v>
      </c>
      <c r="AD177" s="629">
        <v>0.35299999999999998</v>
      </c>
      <c r="AE177" s="629">
        <v>0.35299999999999998</v>
      </c>
    </row>
    <row r="178" spans="1:31">
      <c r="A178" s="632" t="s">
        <v>2221</v>
      </c>
      <c r="B178" s="445">
        <v>0.83068999999999904</v>
      </c>
      <c r="C178" s="445">
        <v>0.83068999999999904</v>
      </c>
      <c r="D178" s="445">
        <v>27.538699999999999</v>
      </c>
      <c r="E178" s="445">
        <v>3.0224599999999899</v>
      </c>
      <c r="F178" s="445">
        <v>0.34569</v>
      </c>
      <c r="G178" s="445">
        <v>0.48026000000000002</v>
      </c>
      <c r="H178" s="445">
        <v>12.465020000000001</v>
      </c>
      <c r="I178" s="445">
        <v>1.607</v>
      </c>
      <c r="J178" s="445">
        <v>0.36499999999999999</v>
      </c>
      <c r="K178" s="445">
        <v>0.36499999999999999</v>
      </c>
      <c r="L178" s="445">
        <v>0.36499999999999999</v>
      </c>
      <c r="M178" s="445">
        <v>22.204999999999998</v>
      </c>
      <c r="N178" s="445">
        <v>26.158999999999999</v>
      </c>
      <c r="P178" s="445">
        <v>0.35299999999999998</v>
      </c>
      <c r="Q178" s="445">
        <v>0.35299999999999998</v>
      </c>
      <c r="R178" s="445">
        <v>2.35299999999999</v>
      </c>
      <c r="S178" s="445">
        <v>28.353000000000002</v>
      </c>
      <c r="T178" s="445">
        <v>2.35299999999999</v>
      </c>
      <c r="U178" s="445">
        <v>8.3529999999999998</v>
      </c>
      <c r="V178" s="445">
        <v>2.35299999999999</v>
      </c>
      <c r="W178" s="445">
        <v>0.35299999999999998</v>
      </c>
      <c r="X178" s="445">
        <v>0.35299999999999998</v>
      </c>
      <c r="Y178" s="445">
        <v>0.35299999999999998</v>
      </c>
      <c r="Z178" s="445">
        <v>28.353000000000002</v>
      </c>
      <c r="AA178" s="445">
        <v>32.353000000000002</v>
      </c>
      <c r="AB178" s="445">
        <v>0.35299999999999998</v>
      </c>
      <c r="AC178" s="445">
        <v>0.35299999999999998</v>
      </c>
      <c r="AD178" s="445">
        <v>2.35299999999999</v>
      </c>
      <c r="AE178" s="445">
        <v>28.353000000000002</v>
      </c>
    </row>
    <row r="179" spans="1:31">
      <c r="B179" s="628"/>
      <c r="C179" s="628"/>
      <c r="D179" s="628"/>
      <c r="E179" s="628"/>
      <c r="F179" s="628"/>
      <c r="G179" s="628"/>
      <c r="H179" s="628"/>
      <c r="I179" s="628"/>
      <c r="J179" s="628"/>
      <c r="K179" s="628"/>
      <c r="L179" s="628"/>
      <c r="M179" s="628"/>
      <c r="N179" s="628"/>
      <c r="O179" s="628"/>
      <c r="P179" s="628"/>
      <c r="Q179" s="628"/>
      <c r="R179" s="628"/>
      <c r="S179" s="628"/>
      <c r="T179" s="628"/>
      <c r="U179" s="628"/>
      <c r="V179" s="628"/>
      <c r="W179" s="628"/>
      <c r="X179" s="628"/>
      <c r="Y179" s="628"/>
      <c r="Z179" s="628"/>
      <c r="AA179" s="628"/>
      <c r="AB179" s="628"/>
      <c r="AC179" s="628"/>
      <c r="AD179" s="628"/>
      <c r="AE179" s="628"/>
    </row>
    <row r="180" spans="1:31">
      <c r="A180" s="447" t="s">
        <v>2281</v>
      </c>
      <c r="B180" s="626">
        <v>1517.55584</v>
      </c>
      <c r="C180" s="626">
        <v>1916.9450899999999</v>
      </c>
      <c r="D180" s="626">
        <v>1376.1711600000001</v>
      </c>
      <c r="E180" s="626">
        <v>1357.5606599999901</v>
      </c>
      <c r="F180" s="626">
        <v>1820.00641</v>
      </c>
      <c r="G180" s="626">
        <v>840.07245</v>
      </c>
      <c r="H180" s="626">
        <v>1727.6960200000001</v>
      </c>
      <c r="I180" s="626">
        <v>1531.232</v>
      </c>
      <c r="J180" s="626">
        <v>2497.9559999999901</v>
      </c>
      <c r="K180" s="626">
        <v>2169.4199999999901</v>
      </c>
      <c r="L180" s="626">
        <v>2077.9029999999998</v>
      </c>
      <c r="M180" s="626">
        <v>1886.587</v>
      </c>
      <c r="N180" s="626">
        <v>1948.105</v>
      </c>
      <c r="O180" s="626"/>
      <c r="P180" s="626">
        <v>1719.634</v>
      </c>
      <c r="Q180" s="626">
        <v>1574.5909999999999</v>
      </c>
      <c r="R180" s="626">
        <v>1705.6799999999901</v>
      </c>
      <c r="S180" s="626">
        <v>1673.38299999999</v>
      </c>
      <c r="T180" s="626">
        <v>1885.289</v>
      </c>
      <c r="U180" s="626">
        <v>2249.614</v>
      </c>
      <c r="V180" s="626">
        <v>2391.933</v>
      </c>
      <c r="W180" s="626">
        <v>2264.6210000000001</v>
      </c>
      <c r="X180" s="626">
        <v>2293.8159999999998</v>
      </c>
      <c r="Y180" s="626">
        <v>2039.818</v>
      </c>
      <c r="Z180" s="626">
        <v>1794.9259999999999</v>
      </c>
      <c r="AA180" s="626">
        <v>1962.1479999999999</v>
      </c>
      <c r="AB180" s="626">
        <v>1958.546</v>
      </c>
      <c r="AC180" s="626">
        <v>1830.3620000000001</v>
      </c>
      <c r="AD180" s="626">
        <v>1848.1279999999999</v>
      </c>
      <c r="AE180" s="626">
        <v>1990.242</v>
      </c>
    </row>
    <row r="181" spans="1:31">
      <c r="A181" s="444" t="s">
        <v>539</v>
      </c>
      <c r="B181" s="628"/>
      <c r="C181" s="628"/>
      <c r="D181" s="628"/>
      <c r="E181" s="628"/>
      <c r="F181" s="628"/>
      <c r="G181" s="628"/>
      <c r="H181" s="628"/>
      <c r="I181" s="628"/>
      <c r="J181" s="628"/>
      <c r="K181" s="628"/>
      <c r="L181" s="628"/>
      <c r="M181" s="628"/>
      <c r="N181" s="628"/>
      <c r="O181" s="628"/>
      <c r="P181" s="628"/>
      <c r="Q181" s="628"/>
      <c r="R181" s="628"/>
      <c r="S181" s="628"/>
      <c r="T181" s="628"/>
      <c r="U181" s="628"/>
      <c r="V181" s="628"/>
      <c r="W181" s="628"/>
      <c r="X181" s="628"/>
      <c r="Y181" s="628"/>
      <c r="Z181" s="628"/>
      <c r="AA181" s="628"/>
      <c r="AB181" s="628"/>
      <c r="AC181" s="628"/>
      <c r="AD181" s="628"/>
      <c r="AE181" s="628"/>
    </row>
    <row r="182" spans="1:31">
      <c r="A182" s="444" t="s">
        <v>2282</v>
      </c>
      <c r="B182" s="445">
        <v>123.81424</v>
      </c>
      <c r="C182" s="445">
        <v>130.13055</v>
      </c>
      <c r="D182" s="445">
        <v>147.89613</v>
      </c>
      <c r="E182" s="445">
        <v>184.97282999999999</v>
      </c>
      <c r="F182" s="445">
        <v>163.15195</v>
      </c>
      <c r="G182" s="445">
        <v>159.92850999999999</v>
      </c>
      <c r="H182" s="445">
        <v>512.91186000000005</v>
      </c>
      <c r="I182" s="445">
        <v>249.88200000000001</v>
      </c>
      <c r="J182" s="445">
        <v>232.2</v>
      </c>
      <c r="K182" s="445">
        <v>205.161</v>
      </c>
      <c r="L182" s="445">
        <v>191.32900000000001</v>
      </c>
      <c r="M182" s="445">
        <v>174.233</v>
      </c>
      <c r="N182" s="445">
        <v>167.69200000000001</v>
      </c>
      <c r="P182" s="445">
        <v>155.584</v>
      </c>
      <c r="Q182" s="445">
        <v>149.81</v>
      </c>
      <c r="R182" s="445">
        <v>167.43100000000001</v>
      </c>
      <c r="S182" s="445">
        <v>194.61599999999899</v>
      </c>
      <c r="T182" s="445">
        <v>186.60199999999901</v>
      </c>
      <c r="U182" s="445">
        <v>217.44800000000001</v>
      </c>
      <c r="V182" s="445">
        <v>258.59899999999999</v>
      </c>
      <c r="W182" s="445">
        <v>203.06299999999999</v>
      </c>
      <c r="X182" s="445">
        <v>173.822</v>
      </c>
      <c r="Y182" s="445">
        <v>173.62100000000001</v>
      </c>
      <c r="Z182" s="445">
        <v>156.58500000000001</v>
      </c>
      <c r="AA182" s="445">
        <v>156.64699999999999</v>
      </c>
      <c r="AB182" s="445">
        <v>159.54900000000001</v>
      </c>
      <c r="AC182" s="445">
        <v>151.43799999999999</v>
      </c>
      <c r="AD182" s="445">
        <v>177.107</v>
      </c>
      <c r="AE182" s="445">
        <v>200.429</v>
      </c>
    </row>
    <row r="183" spans="1:31">
      <c r="A183" s="444" t="s">
        <v>2283</v>
      </c>
      <c r="B183" s="445">
        <v>54.761369999999999</v>
      </c>
      <c r="C183" s="445">
        <v>49.022039999999997</v>
      </c>
      <c r="D183" s="445">
        <v>54.093130000000002</v>
      </c>
      <c r="E183" s="445">
        <v>42.092849999999999</v>
      </c>
      <c r="F183" s="445">
        <v>23.465150000000001</v>
      </c>
      <c r="G183" s="445">
        <v>20.80171</v>
      </c>
      <c r="H183" s="445">
        <v>13.344049999999999</v>
      </c>
      <c r="I183" s="445">
        <v>19.821000000000002</v>
      </c>
      <c r="J183" s="445">
        <v>22.527000000000001</v>
      </c>
      <c r="K183" s="445">
        <v>18.623000000000001</v>
      </c>
      <c r="L183" s="445">
        <v>22.646999999999998</v>
      </c>
      <c r="M183" s="445">
        <v>19.463000000000001</v>
      </c>
      <c r="N183" s="445">
        <v>15.891</v>
      </c>
      <c r="P183" s="445">
        <v>17.003</v>
      </c>
      <c r="Q183" s="445">
        <v>15.112</v>
      </c>
      <c r="R183" s="445">
        <v>15.481999999999999</v>
      </c>
      <c r="S183" s="445">
        <v>14.935</v>
      </c>
      <c r="T183" s="445">
        <v>17.036000000000001</v>
      </c>
      <c r="U183" s="445">
        <v>13.648999999999999</v>
      </c>
      <c r="V183" s="445">
        <v>17.651</v>
      </c>
      <c r="W183" s="445">
        <v>18.491</v>
      </c>
      <c r="X183" s="445">
        <v>17.07</v>
      </c>
      <c r="Y183" s="445">
        <v>19.312000000000001</v>
      </c>
      <c r="Z183" s="445">
        <v>15.778</v>
      </c>
      <c r="AA183" s="445">
        <v>14.723000000000001</v>
      </c>
      <c r="AB183" s="445">
        <v>19.076000000000001</v>
      </c>
      <c r="AC183" s="445">
        <v>16.995000000000001</v>
      </c>
      <c r="AD183" s="445">
        <v>19.023999999999901</v>
      </c>
      <c r="AE183" s="445">
        <v>17.545000000000002</v>
      </c>
    </row>
    <row r="184" spans="1:31">
      <c r="A184" s="444" t="s">
        <v>2284</v>
      </c>
      <c r="B184" s="445">
        <v>236.97014999999999</v>
      </c>
      <c r="C184" s="445">
        <v>149.11438999999999</v>
      </c>
      <c r="D184" s="445">
        <v>167.23381000000001</v>
      </c>
      <c r="E184" s="445">
        <v>160.70406</v>
      </c>
      <c r="F184" s="445">
        <v>171.39883</v>
      </c>
      <c r="G184" s="445">
        <v>152.14454000000001</v>
      </c>
      <c r="H184" s="445">
        <v>172.20454000000001</v>
      </c>
      <c r="I184" s="445">
        <v>90.180999999999997</v>
      </c>
      <c r="J184" s="445">
        <v>107.934</v>
      </c>
      <c r="K184" s="445">
        <v>110.60299999999999</v>
      </c>
      <c r="L184" s="445">
        <v>113.83799999999999</v>
      </c>
      <c r="M184" s="445">
        <v>103.142</v>
      </c>
      <c r="N184" s="445">
        <v>113.672</v>
      </c>
      <c r="P184" s="445">
        <v>137.82300000000001</v>
      </c>
      <c r="Q184" s="445">
        <v>132.99</v>
      </c>
      <c r="R184" s="445">
        <v>139.31800000000001</v>
      </c>
      <c r="S184" s="445">
        <v>135.07400000000001</v>
      </c>
      <c r="T184" s="445">
        <v>136.77000000000001</v>
      </c>
      <c r="U184" s="445">
        <v>141.77600000000001</v>
      </c>
      <c r="V184" s="445">
        <v>147.679</v>
      </c>
      <c r="W184" s="445">
        <v>148.81700000000001</v>
      </c>
      <c r="X184" s="445">
        <v>134.34700000000001</v>
      </c>
      <c r="Y184" s="445">
        <v>148.65299999999999</v>
      </c>
      <c r="Z184" s="445">
        <v>133.065</v>
      </c>
      <c r="AA184" s="445">
        <v>145.714</v>
      </c>
      <c r="AB184" s="445">
        <v>143.96199999999999</v>
      </c>
      <c r="AC184" s="445">
        <v>134.85599999999999</v>
      </c>
      <c r="AD184" s="445">
        <v>150.90100000000001</v>
      </c>
      <c r="AE184" s="445">
        <v>137.68299999999999</v>
      </c>
    </row>
    <row r="185" spans="1:31">
      <c r="A185" s="444" t="s">
        <v>2285</v>
      </c>
      <c r="B185" s="445">
        <v>494.03959999999898</v>
      </c>
      <c r="C185" s="445">
        <v>493.82745</v>
      </c>
      <c r="D185" s="445">
        <v>455.266899999999</v>
      </c>
      <c r="E185" s="445">
        <v>629.77148</v>
      </c>
      <c r="F185" s="445">
        <v>747.11341000000004</v>
      </c>
      <c r="G185" s="445">
        <v>773.90574000000004</v>
      </c>
      <c r="H185" s="445">
        <v>645.34319000000005</v>
      </c>
      <c r="I185" s="445">
        <v>672.02200000000005</v>
      </c>
      <c r="J185" s="445">
        <v>580.90699999999902</v>
      </c>
      <c r="K185" s="445">
        <v>545.48500000000001</v>
      </c>
      <c r="L185" s="445">
        <v>535.67399999999998</v>
      </c>
      <c r="M185" s="445">
        <v>473.815</v>
      </c>
      <c r="N185" s="445">
        <v>450.85399999999998</v>
      </c>
      <c r="P185" s="445">
        <v>609.55099999999902</v>
      </c>
      <c r="Q185" s="445">
        <v>634.60299999999995</v>
      </c>
      <c r="R185" s="445">
        <v>673.61599999999999</v>
      </c>
      <c r="S185" s="445">
        <v>711.74800000000005</v>
      </c>
      <c r="T185" s="445">
        <v>685.70899999999995</v>
      </c>
      <c r="U185" s="445">
        <v>707.69</v>
      </c>
      <c r="V185" s="445">
        <v>744.35500000000002</v>
      </c>
      <c r="W185" s="445">
        <v>699.57600000000002</v>
      </c>
      <c r="X185" s="445">
        <v>661.64300000000003</v>
      </c>
      <c r="Y185" s="445">
        <v>657.83100000000002</v>
      </c>
      <c r="Z185" s="445">
        <v>648.07500000000005</v>
      </c>
      <c r="AA185" s="445">
        <v>604.67700000000002</v>
      </c>
      <c r="AB185" s="445">
        <v>634.62900000000002</v>
      </c>
      <c r="AC185" s="445">
        <v>632.4</v>
      </c>
      <c r="AD185" s="445">
        <v>691.28200000000004</v>
      </c>
      <c r="AE185" s="445">
        <v>748.17599999999902</v>
      </c>
    </row>
    <row r="186" spans="1:31">
      <c r="A186" s="444" t="s">
        <v>2286</v>
      </c>
      <c r="B186" s="445">
        <v>30.956079999999901</v>
      </c>
      <c r="C186" s="445">
        <v>70.894599999999997</v>
      </c>
      <c r="D186" s="445">
        <v>48.994059999999998</v>
      </c>
      <c r="E186" s="445">
        <v>38.984549999999999</v>
      </c>
      <c r="F186" s="445">
        <v>30.050439999999998</v>
      </c>
      <c r="G186" s="445">
        <v>24.70402</v>
      </c>
      <c r="H186" s="445">
        <v>41.022860000000001</v>
      </c>
      <c r="I186" s="445">
        <v>37.195</v>
      </c>
      <c r="J186" s="445">
        <v>37.843000000000004</v>
      </c>
      <c r="K186" s="445">
        <v>38.710999999999999</v>
      </c>
      <c r="L186" s="445">
        <v>39.713999999999999</v>
      </c>
      <c r="M186" s="445">
        <v>37.834000000000003</v>
      </c>
      <c r="N186" s="445">
        <v>37.018999999999998</v>
      </c>
      <c r="P186" s="445">
        <v>38.853999999999999</v>
      </c>
      <c r="Q186" s="445">
        <v>42.377000000000002</v>
      </c>
      <c r="R186" s="445">
        <v>44.929000000000002</v>
      </c>
      <c r="S186" s="445">
        <v>42.278999999999897</v>
      </c>
      <c r="T186" s="445">
        <v>43.395000000000003</v>
      </c>
      <c r="U186" s="445">
        <v>45.835000000000001</v>
      </c>
      <c r="V186" s="445">
        <v>46.604999999999997</v>
      </c>
      <c r="W186" s="445">
        <v>43.664999999999999</v>
      </c>
      <c r="X186" s="445">
        <v>49.655999999999999</v>
      </c>
      <c r="Y186" s="445">
        <v>42.591999999999999</v>
      </c>
      <c r="Z186" s="445">
        <v>41.609000000000002</v>
      </c>
      <c r="AA186" s="445">
        <v>41.337000000000003</v>
      </c>
      <c r="AB186" s="445">
        <v>45.793999999999997</v>
      </c>
      <c r="AC186" s="445">
        <v>43.225999999999999</v>
      </c>
      <c r="AD186" s="445">
        <v>47.875</v>
      </c>
      <c r="AE186" s="445">
        <v>43.676000000000002</v>
      </c>
    </row>
    <row r="187" spans="1:31">
      <c r="A187" s="444" t="s">
        <v>2287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2288</v>
      </c>
      <c r="B188" s="445">
        <v>535.27337</v>
      </c>
      <c r="C188" s="445">
        <v>545.50278000000003</v>
      </c>
      <c r="D188" s="445">
        <v>523.27715000000001</v>
      </c>
      <c r="E188" s="445">
        <v>584.57226000000003</v>
      </c>
      <c r="F188" s="445">
        <v>620.01640999999995</v>
      </c>
      <c r="G188" s="445">
        <v>491.03955999999999</v>
      </c>
      <c r="H188" s="445">
        <v>599.32416999999998</v>
      </c>
      <c r="I188" s="445">
        <v>575.58199999999999</v>
      </c>
      <c r="J188" s="445">
        <v>609.57399999999996</v>
      </c>
      <c r="K188" s="445">
        <v>577.27300000000002</v>
      </c>
      <c r="L188" s="445">
        <v>611.051999999999</v>
      </c>
      <c r="M188" s="445">
        <v>588.29100000000005</v>
      </c>
      <c r="N188" s="445">
        <v>579.15899999999999</v>
      </c>
      <c r="P188" s="445">
        <v>712.52199999999903</v>
      </c>
      <c r="Q188" s="445">
        <v>642.65899999999999</v>
      </c>
      <c r="R188" s="445">
        <v>655.495</v>
      </c>
      <c r="S188" s="445">
        <v>661.00599999999997</v>
      </c>
      <c r="T188" s="445">
        <v>703.76700000000005</v>
      </c>
      <c r="U188" s="445">
        <v>623.03499999999997</v>
      </c>
      <c r="V188" s="445">
        <v>695.02300000000002</v>
      </c>
      <c r="W188" s="445">
        <v>703.05700000000002</v>
      </c>
      <c r="X188" s="445">
        <v>675.697</v>
      </c>
      <c r="Y188" s="445">
        <v>715.35199999999998</v>
      </c>
      <c r="Z188" s="445">
        <v>668.73599999999999</v>
      </c>
      <c r="AA188" s="445">
        <v>662.75900000000001</v>
      </c>
      <c r="AB188" s="445">
        <v>776.31700000000001</v>
      </c>
      <c r="AC188" s="445">
        <v>706.16800000000001</v>
      </c>
      <c r="AD188" s="445">
        <v>747.524</v>
      </c>
      <c r="AE188" s="445">
        <v>741.39099999999996</v>
      </c>
    </row>
    <row r="189" spans="1:31">
      <c r="A189" s="444" t="s">
        <v>2289</v>
      </c>
      <c r="B189" s="445">
        <v>0.11375</v>
      </c>
      <c r="C189" s="445">
        <v>0.28416000000000002</v>
      </c>
      <c r="D189" s="445">
        <v>0</v>
      </c>
      <c r="E189" s="445">
        <v>7.0000000000000007E-2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 ht="15.75" thickBot="1">
      <c r="A190" s="444" t="s">
        <v>2290</v>
      </c>
      <c r="B190" s="629">
        <v>392.27665000000002</v>
      </c>
      <c r="C190" s="629">
        <v>481.87795</v>
      </c>
      <c r="D190" s="629">
        <v>447.11590999999999</v>
      </c>
      <c r="E190" s="629">
        <v>764.99162999999999</v>
      </c>
      <c r="F190" s="629">
        <v>506.66640000000001</v>
      </c>
      <c r="G190" s="629">
        <v>470.191699999999</v>
      </c>
      <c r="H190" s="629">
        <v>403.51576999999997</v>
      </c>
      <c r="I190" s="629">
        <v>484.08600000000001</v>
      </c>
      <c r="J190" s="629">
        <v>480.34799999999899</v>
      </c>
      <c r="K190" s="629">
        <v>503.92099999999999</v>
      </c>
      <c r="L190" s="629">
        <v>511.79399999999998</v>
      </c>
      <c r="M190" s="629">
        <v>442.37599999999998</v>
      </c>
      <c r="N190" s="629">
        <v>451.971</v>
      </c>
      <c r="O190" s="629"/>
      <c r="P190" s="629">
        <v>479.83</v>
      </c>
      <c r="Q190" s="629">
        <v>473.46199999999999</v>
      </c>
      <c r="R190" s="629">
        <v>489.733</v>
      </c>
      <c r="S190" s="629">
        <v>582.21900000000005</v>
      </c>
      <c r="T190" s="629">
        <v>518.74199999999996</v>
      </c>
      <c r="U190" s="629">
        <v>518.55999999999995</v>
      </c>
      <c r="V190" s="629">
        <v>586.9</v>
      </c>
      <c r="W190" s="629">
        <v>513.54999999999995</v>
      </c>
      <c r="X190" s="629">
        <v>532.27599999999995</v>
      </c>
      <c r="Y190" s="629">
        <v>565.31600000000003</v>
      </c>
      <c r="Z190" s="629">
        <v>453.15899999999999</v>
      </c>
      <c r="AA190" s="629">
        <v>450.23</v>
      </c>
      <c r="AB190" s="629">
        <v>509.21300000000002</v>
      </c>
      <c r="AC190" s="629">
        <v>459.55</v>
      </c>
      <c r="AD190" s="629">
        <v>475.40600000000001</v>
      </c>
      <c r="AE190" s="629">
        <v>579.29099999999903</v>
      </c>
    </row>
    <row r="191" spans="1:31">
      <c r="A191" s="632" t="s">
        <v>2212</v>
      </c>
      <c r="B191" s="445">
        <v>1868.2052099999901</v>
      </c>
      <c r="C191" s="445">
        <v>1920.65392</v>
      </c>
      <c r="D191" s="445">
        <v>1843.87709</v>
      </c>
      <c r="E191" s="445">
        <v>2406.1596599999998</v>
      </c>
      <c r="F191" s="445">
        <v>2261.8625900000002</v>
      </c>
      <c r="G191" s="445">
        <v>2092.71578</v>
      </c>
      <c r="H191" s="445">
        <v>2387.66644</v>
      </c>
      <c r="I191" s="445">
        <v>2128.7689999999998</v>
      </c>
      <c r="J191" s="445">
        <v>2071.3329999999901</v>
      </c>
      <c r="K191" s="445">
        <v>1999.777</v>
      </c>
      <c r="L191" s="445">
        <v>2026.04799999999</v>
      </c>
      <c r="M191" s="445">
        <v>1839.154</v>
      </c>
      <c r="N191" s="445">
        <v>1816.25799999999</v>
      </c>
      <c r="P191" s="445">
        <v>2151.1669999999999</v>
      </c>
      <c r="Q191" s="445">
        <v>2091.0129999999999</v>
      </c>
      <c r="R191" s="445">
        <v>2186.0039999999999</v>
      </c>
      <c r="S191" s="445">
        <v>2341.877</v>
      </c>
      <c r="T191" s="445">
        <v>2292.0210000000002</v>
      </c>
      <c r="U191" s="445">
        <v>2267.9929999999999</v>
      </c>
      <c r="V191" s="445">
        <v>2496.8119999999999</v>
      </c>
      <c r="W191" s="445">
        <v>2330.2190000000001</v>
      </c>
      <c r="X191" s="445">
        <v>2244.511</v>
      </c>
      <c r="Y191" s="445">
        <v>2322.6769999999901</v>
      </c>
      <c r="Z191" s="445">
        <v>2117.0070000000001</v>
      </c>
      <c r="AA191" s="445">
        <v>2076.087</v>
      </c>
      <c r="AB191" s="445">
        <v>2288.54</v>
      </c>
      <c r="AC191" s="445">
        <v>2144.6329999999998</v>
      </c>
      <c r="AD191" s="445">
        <v>2309.1190000000001</v>
      </c>
      <c r="AE191" s="445">
        <v>2468.1909999999998</v>
      </c>
    </row>
    <row r="192" spans="1:31">
      <c r="A192" s="444" t="s">
        <v>2291</v>
      </c>
      <c r="B192" s="445">
        <v>0.26619999999999999</v>
      </c>
      <c r="C192" s="445">
        <v>5.7408799999999998</v>
      </c>
      <c r="D192" s="445">
        <v>1.77355</v>
      </c>
      <c r="E192" s="445">
        <v>16.094729999999998</v>
      </c>
      <c r="F192" s="445">
        <v>0.74753999999999998</v>
      </c>
      <c r="G192" s="445">
        <v>1.7097199999999999</v>
      </c>
      <c r="H192" s="445">
        <v>6.7065199999999896</v>
      </c>
      <c r="I192" s="445">
        <v>13.775</v>
      </c>
      <c r="J192" s="445">
        <v>5.5789999999999997</v>
      </c>
      <c r="K192" s="445">
        <v>3.2810000000000001</v>
      </c>
      <c r="L192" s="445">
        <v>1.96</v>
      </c>
      <c r="M192" s="445">
        <v>1.627</v>
      </c>
      <c r="N192" s="445">
        <v>2.4529999999999998</v>
      </c>
      <c r="P192" s="445">
        <v>0.80900000000000005</v>
      </c>
      <c r="Q192" s="445">
        <v>1.819</v>
      </c>
      <c r="R192" s="445">
        <v>3.0609999999999999</v>
      </c>
      <c r="S192" s="445">
        <v>6.39</v>
      </c>
      <c r="T192" s="445">
        <v>2.3239999999999998</v>
      </c>
      <c r="U192" s="445">
        <v>8.3859999999999992</v>
      </c>
      <c r="V192" s="445">
        <v>11.553000000000001</v>
      </c>
      <c r="W192" s="445">
        <v>4.9909999999999997</v>
      </c>
      <c r="X192" s="445">
        <v>2.7029999999999998</v>
      </c>
      <c r="Y192" s="445">
        <v>1.601</v>
      </c>
      <c r="Z192" s="445">
        <v>2.073</v>
      </c>
      <c r="AA192" s="445">
        <v>1.9770000000000001</v>
      </c>
      <c r="AB192" s="445">
        <v>0.83199999999999996</v>
      </c>
      <c r="AC192" s="445">
        <v>1.869</v>
      </c>
      <c r="AD192" s="445">
        <v>3.1459999999999999</v>
      </c>
      <c r="AE192" s="445">
        <v>6.5659999999999998</v>
      </c>
    </row>
    <row r="193" spans="1:31">
      <c r="A193" s="444" t="s">
        <v>2292</v>
      </c>
      <c r="B193" s="445">
        <v>0</v>
      </c>
      <c r="C193" s="445">
        <v>0.47611999999999999</v>
      </c>
      <c r="D193" s="445">
        <v>0</v>
      </c>
      <c r="E193" s="445">
        <v>0.15342</v>
      </c>
      <c r="F193" s="445">
        <v>0.39591999999999999</v>
      </c>
      <c r="G193" s="445">
        <v>0.38646999999999998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2293</v>
      </c>
      <c r="B194" s="445">
        <v>116.28588000000001</v>
      </c>
      <c r="C194" s="445">
        <v>30.158459999999899</v>
      </c>
      <c r="D194" s="445">
        <v>93.884699999999995</v>
      </c>
      <c r="E194" s="445">
        <v>143.75140999999999</v>
      </c>
      <c r="F194" s="445">
        <v>94.788789999999906</v>
      </c>
      <c r="G194" s="445">
        <v>85.306179999999998</v>
      </c>
      <c r="H194" s="445">
        <v>79.827509999999904</v>
      </c>
      <c r="I194" s="445">
        <v>147.90100000000001</v>
      </c>
      <c r="J194" s="445">
        <v>196.917</v>
      </c>
      <c r="K194" s="445">
        <v>193.61699999999999</v>
      </c>
      <c r="L194" s="445">
        <v>177.78100000000001</v>
      </c>
      <c r="M194" s="445">
        <v>152.58699999999999</v>
      </c>
      <c r="N194" s="445">
        <v>164.62200000000001</v>
      </c>
      <c r="P194" s="445">
        <v>141.40600000000001</v>
      </c>
      <c r="Q194" s="445">
        <v>123.092</v>
      </c>
      <c r="R194" s="445">
        <v>143.42099999999999</v>
      </c>
      <c r="S194" s="445">
        <v>146.78700000000001</v>
      </c>
      <c r="T194" s="445">
        <v>153.75399999999999</v>
      </c>
      <c r="U194" s="445">
        <v>164.77799999999999</v>
      </c>
      <c r="V194" s="445">
        <v>167.78299999999999</v>
      </c>
      <c r="W194" s="445">
        <v>159.56800000000001</v>
      </c>
      <c r="X194" s="445">
        <v>164.14699999999999</v>
      </c>
      <c r="Y194" s="445">
        <v>166.755</v>
      </c>
      <c r="Z194" s="445">
        <v>145.59800000000001</v>
      </c>
      <c r="AA194" s="445">
        <v>112.89</v>
      </c>
      <c r="AB194" s="445">
        <v>140.16</v>
      </c>
      <c r="AC194" s="445">
        <v>125.568</v>
      </c>
      <c r="AD194" s="445">
        <v>155.441</v>
      </c>
      <c r="AE194" s="445">
        <v>149.04</v>
      </c>
    </row>
    <row r="195" spans="1:31">
      <c r="A195" s="444" t="s">
        <v>2294</v>
      </c>
      <c r="B195" s="445">
        <v>1539.5747200000001</v>
      </c>
      <c r="C195" s="445">
        <v>1567.4053699999999</v>
      </c>
      <c r="D195" s="445">
        <v>1929.6675599999901</v>
      </c>
      <c r="E195" s="445">
        <v>2056.5617299999999</v>
      </c>
      <c r="F195" s="445">
        <v>1689.39931</v>
      </c>
      <c r="G195" s="445">
        <v>1701.22228</v>
      </c>
      <c r="H195" s="445">
        <v>2737.1444900000001</v>
      </c>
      <c r="I195" s="445">
        <v>4547.2879999999996</v>
      </c>
      <c r="J195" s="445">
        <v>1821.933</v>
      </c>
      <c r="K195" s="445">
        <v>1812.5709999999999</v>
      </c>
      <c r="L195" s="445">
        <v>1766.712</v>
      </c>
      <c r="M195" s="445">
        <v>-645.02599999999995</v>
      </c>
      <c r="N195" s="445">
        <v>1807.5550000000001</v>
      </c>
      <c r="P195" s="445">
        <v>1449.5050000000001</v>
      </c>
      <c r="Q195" s="445">
        <v>1492.9010000000001</v>
      </c>
      <c r="R195" s="445">
        <v>1584.0509999999999</v>
      </c>
      <c r="S195" s="445">
        <v>1744.58</v>
      </c>
      <c r="T195" s="445">
        <v>1463.375</v>
      </c>
      <c r="U195" s="445">
        <v>1740.1399999999901</v>
      </c>
      <c r="V195" s="445">
        <v>1909.865</v>
      </c>
      <c r="W195" s="445">
        <v>1581.34</v>
      </c>
      <c r="X195" s="445">
        <v>1638.345</v>
      </c>
      <c r="Y195" s="445">
        <v>1580.616</v>
      </c>
      <c r="Z195" s="445">
        <v>1583.9970000000001</v>
      </c>
      <c r="AA195" s="445">
        <v>1614.8979999999999</v>
      </c>
      <c r="AB195" s="445">
        <v>1160.5119999999999</v>
      </c>
      <c r="AC195" s="445">
        <v>1183.845</v>
      </c>
      <c r="AD195" s="445">
        <v>1270.6659999999999</v>
      </c>
      <c r="AE195" s="445">
        <v>1434.2280000000001</v>
      </c>
    </row>
    <row r="196" spans="1:31">
      <c r="A196" s="444" t="s">
        <v>2295</v>
      </c>
      <c r="B196" s="445">
        <v>94.049210000000002</v>
      </c>
      <c r="C196" s="445">
        <v>65.191609999999997</v>
      </c>
      <c r="D196" s="445">
        <v>99.287769999999995</v>
      </c>
      <c r="E196" s="445">
        <v>139.77325999999999</v>
      </c>
      <c r="F196" s="445">
        <v>122.2432</v>
      </c>
      <c r="G196" s="445">
        <v>142.66933</v>
      </c>
      <c r="H196" s="445">
        <v>60.357909999999997</v>
      </c>
      <c r="I196" s="445">
        <v>133.16900000000001</v>
      </c>
      <c r="J196" s="445">
        <v>122.541</v>
      </c>
      <c r="K196" s="445">
        <v>115.47</v>
      </c>
      <c r="L196" s="445">
        <v>115.929</v>
      </c>
      <c r="M196" s="445">
        <v>112.43300000000001</v>
      </c>
      <c r="N196" s="445">
        <v>118.59699999999999</v>
      </c>
      <c r="P196" s="445">
        <v>110.691</v>
      </c>
      <c r="Q196" s="445">
        <v>117.79</v>
      </c>
      <c r="R196" s="445">
        <v>117.238</v>
      </c>
      <c r="S196" s="445">
        <v>126.651</v>
      </c>
      <c r="T196" s="445">
        <v>117.404</v>
      </c>
      <c r="U196" s="445">
        <v>134.81299999999999</v>
      </c>
      <c r="V196" s="445">
        <v>135.392</v>
      </c>
      <c r="W196" s="445">
        <v>124.64</v>
      </c>
      <c r="X196" s="445">
        <v>118.586</v>
      </c>
      <c r="Y196" s="445">
        <v>117.88</v>
      </c>
      <c r="Z196" s="445">
        <v>112.178</v>
      </c>
      <c r="AA196" s="445">
        <v>117.886</v>
      </c>
      <c r="AB196" s="445">
        <v>124.578</v>
      </c>
      <c r="AC196" s="445">
        <v>120.30200000000001</v>
      </c>
      <c r="AD196" s="445">
        <v>123.15</v>
      </c>
      <c r="AE196" s="445">
        <v>128.21700000000001</v>
      </c>
    </row>
    <row r="197" spans="1:31">
      <c r="A197" s="444" t="s">
        <v>2296</v>
      </c>
      <c r="B197" s="445">
        <v>8.5063099999999991</v>
      </c>
      <c r="C197" s="445">
        <v>17.929849999999998</v>
      </c>
      <c r="D197" s="445">
        <v>17.978860000000001</v>
      </c>
      <c r="E197" s="445">
        <v>7.4956699999999996</v>
      </c>
      <c r="F197" s="445">
        <v>10.06683</v>
      </c>
      <c r="G197" s="445">
        <v>13.50188</v>
      </c>
      <c r="H197" s="445">
        <v>21.819410000000001</v>
      </c>
      <c r="I197" s="445">
        <v>14.55</v>
      </c>
      <c r="J197" s="445">
        <v>14.593999999999999</v>
      </c>
      <c r="K197" s="445">
        <v>15.952999999999999</v>
      </c>
      <c r="L197" s="445">
        <v>18.021999999999998</v>
      </c>
      <c r="M197" s="445">
        <v>18.402000000000001</v>
      </c>
      <c r="N197" s="445">
        <v>28.701000000000001</v>
      </c>
      <c r="P197" s="445">
        <v>8.0969999999999995</v>
      </c>
      <c r="Q197" s="445">
        <v>13.843</v>
      </c>
      <c r="R197" s="445">
        <v>13.08</v>
      </c>
      <c r="S197" s="445">
        <v>15.715999999999999</v>
      </c>
      <c r="T197" s="445">
        <v>15.403</v>
      </c>
      <c r="U197" s="445">
        <v>18.559999999999999</v>
      </c>
      <c r="V197" s="445">
        <v>17.164999999999999</v>
      </c>
      <c r="W197" s="445">
        <v>19.001999999999999</v>
      </c>
      <c r="X197" s="445">
        <v>15.565</v>
      </c>
      <c r="Y197" s="445">
        <v>15.355</v>
      </c>
      <c r="Z197" s="445">
        <v>12.891999999999999</v>
      </c>
      <c r="AA197" s="445">
        <v>11.782999999999999</v>
      </c>
      <c r="AB197" s="445">
        <v>8.5440000000000005</v>
      </c>
      <c r="AC197" s="445">
        <v>13.821999999999999</v>
      </c>
      <c r="AD197" s="445">
        <v>12.066000000000001</v>
      </c>
      <c r="AE197" s="445">
        <v>15.718999999999999</v>
      </c>
    </row>
    <row r="198" spans="1:31">
      <c r="A198" s="444" t="s">
        <v>2297</v>
      </c>
      <c r="B198" s="445">
        <v>32.418419999999998</v>
      </c>
      <c r="C198" s="445">
        <v>50.686360000000001</v>
      </c>
      <c r="D198" s="445">
        <v>80.479910000000004</v>
      </c>
      <c r="E198" s="445">
        <v>40.685420000000001</v>
      </c>
      <c r="F198" s="445">
        <v>76.974819999999994</v>
      </c>
      <c r="G198" s="445">
        <v>-87.895139999999998</v>
      </c>
      <c r="H198" s="445">
        <v>25.380769999999998</v>
      </c>
      <c r="I198" s="445">
        <v>24.274999999999999</v>
      </c>
      <c r="J198" s="445">
        <v>24.274999999999999</v>
      </c>
      <c r="K198" s="445">
        <v>23.274999999999999</v>
      </c>
      <c r="L198" s="445">
        <v>23.82</v>
      </c>
      <c r="M198" s="445">
        <v>23.274999999999999</v>
      </c>
      <c r="N198" s="445">
        <v>22.536999999999999</v>
      </c>
      <c r="P198" s="445">
        <v>35</v>
      </c>
      <c r="Q198" s="445">
        <v>36.533000000000001</v>
      </c>
      <c r="R198" s="445">
        <v>37.622999999999998</v>
      </c>
      <c r="S198" s="445">
        <v>37.533000000000001</v>
      </c>
      <c r="T198" s="445">
        <v>35</v>
      </c>
      <c r="U198" s="445">
        <v>39.533000000000001</v>
      </c>
      <c r="V198" s="445">
        <v>36.090000000000003</v>
      </c>
      <c r="W198" s="445">
        <v>38.067</v>
      </c>
      <c r="X198" s="445">
        <v>35.49</v>
      </c>
      <c r="Y198" s="445">
        <v>36.533000000000001</v>
      </c>
      <c r="Z198" s="445">
        <v>37.207999999999998</v>
      </c>
      <c r="AA198" s="445">
        <v>34.594000000000001</v>
      </c>
      <c r="AB198" s="445">
        <v>41.798999999999999</v>
      </c>
      <c r="AC198" s="445">
        <v>39.08</v>
      </c>
      <c r="AD198" s="445">
        <v>38.529000000000003</v>
      </c>
      <c r="AE198" s="445">
        <v>38</v>
      </c>
    </row>
    <row r="199" spans="1:31">
      <c r="A199" s="444" t="s">
        <v>2298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 ht="15.75" thickBot="1">
      <c r="A200" s="444" t="s">
        <v>2299</v>
      </c>
      <c r="B200" s="629">
        <v>60.025370000000002</v>
      </c>
      <c r="C200" s="629">
        <v>44.380270000000003</v>
      </c>
      <c r="D200" s="629">
        <v>31.541930000000001</v>
      </c>
      <c r="E200" s="629">
        <v>48.133139999999997</v>
      </c>
      <c r="F200" s="629">
        <v>60.216279999999998</v>
      </c>
      <c r="G200" s="629">
        <v>52.98912</v>
      </c>
      <c r="H200" s="629">
        <v>53.993719999999897</v>
      </c>
      <c r="I200" s="629">
        <v>70.073999999999998</v>
      </c>
      <c r="J200" s="629">
        <v>59.860999999999997</v>
      </c>
      <c r="K200" s="629">
        <v>57.57</v>
      </c>
      <c r="L200" s="629">
        <v>53.436</v>
      </c>
      <c r="M200" s="629">
        <v>55.35</v>
      </c>
      <c r="N200" s="629">
        <v>54.753</v>
      </c>
      <c r="O200" s="629"/>
      <c r="P200" s="629">
        <v>41.578000000000003</v>
      </c>
      <c r="Q200" s="629">
        <v>44.802999999999997</v>
      </c>
      <c r="R200" s="629">
        <v>51.116999999999997</v>
      </c>
      <c r="S200" s="629">
        <v>52.835999999999999</v>
      </c>
      <c r="T200" s="629">
        <v>48.805</v>
      </c>
      <c r="U200" s="629">
        <v>58.436999999999998</v>
      </c>
      <c r="V200" s="629">
        <v>61.231000000000002</v>
      </c>
      <c r="W200" s="629">
        <v>50.695</v>
      </c>
      <c r="X200" s="629">
        <v>51.506999999999998</v>
      </c>
      <c r="Y200" s="629">
        <v>47.649000000000001</v>
      </c>
      <c r="Z200" s="629">
        <v>47.366</v>
      </c>
      <c r="AA200" s="629">
        <v>48.610999999999997</v>
      </c>
      <c r="AB200" s="629">
        <v>42.097000000000001</v>
      </c>
      <c r="AC200" s="629">
        <v>45.356999999999999</v>
      </c>
      <c r="AD200" s="629">
        <v>51.713000000000001</v>
      </c>
      <c r="AE200" s="629">
        <v>53.548000000000002</v>
      </c>
    </row>
    <row r="201" spans="1:31">
      <c r="A201" s="632" t="s">
        <v>2219</v>
      </c>
      <c r="B201" s="445">
        <v>1851.1261099999999</v>
      </c>
      <c r="C201" s="445">
        <v>1781.96892</v>
      </c>
      <c r="D201" s="445">
        <v>2254.6142799999998</v>
      </c>
      <c r="E201" s="445">
        <v>2452.64878</v>
      </c>
      <c r="F201" s="445">
        <v>2054.8326899999902</v>
      </c>
      <c r="G201" s="445">
        <v>1909.88983999999</v>
      </c>
      <c r="H201" s="445">
        <v>2985.2303299999999</v>
      </c>
      <c r="I201" s="445">
        <v>4951.0320000000002</v>
      </c>
      <c r="J201" s="445">
        <v>2245.6999999999998</v>
      </c>
      <c r="K201" s="445">
        <v>2221.7370000000001</v>
      </c>
      <c r="L201" s="445">
        <v>2157.66</v>
      </c>
      <c r="M201" s="445">
        <v>-281.35199999999998</v>
      </c>
      <c r="N201" s="445">
        <v>2199.2179999999998</v>
      </c>
      <c r="P201" s="445">
        <v>1787.086</v>
      </c>
      <c r="Q201" s="445">
        <v>1830.7809999999999</v>
      </c>
      <c r="R201" s="445">
        <v>1949.5909999999999</v>
      </c>
      <c r="S201" s="445">
        <v>2130.4929999999999</v>
      </c>
      <c r="T201" s="445">
        <v>1836.0650000000001</v>
      </c>
      <c r="U201" s="445">
        <v>2164.6469999999899</v>
      </c>
      <c r="V201" s="445">
        <v>2339.0790000000002</v>
      </c>
      <c r="W201" s="445">
        <v>1978.3030000000001</v>
      </c>
      <c r="X201" s="445">
        <v>2026.3430000000001</v>
      </c>
      <c r="Y201" s="445">
        <v>1966.3889999999899</v>
      </c>
      <c r="Z201" s="445">
        <v>1941.3119999999999</v>
      </c>
      <c r="AA201" s="445">
        <v>1942.6389999999999</v>
      </c>
      <c r="AB201" s="445">
        <v>1518.5219999999999</v>
      </c>
      <c r="AC201" s="445">
        <v>1529.8429999999901</v>
      </c>
      <c r="AD201" s="445">
        <v>1654.711</v>
      </c>
      <c r="AE201" s="445">
        <v>1825.318</v>
      </c>
    </row>
    <row r="202" spans="1:31" ht="15.75" thickBot="1">
      <c r="A202" s="444" t="s">
        <v>2300</v>
      </c>
      <c r="B202" s="629">
        <v>0.97</v>
      </c>
      <c r="C202" s="629">
        <v>1.8120000000000001</v>
      </c>
      <c r="D202" s="629">
        <v>5.4983000000000004</v>
      </c>
      <c r="E202" s="629">
        <v>2.14351</v>
      </c>
      <c r="F202" s="629">
        <v>0.49954999999999999</v>
      </c>
      <c r="G202" s="629">
        <v>0</v>
      </c>
      <c r="H202" s="629">
        <v>1.1243300000000001</v>
      </c>
      <c r="I202" s="629">
        <v>4.5439999999999996</v>
      </c>
      <c r="J202" s="629">
        <v>0.60899999999999999</v>
      </c>
      <c r="K202" s="629">
        <v>0</v>
      </c>
      <c r="L202" s="629">
        <v>0</v>
      </c>
      <c r="M202" s="629">
        <v>0</v>
      </c>
      <c r="N202" s="629">
        <v>3.7919999999999998</v>
      </c>
      <c r="O202" s="629"/>
      <c r="P202" s="629">
        <v>0</v>
      </c>
      <c r="Q202" s="629">
        <v>2</v>
      </c>
      <c r="R202" s="629">
        <v>1</v>
      </c>
      <c r="S202" s="629">
        <v>0</v>
      </c>
      <c r="T202" s="629">
        <v>3</v>
      </c>
      <c r="U202" s="629">
        <v>0</v>
      </c>
      <c r="V202" s="629">
        <v>6</v>
      </c>
      <c r="W202" s="629">
        <v>2</v>
      </c>
      <c r="X202" s="629">
        <v>0</v>
      </c>
      <c r="Y202" s="629">
        <v>0</v>
      </c>
      <c r="Z202" s="629">
        <v>0</v>
      </c>
      <c r="AA202" s="629">
        <v>6</v>
      </c>
      <c r="AB202" s="629">
        <v>0</v>
      </c>
      <c r="AC202" s="629">
        <v>2</v>
      </c>
      <c r="AD202" s="629">
        <v>1</v>
      </c>
      <c r="AE202" s="629">
        <v>0</v>
      </c>
    </row>
    <row r="203" spans="1:31">
      <c r="A203" s="632" t="s">
        <v>2221</v>
      </c>
      <c r="B203" s="445">
        <v>0.97</v>
      </c>
      <c r="C203" s="445">
        <v>1.8120000000000001</v>
      </c>
      <c r="D203" s="445">
        <v>5.4983000000000004</v>
      </c>
      <c r="E203" s="445">
        <v>2.14351</v>
      </c>
      <c r="F203" s="445">
        <v>0.49954999999999999</v>
      </c>
      <c r="G203" s="445">
        <v>0</v>
      </c>
      <c r="H203" s="445">
        <v>1.1243300000000001</v>
      </c>
      <c r="I203" s="445">
        <v>4.5439999999999996</v>
      </c>
      <c r="J203" s="445">
        <v>0.60899999999999999</v>
      </c>
      <c r="K203" s="445">
        <v>0</v>
      </c>
      <c r="L203" s="445">
        <v>0</v>
      </c>
      <c r="M203" s="445">
        <v>0</v>
      </c>
      <c r="N203" s="445">
        <v>3.7919999999999998</v>
      </c>
      <c r="P203" s="445">
        <v>0</v>
      </c>
      <c r="Q203" s="445">
        <v>2</v>
      </c>
      <c r="R203" s="445">
        <v>1</v>
      </c>
      <c r="S203" s="445">
        <v>0</v>
      </c>
      <c r="T203" s="445">
        <v>3</v>
      </c>
      <c r="U203" s="445">
        <v>0</v>
      </c>
      <c r="V203" s="445">
        <v>6</v>
      </c>
      <c r="W203" s="445">
        <v>2</v>
      </c>
      <c r="X203" s="445">
        <v>0</v>
      </c>
      <c r="Y203" s="445">
        <v>0</v>
      </c>
      <c r="Z203" s="445">
        <v>0</v>
      </c>
      <c r="AA203" s="445">
        <v>6</v>
      </c>
      <c r="AB203" s="445">
        <v>0</v>
      </c>
      <c r="AC203" s="445">
        <v>2</v>
      </c>
      <c r="AD203" s="445">
        <v>1</v>
      </c>
      <c r="AE203" s="445">
        <v>0</v>
      </c>
    </row>
    <row r="204" spans="1:31">
      <c r="B204" s="628"/>
      <c r="C204" s="628"/>
      <c r="D204" s="628"/>
      <c r="E204" s="628"/>
      <c r="F204" s="628"/>
      <c r="G204" s="628"/>
      <c r="H204" s="628"/>
      <c r="I204" s="628"/>
      <c r="J204" s="628"/>
      <c r="K204" s="628"/>
      <c r="L204" s="628"/>
      <c r="M204" s="628"/>
      <c r="N204" s="628"/>
      <c r="O204" s="628"/>
      <c r="P204" s="628"/>
      <c r="Q204" s="628"/>
      <c r="R204" s="628"/>
      <c r="S204" s="628"/>
      <c r="T204" s="628"/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</row>
    <row r="205" spans="1:31">
      <c r="A205" s="447" t="s">
        <v>2301</v>
      </c>
      <c r="B205" s="626">
        <v>3720.30131999999</v>
      </c>
      <c r="C205" s="626">
        <v>3704.4348399999999</v>
      </c>
      <c r="D205" s="626">
        <v>4103.9896699999999</v>
      </c>
      <c r="E205" s="626">
        <v>4860.9519499999997</v>
      </c>
      <c r="F205" s="626">
        <v>4317.1948300000004</v>
      </c>
      <c r="G205" s="626">
        <v>4002.6056199999998</v>
      </c>
      <c r="H205" s="626">
        <v>5374.0210999999999</v>
      </c>
      <c r="I205" s="626">
        <v>7084.3450000000003</v>
      </c>
      <c r="J205" s="626">
        <v>4317.6419999999998</v>
      </c>
      <c r="K205" s="626">
        <v>4221.5140000000001</v>
      </c>
      <c r="L205" s="626">
        <v>4183.7079999999996</v>
      </c>
      <c r="M205" s="626">
        <v>1557.8019999999999</v>
      </c>
      <c r="N205" s="626">
        <v>4019.268</v>
      </c>
      <c r="O205" s="626"/>
      <c r="P205" s="626">
        <v>3938.2529999999902</v>
      </c>
      <c r="Q205" s="626">
        <v>3923.7939999999999</v>
      </c>
      <c r="R205" s="626">
        <v>4136.5950000000003</v>
      </c>
      <c r="S205" s="626">
        <v>4472.37</v>
      </c>
      <c r="T205" s="626">
        <v>4131.0860000000002</v>
      </c>
      <c r="U205" s="626">
        <v>4432.6399999999903</v>
      </c>
      <c r="V205" s="626">
        <v>4841.8909999999996</v>
      </c>
      <c r="W205" s="626">
        <v>4310.5219999999999</v>
      </c>
      <c r="X205" s="626">
        <v>4270.8540000000003</v>
      </c>
      <c r="Y205" s="626">
        <v>4289.0659999999898</v>
      </c>
      <c r="Z205" s="626">
        <v>4058.319</v>
      </c>
      <c r="AA205" s="626">
        <v>4024.7260000000001</v>
      </c>
      <c r="AB205" s="626">
        <v>3807.0619999999999</v>
      </c>
      <c r="AC205" s="626">
        <v>3676.4759999999901</v>
      </c>
      <c r="AD205" s="626">
        <v>3964.83</v>
      </c>
      <c r="AE205" s="626">
        <v>4293.509</v>
      </c>
    </row>
    <row r="207" spans="1:31">
      <c r="A207" s="447" t="s">
        <v>2302</v>
      </c>
      <c r="B207" s="626">
        <v>45581.61879</v>
      </c>
      <c r="C207" s="626">
        <v>55315.749649999998</v>
      </c>
      <c r="D207" s="626">
        <v>39176.181579999997</v>
      </c>
      <c r="E207" s="626">
        <v>43492.24826</v>
      </c>
      <c r="F207" s="626">
        <v>42386.628259999998</v>
      </c>
      <c r="G207" s="626">
        <v>42852.289479999898</v>
      </c>
      <c r="H207" s="626">
        <v>45000.798999999999</v>
      </c>
      <c r="I207" s="626">
        <v>49129.228040315997</v>
      </c>
      <c r="J207" s="626">
        <v>48992.261761860202</v>
      </c>
      <c r="K207" s="626">
        <v>43180.789888450701</v>
      </c>
      <c r="L207" s="626">
        <v>43443.8970797453</v>
      </c>
      <c r="M207" s="626">
        <v>39209.073349155602</v>
      </c>
      <c r="N207" s="626">
        <v>45598.293647215498</v>
      </c>
      <c r="O207" s="626"/>
      <c r="P207" s="626">
        <v>46515.975412893298</v>
      </c>
      <c r="Q207" s="626">
        <v>41909.513458377602</v>
      </c>
      <c r="R207" s="626">
        <v>44801.592376103101</v>
      </c>
      <c r="S207" s="626">
        <v>43291.685302644197</v>
      </c>
      <c r="T207" s="626">
        <v>43524.255786581904</v>
      </c>
      <c r="U207" s="626">
        <v>44079.802718874198</v>
      </c>
      <c r="V207" s="626">
        <v>48300.196667748103</v>
      </c>
      <c r="W207" s="626">
        <v>48224.208999510898</v>
      </c>
      <c r="X207" s="626">
        <v>43391.4064852378</v>
      </c>
      <c r="Y207" s="626">
        <v>43197.341246050601</v>
      </c>
      <c r="Z207" s="626">
        <v>43520.273535949796</v>
      </c>
      <c r="AA207" s="626">
        <v>44630.517114504</v>
      </c>
      <c r="AB207" s="626">
        <v>45993.687097325099</v>
      </c>
      <c r="AC207" s="626">
        <v>40567.344891414701</v>
      </c>
      <c r="AD207" s="626">
        <v>49608.549158036702</v>
      </c>
      <c r="AE207" s="626">
        <v>42069.434010625002</v>
      </c>
    </row>
    <row r="208" spans="1:31">
      <c r="A208" s="444" t="s">
        <v>539</v>
      </c>
    </row>
    <row r="209" spans="1:31">
      <c r="A209" s="444" t="s">
        <v>2303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2304</v>
      </c>
      <c r="B210" s="445">
        <v>0</v>
      </c>
      <c r="C210" s="445">
        <v>1526.61112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2305</v>
      </c>
      <c r="B211" s="445">
        <v>14592.17202</v>
      </c>
      <c r="C211" s="445">
        <v>15792.2742</v>
      </c>
      <c r="D211" s="445">
        <v>7673.5587400000004</v>
      </c>
      <c r="E211" s="445">
        <v>7679.6801999999998</v>
      </c>
      <c r="F211" s="445">
        <v>7230.7788300000002</v>
      </c>
      <c r="G211" s="445">
        <v>7032.4736400000002</v>
      </c>
      <c r="H211" s="445">
        <v>8736.1100700000006</v>
      </c>
      <c r="I211" s="445">
        <v>11162.704132475001</v>
      </c>
      <c r="J211" s="445">
        <v>11106.9141914225</v>
      </c>
      <c r="K211" s="445">
        <v>10960.1700433225</v>
      </c>
      <c r="L211" s="445">
        <v>11393.4542813436</v>
      </c>
      <c r="M211" s="445">
        <v>11439.4596213974</v>
      </c>
      <c r="N211" s="445">
        <v>14389.693236220801</v>
      </c>
      <c r="P211" s="445">
        <v>17185.039905630802</v>
      </c>
      <c r="Q211" s="445">
        <v>15030.184598101199</v>
      </c>
      <c r="R211" s="445">
        <v>10341.448968151401</v>
      </c>
      <c r="S211" s="445">
        <v>5605.5426686815599</v>
      </c>
      <c r="T211" s="445">
        <v>3955.3964699360699</v>
      </c>
      <c r="U211" s="445">
        <v>6923.9832316523298</v>
      </c>
      <c r="V211" s="445">
        <v>10798.1269864185</v>
      </c>
      <c r="W211" s="445">
        <v>10535.06604664</v>
      </c>
      <c r="X211" s="445">
        <v>10436.645380293799</v>
      </c>
      <c r="Y211" s="445">
        <v>10311.8486983493</v>
      </c>
      <c r="Z211" s="445">
        <v>11052.5239970648</v>
      </c>
      <c r="AA211" s="445">
        <v>14162.6151690798</v>
      </c>
      <c r="AB211" s="445">
        <v>16481.4273298056</v>
      </c>
      <c r="AC211" s="445">
        <v>14334.514886904701</v>
      </c>
      <c r="AD211" s="445">
        <v>9994.8625363776991</v>
      </c>
      <c r="AE211" s="445">
        <v>5408.3659483398997</v>
      </c>
    </row>
    <row r="212" spans="1:31">
      <c r="A212" s="444" t="s">
        <v>2306</v>
      </c>
      <c r="B212" s="445">
        <v>1340.3656599999999</v>
      </c>
      <c r="C212" s="445">
        <v>1846.2127700000001</v>
      </c>
      <c r="D212" s="445">
        <v>-1080.7765299999901</v>
      </c>
      <c r="E212" s="445">
        <v>-1197.0730799999999</v>
      </c>
      <c r="F212" s="445">
        <v>8.7021799999999701</v>
      </c>
      <c r="G212" s="445">
        <v>-157.3844</v>
      </c>
      <c r="H212" s="445">
        <v>-296.48385000000002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 ht="15.75" thickBot="1">
      <c r="A213" s="444" t="s">
        <v>2307</v>
      </c>
      <c r="B213" s="629">
        <v>1267.9771599999999</v>
      </c>
      <c r="C213" s="629">
        <v>2013.5995600000001</v>
      </c>
      <c r="D213" s="629">
        <v>793.76862000000006</v>
      </c>
      <c r="E213" s="629">
        <v>871.87332000000004</v>
      </c>
      <c r="F213" s="629">
        <v>-873.79170999999997</v>
      </c>
      <c r="G213" s="629">
        <v>-3372.0067599999902</v>
      </c>
      <c r="H213" s="629">
        <v>-1447.50442</v>
      </c>
      <c r="I213" s="629">
        <v>0</v>
      </c>
      <c r="J213" s="629">
        <v>0</v>
      </c>
      <c r="K213" s="629">
        <v>0</v>
      </c>
      <c r="L213" s="629">
        <v>0</v>
      </c>
      <c r="M213" s="629">
        <v>0</v>
      </c>
      <c r="N213" s="629">
        <v>0</v>
      </c>
      <c r="O213" s="629"/>
      <c r="P213" s="629">
        <v>0</v>
      </c>
      <c r="Q213" s="629">
        <v>0</v>
      </c>
      <c r="R213" s="629">
        <v>0</v>
      </c>
      <c r="S213" s="629">
        <v>0</v>
      </c>
      <c r="T213" s="629">
        <v>0</v>
      </c>
      <c r="U213" s="629">
        <v>0</v>
      </c>
      <c r="V213" s="629">
        <v>0</v>
      </c>
      <c r="W213" s="629">
        <v>0</v>
      </c>
      <c r="X213" s="629">
        <v>0</v>
      </c>
      <c r="Y213" s="629">
        <v>0</v>
      </c>
      <c r="Z213" s="629">
        <v>0</v>
      </c>
      <c r="AA213" s="629">
        <v>0</v>
      </c>
      <c r="AB213" s="629">
        <v>0</v>
      </c>
      <c r="AC213" s="629">
        <v>0</v>
      </c>
      <c r="AD213" s="629">
        <v>0</v>
      </c>
      <c r="AE213" s="629">
        <v>0</v>
      </c>
    </row>
    <row r="214" spans="1:31">
      <c r="A214" s="632" t="s">
        <v>2308</v>
      </c>
      <c r="B214" s="445">
        <v>17200.51484</v>
      </c>
      <c r="C214" s="445">
        <v>21178.697649999998</v>
      </c>
      <c r="D214" s="445">
        <v>7386.5508300000001</v>
      </c>
      <c r="E214" s="445">
        <v>7354.4804400000003</v>
      </c>
      <c r="F214" s="445">
        <v>6365.6893</v>
      </c>
      <c r="G214" s="445">
        <v>3503.08248</v>
      </c>
      <c r="H214" s="445">
        <v>6992.1217999999999</v>
      </c>
      <c r="I214" s="445">
        <v>11162.704132475001</v>
      </c>
      <c r="J214" s="445">
        <v>11106.9141914225</v>
      </c>
      <c r="K214" s="445">
        <v>10960.1700433225</v>
      </c>
      <c r="L214" s="445">
        <v>11393.4542813436</v>
      </c>
      <c r="M214" s="445">
        <v>11439.4596213974</v>
      </c>
      <c r="N214" s="445">
        <v>14389.693236220801</v>
      </c>
      <c r="P214" s="445">
        <v>17185.039905630802</v>
      </c>
      <c r="Q214" s="445">
        <v>15030.184598101199</v>
      </c>
      <c r="R214" s="445">
        <v>10341.448968151401</v>
      </c>
      <c r="S214" s="445">
        <v>5605.5426686815599</v>
      </c>
      <c r="T214" s="445">
        <v>3955.3964699360699</v>
      </c>
      <c r="U214" s="445">
        <v>6923.9832316523298</v>
      </c>
      <c r="V214" s="445">
        <v>10798.1269864185</v>
      </c>
      <c r="W214" s="445">
        <v>10535.06604664</v>
      </c>
      <c r="X214" s="445">
        <v>10436.645380293799</v>
      </c>
      <c r="Y214" s="445">
        <v>10311.8486983493</v>
      </c>
      <c r="Z214" s="445">
        <v>11052.5239970648</v>
      </c>
      <c r="AA214" s="445">
        <v>14162.6151690798</v>
      </c>
      <c r="AB214" s="445">
        <v>16481.4273298056</v>
      </c>
      <c r="AC214" s="445">
        <v>14334.514886904701</v>
      </c>
      <c r="AD214" s="445">
        <v>9994.8625363776991</v>
      </c>
      <c r="AE214" s="445">
        <v>5408.3659483398997</v>
      </c>
    </row>
    <row r="215" spans="1:31">
      <c r="A215" s="444" t="s">
        <v>2309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>
      <c r="A216" s="444" t="s">
        <v>2310</v>
      </c>
      <c r="B216" s="445">
        <v>0</v>
      </c>
      <c r="C216" s="445">
        <v>0</v>
      </c>
      <c r="D216" s="445">
        <v>0</v>
      </c>
      <c r="E216" s="445">
        <v>0</v>
      </c>
      <c r="F216" s="445">
        <v>0</v>
      </c>
      <c r="G216" s="445">
        <v>0</v>
      </c>
      <c r="H216" s="445">
        <v>0</v>
      </c>
      <c r="I216" s="445">
        <v>0</v>
      </c>
      <c r="J216" s="445">
        <v>0</v>
      </c>
      <c r="K216" s="445">
        <v>0</v>
      </c>
      <c r="L216" s="445">
        <v>0</v>
      </c>
      <c r="M216" s="445">
        <v>0</v>
      </c>
      <c r="N216" s="445">
        <v>0</v>
      </c>
      <c r="P216" s="445">
        <v>0</v>
      </c>
      <c r="Q216" s="445">
        <v>0</v>
      </c>
      <c r="R216" s="445">
        <v>0</v>
      </c>
      <c r="S216" s="445">
        <v>0</v>
      </c>
      <c r="T216" s="445">
        <v>0</v>
      </c>
      <c r="U216" s="445">
        <v>0</v>
      </c>
      <c r="V216" s="445">
        <v>0</v>
      </c>
      <c r="W216" s="445">
        <v>0</v>
      </c>
      <c r="X216" s="445">
        <v>0</v>
      </c>
      <c r="Y216" s="445">
        <v>0</v>
      </c>
      <c r="Z216" s="445">
        <v>0</v>
      </c>
      <c r="AA216" s="445">
        <v>0</v>
      </c>
      <c r="AB216" s="445">
        <v>0</v>
      </c>
      <c r="AC216" s="445">
        <v>0</v>
      </c>
      <c r="AD216" s="445">
        <v>0</v>
      </c>
      <c r="AE216" s="445">
        <v>0</v>
      </c>
    </row>
    <row r="217" spans="1:31" ht="15.75" thickBot="1">
      <c r="A217" s="444" t="s">
        <v>2311</v>
      </c>
      <c r="B217" s="629">
        <v>65.443190000000001</v>
      </c>
      <c r="C217" s="629">
        <v>64.9602</v>
      </c>
      <c r="D217" s="629">
        <v>69.815649999999906</v>
      </c>
      <c r="E217" s="629">
        <v>75.796049999999994</v>
      </c>
      <c r="F217" s="629">
        <v>70.821209999999994</v>
      </c>
      <c r="G217" s="629">
        <v>73.964119999999994</v>
      </c>
      <c r="H217" s="629">
        <v>73.949640000000002</v>
      </c>
      <c r="I217" s="629">
        <v>79.161000000000001</v>
      </c>
      <c r="J217" s="629">
        <v>100.589</v>
      </c>
      <c r="K217" s="629">
        <v>59.597000000000001</v>
      </c>
      <c r="L217" s="629">
        <v>77.387</v>
      </c>
      <c r="M217" s="629">
        <v>68.25</v>
      </c>
      <c r="N217" s="629">
        <v>57.734999999999999</v>
      </c>
      <c r="O217" s="629"/>
      <c r="P217" s="629">
        <v>80.590999999999994</v>
      </c>
      <c r="Q217" s="629">
        <v>67.614000000000004</v>
      </c>
      <c r="R217" s="629">
        <v>75.103999999999999</v>
      </c>
      <c r="S217" s="629">
        <v>67.391999999999996</v>
      </c>
      <c r="T217" s="629">
        <v>92.116</v>
      </c>
      <c r="U217" s="629">
        <v>64.081999999999994</v>
      </c>
      <c r="V217" s="629">
        <v>76.272000000000006</v>
      </c>
      <c r="W217" s="629">
        <v>95.543999999999997</v>
      </c>
      <c r="X217" s="629">
        <v>85.356999999999999</v>
      </c>
      <c r="Y217" s="629">
        <v>73.739999999999995</v>
      </c>
      <c r="Z217" s="629">
        <v>62.963000000000001</v>
      </c>
      <c r="AA217" s="629">
        <v>59.926000000000002</v>
      </c>
      <c r="AB217" s="629">
        <v>82.915000000000006</v>
      </c>
      <c r="AC217" s="629">
        <v>69.594999999999999</v>
      </c>
      <c r="AD217" s="629">
        <v>81.224999999999994</v>
      </c>
      <c r="AE217" s="629">
        <v>69.341999999999999</v>
      </c>
    </row>
    <row r="218" spans="1:31">
      <c r="A218" s="632" t="s">
        <v>2312</v>
      </c>
      <c r="B218" s="445">
        <v>65.443190000000001</v>
      </c>
      <c r="C218" s="445">
        <v>64.9602</v>
      </c>
      <c r="D218" s="445">
        <v>69.815649999999906</v>
      </c>
      <c r="E218" s="445">
        <v>75.796049999999994</v>
      </c>
      <c r="F218" s="445">
        <v>70.821209999999994</v>
      </c>
      <c r="G218" s="445">
        <v>73.964119999999994</v>
      </c>
      <c r="H218" s="445">
        <v>73.949640000000002</v>
      </c>
      <c r="I218" s="445">
        <v>79.161000000000001</v>
      </c>
      <c r="J218" s="445">
        <v>100.589</v>
      </c>
      <c r="K218" s="445">
        <v>59.597000000000001</v>
      </c>
      <c r="L218" s="445">
        <v>77.387</v>
      </c>
      <c r="M218" s="445">
        <v>68.25</v>
      </c>
      <c r="N218" s="445">
        <v>57.734999999999999</v>
      </c>
      <c r="P218" s="445">
        <v>80.590999999999994</v>
      </c>
      <c r="Q218" s="445">
        <v>67.614000000000004</v>
      </c>
      <c r="R218" s="445">
        <v>75.103999999999999</v>
      </c>
      <c r="S218" s="445">
        <v>67.391999999999996</v>
      </c>
      <c r="T218" s="445">
        <v>92.116</v>
      </c>
      <c r="U218" s="445">
        <v>64.081999999999994</v>
      </c>
      <c r="V218" s="445">
        <v>76.272000000000006</v>
      </c>
      <c r="W218" s="445">
        <v>95.543999999999997</v>
      </c>
      <c r="X218" s="445">
        <v>85.356999999999999</v>
      </c>
      <c r="Y218" s="445">
        <v>73.739999999999995</v>
      </c>
      <c r="Z218" s="445">
        <v>62.963000000000001</v>
      </c>
      <c r="AA218" s="445">
        <v>59.926000000000002</v>
      </c>
      <c r="AB218" s="445">
        <v>82.915000000000006</v>
      </c>
      <c r="AC218" s="445">
        <v>69.594999999999999</v>
      </c>
      <c r="AD218" s="445">
        <v>81.224999999999994</v>
      </c>
      <c r="AE218" s="445">
        <v>69.341999999999999</v>
      </c>
    </row>
    <row r="219" spans="1:31" ht="15.75" thickBot="1">
      <c r="A219" s="444" t="s">
        <v>2313</v>
      </c>
      <c r="B219" s="629">
        <v>7385.7452899999998</v>
      </c>
      <c r="C219" s="629">
        <v>10856.567499999999</v>
      </c>
      <c r="D219" s="629">
        <v>9076.0292899999895</v>
      </c>
      <c r="E219" s="629">
        <v>8857.7488699999994</v>
      </c>
      <c r="F219" s="629">
        <v>3809.3409999999999</v>
      </c>
      <c r="G219" s="629">
        <v>126.28813</v>
      </c>
      <c r="H219" s="629">
        <v>2.73407</v>
      </c>
      <c r="I219" s="629">
        <v>0</v>
      </c>
      <c r="J219" s="629">
        <v>0</v>
      </c>
      <c r="K219" s="629">
        <v>0</v>
      </c>
      <c r="L219" s="629">
        <v>0</v>
      </c>
      <c r="M219" s="629">
        <v>750.87079256069399</v>
      </c>
      <c r="N219" s="629">
        <v>8063.8491720579595</v>
      </c>
      <c r="O219" s="629"/>
      <c r="P219" s="629">
        <v>12569.1440369314</v>
      </c>
      <c r="Q219" s="629">
        <v>11176.6542782491</v>
      </c>
      <c r="R219" s="629">
        <v>7441.4308212727901</v>
      </c>
      <c r="S219" s="629">
        <v>2886.2706633780599</v>
      </c>
      <c r="T219" s="629">
        <v>629.83041242752199</v>
      </c>
      <c r="U219" s="629">
        <v>0</v>
      </c>
      <c r="V219" s="629">
        <v>0</v>
      </c>
      <c r="W219" s="629">
        <v>0</v>
      </c>
      <c r="X219" s="629">
        <v>0</v>
      </c>
      <c r="Y219" s="629">
        <v>0</v>
      </c>
      <c r="Z219" s="629">
        <v>653.60267238694405</v>
      </c>
      <c r="AA219" s="629">
        <v>6996.1292602498597</v>
      </c>
      <c r="AB219" s="629">
        <v>10933.6195511316</v>
      </c>
      <c r="AC219" s="629">
        <v>9713.9795620140103</v>
      </c>
      <c r="AD219" s="629">
        <v>6459.1734093224204</v>
      </c>
      <c r="AE219" s="629">
        <v>2500.0209173419598</v>
      </c>
    </row>
    <row r="220" spans="1:31">
      <c r="A220" s="632" t="s">
        <v>2314</v>
      </c>
      <c r="B220" s="445">
        <v>7385.7452899999998</v>
      </c>
      <c r="C220" s="445">
        <v>10856.567499999999</v>
      </c>
      <c r="D220" s="445">
        <v>9076.0292899999895</v>
      </c>
      <c r="E220" s="445">
        <v>8857.7488699999994</v>
      </c>
      <c r="F220" s="445">
        <v>3809.3409999999999</v>
      </c>
      <c r="G220" s="445">
        <v>126.28813</v>
      </c>
      <c r="H220" s="445">
        <v>2.73407</v>
      </c>
      <c r="I220" s="445">
        <v>0</v>
      </c>
      <c r="J220" s="445">
        <v>0</v>
      </c>
      <c r="K220" s="445">
        <v>0</v>
      </c>
      <c r="L220" s="445">
        <v>0</v>
      </c>
      <c r="M220" s="445">
        <v>750.87079256069399</v>
      </c>
      <c r="N220" s="445">
        <v>8063.8491720579595</v>
      </c>
      <c r="P220" s="445">
        <v>12569.1440369314</v>
      </c>
      <c r="Q220" s="445">
        <v>11176.6542782491</v>
      </c>
      <c r="R220" s="445">
        <v>7441.4308212727901</v>
      </c>
      <c r="S220" s="445">
        <v>2886.2706633780599</v>
      </c>
      <c r="T220" s="445">
        <v>629.83041242752199</v>
      </c>
      <c r="U220" s="445">
        <v>0</v>
      </c>
      <c r="V220" s="445">
        <v>0</v>
      </c>
      <c r="W220" s="445">
        <v>0</v>
      </c>
      <c r="X220" s="445">
        <v>0</v>
      </c>
      <c r="Y220" s="445">
        <v>0</v>
      </c>
      <c r="Z220" s="445">
        <v>653.60267238694405</v>
      </c>
      <c r="AA220" s="445">
        <v>6996.1292602498597</v>
      </c>
      <c r="AB220" s="445">
        <v>10933.6195511316</v>
      </c>
      <c r="AC220" s="445">
        <v>9713.9795620140103</v>
      </c>
      <c r="AD220" s="445">
        <v>6459.1734093224204</v>
      </c>
      <c r="AE220" s="445">
        <v>2500.0209173419598</v>
      </c>
    </row>
    <row r="221" spans="1:31" ht="15.75" thickBot="1">
      <c r="A221" s="444" t="s">
        <v>2315</v>
      </c>
      <c r="B221" s="629">
        <v>-283.00308999999999</v>
      </c>
      <c r="C221" s="629">
        <v>-105.11322</v>
      </c>
      <c r="D221" s="629">
        <v>-158.75967</v>
      </c>
      <c r="E221" s="629">
        <v>0</v>
      </c>
      <c r="F221" s="629">
        <v>-12.162739999999999</v>
      </c>
      <c r="G221" s="629">
        <v>-27.911439999999999</v>
      </c>
      <c r="H221" s="629">
        <v>-4678.90092</v>
      </c>
      <c r="I221" s="629">
        <v>-9283.3225932196892</v>
      </c>
      <c r="J221" s="629">
        <v>-9251.4108882990095</v>
      </c>
      <c r="K221" s="629">
        <v>-8857.6445609875991</v>
      </c>
      <c r="L221" s="629">
        <v>-7650.87090186972</v>
      </c>
      <c r="M221" s="629">
        <v>-1018.7008592628</v>
      </c>
      <c r="N221" s="629">
        <v>0</v>
      </c>
      <c r="O221" s="629"/>
      <c r="P221" s="629">
        <v>0</v>
      </c>
      <c r="Q221" s="629">
        <v>0</v>
      </c>
      <c r="R221" s="629">
        <v>0</v>
      </c>
      <c r="S221" s="629">
        <v>0</v>
      </c>
      <c r="T221" s="629">
        <v>0</v>
      </c>
      <c r="U221" s="629">
        <v>-4727.6575020361197</v>
      </c>
      <c r="V221" s="629">
        <v>-9115.7289808065907</v>
      </c>
      <c r="W221" s="629">
        <v>-8933.8516662565398</v>
      </c>
      <c r="X221" s="629">
        <v>-8549.0798303437095</v>
      </c>
      <c r="Y221" s="629">
        <v>-6786.4419019319203</v>
      </c>
      <c r="Z221" s="629">
        <v>-1008.75717171982</v>
      </c>
      <c r="AA221" s="629">
        <v>0</v>
      </c>
      <c r="AB221" s="629">
        <v>0</v>
      </c>
      <c r="AC221" s="629">
        <v>0</v>
      </c>
      <c r="AD221" s="629">
        <v>0</v>
      </c>
      <c r="AE221" s="629">
        <v>0</v>
      </c>
    </row>
    <row r="222" spans="1:31">
      <c r="A222" s="632" t="s">
        <v>2316</v>
      </c>
      <c r="B222" s="445">
        <v>-283.00308999999999</v>
      </c>
      <c r="C222" s="445">
        <v>-105.11322</v>
      </c>
      <c r="D222" s="445">
        <v>-158.75967</v>
      </c>
      <c r="E222" s="445">
        <v>0</v>
      </c>
      <c r="F222" s="445">
        <v>-12.162739999999999</v>
      </c>
      <c r="G222" s="445">
        <v>-27.911439999999999</v>
      </c>
      <c r="H222" s="445">
        <v>-4678.90092</v>
      </c>
      <c r="I222" s="445">
        <v>-9283.3225932196892</v>
      </c>
      <c r="J222" s="445">
        <v>-9251.4108882990095</v>
      </c>
      <c r="K222" s="445">
        <v>-8857.6445609875991</v>
      </c>
      <c r="L222" s="445">
        <v>-7650.87090186972</v>
      </c>
      <c r="M222" s="445">
        <v>-1018.7008592628</v>
      </c>
      <c r="N222" s="445">
        <v>0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-4727.6575020361197</v>
      </c>
      <c r="V222" s="445">
        <v>-9115.7289808065907</v>
      </c>
      <c r="W222" s="445">
        <v>-8933.8516662565398</v>
      </c>
      <c r="X222" s="445">
        <v>-8549.0798303437095</v>
      </c>
      <c r="Y222" s="445">
        <v>-6786.4419019319203</v>
      </c>
      <c r="Z222" s="445">
        <v>-1008.75717171982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 ht="15.75" thickBot="1">
      <c r="A223" s="444" t="s">
        <v>2317</v>
      </c>
      <c r="B223" s="629">
        <v>-10.669750000000001</v>
      </c>
      <c r="C223" s="629">
        <v>-24.743209999999898</v>
      </c>
      <c r="D223" s="629">
        <v>-16.017050000000001</v>
      </c>
      <c r="E223" s="629">
        <v>-12.79734</v>
      </c>
      <c r="F223" s="629">
        <v>-8.9445499999999996</v>
      </c>
      <c r="G223" s="629">
        <v>-24.148579999999999</v>
      </c>
      <c r="H223" s="629">
        <v>-33.565550000000002</v>
      </c>
      <c r="I223" s="629">
        <v>0</v>
      </c>
      <c r="J223" s="629">
        <v>0</v>
      </c>
      <c r="K223" s="629">
        <v>0</v>
      </c>
      <c r="L223" s="629">
        <v>0</v>
      </c>
      <c r="M223" s="629">
        <v>0</v>
      </c>
      <c r="N223" s="629">
        <v>0</v>
      </c>
      <c r="O223" s="629"/>
      <c r="P223" s="629">
        <v>0</v>
      </c>
      <c r="Q223" s="629">
        <v>0</v>
      </c>
      <c r="R223" s="629">
        <v>0</v>
      </c>
      <c r="S223" s="629">
        <v>0</v>
      </c>
      <c r="T223" s="629">
        <v>0</v>
      </c>
      <c r="U223" s="629">
        <v>0</v>
      </c>
      <c r="V223" s="629">
        <v>0</v>
      </c>
      <c r="W223" s="629">
        <v>0</v>
      </c>
      <c r="X223" s="629">
        <v>0</v>
      </c>
      <c r="Y223" s="629">
        <v>0</v>
      </c>
      <c r="Z223" s="629">
        <v>0</v>
      </c>
      <c r="AA223" s="629">
        <v>0</v>
      </c>
      <c r="AB223" s="629">
        <v>0</v>
      </c>
      <c r="AC223" s="629">
        <v>0</v>
      </c>
      <c r="AD223" s="629">
        <v>0</v>
      </c>
      <c r="AE223" s="629">
        <v>0</v>
      </c>
    </row>
    <row r="224" spans="1:31">
      <c r="A224" s="632" t="s">
        <v>2318</v>
      </c>
      <c r="B224" s="445">
        <v>-10.669750000000001</v>
      </c>
      <c r="C224" s="445">
        <v>-24.743209999999898</v>
      </c>
      <c r="D224" s="445">
        <v>-16.017050000000001</v>
      </c>
      <c r="E224" s="445">
        <v>-12.79734</v>
      </c>
      <c r="F224" s="445">
        <v>-8.9445499999999996</v>
      </c>
      <c r="G224" s="445">
        <v>-24.148579999999999</v>
      </c>
      <c r="H224" s="445">
        <v>-33.565550000000002</v>
      </c>
      <c r="I224" s="445">
        <v>0</v>
      </c>
      <c r="J224" s="445">
        <v>0</v>
      </c>
      <c r="K224" s="445">
        <v>0</v>
      </c>
      <c r="L224" s="445">
        <v>0</v>
      </c>
      <c r="M224" s="445">
        <v>0</v>
      </c>
      <c r="N224" s="445">
        <v>0</v>
      </c>
      <c r="P224" s="445">
        <v>0</v>
      </c>
      <c r="Q224" s="445">
        <v>0</v>
      </c>
      <c r="R224" s="445">
        <v>0</v>
      </c>
      <c r="S224" s="445">
        <v>0</v>
      </c>
      <c r="T224" s="445">
        <v>0</v>
      </c>
      <c r="U224" s="445">
        <v>0</v>
      </c>
      <c r="V224" s="445">
        <v>0</v>
      </c>
      <c r="W224" s="445">
        <v>0</v>
      </c>
      <c r="X224" s="445">
        <v>0</v>
      </c>
      <c r="Y224" s="445">
        <v>0</v>
      </c>
      <c r="Z224" s="445">
        <v>0</v>
      </c>
      <c r="AA224" s="445">
        <v>0</v>
      </c>
      <c r="AB224" s="445">
        <v>0</v>
      </c>
      <c r="AC224" s="445">
        <v>0</v>
      </c>
      <c r="AD224" s="445">
        <v>0</v>
      </c>
      <c r="AE224" s="445">
        <v>0</v>
      </c>
    </row>
    <row r="225" spans="1:31">
      <c r="B225" s="628"/>
      <c r="C225" s="628"/>
      <c r="D225" s="628"/>
      <c r="E225" s="628"/>
      <c r="F225" s="628"/>
      <c r="G225" s="628"/>
      <c r="H225" s="628"/>
      <c r="I225" s="628"/>
      <c r="J225" s="628"/>
      <c r="K225" s="628"/>
      <c r="L225" s="628"/>
      <c r="M225" s="628"/>
      <c r="N225" s="628"/>
      <c r="O225" s="628"/>
      <c r="P225" s="628"/>
      <c r="Q225" s="628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8"/>
    </row>
    <row r="226" spans="1:31">
      <c r="A226" s="447" t="s">
        <v>2319</v>
      </c>
      <c r="B226" s="626">
        <v>24358.030480000001</v>
      </c>
      <c r="C226" s="626">
        <v>31970.368920000001</v>
      </c>
      <c r="D226" s="626">
        <v>16357.619049999999</v>
      </c>
      <c r="E226" s="626">
        <v>16275.22802</v>
      </c>
      <c r="F226" s="626">
        <v>10224.74422</v>
      </c>
      <c r="G226" s="626">
        <v>3651.2747100000001</v>
      </c>
      <c r="H226" s="626">
        <v>2356.3390399999998</v>
      </c>
      <c r="I226" s="626">
        <v>1958.54253925531</v>
      </c>
      <c r="J226" s="626">
        <v>1956.09230312349</v>
      </c>
      <c r="K226" s="626">
        <v>2162.1224823349698</v>
      </c>
      <c r="L226" s="626">
        <v>3819.9703794738998</v>
      </c>
      <c r="M226" s="626">
        <v>11239.879554695301</v>
      </c>
      <c r="N226" s="626">
        <v>22511.2774082787</v>
      </c>
      <c r="O226" s="626"/>
      <c r="P226" s="626">
        <v>29834.774942562199</v>
      </c>
      <c r="Q226" s="626">
        <v>26274.4528763503</v>
      </c>
      <c r="R226" s="626">
        <v>17857.983789424201</v>
      </c>
      <c r="S226" s="626">
        <v>8559.2053320596206</v>
      </c>
      <c r="T226" s="626">
        <v>4677.3428823635904</v>
      </c>
      <c r="U226" s="626">
        <v>2260.4077296162</v>
      </c>
      <c r="V226" s="626">
        <v>1758.6700056119901</v>
      </c>
      <c r="W226" s="626">
        <v>1696.7583803835</v>
      </c>
      <c r="X226" s="626">
        <v>1972.9225499501199</v>
      </c>
      <c r="Y226" s="626">
        <v>3599.1467964174599</v>
      </c>
      <c r="Z226" s="626">
        <v>10760.332497731901</v>
      </c>
      <c r="AA226" s="626">
        <v>21218.670429329701</v>
      </c>
      <c r="AB226" s="626">
        <v>27497.9618809372</v>
      </c>
      <c r="AC226" s="626">
        <v>24118.089448918799</v>
      </c>
      <c r="AD226" s="626">
        <v>16535.260945700102</v>
      </c>
      <c r="AE226" s="626">
        <v>7977.72886568187</v>
      </c>
    </row>
    <row r="227" spans="1:31">
      <c r="A227" s="444" t="s">
        <v>539</v>
      </c>
      <c r="B227" s="628"/>
      <c r="C227" s="628"/>
      <c r="D227" s="628"/>
      <c r="E227" s="628"/>
      <c r="F227" s="628"/>
      <c r="G227" s="628"/>
      <c r="H227" s="628"/>
      <c r="I227" s="628"/>
      <c r="J227" s="628"/>
      <c r="K227" s="628"/>
      <c r="L227" s="628"/>
      <c r="M227" s="628"/>
      <c r="N227" s="628"/>
      <c r="O227" s="628"/>
      <c r="P227" s="628"/>
      <c r="Q227" s="628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28"/>
    </row>
    <row r="228" spans="1:31">
      <c r="A228" s="444" t="s">
        <v>2320</v>
      </c>
      <c r="B228" s="445">
        <v>167.95217</v>
      </c>
      <c r="C228" s="445">
        <v>101.38377</v>
      </c>
      <c r="D228" s="445">
        <v>75.906660000000002</v>
      </c>
      <c r="E228" s="445">
        <v>66.985879999999995</v>
      </c>
      <c r="F228" s="445">
        <v>83.916150000000002</v>
      </c>
      <c r="G228" s="445">
        <v>74.606110000000001</v>
      </c>
      <c r="H228" s="445">
        <v>77.127669999999995</v>
      </c>
      <c r="I228" s="445">
        <v>64.763999999999996</v>
      </c>
      <c r="J228" s="445">
        <v>75.849999999999994</v>
      </c>
      <c r="K228" s="445">
        <v>83.085999999999999</v>
      </c>
      <c r="L228" s="445">
        <v>81.781000000000006</v>
      </c>
      <c r="M228" s="445">
        <v>84.24</v>
      </c>
      <c r="N228" s="445">
        <v>78.176000000000002</v>
      </c>
      <c r="P228" s="445">
        <v>66.106999999999999</v>
      </c>
      <c r="Q228" s="445">
        <v>66.527000000000001</v>
      </c>
      <c r="R228" s="445">
        <v>83.350999999999999</v>
      </c>
      <c r="S228" s="445">
        <v>88.033000000000001</v>
      </c>
      <c r="T228" s="445">
        <v>106.59699999999999</v>
      </c>
      <c r="U228" s="445">
        <v>105.449</v>
      </c>
      <c r="V228" s="445">
        <v>104.96599999999999</v>
      </c>
      <c r="W228" s="445">
        <v>113.877</v>
      </c>
      <c r="X228" s="445">
        <v>93.018000000000001</v>
      </c>
      <c r="Y228" s="445">
        <v>106.36499999999999</v>
      </c>
      <c r="Z228" s="445">
        <v>87.76</v>
      </c>
      <c r="AA228" s="445">
        <v>72.566000000000003</v>
      </c>
      <c r="AB228" s="445">
        <v>79.367000000000004</v>
      </c>
      <c r="AC228" s="445">
        <v>59.58</v>
      </c>
      <c r="AD228" s="445">
        <v>85.028000000000006</v>
      </c>
      <c r="AE228" s="445">
        <v>89.385999999999996</v>
      </c>
    </row>
    <row r="229" spans="1:31">
      <c r="A229" s="444" t="s">
        <v>2321</v>
      </c>
      <c r="B229" s="445">
        <v>5.9068699999999996</v>
      </c>
      <c r="C229" s="445">
        <v>8.2395700000000005</v>
      </c>
      <c r="D229" s="445">
        <v>6.7734899999999998</v>
      </c>
      <c r="E229" s="445">
        <v>6.47776</v>
      </c>
      <c r="F229" s="445">
        <v>6.5784500000000001</v>
      </c>
      <c r="G229" s="445">
        <v>6.7465700000000002</v>
      </c>
      <c r="H229" s="445">
        <v>4.75488</v>
      </c>
      <c r="I229" s="445">
        <v>5.6459999999999999</v>
      </c>
      <c r="J229" s="445">
        <v>5.8040000000000003</v>
      </c>
      <c r="K229" s="445">
        <v>6.6550000000000002</v>
      </c>
      <c r="L229" s="445">
        <v>5.8040000000000003</v>
      </c>
      <c r="M229" s="445">
        <v>6.92</v>
      </c>
      <c r="N229" s="445">
        <v>5.8049999999999997</v>
      </c>
      <c r="P229" s="445">
        <v>9.0269999999999992</v>
      </c>
      <c r="Q229" s="445">
        <v>10.247999999999999</v>
      </c>
      <c r="R229" s="445">
        <v>9.0459999999999994</v>
      </c>
      <c r="S229" s="445">
        <v>7.2859999999999996</v>
      </c>
      <c r="T229" s="445">
        <v>7.8710000000000004</v>
      </c>
      <c r="U229" s="445">
        <v>7.194</v>
      </c>
      <c r="V229" s="445">
        <v>8.3550000000000004</v>
      </c>
      <c r="W229" s="445">
        <v>7.8330000000000002</v>
      </c>
      <c r="X229" s="445">
        <v>10.303000000000001</v>
      </c>
      <c r="Y229" s="445">
        <v>8.1419999999999995</v>
      </c>
      <c r="Z229" s="445">
        <v>7.5620000000000003</v>
      </c>
      <c r="AA229" s="445">
        <v>9.4250000000000007</v>
      </c>
      <c r="AB229" s="445">
        <v>8.9949999999999992</v>
      </c>
      <c r="AC229" s="445">
        <v>8.86</v>
      </c>
      <c r="AD229" s="445">
        <v>9.0139999999999993</v>
      </c>
      <c r="AE229" s="445">
        <v>8.6010000000000009</v>
      </c>
    </row>
    <row r="230" spans="1:31">
      <c r="A230" s="444" t="s">
        <v>2322</v>
      </c>
      <c r="B230" s="445">
        <v>17.558789999999998</v>
      </c>
      <c r="C230" s="445">
        <v>27.586099999999998</v>
      </c>
      <c r="D230" s="445">
        <v>17.45271</v>
      </c>
      <c r="E230" s="445">
        <v>25.05658</v>
      </c>
      <c r="F230" s="445">
        <v>20.734759999999898</v>
      </c>
      <c r="G230" s="445">
        <v>19.031169999999999</v>
      </c>
      <c r="H230" s="445">
        <v>48.778730000000003</v>
      </c>
      <c r="I230" s="445">
        <v>30.809000000000001</v>
      </c>
      <c r="J230" s="445">
        <v>54.036000000000001</v>
      </c>
      <c r="K230" s="445">
        <v>50.735999999999997</v>
      </c>
      <c r="L230" s="445">
        <v>49.597000000000001</v>
      </c>
      <c r="M230" s="445">
        <v>44.868000000000002</v>
      </c>
      <c r="N230" s="445">
        <v>35.726999999999997</v>
      </c>
      <c r="P230" s="445">
        <v>61.499000000000002</v>
      </c>
      <c r="Q230" s="445">
        <v>38.186999999999998</v>
      </c>
      <c r="R230" s="445">
        <v>40.893000000000001</v>
      </c>
      <c r="S230" s="445">
        <v>41.457000000000001</v>
      </c>
      <c r="T230" s="445">
        <v>37.865000000000002</v>
      </c>
      <c r="U230" s="445">
        <v>57.954000000000001</v>
      </c>
      <c r="V230" s="445">
        <v>46.177</v>
      </c>
      <c r="W230" s="445">
        <v>50.826000000000001</v>
      </c>
      <c r="X230" s="445">
        <v>53.027000000000001</v>
      </c>
      <c r="Y230" s="445">
        <v>60.601999999999997</v>
      </c>
      <c r="Z230" s="445">
        <v>46.158000000000001</v>
      </c>
      <c r="AA230" s="445">
        <v>39.799999999999997</v>
      </c>
      <c r="AB230" s="445">
        <v>52.341999999999999</v>
      </c>
      <c r="AC230" s="445">
        <v>36.710999999999999</v>
      </c>
      <c r="AD230" s="445">
        <v>39.395000000000003</v>
      </c>
      <c r="AE230" s="445">
        <v>42.593000000000004</v>
      </c>
    </row>
    <row r="231" spans="1:31">
      <c r="A231" s="444" t="s">
        <v>2323</v>
      </c>
      <c r="B231" s="445">
        <v>228.77367000000001</v>
      </c>
      <c r="C231" s="445">
        <v>231.11837</v>
      </c>
      <c r="D231" s="445">
        <v>196.54578000000001</v>
      </c>
      <c r="E231" s="445">
        <v>200.4325</v>
      </c>
      <c r="F231" s="445">
        <v>142.14537999999999</v>
      </c>
      <c r="G231" s="445">
        <v>244.41423</v>
      </c>
      <c r="H231" s="445">
        <v>172.86953</v>
      </c>
      <c r="I231" s="445">
        <v>174.27</v>
      </c>
      <c r="J231" s="445">
        <v>169.63300000000001</v>
      </c>
      <c r="K231" s="445">
        <v>176.75800000000001</v>
      </c>
      <c r="L231" s="445">
        <v>180.654</v>
      </c>
      <c r="M231" s="445">
        <v>166.80699999999999</v>
      </c>
      <c r="N231" s="445">
        <v>248.136</v>
      </c>
      <c r="P231" s="445">
        <v>193.75899999999999</v>
      </c>
      <c r="Q231" s="445">
        <v>171.61699999999999</v>
      </c>
      <c r="R231" s="445">
        <v>228.941</v>
      </c>
      <c r="S231" s="445">
        <v>140.93199999999999</v>
      </c>
      <c r="T231" s="445">
        <v>145.44</v>
      </c>
      <c r="U231" s="445">
        <v>185.42599999999999</v>
      </c>
      <c r="V231" s="445">
        <v>148.626</v>
      </c>
      <c r="W231" s="445">
        <v>214.89099999999999</v>
      </c>
      <c r="X231" s="445">
        <v>179.542</v>
      </c>
      <c r="Y231" s="445">
        <v>174.905</v>
      </c>
      <c r="Z231" s="445">
        <v>145.173</v>
      </c>
      <c r="AA231" s="445">
        <v>210.60599999999999</v>
      </c>
      <c r="AB231" s="445">
        <v>194.59200000000001</v>
      </c>
      <c r="AC231" s="445">
        <v>172.72300000000001</v>
      </c>
      <c r="AD231" s="445">
        <v>251.10900000000001</v>
      </c>
      <c r="AE231" s="445">
        <v>132.81</v>
      </c>
    </row>
    <row r="232" spans="1:31">
      <c r="A232" s="444" t="s">
        <v>2324</v>
      </c>
      <c r="B232" s="445">
        <v>83.45026</v>
      </c>
      <c r="C232" s="445">
        <v>151.95060999999899</v>
      </c>
      <c r="D232" s="445">
        <v>117.18894</v>
      </c>
      <c r="E232" s="445">
        <v>111.03756</v>
      </c>
      <c r="F232" s="445">
        <v>42.58222</v>
      </c>
      <c r="G232" s="445">
        <v>6.6308299999999996</v>
      </c>
      <c r="H232" s="445">
        <v>2.8999699999999899</v>
      </c>
      <c r="I232" s="445">
        <v>5</v>
      </c>
      <c r="J232" s="445">
        <v>6</v>
      </c>
      <c r="K232" s="445">
        <v>6</v>
      </c>
      <c r="L232" s="445">
        <v>10</v>
      </c>
      <c r="M232" s="445">
        <v>21</v>
      </c>
      <c r="N232" s="445">
        <v>130</v>
      </c>
      <c r="P232" s="445">
        <v>153</v>
      </c>
      <c r="Q232" s="445">
        <v>134</v>
      </c>
      <c r="R232" s="445">
        <v>102</v>
      </c>
      <c r="S232" s="445">
        <v>35</v>
      </c>
      <c r="T232" s="445">
        <v>15</v>
      </c>
      <c r="U232" s="445">
        <v>6</v>
      </c>
      <c r="V232" s="445">
        <v>6</v>
      </c>
      <c r="W232" s="445">
        <v>6</v>
      </c>
      <c r="X232" s="445">
        <v>5</v>
      </c>
      <c r="Y232" s="445">
        <v>9</v>
      </c>
      <c r="Z232" s="445">
        <v>15</v>
      </c>
      <c r="AA232" s="445">
        <v>105</v>
      </c>
      <c r="AB232" s="445">
        <v>150</v>
      </c>
      <c r="AC232" s="445">
        <v>131</v>
      </c>
      <c r="AD232" s="445">
        <v>100</v>
      </c>
      <c r="AE232" s="445">
        <v>34</v>
      </c>
    </row>
    <row r="233" spans="1:31">
      <c r="A233" s="444" t="s">
        <v>2325</v>
      </c>
      <c r="B233" s="445">
        <v>430.94796000000002</v>
      </c>
      <c r="C233" s="445">
        <v>299.15710999999999</v>
      </c>
      <c r="D233" s="445">
        <v>245.31057000000001</v>
      </c>
      <c r="E233" s="445">
        <v>311.80775</v>
      </c>
      <c r="F233" s="445">
        <v>181.82272</v>
      </c>
      <c r="G233" s="445">
        <v>41.222369999999998</v>
      </c>
      <c r="H233" s="445">
        <v>12.99831</v>
      </c>
      <c r="I233" s="445">
        <v>19.256</v>
      </c>
      <c r="J233" s="445">
        <v>14.303000000000001</v>
      </c>
      <c r="K233" s="445">
        <v>10.794</v>
      </c>
      <c r="L233" s="445">
        <v>17.562999999999999</v>
      </c>
      <c r="M233" s="445">
        <v>60.432000000000002</v>
      </c>
      <c r="N233" s="445">
        <v>237.56800000000001</v>
      </c>
      <c r="P233" s="445">
        <v>302.34899999999999</v>
      </c>
      <c r="Q233" s="445">
        <v>278.02800000000002</v>
      </c>
      <c r="R233" s="445">
        <v>261.08300000000003</v>
      </c>
      <c r="S233" s="445">
        <v>214.16399999999999</v>
      </c>
      <c r="T233" s="445">
        <v>135.97200000000001</v>
      </c>
      <c r="U233" s="445">
        <v>11.324999999999999</v>
      </c>
      <c r="V233" s="445">
        <v>5.1740000000000004</v>
      </c>
      <c r="W233" s="445">
        <v>20.888999999999999</v>
      </c>
      <c r="X233" s="445">
        <v>7.3959999999999999</v>
      </c>
      <c r="Y233" s="445">
        <v>78.066999999999993</v>
      </c>
      <c r="Z233" s="445">
        <v>56.905000000000001</v>
      </c>
      <c r="AA233" s="445">
        <v>396.97899999999998</v>
      </c>
      <c r="AB233" s="445">
        <v>276.584</v>
      </c>
      <c r="AC233" s="445">
        <v>257.49</v>
      </c>
      <c r="AD233" s="445">
        <v>287.101</v>
      </c>
      <c r="AE233" s="445">
        <v>302.435</v>
      </c>
    </row>
    <row r="234" spans="1:31">
      <c r="A234" s="444" t="s">
        <v>2326</v>
      </c>
      <c r="B234" s="445">
        <v>180.27189999999999</v>
      </c>
      <c r="C234" s="445">
        <v>153.73068000000001</v>
      </c>
      <c r="D234" s="445">
        <v>132.49254999999999</v>
      </c>
      <c r="E234" s="445">
        <v>111.14861999999999</v>
      </c>
      <c r="F234" s="445">
        <v>96.693770000000001</v>
      </c>
      <c r="G234" s="445">
        <v>98.030820000000006</v>
      </c>
      <c r="H234" s="445">
        <v>103.62356</v>
      </c>
      <c r="I234" s="445">
        <v>143</v>
      </c>
      <c r="J234" s="445">
        <v>163</v>
      </c>
      <c r="K234" s="445">
        <v>179</v>
      </c>
      <c r="L234" s="445">
        <v>196</v>
      </c>
      <c r="M234" s="445">
        <v>199</v>
      </c>
      <c r="N234" s="445">
        <v>187</v>
      </c>
      <c r="P234" s="445">
        <v>161.78299999999999</v>
      </c>
      <c r="Q234" s="445">
        <v>142.06800000000001</v>
      </c>
      <c r="R234" s="445">
        <v>119.21</v>
      </c>
      <c r="S234" s="445">
        <v>100.26600000000001</v>
      </c>
      <c r="T234" s="445">
        <v>105.054</v>
      </c>
      <c r="U234" s="445">
        <v>109.51900000000001</v>
      </c>
      <c r="V234" s="445">
        <v>135.816</v>
      </c>
      <c r="W234" s="445">
        <v>157.61799999999999</v>
      </c>
      <c r="X234" s="445">
        <v>176.108</v>
      </c>
      <c r="Y234" s="445">
        <v>192.066</v>
      </c>
      <c r="Z234" s="445">
        <v>196.892</v>
      </c>
      <c r="AA234" s="445">
        <v>186.04900000000001</v>
      </c>
      <c r="AB234" s="445">
        <v>160.11699999999999</v>
      </c>
      <c r="AC234" s="445">
        <v>140.57</v>
      </c>
      <c r="AD234" s="445">
        <v>117.93899999999999</v>
      </c>
      <c r="AE234" s="445">
        <v>99.222999999999999</v>
      </c>
    </row>
    <row r="235" spans="1:31" ht="15.75" thickBot="1">
      <c r="A235" s="444" t="s">
        <v>2327</v>
      </c>
      <c r="B235" s="629">
        <v>6.9051999999999998</v>
      </c>
      <c r="C235" s="629">
        <v>2.7190799999999999</v>
      </c>
      <c r="D235" s="629">
        <v>2.7190799999999999</v>
      </c>
      <c r="E235" s="629">
        <v>2.7190799999999999</v>
      </c>
      <c r="F235" s="629">
        <v>2.7190799999999999</v>
      </c>
      <c r="G235" s="629">
        <v>2.7190799999999999</v>
      </c>
      <c r="H235" s="629">
        <v>2.7190799999999999</v>
      </c>
      <c r="I235" s="629">
        <v>0</v>
      </c>
      <c r="J235" s="629">
        <v>0</v>
      </c>
      <c r="K235" s="629">
        <v>0</v>
      </c>
      <c r="L235" s="629">
        <v>0</v>
      </c>
      <c r="M235" s="629">
        <v>0</v>
      </c>
      <c r="N235" s="629">
        <v>0</v>
      </c>
      <c r="O235" s="629"/>
      <c r="P235" s="629">
        <v>0</v>
      </c>
      <c r="Q235" s="629">
        <v>0</v>
      </c>
      <c r="R235" s="629">
        <v>0</v>
      </c>
      <c r="S235" s="629">
        <v>0</v>
      </c>
      <c r="T235" s="629">
        <v>0</v>
      </c>
      <c r="U235" s="629">
        <v>0</v>
      </c>
      <c r="V235" s="629">
        <v>0</v>
      </c>
      <c r="W235" s="629">
        <v>0</v>
      </c>
      <c r="X235" s="629">
        <v>0</v>
      </c>
      <c r="Y235" s="629">
        <v>0</v>
      </c>
      <c r="Z235" s="629">
        <v>0</v>
      </c>
      <c r="AA235" s="629">
        <v>0</v>
      </c>
      <c r="AB235" s="629">
        <v>0</v>
      </c>
      <c r="AC235" s="629">
        <v>0</v>
      </c>
      <c r="AD235" s="629">
        <v>0</v>
      </c>
      <c r="AE235" s="629">
        <v>0</v>
      </c>
    </row>
    <row r="236" spans="1:31">
      <c r="A236" s="632" t="s">
        <v>2212</v>
      </c>
      <c r="B236" s="445">
        <v>1121.7668200000001</v>
      </c>
      <c r="C236" s="445">
        <v>975.88528999999903</v>
      </c>
      <c r="D236" s="445">
        <v>794.38977999999895</v>
      </c>
      <c r="E236" s="445">
        <v>835.66572999999903</v>
      </c>
      <c r="F236" s="445">
        <v>577.19253000000003</v>
      </c>
      <c r="G236" s="445">
        <v>493.40118000000001</v>
      </c>
      <c r="H236" s="445">
        <v>425.77172999999999</v>
      </c>
      <c r="I236" s="445">
        <v>442.745</v>
      </c>
      <c r="J236" s="445">
        <v>488.62599999999998</v>
      </c>
      <c r="K236" s="445">
        <v>513.029</v>
      </c>
      <c r="L236" s="445">
        <v>541.399</v>
      </c>
      <c r="M236" s="445">
        <v>583.26700000000005</v>
      </c>
      <c r="N236" s="445">
        <v>922.41200000000003</v>
      </c>
      <c r="P236" s="445">
        <v>947.524</v>
      </c>
      <c r="Q236" s="445">
        <v>840.67499999999995</v>
      </c>
      <c r="R236" s="445">
        <v>844.524</v>
      </c>
      <c r="S236" s="445">
        <v>627.13800000000003</v>
      </c>
      <c r="T236" s="445">
        <v>553.79899999999998</v>
      </c>
      <c r="U236" s="445">
        <v>482.86700000000002</v>
      </c>
      <c r="V236" s="445">
        <v>455.11399999999998</v>
      </c>
      <c r="W236" s="445">
        <v>571.93399999999997</v>
      </c>
      <c r="X236" s="445">
        <v>524.39400000000001</v>
      </c>
      <c r="Y236" s="445">
        <v>629.14700000000005</v>
      </c>
      <c r="Z236" s="445">
        <v>555.45000000000005</v>
      </c>
      <c r="AA236" s="445">
        <v>1020.425</v>
      </c>
      <c r="AB236" s="445">
        <v>921.99699999999996</v>
      </c>
      <c r="AC236" s="445">
        <v>806.93399999999997</v>
      </c>
      <c r="AD236" s="445">
        <v>889.58600000000001</v>
      </c>
      <c r="AE236" s="445">
        <v>709.048</v>
      </c>
    </row>
    <row r="237" spans="1:31">
      <c r="A237" s="444" t="s">
        <v>2328</v>
      </c>
      <c r="B237" s="445">
        <v>49.216809999999903</v>
      </c>
      <c r="C237" s="445">
        <v>61.637699999999903</v>
      </c>
      <c r="D237" s="445">
        <v>60.227209999999999</v>
      </c>
      <c r="E237" s="445">
        <v>52.931939999999997</v>
      </c>
      <c r="F237" s="445">
        <v>51.104599999999998</v>
      </c>
      <c r="G237" s="445">
        <v>52.11627</v>
      </c>
      <c r="H237" s="445">
        <v>44.44491</v>
      </c>
      <c r="I237" s="445">
        <v>49.408999999999999</v>
      </c>
      <c r="J237" s="445">
        <v>47.963000000000001</v>
      </c>
      <c r="K237" s="445">
        <v>46.518999999999998</v>
      </c>
      <c r="L237" s="445">
        <v>47.963000000000001</v>
      </c>
      <c r="M237" s="445">
        <v>52.298000000000002</v>
      </c>
      <c r="N237" s="445">
        <v>52.308999999999997</v>
      </c>
      <c r="P237" s="445">
        <v>39.557000000000002</v>
      </c>
      <c r="Q237" s="445">
        <v>33.720999999999997</v>
      </c>
      <c r="R237" s="445">
        <v>53.17</v>
      </c>
      <c r="S237" s="445">
        <v>42.814999999999998</v>
      </c>
      <c r="T237" s="445">
        <v>50.326999999999998</v>
      </c>
      <c r="U237" s="445">
        <v>51.78</v>
      </c>
      <c r="V237" s="445">
        <v>50.454000000000001</v>
      </c>
      <c r="W237" s="445">
        <v>59.804000000000002</v>
      </c>
      <c r="X237" s="445">
        <v>44.661000000000001</v>
      </c>
      <c r="Y237" s="445">
        <v>51.747999999999998</v>
      </c>
      <c r="Z237" s="445">
        <v>48.698999999999998</v>
      </c>
      <c r="AA237" s="445">
        <v>46.581000000000003</v>
      </c>
      <c r="AB237" s="445">
        <v>43.970999999999997</v>
      </c>
      <c r="AC237" s="445">
        <v>32.110999999999997</v>
      </c>
      <c r="AD237" s="445">
        <v>54.515999999999998</v>
      </c>
      <c r="AE237" s="445">
        <v>42.679000000000002</v>
      </c>
    </row>
    <row r="238" spans="1:31">
      <c r="A238" s="444" t="s">
        <v>2329</v>
      </c>
      <c r="B238" s="445">
        <v>100.58796</v>
      </c>
      <c r="C238" s="445">
        <v>-34.725079999999998</v>
      </c>
      <c r="D238" s="445">
        <v>62.680280000000003</v>
      </c>
      <c r="E238" s="445">
        <v>38.1676</v>
      </c>
      <c r="F238" s="445">
        <v>7.9581900000000001</v>
      </c>
      <c r="G238" s="445">
        <v>22.220739999999999</v>
      </c>
      <c r="H238" s="445">
        <v>101.37745</v>
      </c>
      <c r="I238" s="445">
        <v>58.457000000000001</v>
      </c>
      <c r="J238" s="445">
        <v>232.45099999999999</v>
      </c>
      <c r="K238" s="445">
        <v>10.725</v>
      </c>
      <c r="L238" s="445">
        <v>15.898</v>
      </c>
      <c r="M238" s="445">
        <v>9.5860000000000003</v>
      </c>
      <c r="N238" s="445">
        <v>6.2519999999999998</v>
      </c>
      <c r="P238" s="445">
        <v>18.440000000000001</v>
      </c>
      <c r="Q238" s="445">
        <v>16.486000000000001</v>
      </c>
      <c r="R238" s="445">
        <v>13.215999999999999</v>
      </c>
      <c r="S238" s="445">
        <v>20.62</v>
      </c>
      <c r="T238" s="445">
        <v>32.695999999999998</v>
      </c>
      <c r="U238" s="445">
        <v>40.622999999999998</v>
      </c>
      <c r="V238" s="445">
        <v>67.177999999999997</v>
      </c>
      <c r="W238" s="445">
        <v>486.56400000000002</v>
      </c>
      <c r="X238" s="445">
        <v>483.27499999999998</v>
      </c>
      <c r="Y238" s="445">
        <v>46.314</v>
      </c>
      <c r="Z238" s="445">
        <v>17.024999999999999</v>
      </c>
      <c r="AA238" s="445">
        <v>16.913</v>
      </c>
      <c r="AB238" s="445">
        <v>20.393999999999998</v>
      </c>
      <c r="AC238" s="445">
        <v>18.422999999999998</v>
      </c>
      <c r="AD238" s="445">
        <v>15.183</v>
      </c>
      <c r="AE238" s="445">
        <v>22.553999999999998</v>
      </c>
    </row>
    <row r="239" spans="1:31">
      <c r="A239" s="444" t="s">
        <v>2330</v>
      </c>
      <c r="B239" s="445">
        <v>54.688929999999999</v>
      </c>
      <c r="C239" s="445">
        <v>35.127850000000002</v>
      </c>
      <c r="D239" s="445">
        <v>20.57516</v>
      </c>
      <c r="E239" s="445">
        <v>36.356720000000003</v>
      </c>
      <c r="F239" s="445">
        <v>45.138440000000003</v>
      </c>
      <c r="G239" s="445">
        <v>97.821190000000001</v>
      </c>
      <c r="H239" s="445">
        <v>68.613029999999995</v>
      </c>
      <c r="I239" s="445">
        <v>13.276999999999999</v>
      </c>
      <c r="J239" s="445">
        <v>40.192999999999998</v>
      </c>
      <c r="K239" s="445">
        <v>35.14</v>
      </c>
      <c r="L239" s="445">
        <v>42.767000000000003</v>
      </c>
      <c r="M239" s="445">
        <v>21.123999999999999</v>
      </c>
      <c r="N239" s="445">
        <v>19.940000000000001</v>
      </c>
      <c r="P239" s="445">
        <v>37.222000000000001</v>
      </c>
      <c r="Q239" s="445">
        <v>38.362000000000002</v>
      </c>
      <c r="R239" s="445">
        <v>49.267000000000003</v>
      </c>
      <c r="S239" s="445">
        <v>79.334000000000003</v>
      </c>
      <c r="T239" s="445">
        <v>33.872999999999998</v>
      </c>
      <c r="U239" s="445">
        <v>32.244999999999997</v>
      </c>
      <c r="V239" s="445">
        <v>82.162999999999997</v>
      </c>
      <c r="W239" s="445">
        <v>87.674000000000007</v>
      </c>
      <c r="X239" s="445">
        <v>82.688999999999993</v>
      </c>
      <c r="Y239" s="445">
        <v>98.430999999999997</v>
      </c>
      <c r="Z239" s="445">
        <v>48.261000000000003</v>
      </c>
      <c r="AA239" s="445">
        <v>70.206000000000003</v>
      </c>
      <c r="AB239" s="445">
        <v>35.725000000000001</v>
      </c>
      <c r="AC239" s="445">
        <v>36.838999999999999</v>
      </c>
      <c r="AD239" s="445">
        <v>47.67</v>
      </c>
      <c r="AE239" s="445">
        <v>80.168999999999997</v>
      </c>
    </row>
    <row r="240" spans="1:31">
      <c r="A240" s="444" t="s">
        <v>2331</v>
      </c>
      <c r="B240" s="445">
        <v>74.255679999999998</v>
      </c>
      <c r="C240" s="445">
        <v>44.168300000000002</v>
      </c>
      <c r="D240" s="445">
        <v>65.992670000000004</v>
      </c>
      <c r="E240" s="445">
        <v>90.527780000000007</v>
      </c>
      <c r="F240" s="445">
        <v>80.783360000000002</v>
      </c>
      <c r="G240" s="445">
        <v>78.546970000000002</v>
      </c>
      <c r="H240" s="445">
        <v>51.00356</v>
      </c>
      <c r="I240" s="445">
        <v>64.384</v>
      </c>
      <c r="J240" s="445">
        <v>35.837000000000003</v>
      </c>
      <c r="K240" s="445">
        <v>52.639000000000003</v>
      </c>
      <c r="L240" s="445">
        <v>45.905000000000001</v>
      </c>
      <c r="M240" s="445">
        <v>37.484999999999999</v>
      </c>
      <c r="N240" s="445">
        <v>56.826999999999998</v>
      </c>
      <c r="P240" s="445">
        <v>45.826999999999998</v>
      </c>
      <c r="Q240" s="445">
        <v>27.268999999999998</v>
      </c>
      <c r="R240" s="445">
        <v>50.935000000000002</v>
      </c>
      <c r="S240" s="445">
        <v>40.860999999999997</v>
      </c>
      <c r="T240" s="445">
        <v>23.963000000000001</v>
      </c>
      <c r="U240" s="445">
        <v>27.855</v>
      </c>
      <c r="V240" s="445">
        <v>25.949000000000002</v>
      </c>
      <c r="W240" s="445">
        <v>39.898000000000003</v>
      </c>
      <c r="X240" s="445">
        <v>35.039000000000001</v>
      </c>
      <c r="Y240" s="445">
        <v>29.553999999999998</v>
      </c>
      <c r="Z240" s="445">
        <v>36.643999999999998</v>
      </c>
      <c r="AA240" s="445">
        <v>70.331000000000003</v>
      </c>
      <c r="AB240" s="445">
        <v>48.311999999999998</v>
      </c>
      <c r="AC240" s="445">
        <v>29.818000000000001</v>
      </c>
      <c r="AD240" s="445">
        <v>53.402999999999999</v>
      </c>
      <c r="AE240" s="445">
        <v>40.712000000000003</v>
      </c>
    </row>
    <row r="241" spans="1:31">
      <c r="A241" s="444" t="s">
        <v>2332</v>
      </c>
      <c r="B241" s="445">
        <v>10.571289999999999</v>
      </c>
      <c r="C241" s="445">
        <v>2.9726900000000001</v>
      </c>
      <c r="D241" s="445">
        <v>3.1827899999999998</v>
      </c>
      <c r="E241" s="445">
        <v>6.9577600000000004</v>
      </c>
      <c r="F241" s="445">
        <v>2.83249</v>
      </c>
      <c r="G241" s="445">
        <v>3.6469</v>
      </c>
      <c r="H241" s="445">
        <v>1.4383900000000001</v>
      </c>
      <c r="I241" s="445">
        <v>1.4379999999999999</v>
      </c>
      <c r="J241" s="445">
        <v>1.4379999999999999</v>
      </c>
      <c r="K241" s="445">
        <v>1.4379999999999999</v>
      </c>
      <c r="L241" s="445">
        <v>1.4379999999999999</v>
      </c>
      <c r="M241" s="445">
        <v>4.1449999999999996</v>
      </c>
      <c r="N241" s="445">
        <v>4.1459999999999999</v>
      </c>
      <c r="P241" s="445">
        <v>0</v>
      </c>
      <c r="Q241" s="445">
        <v>0</v>
      </c>
      <c r="R241" s="445">
        <v>0</v>
      </c>
      <c r="S241" s="445">
        <v>0</v>
      </c>
      <c r="T241" s="445">
        <v>0</v>
      </c>
      <c r="U241" s="445">
        <v>0</v>
      </c>
      <c r="V241" s="445">
        <v>0</v>
      </c>
      <c r="W241" s="445">
        <v>0</v>
      </c>
      <c r="X241" s="445">
        <v>0</v>
      </c>
      <c r="Y241" s="445">
        <v>0</v>
      </c>
      <c r="Z241" s="445">
        <v>0</v>
      </c>
      <c r="AA241" s="445">
        <v>0</v>
      </c>
      <c r="AB241" s="445">
        <v>0</v>
      </c>
      <c r="AC241" s="445">
        <v>0</v>
      </c>
      <c r="AD241" s="445">
        <v>0</v>
      </c>
      <c r="AE241" s="445">
        <v>0</v>
      </c>
    </row>
    <row r="242" spans="1:31">
      <c r="A242" s="444" t="s">
        <v>2333</v>
      </c>
      <c r="B242" s="445">
        <v>57.481789999999997</v>
      </c>
      <c r="C242" s="445">
        <v>36.281399999999998</v>
      </c>
      <c r="D242" s="445">
        <v>29.316749999999999</v>
      </c>
      <c r="E242" s="445">
        <v>13.66841</v>
      </c>
      <c r="F242" s="445">
        <v>27.911300000000001</v>
      </c>
      <c r="G242" s="445">
        <v>93.20308</v>
      </c>
      <c r="H242" s="445">
        <v>60.521189999999997</v>
      </c>
      <c r="I242" s="445">
        <v>82.733999999999995</v>
      </c>
      <c r="J242" s="445">
        <v>84.498000000000005</v>
      </c>
      <c r="K242" s="445">
        <v>83.528000000000006</v>
      </c>
      <c r="L242" s="445">
        <v>93.161000000000001</v>
      </c>
      <c r="M242" s="445">
        <v>72.367999999999995</v>
      </c>
      <c r="N242" s="445">
        <v>54.85</v>
      </c>
      <c r="P242" s="445">
        <v>79.221000000000004</v>
      </c>
      <c r="Q242" s="445">
        <v>43.597000000000001</v>
      </c>
      <c r="R242" s="445">
        <v>37.942</v>
      </c>
      <c r="S242" s="445">
        <v>54.691000000000003</v>
      </c>
      <c r="T242" s="445">
        <v>57.064999999999998</v>
      </c>
      <c r="U242" s="445">
        <v>53.466000000000001</v>
      </c>
      <c r="V242" s="445">
        <v>45.353000000000002</v>
      </c>
      <c r="W242" s="445">
        <v>43.473999999999997</v>
      </c>
      <c r="X242" s="445">
        <v>48.427</v>
      </c>
      <c r="Y242" s="445">
        <v>88.245999999999995</v>
      </c>
      <c r="Z242" s="445">
        <v>65.512</v>
      </c>
      <c r="AA242" s="445">
        <v>51.640999999999998</v>
      </c>
      <c r="AB242" s="445">
        <v>79.105999999999995</v>
      </c>
      <c r="AC242" s="445">
        <v>36.082000000000001</v>
      </c>
      <c r="AD242" s="445">
        <v>37.802999999999997</v>
      </c>
      <c r="AE242" s="445">
        <v>54.430999999999997</v>
      </c>
    </row>
    <row r="243" spans="1:31" ht="15.75" thickBot="1">
      <c r="A243" s="444" t="s">
        <v>2334</v>
      </c>
      <c r="B243" s="629">
        <v>21.362400000000001</v>
      </c>
      <c r="C243" s="629">
        <v>9.5317600000000002</v>
      </c>
      <c r="D243" s="629">
        <v>18.381080000000001</v>
      </c>
      <c r="E243" s="629">
        <v>33.529119999999999</v>
      </c>
      <c r="F243" s="629">
        <v>21.737660000000002</v>
      </c>
      <c r="G243" s="629">
        <v>27.01848</v>
      </c>
      <c r="H243" s="629">
        <v>18.475629999999999</v>
      </c>
      <c r="I243" s="629">
        <v>40.142000000000003</v>
      </c>
      <c r="J243" s="629">
        <v>43.164000000000001</v>
      </c>
      <c r="K243" s="629">
        <v>45.183</v>
      </c>
      <c r="L243" s="629">
        <v>39.939</v>
      </c>
      <c r="M243" s="629">
        <v>51.924999999999997</v>
      </c>
      <c r="N243" s="629">
        <v>37.031999999999996</v>
      </c>
      <c r="O243" s="629"/>
      <c r="P243" s="629">
        <v>11.231</v>
      </c>
      <c r="Q243" s="629">
        <v>6.8929999999999998</v>
      </c>
      <c r="R243" s="629">
        <v>8.6690000000000005</v>
      </c>
      <c r="S243" s="629">
        <v>29.969000000000001</v>
      </c>
      <c r="T243" s="629">
        <v>51.731000000000002</v>
      </c>
      <c r="U243" s="629">
        <v>67.957999999999998</v>
      </c>
      <c r="V243" s="629">
        <v>37.197000000000003</v>
      </c>
      <c r="W243" s="629">
        <v>30.954999999999998</v>
      </c>
      <c r="X243" s="629">
        <v>28.984999999999999</v>
      </c>
      <c r="Y243" s="629">
        <v>40.374000000000002</v>
      </c>
      <c r="Z243" s="629">
        <v>29.882000000000001</v>
      </c>
      <c r="AA243" s="629">
        <v>24.783999999999999</v>
      </c>
      <c r="AB243" s="629">
        <v>11.182</v>
      </c>
      <c r="AC243" s="629">
        <v>6.8630000000000004</v>
      </c>
      <c r="AD243" s="629">
        <v>8.6349999999999998</v>
      </c>
      <c r="AE243" s="629">
        <v>29.87</v>
      </c>
    </row>
    <row r="244" spans="1:31">
      <c r="A244" s="632" t="s">
        <v>2335</v>
      </c>
      <c r="B244" s="445">
        <v>368.16485999999998</v>
      </c>
      <c r="C244" s="445">
        <v>154.994619999999</v>
      </c>
      <c r="D244" s="445">
        <v>260.35593999999998</v>
      </c>
      <c r="E244" s="445">
        <v>272.13932999999997</v>
      </c>
      <c r="F244" s="445">
        <v>237.46603999999999</v>
      </c>
      <c r="G244" s="445">
        <v>374.57362999999998</v>
      </c>
      <c r="H244" s="445">
        <v>345.87416000000002</v>
      </c>
      <c r="I244" s="445">
        <v>309.84099999999899</v>
      </c>
      <c r="J244" s="445">
        <v>485.54399999999902</v>
      </c>
      <c r="K244" s="445">
        <v>275.171999999999</v>
      </c>
      <c r="L244" s="445">
        <v>287.07100000000003</v>
      </c>
      <c r="M244" s="445">
        <v>248.93099999999899</v>
      </c>
      <c r="N244" s="445">
        <v>231.35599999999999</v>
      </c>
      <c r="P244" s="445">
        <v>231.49799999999999</v>
      </c>
      <c r="Q244" s="445">
        <v>166.328</v>
      </c>
      <c r="R244" s="445">
        <v>213.19900000000001</v>
      </c>
      <c r="S244" s="445">
        <v>268.29000000000002</v>
      </c>
      <c r="T244" s="445">
        <v>249.65499999999901</v>
      </c>
      <c r="U244" s="445">
        <v>273.92700000000002</v>
      </c>
      <c r="V244" s="445">
        <v>308.29399999999998</v>
      </c>
      <c r="W244" s="445">
        <v>748.36900000000003</v>
      </c>
      <c r="X244" s="445">
        <v>723.07600000000002</v>
      </c>
      <c r="Y244" s="445">
        <v>354.66699999999997</v>
      </c>
      <c r="Z244" s="445">
        <v>246.023</v>
      </c>
      <c r="AA244" s="445">
        <v>280.45600000000002</v>
      </c>
      <c r="AB244" s="445">
        <v>238.689999999999</v>
      </c>
      <c r="AC244" s="445">
        <v>160.136</v>
      </c>
      <c r="AD244" s="445">
        <v>217.20999999999901</v>
      </c>
      <c r="AE244" s="445">
        <v>270.414999999999</v>
      </c>
    </row>
    <row r="245" spans="1:31">
      <c r="A245" s="444" t="s">
        <v>2336</v>
      </c>
      <c r="B245" s="445">
        <v>13.665789999999999</v>
      </c>
      <c r="C245" s="445">
        <v>8.29162</v>
      </c>
      <c r="D245" s="445">
        <v>3.04569</v>
      </c>
      <c r="E245" s="445">
        <v>17.53312</v>
      </c>
      <c r="F245" s="445">
        <v>42.359870000000001</v>
      </c>
      <c r="G245" s="445">
        <v>5.2009999999999996</v>
      </c>
      <c r="H245" s="445">
        <v>4.2640000000000002</v>
      </c>
      <c r="I245" s="445">
        <v>28</v>
      </c>
      <c r="J245" s="445">
        <v>11.35</v>
      </c>
      <c r="K245" s="445">
        <v>2.6160000000000001</v>
      </c>
      <c r="L245" s="445">
        <v>12</v>
      </c>
      <c r="M245" s="445">
        <v>6</v>
      </c>
      <c r="N245" s="445">
        <v>21</v>
      </c>
      <c r="P245" s="445">
        <v>19.149000000000001</v>
      </c>
      <c r="Q245" s="445">
        <v>3.4980000000000002</v>
      </c>
      <c r="R245" s="445">
        <v>17.437999999999999</v>
      </c>
      <c r="S245" s="445">
        <v>40.106999999999999</v>
      </c>
      <c r="T245" s="445">
        <v>5.4740000000000002</v>
      </c>
      <c r="U245" s="445">
        <v>4.2729999999999997</v>
      </c>
      <c r="V245" s="445">
        <v>26.306000000000001</v>
      </c>
      <c r="W245" s="445">
        <v>11.35</v>
      </c>
      <c r="X245" s="445">
        <v>2.6160000000000001</v>
      </c>
      <c r="Y245" s="445">
        <v>10.456</v>
      </c>
      <c r="Z245" s="445">
        <v>10.787000000000001</v>
      </c>
      <c r="AA245" s="445">
        <v>5.0529999999999999</v>
      </c>
      <c r="AB245" s="445">
        <v>19.149000000000001</v>
      </c>
      <c r="AC245" s="445">
        <v>3.4980000000000002</v>
      </c>
      <c r="AD245" s="445">
        <v>17.437999999999999</v>
      </c>
      <c r="AE245" s="445">
        <v>40.106999999999999</v>
      </c>
    </row>
    <row r="246" spans="1:31" ht="15.75" thickBot="1">
      <c r="A246" s="444" t="s">
        <v>2337</v>
      </c>
      <c r="B246" s="629">
        <v>0</v>
      </c>
      <c r="C246" s="629">
        <v>0</v>
      </c>
      <c r="D246" s="629">
        <v>0</v>
      </c>
      <c r="E246" s="629">
        <v>0</v>
      </c>
      <c r="F246" s="629">
        <v>0</v>
      </c>
      <c r="G246" s="629">
        <v>0</v>
      </c>
      <c r="H246" s="629">
        <v>0</v>
      </c>
      <c r="I246" s="629">
        <v>0</v>
      </c>
      <c r="J246" s="629">
        <v>0</v>
      </c>
      <c r="K246" s="629">
        <v>0</v>
      </c>
      <c r="L246" s="629">
        <v>0</v>
      </c>
      <c r="M246" s="629">
        <v>0</v>
      </c>
      <c r="N246" s="629">
        <v>0</v>
      </c>
      <c r="O246" s="629"/>
      <c r="P246" s="629">
        <v>0</v>
      </c>
      <c r="Q246" s="629">
        <v>0</v>
      </c>
      <c r="R246" s="629">
        <v>0</v>
      </c>
      <c r="S246" s="629">
        <v>0</v>
      </c>
      <c r="T246" s="629">
        <v>0</v>
      </c>
      <c r="U246" s="629">
        <v>0</v>
      </c>
      <c r="V246" s="629">
        <v>0</v>
      </c>
      <c r="W246" s="629">
        <v>0</v>
      </c>
      <c r="X246" s="629">
        <v>0</v>
      </c>
      <c r="Y246" s="629">
        <v>0</v>
      </c>
      <c r="Z246" s="629">
        <v>0</v>
      </c>
      <c r="AA246" s="629">
        <v>0</v>
      </c>
      <c r="AB246" s="629">
        <v>0</v>
      </c>
      <c r="AC246" s="629">
        <v>0</v>
      </c>
      <c r="AD246" s="629">
        <v>0</v>
      </c>
      <c r="AE246" s="629">
        <v>0</v>
      </c>
    </row>
    <row r="247" spans="1:31">
      <c r="A247" s="632" t="s">
        <v>2221</v>
      </c>
      <c r="B247" s="445">
        <v>13.665789999999999</v>
      </c>
      <c r="C247" s="445">
        <v>8.29162</v>
      </c>
      <c r="D247" s="445">
        <v>3.04569</v>
      </c>
      <c r="E247" s="445">
        <v>17.53312</v>
      </c>
      <c r="F247" s="445">
        <v>42.359870000000001</v>
      </c>
      <c r="G247" s="445">
        <v>5.2009999999999996</v>
      </c>
      <c r="H247" s="445">
        <v>4.2640000000000002</v>
      </c>
      <c r="I247" s="445">
        <v>28</v>
      </c>
      <c r="J247" s="445">
        <v>11.35</v>
      </c>
      <c r="K247" s="445">
        <v>2.6160000000000001</v>
      </c>
      <c r="L247" s="445">
        <v>12</v>
      </c>
      <c r="M247" s="445">
        <v>6</v>
      </c>
      <c r="N247" s="445">
        <v>21</v>
      </c>
      <c r="P247" s="445">
        <v>19.149000000000001</v>
      </c>
      <c r="Q247" s="445">
        <v>3.4980000000000002</v>
      </c>
      <c r="R247" s="445">
        <v>17.437999999999999</v>
      </c>
      <c r="S247" s="445">
        <v>40.106999999999999</v>
      </c>
      <c r="T247" s="445">
        <v>5.4740000000000002</v>
      </c>
      <c r="U247" s="445">
        <v>4.2729999999999997</v>
      </c>
      <c r="V247" s="445">
        <v>26.306000000000001</v>
      </c>
      <c r="W247" s="445">
        <v>11.35</v>
      </c>
      <c r="X247" s="445">
        <v>2.6160000000000001</v>
      </c>
      <c r="Y247" s="445">
        <v>10.456</v>
      </c>
      <c r="Z247" s="445">
        <v>10.787000000000001</v>
      </c>
      <c r="AA247" s="445">
        <v>5.0529999999999999</v>
      </c>
      <c r="AB247" s="445">
        <v>19.149000000000001</v>
      </c>
      <c r="AC247" s="445">
        <v>3.4980000000000002</v>
      </c>
      <c r="AD247" s="445">
        <v>17.437999999999999</v>
      </c>
      <c r="AE247" s="445">
        <v>40.106999999999999</v>
      </c>
    </row>
    <row r="248" spans="1:31">
      <c r="B248" s="628"/>
      <c r="C248" s="628"/>
      <c r="D248" s="628"/>
      <c r="E248" s="628"/>
      <c r="F248" s="628"/>
      <c r="G248" s="628"/>
      <c r="H248" s="628"/>
      <c r="I248" s="628"/>
      <c r="J248" s="628"/>
      <c r="K248" s="628"/>
      <c r="L248" s="628"/>
      <c r="M248" s="628"/>
      <c r="N248" s="628"/>
      <c r="O248" s="628"/>
      <c r="P248" s="628"/>
      <c r="Q248" s="628"/>
      <c r="R248" s="628"/>
      <c r="S248" s="628"/>
      <c r="T248" s="628"/>
      <c r="U248" s="628"/>
      <c r="V248" s="628"/>
      <c r="W248" s="628"/>
      <c r="X248" s="628"/>
      <c r="Y248" s="628"/>
      <c r="Z248" s="628"/>
      <c r="AA248" s="628"/>
      <c r="AB248" s="628"/>
      <c r="AC248" s="628"/>
      <c r="AD248" s="628"/>
      <c r="AE248" s="628"/>
    </row>
    <row r="249" spans="1:31">
      <c r="A249" s="447" t="s">
        <v>2338</v>
      </c>
      <c r="B249" s="626">
        <v>1503.5974699999999</v>
      </c>
      <c r="C249" s="626">
        <v>1139.1715299999901</v>
      </c>
      <c r="D249" s="626">
        <v>1057.79140999999</v>
      </c>
      <c r="E249" s="626">
        <v>1125.33818</v>
      </c>
      <c r="F249" s="626">
        <v>857.01844000000006</v>
      </c>
      <c r="G249" s="626">
        <v>873.17580999999996</v>
      </c>
      <c r="H249" s="626">
        <v>775.90989000000002</v>
      </c>
      <c r="I249" s="626">
        <v>780.58600000000001</v>
      </c>
      <c r="J249" s="626">
        <v>985.51999999999896</v>
      </c>
      <c r="K249" s="626">
        <v>790.81700000000001</v>
      </c>
      <c r="L249" s="626">
        <v>840.47</v>
      </c>
      <c r="M249" s="626">
        <v>838.19799999999998</v>
      </c>
      <c r="N249" s="626">
        <v>1174.768</v>
      </c>
      <c r="O249" s="626"/>
      <c r="P249" s="626">
        <v>1198.17099999999</v>
      </c>
      <c r="Q249" s="626">
        <v>1010.501</v>
      </c>
      <c r="R249" s="626">
        <v>1075.1610000000001</v>
      </c>
      <c r="S249" s="626">
        <v>935.53499999999997</v>
      </c>
      <c r="T249" s="626">
        <v>808.928</v>
      </c>
      <c r="U249" s="626">
        <v>761.06700000000001</v>
      </c>
      <c r="V249" s="626">
        <v>789.71400000000006</v>
      </c>
      <c r="W249" s="626">
        <v>1331.653</v>
      </c>
      <c r="X249" s="626">
        <v>1250.086</v>
      </c>
      <c r="Y249" s="626">
        <v>994.27</v>
      </c>
      <c r="Z249" s="626">
        <v>812.26</v>
      </c>
      <c r="AA249" s="626">
        <v>1305.934</v>
      </c>
      <c r="AB249" s="626">
        <v>1179.836</v>
      </c>
      <c r="AC249" s="626">
        <v>970.56799999999998</v>
      </c>
      <c r="AD249" s="626">
        <v>1124.2339999999999</v>
      </c>
      <c r="AE249" s="626">
        <v>1019.56999999999</v>
      </c>
    </row>
    <row r="250" spans="1:31">
      <c r="A250" s="444" t="s">
        <v>539</v>
      </c>
      <c r="B250" s="628"/>
      <c r="C250" s="628"/>
      <c r="D250" s="628"/>
      <c r="E250" s="628"/>
      <c r="F250" s="628"/>
      <c r="G250" s="628"/>
      <c r="H250" s="628"/>
      <c r="I250" s="628"/>
      <c r="J250" s="628"/>
      <c r="K250" s="628"/>
      <c r="L250" s="628"/>
      <c r="M250" s="628"/>
      <c r="N250" s="628"/>
      <c r="O250" s="628"/>
      <c r="P250" s="628"/>
      <c r="Q250" s="628"/>
      <c r="R250" s="628"/>
      <c r="S250" s="628"/>
      <c r="T250" s="628"/>
      <c r="U250" s="628"/>
      <c r="V250" s="628"/>
      <c r="W250" s="628"/>
      <c r="X250" s="628"/>
      <c r="Y250" s="628"/>
      <c r="Z250" s="628"/>
      <c r="AA250" s="628"/>
      <c r="AB250" s="628"/>
      <c r="AC250" s="628"/>
      <c r="AD250" s="628"/>
      <c r="AE250" s="628"/>
    </row>
    <row r="251" spans="1:31">
      <c r="A251" s="444" t="s">
        <v>2339</v>
      </c>
      <c r="B251" s="445">
        <v>-83.45026</v>
      </c>
      <c r="C251" s="445">
        <v>-151.95060999999899</v>
      </c>
      <c r="D251" s="445">
        <v>-117.18894</v>
      </c>
      <c r="E251" s="445">
        <v>-111.03756</v>
      </c>
      <c r="F251" s="445">
        <v>-42.58222</v>
      </c>
      <c r="G251" s="445">
        <v>-6.6308299999999996</v>
      </c>
      <c r="H251" s="445">
        <v>-2.8999699999999899</v>
      </c>
      <c r="I251" s="445">
        <v>-5</v>
      </c>
      <c r="J251" s="445">
        <v>-6</v>
      </c>
      <c r="K251" s="445">
        <v>-6</v>
      </c>
      <c r="L251" s="445">
        <v>-10</v>
      </c>
      <c r="M251" s="445">
        <v>-21</v>
      </c>
      <c r="N251" s="445">
        <v>-130</v>
      </c>
      <c r="P251" s="445">
        <v>-153</v>
      </c>
      <c r="Q251" s="445">
        <v>-134</v>
      </c>
      <c r="R251" s="445">
        <v>-102</v>
      </c>
      <c r="S251" s="445">
        <v>-35</v>
      </c>
      <c r="T251" s="445">
        <v>-15</v>
      </c>
      <c r="U251" s="445">
        <v>-6</v>
      </c>
      <c r="V251" s="445">
        <v>-6</v>
      </c>
      <c r="W251" s="445">
        <v>-6</v>
      </c>
      <c r="X251" s="445">
        <v>-5</v>
      </c>
      <c r="Y251" s="445">
        <v>-9</v>
      </c>
      <c r="Z251" s="445">
        <v>-15</v>
      </c>
      <c r="AA251" s="445">
        <v>-105</v>
      </c>
      <c r="AB251" s="445">
        <v>-150</v>
      </c>
      <c r="AC251" s="445">
        <v>-131</v>
      </c>
      <c r="AD251" s="445">
        <v>-100</v>
      </c>
      <c r="AE251" s="445">
        <v>-34</v>
      </c>
    </row>
    <row r="252" spans="1:31">
      <c r="A252" s="444" t="s">
        <v>2340</v>
      </c>
      <c r="B252" s="445">
        <v>65.454509999999999</v>
      </c>
      <c r="C252" s="445">
        <v>54.396589999999897</v>
      </c>
      <c r="D252" s="445">
        <v>54.51793</v>
      </c>
      <c r="E252" s="445">
        <v>42.309429999999999</v>
      </c>
      <c r="F252" s="445">
        <v>47.488039999999998</v>
      </c>
      <c r="G252" s="445">
        <v>66.703050000000005</v>
      </c>
      <c r="H252" s="445">
        <v>69.236770000000007</v>
      </c>
      <c r="I252" s="445">
        <v>93.245999999999995</v>
      </c>
      <c r="J252" s="445">
        <v>223.26</v>
      </c>
      <c r="K252" s="445">
        <v>151.52099999999999</v>
      </c>
      <c r="L252" s="445">
        <v>136.39599999999999</v>
      </c>
      <c r="M252" s="445">
        <v>186.34299999999999</v>
      </c>
      <c r="N252" s="445">
        <v>92.453000000000003</v>
      </c>
      <c r="P252" s="445">
        <v>118.383</v>
      </c>
      <c r="Q252" s="445">
        <v>105.664</v>
      </c>
      <c r="R252" s="445">
        <v>126.146</v>
      </c>
      <c r="S252" s="445">
        <v>193.761</v>
      </c>
      <c r="T252" s="445">
        <v>235.99199999999999</v>
      </c>
      <c r="U252" s="445">
        <v>230.22399999999999</v>
      </c>
      <c r="V252" s="445">
        <v>219.69800000000001</v>
      </c>
      <c r="W252" s="445">
        <v>170.86199999999999</v>
      </c>
      <c r="X252" s="445">
        <v>161.50200000000001</v>
      </c>
      <c r="Y252" s="445">
        <v>173.649</v>
      </c>
      <c r="Z252" s="445">
        <v>202.672</v>
      </c>
      <c r="AA252" s="445">
        <v>118.17400000000001</v>
      </c>
      <c r="AB252" s="445">
        <v>114.983</v>
      </c>
      <c r="AC252" s="445">
        <v>101.836</v>
      </c>
      <c r="AD252" s="445">
        <v>171.30199999999999</v>
      </c>
      <c r="AE252" s="445">
        <v>180.57499999999999</v>
      </c>
    </row>
    <row r="253" spans="1:31">
      <c r="A253" s="444" t="s">
        <v>2341</v>
      </c>
      <c r="B253" s="445">
        <v>30.309889999999999</v>
      </c>
      <c r="C253" s="445">
        <v>38.820230000000002</v>
      </c>
      <c r="D253" s="445">
        <v>32.943249999999999</v>
      </c>
      <c r="E253" s="445">
        <v>33.693890000000003</v>
      </c>
      <c r="F253" s="445">
        <v>35.371830000000003</v>
      </c>
      <c r="G253" s="445">
        <v>38.658140000000003</v>
      </c>
      <c r="H253" s="445">
        <v>35.89761</v>
      </c>
      <c r="I253" s="445">
        <v>46.668999999999997</v>
      </c>
      <c r="J253" s="445">
        <v>65.483999999999995</v>
      </c>
      <c r="K253" s="445">
        <v>48.853999999999999</v>
      </c>
      <c r="L253" s="445">
        <v>55.41</v>
      </c>
      <c r="M253" s="445">
        <v>45.335000000000001</v>
      </c>
      <c r="N253" s="445">
        <v>33.75</v>
      </c>
      <c r="P253" s="445">
        <v>58.241</v>
      </c>
      <c r="Q253" s="445">
        <v>50.999000000000002</v>
      </c>
      <c r="R253" s="445">
        <v>57.393999999999998</v>
      </c>
      <c r="S253" s="445">
        <v>52.597000000000001</v>
      </c>
      <c r="T253" s="445">
        <v>60.168999999999997</v>
      </c>
      <c r="U253" s="445">
        <v>53.151000000000003</v>
      </c>
      <c r="V253" s="445">
        <v>60.838000000000001</v>
      </c>
      <c r="W253" s="445">
        <v>63.302</v>
      </c>
      <c r="X253" s="445">
        <v>62.439</v>
      </c>
      <c r="Y253" s="445">
        <v>65.772000000000006</v>
      </c>
      <c r="Z253" s="445">
        <v>59.768000000000001</v>
      </c>
      <c r="AA253" s="445">
        <v>57.3</v>
      </c>
      <c r="AB253" s="445">
        <v>53.970999999999997</v>
      </c>
      <c r="AC253" s="445">
        <v>44.186999999999998</v>
      </c>
      <c r="AD253" s="445">
        <v>56.451999999999998</v>
      </c>
      <c r="AE253" s="445">
        <v>47.494999999999997</v>
      </c>
    </row>
    <row r="254" spans="1:31">
      <c r="A254" s="444" t="s">
        <v>2342</v>
      </c>
      <c r="B254" s="445">
        <v>50.224780000000003</v>
      </c>
      <c r="C254" s="445">
        <v>31.60726</v>
      </c>
      <c r="D254" s="445">
        <v>23.865490000000001</v>
      </c>
      <c r="E254" s="445">
        <v>53.080860000000001</v>
      </c>
      <c r="F254" s="445">
        <v>34.398829999999997</v>
      </c>
      <c r="G254" s="445">
        <v>69.458910000000003</v>
      </c>
      <c r="H254" s="445">
        <v>59.26605</v>
      </c>
      <c r="I254" s="445">
        <v>76.543000000000006</v>
      </c>
      <c r="J254" s="445">
        <v>91.067999999999998</v>
      </c>
      <c r="K254" s="445">
        <v>48.883000000000003</v>
      </c>
      <c r="L254" s="445">
        <v>50.973999999999997</v>
      </c>
      <c r="M254" s="445">
        <v>46.75</v>
      </c>
      <c r="N254" s="445">
        <v>38.262999999999998</v>
      </c>
      <c r="P254" s="445">
        <v>45.406999999999996</v>
      </c>
      <c r="Q254" s="445">
        <v>36.439</v>
      </c>
      <c r="R254" s="445">
        <v>89.406000000000006</v>
      </c>
      <c r="S254" s="445">
        <v>90.492000000000004</v>
      </c>
      <c r="T254" s="445">
        <v>39.22</v>
      </c>
      <c r="U254" s="445">
        <v>71.566999999999993</v>
      </c>
      <c r="V254" s="445">
        <v>81.89</v>
      </c>
      <c r="W254" s="445">
        <v>96.936999999999998</v>
      </c>
      <c r="X254" s="445">
        <v>77.573999999999998</v>
      </c>
      <c r="Y254" s="445">
        <v>82.274000000000001</v>
      </c>
      <c r="Z254" s="445">
        <v>60.033999999999999</v>
      </c>
      <c r="AA254" s="445">
        <v>44.027000000000001</v>
      </c>
      <c r="AB254" s="445">
        <v>45.28</v>
      </c>
      <c r="AC254" s="445">
        <v>36.35</v>
      </c>
      <c r="AD254" s="445">
        <v>114.309</v>
      </c>
      <c r="AE254" s="445">
        <v>115.379</v>
      </c>
    </row>
    <row r="255" spans="1:31" ht="15.75" thickBot="1">
      <c r="A255" s="444" t="s">
        <v>2343</v>
      </c>
      <c r="B255" s="629">
        <v>0</v>
      </c>
      <c r="C255" s="629">
        <v>0</v>
      </c>
      <c r="D255" s="629">
        <v>0</v>
      </c>
      <c r="E255" s="629">
        <v>0</v>
      </c>
      <c r="F255" s="629">
        <v>0</v>
      </c>
      <c r="G255" s="629">
        <v>0</v>
      </c>
      <c r="H255" s="629">
        <v>7.6624499999999998</v>
      </c>
      <c r="I255" s="629">
        <v>3.331</v>
      </c>
      <c r="J255" s="629">
        <v>3.5609999999999999</v>
      </c>
      <c r="K255" s="629">
        <v>3.2589999999999999</v>
      </c>
      <c r="L255" s="629">
        <v>3.617</v>
      </c>
      <c r="M255" s="629">
        <v>3.536</v>
      </c>
      <c r="N255" s="629">
        <v>3.8719999999999999</v>
      </c>
      <c r="O255" s="629"/>
      <c r="P255" s="629">
        <v>5.3040000000000003</v>
      </c>
      <c r="Q255" s="629">
        <v>4.8460000000000001</v>
      </c>
      <c r="R255" s="629">
        <v>4.9630000000000001</v>
      </c>
      <c r="S255" s="629">
        <v>5.0860000000000003</v>
      </c>
      <c r="T255" s="629">
        <v>5.5819999999999999</v>
      </c>
      <c r="U255" s="629">
        <v>4.8570000000000002</v>
      </c>
      <c r="V255" s="629">
        <v>5.0279999999999996</v>
      </c>
      <c r="W255" s="629">
        <v>4.9790000000000001</v>
      </c>
      <c r="X255" s="629">
        <v>5.4119999999999999</v>
      </c>
      <c r="Y255" s="629">
        <v>5.5270000000000001</v>
      </c>
      <c r="Z255" s="629">
        <v>4.3760000000000003</v>
      </c>
      <c r="AA255" s="629">
        <v>3.9319999999999999</v>
      </c>
      <c r="AB255" s="629">
        <v>5.5179999999999998</v>
      </c>
      <c r="AC255" s="629">
        <v>5.1210000000000004</v>
      </c>
      <c r="AD255" s="629">
        <v>5.6459999999999999</v>
      </c>
      <c r="AE255" s="629">
        <v>5.3559999999999999</v>
      </c>
    </row>
    <row r="256" spans="1:31">
      <c r="A256" s="632" t="s">
        <v>2212</v>
      </c>
      <c r="B256" s="445">
        <v>62.538919999999997</v>
      </c>
      <c r="C256" s="445">
        <v>-27.126529999999899</v>
      </c>
      <c r="D256" s="445">
        <v>-5.8622699999999996</v>
      </c>
      <c r="E256" s="445">
        <v>18.046620000000001</v>
      </c>
      <c r="F256" s="445">
        <v>74.676479999999998</v>
      </c>
      <c r="G256" s="445">
        <v>168.18926999999999</v>
      </c>
      <c r="H256" s="445">
        <v>169.16291000000001</v>
      </c>
      <c r="I256" s="445">
        <v>214.78899999999999</v>
      </c>
      <c r="J256" s="445">
        <v>377.37299999999902</v>
      </c>
      <c r="K256" s="445">
        <v>246.517</v>
      </c>
      <c r="L256" s="445">
        <v>236.39699999999999</v>
      </c>
      <c r="M256" s="445">
        <v>260.964</v>
      </c>
      <c r="N256" s="445">
        <v>38.338000000000001</v>
      </c>
      <c r="P256" s="445">
        <v>74.334999999999994</v>
      </c>
      <c r="Q256" s="445">
        <v>63.948</v>
      </c>
      <c r="R256" s="445">
        <v>175.90899999999999</v>
      </c>
      <c r="S256" s="445">
        <v>306.93599999999998</v>
      </c>
      <c r="T256" s="445">
        <v>325.962999999999</v>
      </c>
      <c r="U256" s="445">
        <v>353.79899999999998</v>
      </c>
      <c r="V256" s="445">
        <v>361.45400000000001</v>
      </c>
      <c r="W256" s="445">
        <v>330.08</v>
      </c>
      <c r="X256" s="445">
        <v>301.926999999999</v>
      </c>
      <c r="Y256" s="445">
        <v>318.22199999999998</v>
      </c>
      <c r="Z256" s="445">
        <v>311.849999999999</v>
      </c>
      <c r="AA256" s="445">
        <v>118.43300000000001</v>
      </c>
      <c r="AB256" s="445">
        <v>69.751999999999995</v>
      </c>
      <c r="AC256" s="445">
        <v>56.494</v>
      </c>
      <c r="AD256" s="445">
        <v>247.70899999999901</v>
      </c>
      <c r="AE256" s="445">
        <v>314.80500000000001</v>
      </c>
    </row>
    <row r="257" spans="1:31" ht="15.75" thickBot="1">
      <c r="A257" s="444" t="s">
        <v>2344</v>
      </c>
      <c r="B257" s="629">
        <v>73.025210000000001</v>
      </c>
      <c r="C257" s="629">
        <v>108.68265</v>
      </c>
      <c r="D257" s="629">
        <v>86.514859999999999</v>
      </c>
      <c r="E257" s="629">
        <v>106.82756999999999</v>
      </c>
      <c r="F257" s="629">
        <v>152.83555999999999</v>
      </c>
      <c r="G257" s="629">
        <v>363.39584000000002</v>
      </c>
      <c r="H257" s="629">
        <v>775.82863999999995</v>
      </c>
      <c r="I257" s="629">
        <v>712.35500000000002</v>
      </c>
      <c r="J257" s="629">
        <v>923.49199999999996</v>
      </c>
      <c r="K257" s="629">
        <v>979.88</v>
      </c>
      <c r="L257" s="629">
        <v>1010.194</v>
      </c>
      <c r="M257" s="629">
        <v>124.428</v>
      </c>
      <c r="N257" s="629">
        <v>93.48</v>
      </c>
      <c r="O257" s="629"/>
      <c r="P257" s="629">
        <v>136.96100000000001</v>
      </c>
      <c r="Q257" s="629">
        <v>125.61199999999999</v>
      </c>
      <c r="R257" s="629">
        <v>122.45399999999999</v>
      </c>
      <c r="S257" s="629">
        <v>149.614</v>
      </c>
      <c r="T257" s="629">
        <v>181.32900000000001</v>
      </c>
      <c r="U257" s="629">
        <v>275.18200000000002</v>
      </c>
      <c r="V257" s="629">
        <v>3023.1309999999999</v>
      </c>
      <c r="W257" s="629">
        <v>2672.6370000000002</v>
      </c>
      <c r="X257" s="629">
        <v>5279.9750000000004</v>
      </c>
      <c r="Y257" s="629">
        <v>143.59700000000001</v>
      </c>
      <c r="Z257" s="629">
        <v>125.474</v>
      </c>
      <c r="AA257" s="629">
        <v>129.08500000000001</v>
      </c>
      <c r="AB257" s="629">
        <v>135.952</v>
      </c>
      <c r="AC257" s="629">
        <v>124.181</v>
      </c>
      <c r="AD257" s="629">
        <v>130.25700000000001</v>
      </c>
      <c r="AE257" s="629">
        <v>155.102</v>
      </c>
    </row>
    <row r="258" spans="1:31">
      <c r="A258" s="632" t="s">
        <v>2335</v>
      </c>
      <c r="B258" s="445">
        <v>73.025210000000001</v>
      </c>
      <c r="C258" s="445">
        <v>108.68265</v>
      </c>
      <c r="D258" s="445">
        <v>86.514859999999999</v>
      </c>
      <c r="E258" s="445">
        <v>106.82756999999999</v>
      </c>
      <c r="F258" s="445">
        <v>152.83555999999999</v>
      </c>
      <c r="G258" s="445">
        <v>363.39584000000002</v>
      </c>
      <c r="H258" s="445">
        <v>775.82863999999995</v>
      </c>
      <c r="I258" s="445">
        <v>712.35500000000002</v>
      </c>
      <c r="J258" s="445">
        <v>923.49199999999996</v>
      </c>
      <c r="K258" s="445">
        <v>979.88</v>
      </c>
      <c r="L258" s="445">
        <v>1010.194</v>
      </c>
      <c r="M258" s="445">
        <v>124.428</v>
      </c>
      <c r="N258" s="445">
        <v>93.48</v>
      </c>
      <c r="P258" s="445">
        <v>136.96100000000001</v>
      </c>
      <c r="Q258" s="445">
        <v>125.61199999999999</v>
      </c>
      <c r="R258" s="445">
        <v>122.45399999999999</v>
      </c>
      <c r="S258" s="445">
        <v>149.614</v>
      </c>
      <c r="T258" s="445">
        <v>181.32900000000001</v>
      </c>
      <c r="U258" s="445">
        <v>275.18200000000002</v>
      </c>
      <c r="V258" s="445">
        <v>3023.1309999999999</v>
      </c>
      <c r="W258" s="445">
        <v>2672.6370000000002</v>
      </c>
      <c r="X258" s="445">
        <v>5279.9750000000004</v>
      </c>
      <c r="Y258" s="445">
        <v>143.59700000000001</v>
      </c>
      <c r="Z258" s="445">
        <v>125.474</v>
      </c>
      <c r="AA258" s="445">
        <v>129.08500000000001</v>
      </c>
      <c r="AB258" s="445">
        <v>135.952</v>
      </c>
      <c r="AC258" s="445">
        <v>124.181</v>
      </c>
      <c r="AD258" s="445">
        <v>130.25700000000001</v>
      </c>
      <c r="AE258" s="445">
        <v>155.102</v>
      </c>
    </row>
    <row r="259" spans="1:31" ht="15.75" thickBot="1">
      <c r="A259" s="444" t="s">
        <v>2345</v>
      </c>
      <c r="B259" s="629">
        <v>1.8675200000000001</v>
      </c>
      <c r="C259" s="629">
        <v>0</v>
      </c>
      <c r="D259" s="629">
        <v>1.5423100000000001</v>
      </c>
      <c r="E259" s="629">
        <v>17.658849999999902</v>
      </c>
      <c r="F259" s="629">
        <v>4.8818400000000004</v>
      </c>
      <c r="G259" s="629">
        <v>0</v>
      </c>
      <c r="H259" s="629">
        <v>0.60396000000000005</v>
      </c>
      <c r="I259" s="629">
        <v>4.25</v>
      </c>
      <c r="J259" s="629">
        <v>-0.60899999999999999</v>
      </c>
      <c r="K259" s="629">
        <v>30</v>
      </c>
      <c r="L259" s="629">
        <v>7</v>
      </c>
      <c r="M259" s="629">
        <v>-16.84</v>
      </c>
      <c r="N259" s="629">
        <v>-19.585999999999999</v>
      </c>
      <c r="O259" s="629"/>
      <c r="P259" s="629">
        <v>0</v>
      </c>
      <c r="Q259" s="629">
        <v>5</v>
      </c>
      <c r="R259" s="629">
        <v>0.5</v>
      </c>
      <c r="S259" s="629">
        <v>2</v>
      </c>
      <c r="T259" s="629">
        <v>0</v>
      </c>
      <c r="U259" s="629">
        <v>1</v>
      </c>
      <c r="V259" s="629">
        <v>2.5</v>
      </c>
      <c r="W259" s="629">
        <v>0</v>
      </c>
      <c r="X259" s="629">
        <v>1</v>
      </c>
      <c r="Y259" s="629">
        <v>0.6</v>
      </c>
      <c r="Z259" s="629">
        <v>0.5</v>
      </c>
      <c r="AA259" s="629">
        <v>0.9</v>
      </c>
      <c r="AB259" s="629">
        <v>0</v>
      </c>
      <c r="AC259" s="629">
        <v>5</v>
      </c>
      <c r="AD259" s="629">
        <v>0.5</v>
      </c>
      <c r="AE259" s="629">
        <v>2</v>
      </c>
    </row>
    <row r="260" spans="1:31">
      <c r="A260" s="632" t="s">
        <v>2221</v>
      </c>
      <c r="B260" s="445">
        <v>1.8675200000000001</v>
      </c>
      <c r="C260" s="445">
        <v>0</v>
      </c>
      <c r="D260" s="445">
        <v>1.5423100000000001</v>
      </c>
      <c r="E260" s="445">
        <v>17.658849999999902</v>
      </c>
      <c r="F260" s="445">
        <v>4.8818400000000004</v>
      </c>
      <c r="G260" s="445">
        <v>0</v>
      </c>
      <c r="H260" s="445">
        <v>0.60396000000000005</v>
      </c>
      <c r="I260" s="445">
        <v>4.25</v>
      </c>
      <c r="J260" s="445">
        <v>-0.60899999999999999</v>
      </c>
      <c r="K260" s="445">
        <v>30</v>
      </c>
      <c r="L260" s="445">
        <v>7</v>
      </c>
      <c r="M260" s="445">
        <v>-16.84</v>
      </c>
      <c r="N260" s="445">
        <v>-19.585999999999999</v>
      </c>
      <c r="P260" s="445">
        <v>0</v>
      </c>
      <c r="Q260" s="445">
        <v>5</v>
      </c>
      <c r="R260" s="445">
        <v>0.5</v>
      </c>
      <c r="S260" s="445">
        <v>2</v>
      </c>
      <c r="T260" s="445">
        <v>0</v>
      </c>
      <c r="U260" s="445">
        <v>1</v>
      </c>
      <c r="V260" s="445">
        <v>2.5</v>
      </c>
      <c r="W260" s="445">
        <v>0</v>
      </c>
      <c r="X260" s="445">
        <v>1</v>
      </c>
      <c r="Y260" s="445">
        <v>0.6</v>
      </c>
      <c r="Z260" s="445">
        <v>0.5</v>
      </c>
      <c r="AA260" s="445">
        <v>0.9</v>
      </c>
      <c r="AB260" s="445">
        <v>0</v>
      </c>
      <c r="AC260" s="445">
        <v>5</v>
      </c>
      <c r="AD260" s="445">
        <v>0.5</v>
      </c>
      <c r="AE260" s="445">
        <v>2</v>
      </c>
    </row>
    <row r="261" spans="1:31">
      <c r="B261" s="628"/>
      <c r="C261" s="628"/>
      <c r="D261" s="628"/>
      <c r="E261" s="628"/>
      <c r="F261" s="628"/>
      <c r="G261" s="628"/>
      <c r="H261" s="628"/>
      <c r="I261" s="628"/>
      <c r="J261" s="628"/>
      <c r="K261" s="628"/>
      <c r="L261" s="628"/>
      <c r="M261" s="628"/>
      <c r="N261" s="628"/>
      <c r="O261" s="628"/>
      <c r="P261" s="628"/>
      <c r="Q261" s="628"/>
      <c r="R261" s="628"/>
      <c r="S261" s="628"/>
      <c r="T261" s="628"/>
      <c r="U261" s="628"/>
      <c r="V261" s="628"/>
      <c r="W261" s="628"/>
      <c r="X261" s="628"/>
      <c r="Y261" s="628"/>
      <c r="Z261" s="628"/>
      <c r="AA261" s="628"/>
      <c r="AB261" s="628"/>
      <c r="AC261" s="628"/>
      <c r="AD261" s="628"/>
      <c r="AE261" s="628"/>
    </row>
    <row r="262" spans="1:31">
      <c r="A262" s="447" t="s">
        <v>2346</v>
      </c>
      <c r="B262" s="626">
        <v>137.43164999999999</v>
      </c>
      <c r="C262" s="626">
        <v>81.556120000000007</v>
      </c>
      <c r="D262" s="626">
        <v>82.194900000000004</v>
      </c>
      <c r="E262" s="626">
        <v>142.53304</v>
      </c>
      <c r="F262" s="626">
        <v>232.39388</v>
      </c>
      <c r="G262" s="626">
        <v>531.58510999999999</v>
      </c>
      <c r="H262" s="626">
        <v>945.59550999999999</v>
      </c>
      <c r="I262" s="626">
        <v>931.39400000000001</v>
      </c>
      <c r="J262" s="626">
        <v>1300.2560000000001</v>
      </c>
      <c r="K262" s="626">
        <v>1256.3969999999999</v>
      </c>
      <c r="L262" s="626">
        <v>1253.5909999999999</v>
      </c>
      <c r="M262" s="626">
        <v>368.55200000000002</v>
      </c>
      <c r="N262" s="626">
        <v>112.232</v>
      </c>
      <c r="O262" s="626"/>
      <c r="P262" s="626">
        <v>211.29599999999999</v>
      </c>
      <c r="Q262" s="626">
        <v>194.56</v>
      </c>
      <c r="R262" s="626">
        <v>298.863</v>
      </c>
      <c r="S262" s="626">
        <v>458.55</v>
      </c>
      <c r="T262" s="626">
        <v>507.29199999999997</v>
      </c>
      <c r="U262" s="626">
        <v>629.98099999999999</v>
      </c>
      <c r="V262" s="626">
        <v>3387.085</v>
      </c>
      <c r="W262" s="626">
        <v>3002.7170000000001</v>
      </c>
      <c r="X262" s="626">
        <v>5582.902</v>
      </c>
      <c r="Y262" s="626">
        <v>462.41899999999998</v>
      </c>
      <c r="Z262" s="626">
        <v>437.82399999999899</v>
      </c>
      <c r="AA262" s="626">
        <v>248.41800000000001</v>
      </c>
      <c r="AB262" s="626">
        <v>205.70400000000001</v>
      </c>
      <c r="AC262" s="626">
        <v>185.67500000000001</v>
      </c>
      <c r="AD262" s="626">
        <v>378.46600000000001</v>
      </c>
      <c r="AE262" s="626">
        <v>471.90699999999998</v>
      </c>
    </row>
    <row r="263" spans="1:31">
      <c r="A263" s="444" t="s">
        <v>539</v>
      </c>
      <c r="B263" s="628"/>
      <c r="C263" s="628"/>
      <c r="D263" s="628"/>
      <c r="E263" s="628"/>
      <c r="F263" s="628"/>
      <c r="G263" s="628"/>
      <c r="H263" s="628"/>
      <c r="I263" s="628"/>
      <c r="J263" s="628"/>
      <c r="K263" s="628"/>
      <c r="L263" s="628"/>
      <c r="M263" s="628"/>
      <c r="N263" s="628"/>
      <c r="O263" s="628"/>
      <c r="P263" s="628"/>
      <c r="Q263" s="628"/>
      <c r="R263" s="628"/>
      <c r="S263" s="628"/>
      <c r="T263" s="628"/>
      <c r="U263" s="628"/>
      <c r="V263" s="628"/>
      <c r="W263" s="628"/>
      <c r="X263" s="628"/>
      <c r="Y263" s="628"/>
      <c r="Z263" s="628"/>
      <c r="AA263" s="628"/>
      <c r="AB263" s="628"/>
      <c r="AC263" s="628"/>
      <c r="AD263" s="628"/>
      <c r="AE263" s="628"/>
    </row>
    <row r="264" spans="1:31">
      <c r="A264" s="444" t="s">
        <v>2347</v>
      </c>
      <c r="B264" s="445">
        <v>44.545909999999999</v>
      </c>
      <c r="C264" s="445">
        <v>54.758559999999903</v>
      </c>
      <c r="D264" s="445">
        <v>49.165190000000003</v>
      </c>
      <c r="E264" s="445">
        <v>51.218789999999998</v>
      </c>
      <c r="F264" s="445">
        <v>53.648440000000001</v>
      </c>
      <c r="G264" s="445">
        <v>54.58399</v>
      </c>
      <c r="H264" s="445">
        <v>51.536369999999998</v>
      </c>
      <c r="I264" s="445">
        <v>61.442</v>
      </c>
      <c r="J264" s="445">
        <v>96.046000000000006</v>
      </c>
      <c r="K264" s="445">
        <v>98.013999999999996</v>
      </c>
      <c r="L264" s="445">
        <v>105.89</v>
      </c>
      <c r="M264" s="445">
        <v>104.047</v>
      </c>
      <c r="N264" s="445">
        <v>87.393000000000001</v>
      </c>
      <c r="P264" s="445">
        <v>83.924000000000007</v>
      </c>
      <c r="Q264" s="445">
        <v>69.8</v>
      </c>
      <c r="R264" s="445">
        <v>66.757999999999996</v>
      </c>
      <c r="S264" s="445">
        <v>69.8</v>
      </c>
      <c r="T264" s="445">
        <v>79.361999999999995</v>
      </c>
      <c r="U264" s="445">
        <v>52.414999999999999</v>
      </c>
      <c r="V264" s="445">
        <v>79.361999999999995</v>
      </c>
      <c r="W264" s="445">
        <v>83.403000000000006</v>
      </c>
      <c r="X264" s="445">
        <v>70.8</v>
      </c>
      <c r="Y264" s="445">
        <v>80.143000000000001</v>
      </c>
      <c r="Z264" s="445">
        <v>69.8</v>
      </c>
      <c r="AA264" s="445">
        <v>70.540999999999997</v>
      </c>
      <c r="AB264" s="445">
        <v>91.486000000000004</v>
      </c>
      <c r="AC264" s="445">
        <v>76.100999999999999</v>
      </c>
      <c r="AD264" s="445">
        <v>79.361999999999995</v>
      </c>
      <c r="AE264" s="445">
        <v>79.882999999999996</v>
      </c>
    </row>
    <row r="265" spans="1:31">
      <c r="A265" s="444" t="s">
        <v>2348</v>
      </c>
      <c r="B265" s="445">
        <v>497.59694999999999</v>
      </c>
      <c r="C265" s="445">
        <v>437.35797000000002</v>
      </c>
      <c r="D265" s="445">
        <v>449.16901999999999</v>
      </c>
      <c r="E265" s="445">
        <v>385.55732999999998</v>
      </c>
      <c r="F265" s="445">
        <v>403.05412999999999</v>
      </c>
      <c r="G265" s="445">
        <v>402.53662000000003</v>
      </c>
      <c r="H265" s="445">
        <v>397.44412999999997</v>
      </c>
      <c r="I265" s="445">
        <v>395.54</v>
      </c>
      <c r="J265" s="445">
        <v>375.18599999999998</v>
      </c>
      <c r="K265" s="445">
        <v>346.85899999999998</v>
      </c>
      <c r="L265" s="445">
        <v>504.17399999999998</v>
      </c>
      <c r="M265" s="445">
        <v>365.98899999999998</v>
      </c>
      <c r="N265" s="445">
        <v>359.31700000000001</v>
      </c>
      <c r="P265" s="445">
        <v>425.54599999999999</v>
      </c>
      <c r="Q265" s="445">
        <v>416.96300000000002</v>
      </c>
      <c r="R265" s="445">
        <v>437.40199999999999</v>
      </c>
      <c r="S265" s="445">
        <v>533.87800000000004</v>
      </c>
      <c r="T265" s="445">
        <v>563.91300000000001</v>
      </c>
      <c r="U265" s="445">
        <v>401.08800000000002</v>
      </c>
      <c r="V265" s="445">
        <v>408.428</v>
      </c>
      <c r="W265" s="445">
        <v>416.96699999999998</v>
      </c>
      <c r="X265" s="445">
        <v>464.88099999999997</v>
      </c>
      <c r="Y265" s="445">
        <v>526.01499999999999</v>
      </c>
      <c r="Z265" s="445">
        <v>425.15600000000001</v>
      </c>
      <c r="AA265" s="445">
        <v>394.137</v>
      </c>
      <c r="AB265" s="445">
        <v>443.82</v>
      </c>
      <c r="AC265" s="445">
        <v>428.83100000000002</v>
      </c>
      <c r="AD265" s="445">
        <v>467.98399999999998</v>
      </c>
      <c r="AE265" s="445">
        <v>529.47400000000005</v>
      </c>
    </row>
    <row r="266" spans="1:31">
      <c r="A266" s="444" t="s">
        <v>2349</v>
      </c>
      <c r="B266" s="445">
        <v>-1.4658499999999901</v>
      </c>
      <c r="C266" s="445">
        <v>-0.36699999999999999</v>
      </c>
      <c r="D266" s="445">
        <v>-4.5179999999999998</v>
      </c>
      <c r="E266" s="445">
        <v>0</v>
      </c>
      <c r="F266" s="445">
        <v>-10.889950000000001</v>
      </c>
      <c r="G266" s="445">
        <v>-1.6548399999999901</v>
      </c>
      <c r="H266" s="445">
        <v>-1.1244000000000001</v>
      </c>
      <c r="I266" s="445">
        <v>-0.96</v>
      </c>
      <c r="J266" s="445">
        <v>-0.96</v>
      </c>
      <c r="K266" s="445">
        <v>-0.96</v>
      </c>
      <c r="L266" s="445">
        <v>-0.96</v>
      </c>
      <c r="M266" s="445">
        <v>-0.96</v>
      </c>
      <c r="N266" s="445">
        <v>-0.96</v>
      </c>
      <c r="P266" s="445">
        <v>-0.36699999999999999</v>
      </c>
      <c r="Q266" s="445">
        <v>-4.5179999999999998</v>
      </c>
      <c r="R266" s="445">
        <v>0</v>
      </c>
      <c r="S266" s="445">
        <v>-10.89</v>
      </c>
      <c r="T266" s="445">
        <v>0</v>
      </c>
      <c r="U266" s="445">
        <v>0</v>
      </c>
      <c r="V266" s="445">
        <v>0</v>
      </c>
      <c r="W266" s="445">
        <v>0</v>
      </c>
      <c r="X266" s="445">
        <v>0</v>
      </c>
      <c r="Y266" s="445">
        <v>0</v>
      </c>
      <c r="Z266" s="445">
        <v>0</v>
      </c>
      <c r="AA266" s="445">
        <v>0</v>
      </c>
      <c r="AB266" s="445">
        <v>0</v>
      </c>
      <c r="AC266" s="445">
        <v>0</v>
      </c>
      <c r="AD266" s="445">
        <v>0</v>
      </c>
      <c r="AE266" s="445">
        <v>0</v>
      </c>
    </row>
    <row r="267" spans="1:31">
      <c r="A267" s="444" t="s">
        <v>2350</v>
      </c>
      <c r="B267" s="445">
        <v>128.56050999999999</v>
      </c>
      <c r="C267" s="445">
        <v>89.276110000000003</v>
      </c>
      <c r="D267" s="445">
        <v>70.456530000000001</v>
      </c>
      <c r="E267" s="445">
        <v>75.923720000000003</v>
      </c>
      <c r="F267" s="445">
        <v>95.709209999999999</v>
      </c>
      <c r="G267" s="445">
        <v>118.99930000000001</v>
      </c>
      <c r="H267" s="445">
        <v>95.256140000000002</v>
      </c>
      <c r="I267" s="445">
        <v>104.283</v>
      </c>
      <c r="J267" s="445">
        <v>121.35</v>
      </c>
      <c r="K267" s="445">
        <v>101.611</v>
      </c>
      <c r="L267" s="445">
        <v>106.41500000000001</v>
      </c>
      <c r="M267" s="445">
        <v>72.715000000000003</v>
      </c>
      <c r="N267" s="445">
        <v>71.391000000000005</v>
      </c>
      <c r="P267" s="445">
        <v>101.82899999999999</v>
      </c>
      <c r="Q267" s="445">
        <v>78.822000000000003</v>
      </c>
      <c r="R267" s="445">
        <v>70.268000000000001</v>
      </c>
      <c r="S267" s="445">
        <v>103.373</v>
      </c>
      <c r="T267" s="445">
        <v>106.93</v>
      </c>
      <c r="U267" s="445">
        <v>116.803</v>
      </c>
      <c r="V267" s="445">
        <v>136.93</v>
      </c>
      <c r="W267" s="445">
        <v>145.97999999999999</v>
      </c>
      <c r="X267" s="445">
        <v>109.08199999999999</v>
      </c>
      <c r="Y267" s="445">
        <v>123.247</v>
      </c>
      <c r="Z267" s="445">
        <v>83.266000000000005</v>
      </c>
      <c r="AA267" s="445">
        <v>92.879000000000005</v>
      </c>
      <c r="AB267" s="445">
        <v>122.79600000000001</v>
      </c>
      <c r="AC267" s="445">
        <v>99.453999999999994</v>
      </c>
      <c r="AD267" s="445">
        <v>78.242999999999995</v>
      </c>
      <c r="AE267" s="445">
        <v>105.28400000000001</v>
      </c>
    </row>
    <row r="268" spans="1:31">
      <c r="A268" s="444" t="s">
        <v>2351</v>
      </c>
      <c r="B268" s="445">
        <v>37.535980000000002</v>
      </c>
      <c r="C268" s="445">
        <v>25.91949</v>
      </c>
      <c r="D268" s="445">
        <v>31.955770000000001</v>
      </c>
      <c r="E268" s="445">
        <v>40.03942</v>
      </c>
      <c r="F268" s="445">
        <v>32.21425</v>
      </c>
      <c r="G268" s="445">
        <v>22.942319999999999</v>
      </c>
      <c r="H268" s="445">
        <v>30.433679999999999</v>
      </c>
      <c r="I268" s="445">
        <v>21.815999999999999</v>
      </c>
      <c r="J268" s="445">
        <v>26.300999999999998</v>
      </c>
      <c r="K268" s="445">
        <v>27.571999999999999</v>
      </c>
      <c r="L268" s="445">
        <v>24.945</v>
      </c>
      <c r="M268" s="445">
        <v>47.125</v>
      </c>
      <c r="N268" s="445">
        <v>45.119</v>
      </c>
      <c r="P268" s="445">
        <v>59.683999999999997</v>
      </c>
      <c r="Q268" s="445">
        <v>61.023000000000003</v>
      </c>
      <c r="R268" s="445">
        <v>62.023000000000003</v>
      </c>
      <c r="S268" s="445">
        <v>44</v>
      </c>
      <c r="T268" s="445">
        <v>39.220999999999997</v>
      </c>
      <c r="U268" s="445">
        <v>27.956</v>
      </c>
      <c r="V268" s="445">
        <v>27.617999999999999</v>
      </c>
      <c r="W268" s="445">
        <v>27.617999999999999</v>
      </c>
      <c r="X268" s="445">
        <v>31.274000000000001</v>
      </c>
      <c r="Y268" s="445">
        <v>41.854999999999997</v>
      </c>
      <c r="Z268" s="445">
        <v>37.116</v>
      </c>
      <c r="AA268" s="445">
        <v>49.609000000000002</v>
      </c>
      <c r="AB268" s="445">
        <v>60.640999999999998</v>
      </c>
      <c r="AC268" s="445">
        <v>61.956000000000003</v>
      </c>
      <c r="AD268" s="445">
        <v>62.956000000000003</v>
      </c>
      <c r="AE268" s="445">
        <v>45.021000000000001</v>
      </c>
    </row>
    <row r="269" spans="1:31">
      <c r="A269" s="444" t="s">
        <v>2352</v>
      </c>
      <c r="B269" s="445">
        <v>10.048349999999999</v>
      </c>
      <c r="C269" s="445">
        <v>17.616959999999999</v>
      </c>
      <c r="D269" s="445">
        <v>23.480370000000001</v>
      </c>
      <c r="E269" s="445">
        <v>18.22156</v>
      </c>
      <c r="F269" s="445">
        <v>24.11336</v>
      </c>
      <c r="G269" s="445">
        <v>35.579410000000003</v>
      </c>
      <c r="H269" s="445">
        <v>44.971089999999997</v>
      </c>
      <c r="I269" s="445">
        <v>18.852</v>
      </c>
      <c r="J269" s="445">
        <v>21.300999999999998</v>
      </c>
      <c r="K269" s="445">
        <v>18.852</v>
      </c>
      <c r="L269" s="445">
        <v>17.414000000000001</v>
      </c>
      <c r="M269" s="445">
        <v>19.513000000000002</v>
      </c>
      <c r="N269" s="445">
        <v>13.585000000000001</v>
      </c>
      <c r="P269" s="445">
        <v>15.06</v>
      </c>
      <c r="Q269" s="445">
        <v>15.308999999999999</v>
      </c>
      <c r="R269" s="445">
        <v>21.079000000000001</v>
      </c>
      <c r="S269" s="445">
        <v>15.819000000000001</v>
      </c>
      <c r="T269" s="445">
        <v>18.818999999999999</v>
      </c>
      <c r="U269" s="445">
        <v>14.8</v>
      </c>
      <c r="V269" s="445">
        <v>17.309000000000001</v>
      </c>
      <c r="W269" s="445">
        <v>17.818999999999999</v>
      </c>
      <c r="X269" s="445">
        <v>14.308999999999999</v>
      </c>
      <c r="Y269" s="445">
        <v>14.308999999999999</v>
      </c>
      <c r="Z269" s="445">
        <v>16.57</v>
      </c>
      <c r="AA269" s="445">
        <v>16.908000000000001</v>
      </c>
      <c r="AB269" s="445">
        <v>15.012</v>
      </c>
      <c r="AC269" s="445">
        <v>16.498000000000001</v>
      </c>
      <c r="AD269" s="445">
        <v>20.983000000000001</v>
      </c>
      <c r="AE269" s="445">
        <v>15.723000000000001</v>
      </c>
    </row>
    <row r="270" spans="1:31">
      <c r="A270" s="444" t="s">
        <v>2353</v>
      </c>
      <c r="B270" s="445">
        <v>62.495989999999999</v>
      </c>
      <c r="C270" s="445">
        <v>130.95017000000001</v>
      </c>
      <c r="D270" s="445">
        <v>104.87947</v>
      </c>
      <c r="E270" s="445">
        <v>253.14722</v>
      </c>
      <c r="F270" s="445">
        <v>87.877629999999996</v>
      </c>
      <c r="G270" s="445">
        <v>78.559250000000006</v>
      </c>
      <c r="H270" s="445">
        <v>51.119579999999999</v>
      </c>
      <c r="I270" s="445">
        <v>98.948999999999998</v>
      </c>
      <c r="J270" s="445">
        <v>98.204999999999998</v>
      </c>
      <c r="K270" s="445">
        <v>98.013000000000005</v>
      </c>
      <c r="L270" s="445">
        <v>109.256</v>
      </c>
      <c r="M270" s="445">
        <v>111.78</v>
      </c>
      <c r="N270" s="445">
        <v>239.886</v>
      </c>
      <c r="P270" s="445">
        <v>167.37299999999999</v>
      </c>
      <c r="Q270" s="445">
        <v>145.63200000000001</v>
      </c>
      <c r="R270" s="445">
        <v>82.555000000000007</v>
      </c>
      <c r="S270" s="445">
        <v>105.447</v>
      </c>
      <c r="T270" s="445">
        <v>167.71799999999999</v>
      </c>
      <c r="U270" s="445">
        <v>158.49100000000001</v>
      </c>
      <c r="V270" s="445">
        <v>157.178</v>
      </c>
      <c r="W270" s="445">
        <v>185.96</v>
      </c>
      <c r="X270" s="445">
        <v>146.929</v>
      </c>
      <c r="Y270" s="445">
        <v>173.93</v>
      </c>
      <c r="Z270" s="445">
        <v>169.52600000000001</v>
      </c>
      <c r="AA270" s="445">
        <v>228.352</v>
      </c>
      <c r="AB270" s="445">
        <v>241.45599999999999</v>
      </c>
      <c r="AC270" s="445">
        <v>198.001</v>
      </c>
      <c r="AD270" s="445">
        <v>171.99199999999999</v>
      </c>
      <c r="AE270" s="445">
        <v>193.67699999999999</v>
      </c>
    </row>
    <row r="271" spans="1:31">
      <c r="A271" s="444" t="s">
        <v>2354</v>
      </c>
      <c r="B271" s="445">
        <v>108.08296</v>
      </c>
      <c r="C271" s="445">
        <v>75.645399999999995</v>
      </c>
      <c r="D271" s="445">
        <v>74.289280000000005</v>
      </c>
      <c r="E271" s="445">
        <v>79.106070000000003</v>
      </c>
      <c r="F271" s="445">
        <v>87.677089999999893</v>
      </c>
      <c r="G271" s="445">
        <v>81.406399999999906</v>
      </c>
      <c r="H271" s="445">
        <v>69.439340000000001</v>
      </c>
      <c r="I271" s="445">
        <v>51.777000000000001</v>
      </c>
      <c r="J271" s="445">
        <v>51.777000000000001</v>
      </c>
      <c r="K271" s="445">
        <v>51.777000000000001</v>
      </c>
      <c r="L271" s="445">
        <v>51.777000000000001</v>
      </c>
      <c r="M271" s="445">
        <v>51.777000000000001</v>
      </c>
      <c r="N271" s="445">
        <v>51.777000000000001</v>
      </c>
      <c r="P271" s="445">
        <v>70.396000000000001</v>
      </c>
      <c r="Q271" s="445">
        <v>51.936</v>
      </c>
      <c r="R271" s="445">
        <v>72.667000000000002</v>
      </c>
      <c r="S271" s="445">
        <v>82.963999999999999</v>
      </c>
      <c r="T271" s="445">
        <v>0</v>
      </c>
      <c r="U271" s="445">
        <v>0</v>
      </c>
      <c r="V271" s="445">
        <v>0</v>
      </c>
      <c r="W271" s="445">
        <v>0</v>
      </c>
      <c r="X271" s="445">
        <v>0</v>
      </c>
      <c r="Y271" s="445">
        <v>0</v>
      </c>
      <c r="Z271" s="445">
        <v>0</v>
      </c>
      <c r="AA271" s="445">
        <v>0</v>
      </c>
      <c r="AB271" s="445">
        <v>0</v>
      </c>
      <c r="AC271" s="445">
        <v>0</v>
      </c>
      <c r="AD271" s="445">
        <v>0</v>
      </c>
      <c r="AE271" s="445">
        <v>0</v>
      </c>
    </row>
    <row r="272" spans="1:31">
      <c r="A272" s="444" t="s">
        <v>2355</v>
      </c>
      <c r="B272" s="445">
        <v>34.773669999999903</v>
      </c>
      <c r="C272" s="445">
        <v>26.584309999999999</v>
      </c>
      <c r="D272" s="445">
        <v>33.739370000000001</v>
      </c>
      <c r="E272" s="445">
        <v>42.78172</v>
      </c>
      <c r="F272" s="445">
        <v>33.838900000000002</v>
      </c>
      <c r="G272" s="445">
        <v>36.224420000000002</v>
      </c>
      <c r="H272" s="445">
        <v>29.206489999999999</v>
      </c>
      <c r="I272" s="445">
        <v>15.898999999999999</v>
      </c>
      <c r="J272" s="445">
        <v>19.013999999999999</v>
      </c>
      <c r="K272" s="445">
        <v>16.739999999999998</v>
      </c>
      <c r="L272" s="445">
        <v>20.152000000000001</v>
      </c>
      <c r="M272" s="445">
        <v>21.873999999999999</v>
      </c>
      <c r="N272" s="445">
        <v>21.431000000000001</v>
      </c>
      <c r="P272" s="445">
        <v>28.628</v>
      </c>
      <c r="Q272" s="445">
        <v>31.603999999999999</v>
      </c>
      <c r="R272" s="445">
        <v>46.142000000000003</v>
      </c>
      <c r="S272" s="445">
        <v>30.518999999999998</v>
      </c>
      <c r="T272" s="445">
        <v>12.750999999999999</v>
      </c>
      <c r="U272" s="445">
        <v>11.202999999999999</v>
      </c>
      <c r="V272" s="445">
        <v>11.733000000000001</v>
      </c>
      <c r="W272" s="445">
        <v>10.486000000000001</v>
      </c>
      <c r="X272" s="445">
        <v>11.988</v>
      </c>
      <c r="Y272" s="445">
        <v>12.175000000000001</v>
      </c>
      <c r="Z272" s="445">
        <v>20.614000000000001</v>
      </c>
      <c r="AA272" s="445">
        <v>21.949000000000002</v>
      </c>
      <c r="AB272" s="445">
        <v>17.462</v>
      </c>
      <c r="AC272" s="445">
        <v>15.484999999999999</v>
      </c>
      <c r="AD272" s="445">
        <v>18.414000000000001</v>
      </c>
      <c r="AE272" s="445">
        <v>15.315</v>
      </c>
    </row>
    <row r="273" spans="1:31">
      <c r="A273" s="444" t="s">
        <v>2356</v>
      </c>
      <c r="B273" s="445">
        <v>-12.253740000000001</v>
      </c>
      <c r="C273" s="445">
        <v>-8.4153199999999995</v>
      </c>
      <c r="D273" s="445">
        <v>-13.374739999999999</v>
      </c>
      <c r="E273" s="445">
        <v>-24.976289999999999</v>
      </c>
      <c r="F273" s="445">
        <v>-17.847090000000001</v>
      </c>
      <c r="G273" s="445">
        <v>-17.107050000000001</v>
      </c>
      <c r="H273" s="445">
        <v>-15.05068</v>
      </c>
      <c r="I273" s="445">
        <v>-4.5030000000000001</v>
      </c>
      <c r="J273" s="445">
        <v>-4.5030000000000001</v>
      </c>
      <c r="K273" s="445">
        <v>-4.5030000000000001</v>
      </c>
      <c r="L273" s="445">
        <v>-4.5030000000000001</v>
      </c>
      <c r="M273" s="445">
        <v>-4.5030000000000001</v>
      </c>
      <c r="N273" s="445">
        <v>-4.5030000000000001</v>
      </c>
      <c r="P273" s="445">
        <v>-8.4149999999999991</v>
      </c>
      <c r="Q273" s="445">
        <v>-13.375</v>
      </c>
      <c r="R273" s="445">
        <v>-24.975999999999999</v>
      </c>
      <c r="S273" s="445">
        <v>-17.847000000000001</v>
      </c>
      <c r="T273" s="445">
        <v>0</v>
      </c>
      <c r="U273" s="445">
        <v>0</v>
      </c>
      <c r="V273" s="445">
        <v>0</v>
      </c>
      <c r="W273" s="445">
        <v>0</v>
      </c>
      <c r="X273" s="445">
        <v>0</v>
      </c>
      <c r="Y273" s="445">
        <v>0</v>
      </c>
      <c r="Z273" s="445">
        <v>0</v>
      </c>
      <c r="AA273" s="445">
        <v>0</v>
      </c>
      <c r="AB273" s="445">
        <v>0</v>
      </c>
      <c r="AC273" s="445">
        <v>0</v>
      </c>
      <c r="AD273" s="445">
        <v>0</v>
      </c>
      <c r="AE273" s="445">
        <v>0</v>
      </c>
    </row>
    <row r="274" spans="1:31">
      <c r="A274" s="444" t="s">
        <v>2357</v>
      </c>
      <c r="B274" s="445">
        <v>224.89158</v>
      </c>
      <c r="C274" s="445">
        <v>375.589439999999</v>
      </c>
      <c r="D274" s="445">
        <v>512.27035000000001</v>
      </c>
      <c r="E274" s="445">
        <v>267.09559000000002</v>
      </c>
      <c r="F274" s="445">
        <v>395.24968999999999</v>
      </c>
      <c r="G274" s="445">
        <v>493.97910999999999</v>
      </c>
      <c r="H274" s="445">
        <v>391.43146000000002</v>
      </c>
      <c r="I274" s="445">
        <v>442.197</v>
      </c>
      <c r="J274" s="445">
        <v>473.43200000000002</v>
      </c>
      <c r="K274" s="445">
        <v>516.15599999999995</v>
      </c>
      <c r="L274" s="445">
        <v>480.40499999999997</v>
      </c>
      <c r="M274" s="445">
        <v>425.058999999999</v>
      </c>
      <c r="N274" s="445">
        <v>350.24700000000001</v>
      </c>
      <c r="P274" s="445">
        <v>380.98200000000003</v>
      </c>
      <c r="Q274" s="445">
        <v>352.98099999999999</v>
      </c>
      <c r="R274" s="445">
        <v>353.85399999999998</v>
      </c>
      <c r="S274" s="445">
        <v>370.84500000000003</v>
      </c>
      <c r="T274" s="445">
        <v>395.82600000000002</v>
      </c>
      <c r="U274" s="445">
        <v>385.07799999999997</v>
      </c>
      <c r="V274" s="445">
        <v>374.39600000000002</v>
      </c>
      <c r="W274" s="445">
        <v>394.17500000000001</v>
      </c>
      <c r="X274" s="445">
        <v>409.66</v>
      </c>
      <c r="Y274" s="445">
        <v>406.38499999999999</v>
      </c>
      <c r="Z274" s="445">
        <v>352.65499999999997</v>
      </c>
      <c r="AA274" s="445">
        <v>329.82900000000001</v>
      </c>
      <c r="AB274" s="445">
        <v>389.91899999999998</v>
      </c>
      <c r="AC274" s="445">
        <v>370.97399999999999</v>
      </c>
      <c r="AD274" s="445">
        <v>392.11799999999999</v>
      </c>
      <c r="AE274" s="445">
        <v>390.18599999999998</v>
      </c>
    </row>
    <row r="275" spans="1:31" ht="15.75" thickBot="1">
      <c r="A275" s="444" t="s">
        <v>2358</v>
      </c>
      <c r="B275" s="629">
        <v>1.1769700000000001</v>
      </c>
      <c r="C275" s="629">
        <v>34.591009999999997</v>
      </c>
      <c r="D275" s="629">
        <v>13.17755</v>
      </c>
      <c r="E275" s="629">
        <v>15.59442</v>
      </c>
      <c r="F275" s="629">
        <v>19.45459</v>
      </c>
      <c r="G275" s="629">
        <v>20.309279999999902</v>
      </c>
      <c r="H275" s="629">
        <v>26.064609999999998</v>
      </c>
      <c r="I275" s="629">
        <v>17.417999999999999</v>
      </c>
      <c r="J275" s="629">
        <v>17.684999999999999</v>
      </c>
      <c r="K275" s="629">
        <v>17.530999999999999</v>
      </c>
      <c r="L275" s="629">
        <v>11.614000000000001</v>
      </c>
      <c r="M275" s="629">
        <v>16.297000000000001</v>
      </c>
      <c r="N275" s="629">
        <v>4.1829999999999998</v>
      </c>
      <c r="O275" s="629"/>
      <c r="P275" s="629">
        <v>9.8170000000000002</v>
      </c>
      <c r="Q275" s="629">
        <v>12.497999999999999</v>
      </c>
      <c r="R275" s="629">
        <v>15.398</v>
      </c>
      <c r="S275" s="629">
        <v>12.625999999999999</v>
      </c>
      <c r="T275" s="629">
        <v>18</v>
      </c>
      <c r="U275" s="629">
        <v>18</v>
      </c>
      <c r="V275" s="629">
        <v>18</v>
      </c>
      <c r="W275" s="629">
        <v>18</v>
      </c>
      <c r="X275" s="629">
        <v>18</v>
      </c>
      <c r="Y275" s="629">
        <v>17</v>
      </c>
      <c r="Z275" s="629">
        <v>17</v>
      </c>
      <c r="AA275" s="629">
        <v>17</v>
      </c>
      <c r="AB275" s="629">
        <v>18</v>
      </c>
      <c r="AC275" s="629">
        <v>18</v>
      </c>
      <c r="AD275" s="629">
        <v>18</v>
      </c>
      <c r="AE275" s="629">
        <v>18</v>
      </c>
    </row>
    <row r="276" spans="1:31">
      <c r="A276" s="444" t="s">
        <v>2212</v>
      </c>
      <c r="B276" s="445">
        <v>1135.98928</v>
      </c>
      <c r="C276" s="445">
        <v>1259.5071</v>
      </c>
      <c r="D276" s="445">
        <v>1344.6901600000001</v>
      </c>
      <c r="E276" s="445">
        <v>1203.70954999999</v>
      </c>
      <c r="F276" s="445">
        <v>1204.10025</v>
      </c>
      <c r="G276" s="445">
        <v>1326.3582100000001</v>
      </c>
      <c r="H276" s="445">
        <v>1170.7278100000001</v>
      </c>
      <c r="I276" s="445">
        <v>1222.70999999999</v>
      </c>
      <c r="J276" s="445">
        <v>1294.8340000000001</v>
      </c>
      <c r="K276" s="445">
        <v>1287.662</v>
      </c>
      <c r="L276" s="445">
        <v>1426.579</v>
      </c>
      <c r="M276" s="445">
        <v>1230.713</v>
      </c>
      <c r="N276" s="445">
        <v>1238.866</v>
      </c>
      <c r="P276" s="445">
        <v>1334.4570000000001</v>
      </c>
      <c r="Q276" s="445">
        <v>1218.675</v>
      </c>
      <c r="R276" s="445">
        <v>1203.17</v>
      </c>
      <c r="S276" s="445">
        <v>1340.5340000000001</v>
      </c>
      <c r="T276" s="445">
        <v>1402.54</v>
      </c>
      <c r="U276" s="445">
        <v>1185.8339999999901</v>
      </c>
      <c r="V276" s="445">
        <v>1230.954</v>
      </c>
      <c r="W276" s="445">
        <v>1300.4079999999999</v>
      </c>
      <c r="X276" s="445">
        <v>1276.923</v>
      </c>
      <c r="Y276" s="445">
        <v>1395.059</v>
      </c>
      <c r="Z276" s="445">
        <v>1191.703</v>
      </c>
      <c r="AA276" s="445">
        <v>1221.204</v>
      </c>
      <c r="AB276" s="445">
        <v>1400.5920000000001</v>
      </c>
      <c r="AC276" s="445">
        <v>1285.3</v>
      </c>
      <c r="AD276" s="445">
        <v>1310.0519999999999</v>
      </c>
      <c r="AE276" s="445">
        <v>1392.5630000000001</v>
      </c>
    </row>
    <row r="277" spans="1:31">
      <c r="A277" s="444" t="s">
        <v>2359</v>
      </c>
      <c r="B277" s="445">
        <v>0</v>
      </c>
      <c r="C277" s="445">
        <v>0</v>
      </c>
      <c r="D277" s="445">
        <v>0</v>
      </c>
      <c r="E277" s="445">
        <v>0</v>
      </c>
      <c r="F277" s="445">
        <v>0</v>
      </c>
      <c r="G277" s="445">
        <v>0</v>
      </c>
      <c r="H277" s="445">
        <v>0</v>
      </c>
      <c r="I277" s="445">
        <v>0</v>
      </c>
      <c r="J277" s="445">
        <v>0</v>
      </c>
      <c r="K277" s="445">
        <v>0</v>
      </c>
      <c r="L277" s="445">
        <v>0</v>
      </c>
      <c r="M277" s="445">
        <v>0</v>
      </c>
      <c r="N277" s="445">
        <v>0</v>
      </c>
      <c r="P277" s="445">
        <v>0</v>
      </c>
      <c r="Q277" s="445">
        <v>0</v>
      </c>
      <c r="R277" s="445">
        <v>0</v>
      </c>
      <c r="S277" s="445">
        <v>0</v>
      </c>
      <c r="T277" s="445">
        <v>0</v>
      </c>
      <c r="U277" s="445">
        <v>0</v>
      </c>
      <c r="V277" s="445">
        <v>0</v>
      </c>
      <c r="W277" s="445">
        <v>0</v>
      </c>
      <c r="X277" s="445">
        <v>0</v>
      </c>
      <c r="Y277" s="445">
        <v>0</v>
      </c>
      <c r="Z277" s="445">
        <v>0</v>
      </c>
      <c r="AA277" s="445">
        <v>0</v>
      </c>
      <c r="AB277" s="445">
        <v>0</v>
      </c>
      <c r="AC277" s="445">
        <v>0</v>
      </c>
      <c r="AD277" s="445">
        <v>0</v>
      </c>
      <c r="AE277" s="445">
        <v>0</v>
      </c>
    </row>
    <row r="278" spans="1:31">
      <c r="A278" s="444" t="s">
        <v>2360</v>
      </c>
      <c r="B278" s="445">
        <v>695.06566999999995</v>
      </c>
      <c r="C278" s="445">
        <v>867.01796000000002</v>
      </c>
      <c r="D278" s="445">
        <v>780.24392999999998</v>
      </c>
      <c r="E278" s="445">
        <v>961.57718</v>
      </c>
      <c r="F278" s="445">
        <v>1117.43839</v>
      </c>
      <c r="G278" s="445">
        <v>945.44524999999999</v>
      </c>
      <c r="H278" s="445">
        <v>938.44012999999995</v>
      </c>
      <c r="I278" s="445">
        <v>1026.5609999999999</v>
      </c>
      <c r="J278" s="445">
        <v>1039.7619999999999</v>
      </c>
      <c r="K278" s="445">
        <v>1071.1289999999999</v>
      </c>
      <c r="L278" s="445">
        <v>1034.377</v>
      </c>
      <c r="M278" s="445">
        <v>999.96100000000001</v>
      </c>
      <c r="N278" s="445">
        <v>830.44299999999998</v>
      </c>
      <c r="P278" s="445">
        <v>999.72500000000002</v>
      </c>
      <c r="Q278" s="445">
        <v>995.721</v>
      </c>
      <c r="R278" s="445">
        <v>1073.67</v>
      </c>
      <c r="S278" s="445">
        <v>1198.415</v>
      </c>
      <c r="T278" s="445">
        <v>1131.0139999999999</v>
      </c>
      <c r="U278" s="445">
        <v>1054.6600000000001</v>
      </c>
      <c r="V278" s="445">
        <v>1123.461</v>
      </c>
      <c r="W278" s="445">
        <v>1145.252</v>
      </c>
      <c r="X278" s="445">
        <v>1093.904</v>
      </c>
      <c r="Y278" s="445">
        <v>1149.694</v>
      </c>
      <c r="Z278" s="445">
        <v>1069.8510000000001</v>
      </c>
      <c r="AA278" s="445">
        <v>998.899</v>
      </c>
      <c r="AB278" s="445">
        <v>1037.079</v>
      </c>
      <c r="AC278" s="445">
        <v>995.53300000000002</v>
      </c>
      <c r="AD278" s="445">
        <v>1082.4349999999999</v>
      </c>
      <c r="AE278" s="445">
        <v>1061.8499999999999</v>
      </c>
    </row>
    <row r="279" spans="1:31">
      <c r="A279" s="444" t="s">
        <v>2361</v>
      </c>
      <c r="B279" s="445">
        <v>-4.5390600000000001</v>
      </c>
      <c r="C279" s="445">
        <v>-13.15917</v>
      </c>
      <c r="D279" s="445">
        <v>-69.266850000000005</v>
      </c>
      <c r="E279" s="445">
        <v>-54.496929999999999</v>
      </c>
      <c r="F279" s="445">
        <v>-172.95958999999999</v>
      </c>
      <c r="G279" s="445">
        <v>-16.772459999999999</v>
      </c>
      <c r="H279" s="445">
        <v>-18.956710000000001</v>
      </c>
      <c r="I279" s="445">
        <v>-10.586</v>
      </c>
      <c r="J279" s="445">
        <v>-10.586</v>
      </c>
      <c r="K279" s="445">
        <v>-10.586</v>
      </c>
      <c r="L279" s="445">
        <v>-10.586</v>
      </c>
      <c r="M279" s="445">
        <v>-10.586</v>
      </c>
      <c r="N279" s="445">
        <v>-10.586</v>
      </c>
      <c r="P279" s="445">
        <v>8.5210000000000008</v>
      </c>
      <c r="Q279" s="445">
        <v>-19.934999999999999</v>
      </c>
      <c r="R279" s="445">
        <v>-42.691000000000003</v>
      </c>
      <c r="S279" s="445">
        <v>-157.887</v>
      </c>
      <c r="T279" s="445">
        <v>0</v>
      </c>
      <c r="U279" s="445">
        <v>0</v>
      </c>
      <c r="V279" s="445">
        <v>0</v>
      </c>
      <c r="W279" s="445">
        <v>0</v>
      </c>
      <c r="X279" s="445">
        <v>0</v>
      </c>
      <c r="Y279" s="445">
        <v>0</v>
      </c>
      <c r="Z279" s="445">
        <v>0</v>
      </c>
      <c r="AA279" s="445">
        <v>0</v>
      </c>
      <c r="AB279" s="445">
        <v>0</v>
      </c>
      <c r="AC279" s="445">
        <v>0</v>
      </c>
      <c r="AD279" s="445">
        <v>0</v>
      </c>
      <c r="AE279" s="445">
        <v>0</v>
      </c>
    </row>
    <row r="280" spans="1:31">
      <c r="A280" s="444" t="s">
        <v>2362</v>
      </c>
      <c r="B280" s="445">
        <v>6.02841</v>
      </c>
      <c r="C280" s="445">
        <v>15.731490000000001</v>
      </c>
      <c r="D280" s="445">
        <v>6.8388599999999897</v>
      </c>
      <c r="E280" s="445">
        <v>2.1462500000000002</v>
      </c>
      <c r="F280" s="445">
        <v>2.9334600000000002</v>
      </c>
      <c r="G280" s="445">
        <v>10.763450000000001</v>
      </c>
      <c r="H280" s="445">
        <v>30.836849999999998</v>
      </c>
      <c r="I280" s="445">
        <v>7.3250000000000002</v>
      </c>
      <c r="J280" s="445">
        <v>6.95</v>
      </c>
      <c r="K280" s="445">
        <v>12.896000000000001</v>
      </c>
      <c r="L280" s="445">
        <v>16.145</v>
      </c>
      <c r="M280" s="445">
        <v>11.282</v>
      </c>
      <c r="N280" s="445">
        <v>9.6959999999999997</v>
      </c>
      <c r="P280" s="445">
        <v>11.462999999999999</v>
      </c>
      <c r="Q280" s="445">
        <v>10.372999999999999</v>
      </c>
      <c r="R280" s="445">
        <v>11.124000000000001</v>
      </c>
      <c r="S280" s="445">
        <v>9.6150000000000002</v>
      </c>
      <c r="T280" s="445">
        <v>9.6150000000000002</v>
      </c>
      <c r="U280" s="445">
        <v>19.841999999999999</v>
      </c>
      <c r="V280" s="445">
        <v>45.932000000000002</v>
      </c>
      <c r="W280" s="445">
        <v>44.841999999999999</v>
      </c>
      <c r="X280" s="445">
        <v>45.932000000000002</v>
      </c>
      <c r="Y280" s="445">
        <v>44.524999999999999</v>
      </c>
      <c r="Z280" s="445">
        <v>18.123999999999999</v>
      </c>
      <c r="AA280" s="445">
        <v>12.861000000000001</v>
      </c>
      <c r="AB280" s="445">
        <v>12.787000000000001</v>
      </c>
      <c r="AC280" s="445">
        <v>11.707000000000001</v>
      </c>
      <c r="AD280" s="445">
        <v>12.473000000000001</v>
      </c>
      <c r="AE280" s="445">
        <v>10.987</v>
      </c>
    </row>
    <row r="281" spans="1:31">
      <c r="A281" s="444" t="s">
        <v>2363</v>
      </c>
      <c r="B281" s="445">
        <v>7.3706399999999999</v>
      </c>
      <c r="C281" s="445">
        <v>62.570779999999999</v>
      </c>
      <c r="D281" s="445">
        <v>66.679500000000004</v>
      </c>
      <c r="E281" s="445">
        <v>52.084099999999999</v>
      </c>
      <c r="F281" s="445">
        <v>19.840789999999998</v>
      </c>
      <c r="G281" s="445">
        <v>6.5305299999999997</v>
      </c>
      <c r="H281" s="445">
        <v>14.631209999999999</v>
      </c>
      <c r="I281" s="445">
        <v>14.505000000000001</v>
      </c>
      <c r="J281" s="445">
        <v>10.515000000000001</v>
      </c>
      <c r="K281" s="445">
        <v>13.11</v>
      </c>
      <c r="L281" s="445">
        <v>12.134</v>
      </c>
      <c r="M281" s="445">
        <v>15.375999999999999</v>
      </c>
      <c r="N281" s="445">
        <v>22.966000000000001</v>
      </c>
      <c r="P281" s="445">
        <v>31.622</v>
      </c>
      <c r="Q281" s="445">
        <v>30.283999999999999</v>
      </c>
      <c r="R281" s="445">
        <v>27.48</v>
      </c>
      <c r="S281" s="445">
        <v>22.995000000000001</v>
      </c>
      <c r="T281" s="445">
        <v>21.995000000000001</v>
      </c>
      <c r="U281" s="445">
        <v>11.581</v>
      </c>
      <c r="V281" s="445">
        <v>11.581</v>
      </c>
      <c r="W281" s="445">
        <v>11.581</v>
      </c>
      <c r="X281" s="445">
        <v>12.670999999999999</v>
      </c>
      <c r="Y281" s="445">
        <v>21.995000000000001</v>
      </c>
      <c r="Z281" s="445">
        <v>27.48</v>
      </c>
      <c r="AA281" s="445">
        <v>28.795999999999999</v>
      </c>
      <c r="AB281" s="445">
        <v>32.895000000000003</v>
      </c>
      <c r="AC281" s="445">
        <v>31.58</v>
      </c>
      <c r="AD281" s="445">
        <v>28.792000000000002</v>
      </c>
      <c r="AE281" s="445">
        <v>22.861000000000001</v>
      </c>
    </row>
    <row r="282" spans="1:31">
      <c r="A282" s="444" t="s">
        <v>2364</v>
      </c>
      <c r="B282" s="445">
        <v>42.107370000000003</v>
      </c>
      <c r="C282" s="445">
        <v>46.779679999999999</v>
      </c>
      <c r="D282" s="445">
        <v>34.471159999999998</v>
      </c>
      <c r="E282" s="445">
        <v>90.210530000000006</v>
      </c>
      <c r="F282" s="445">
        <v>-22.752379999999999</v>
      </c>
      <c r="G282" s="445">
        <v>54.014180000000003</v>
      </c>
      <c r="H282" s="445">
        <v>41.481909999999999</v>
      </c>
      <c r="I282" s="445">
        <v>50.796999999999997</v>
      </c>
      <c r="J282" s="445">
        <v>54.021999999999998</v>
      </c>
      <c r="K282" s="445">
        <v>42.853999999999999</v>
      </c>
      <c r="L282" s="445">
        <v>41.210999999999999</v>
      </c>
      <c r="M282" s="445">
        <v>68.064999999999998</v>
      </c>
      <c r="N282" s="445">
        <v>41.835999999999999</v>
      </c>
      <c r="P282" s="445">
        <v>62.133000000000003</v>
      </c>
      <c r="Q282" s="445">
        <v>48.075000000000003</v>
      </c>
      <c r="R282" s="445">
        <v>45.360999999999997</v>
      </c>
      <c r="S282" s="445">
        <v>49.918999999999997</v>
      </c>
      <c r="T282" s="445">
        <v>52.936</v>
      </c>
      <c r="U282" s="445">
        <v>49.26</v>
      </c>
      <c r="V282" s="445">
        <v>56.113999999999997</v>
      </c>
      <c r="W282" s="445">
        <v>44.789000000000001</v>
      </c>
      <c r="X282" s="445">
        <v>46.101999999999997</v>
      </c>
      <c r="Y282" s="445">
        <v>60.64</v>
      </c>
      <c r="Z282" s="445">
        <v>46.338000000000001</v>
      </c>
      <c r="AA282" s="445">
        <v>35.835000000000001</v>
      </c>
      <c r="AB282" s="445">
        <v>64.361000000000004</v>
      </c>
      <c r="AC282" s="445">
        <v>50.604999999999997</v>
      </c>
      <c r="AD282" s="445">
        <v>62.749000000000002</v>
      </c>
      <c r="AE282" s="445">
        <v>65.016999999999996</v>
      </c>
    </row>
    <row r="283" spans="1:31">
      <c r="A283" s="444" t="s">
        <v>2365</v>
      </c>
      <c r="B283" s="445">
        <v>96.030839999999998</v>
      </c>
      <c r="C283" s="445">
        <v>132.86873</v>
      </c>
      <c r="D283" s="445">
        <v>106.41574</v>
      </c>
      <c r="E283" s="445">
        <v>145.20401000000001</v>
      </c>
      <c r="F283" s="445">
        <v>119.982869999999</v>
      </c>
      <c r="G283" s="445">
        <v>108.35993999999999</v>
      </c>
      <c r="H283" s="445">
        <v>110.82259000000001</v>
      </c>
      <c r="I283" s="445">
        <v>79.293999999999997</v>
      </c>
      <c r="J283" s="445">
        <v>90.15</v>
      </c>
      <c r="K283" s="445">
        <v>84.361999999999995</v>
      </c>
      <c r="L283" s="445">
        <v>167.59800000000001</v>
      </c>
      <c r="M283" s="445">
        <v>148.90799999999999</v>
      </c>
      <c r="N283" s="445">
        <v>83.808999999999997</v>
      </c>
      <c r="P283" s="445">
        <v>115.595</v>
      </c>
      <c r="Q283" s="445">
        <v>109.648</v>
      </c>
      <c r="R283" s="445">
        <v>130.94999999999999</v>
      </c>
      <c r="S283" s="445">
        <v>111.946</v>
      </c>
      <c r="T283" s="445">
        <v>60.188000000000002</v>
      </c>
      <c r="U283" s="445">
        <v>56.600999999999999</v>
      </c>
      <c r="V283" s="445">
        <v>61.564</v>
      </c>
      <c r="W283" s="445">
        <v>61.113999999999997</v>
      </c>
      <c r="X283" s="445">
        <v>58.252000000000002</v>
      </c>
      <c r="Y283" s="445">
        <v>65.887</v>
      </c>
      <c r="Z283" s="445">
        <v>56.871000000000002</v>
      </c>
      <c r="AA283" s="445">
        <v>53.402999999999999</v>
      </c>
      <c r="AB283" s="445">
        <v>83.876999999999995</v>
      </c>
      <c r="AC283" s="445">
        <v>69.257999999999996</v>
      </c>
      <c r="AD283" s="445">
        <v>86.43</v>
      </c>
      <c r="AE283" s="445">
        <v>71.239000000000004</v>
      </c>
    </row>
    <row r="284" spans="1:31">
      <c r="A284" s="444" t="s">
        <v>2366</v>
      </c>
      <c r="B284" s="445">
        <v>-2.1619799999999998</v>
      </c>
      <c r="C284" s="445">
        <v>28.342449999999999</v>
      </c>
      <c r="D284" s="445">
        <v>-32.775649999999999</v>
      </c>
      <c r="E284" s="445">
        <v>-28.744720000000001</v>
      </c>
      <c r="F284" s="445">
        <v>-11.73014</v>
      </c>
      <c r="G284" s="445">
        <v>8.6112299999999902</v>
      </c>
      <c r="H284" s="445">
        <v>-0.80713999999999997</v>
      </c>
      <c r="I284" s="445">
        <v>64.802999999999997</v>
      </c>
      <c r="J284" s="445">
        <v>83.41</v>
      </c>
      <c r="K284" s="445">
        <v>57.694000000000003</v>
      </c>
      <c r="L284" s="445">
        <v>75.905000000000001</v>
      </c>
      <c r="M284" s="445">
        <v>53.67</v>
      </c>
      <c r="N284" s="445">
        <v>41.334000000000003</v>
      </c>
      <c r="P284" s="445">
        <v>40.027000000000001</v>
      </c>
      <c r="Q284" s="445">
        <v>17.25</v>
      </c>
      <c r="R284" s="445">
        <v>5.1909999999999998</v>
      </c>
      <c r="S284" s="445">
        <v>17.891999999999999</v>
      </c>
      <c r="T284" s="445">
        <v>71.942999999999998</v>
      </c>
      <c r="U284" s="445">
        <v>65.891000000000005</v>
      </c>
      <c r="V284" s="445">
        <v>71.325000000000003</v>
      </c>
      <c r="W284" s="445">
        <v>72.744</v>
      </c>
      <c r="X284" s="445">
        <v>68.474000000000004</v>
      </c>
      <c r="Y284" s="445">
        <v>77.42</v>
      </c>
      <c r="Z284" s="445">
        <v>60.48</v>
      </c>
      <c r="AA284" s="445">
        <v>59.616999999999997</v>
      </c>
      <c r="AB284" s="445">
        <v>83.028999999999996</v>
      </c>
      <c r="AC284" s="445">
        <v>67.236999999999995</v>
      </c>
      <c r="AD284" s="445">
        <v>70.575000000000003</v>
      </c>
      <c r="AE284" s="445">
        <v>72.968000000000004</v>
      </c>
    </row>
    <row r="285" spans="1:31">
      <c r="A285" s="444" t="s">
        <v>2367</v>
      </c>
      <c r="B285" s="445">
        <v>0</v>
      </c>
      <c r="C285" s="445">
        <v>0</v>
      </c>
      <c r="D285" s="445">
        <v>0</v>
      </c>
      <c r="E285" s="445">
        <v>0</v>
      </c>
      <c r="F285" s="445">
        <v>0</v>
      </c>
      <c r="G285" s="445">
        <v>0</v>
      </c>
      <c r="H285" s="445">
        <v>0</v>
      </c>
      <c r="I285" s="445">
        <v>0</v>
      </c>
      <c r="J285" s="445">
        <v>0</v>
      </c>
      <c r="K285" s="445">
        <v>0</v>
      </c>
      <c r="L285" s="445">
        <v>0</v>
      </c>
      <c r="M285" s="445">
        <v>0</v>
      </c>
      <c r="N285" s="445">
        <v>0</v>
      </c>
      <c r="P285" s="445">
        <v>0</v>
      </c>
      <c r="Q285" s="445">
        <v>0</v>
      </c>
      <c r="R285" s="445">
        <v>0</v>
      </c>
      <c r="S285" s="445">
        <v>0</v>
      </c>
      <c r="T285" s="445">
        <v>0</v>
      </c>
      <c r="U285" s="445">
        <v>0</v>
      </c>
      <c r="V285" s="445">
        <v>0</v>
      </c>
      <c r="W285" s="445">
        <v>0</v>
      </c>
      <c r="X285" s="445">
        <v>0</v>
      </c>
      <c r="Y285" s="445">
        <v>0</v>
      </c>
      <c r="Z285" s="445">
        <v>0</v>
      </c>
      <c r="AA285" s="445">
        <v>0</v>
      </c>
      <c r="AB285" s="445">
        <v>0</v>
      </c>
      <c r="AC285" s="445">
        <v>0</v>
      </c>
      <c r="AD285" s="445">
        <v>0</v>
      </c>
      <c r="AE285" s="445">
        <v>0</v>
      </c>
    </row>
    <row r="286" spans="1:31" ht="15.75" thickBot="1">
      <c r="A286" s="444" t="s">
        <v>2368</v>
      </c>
      <c r="B286" s="629">
        <v>33.203360000000004</v>
      </c>
      <c r="C286" s="629">
        <v>38.976280000000003</v>
      </c>
      <c r="D286" s="629">
        <v>18.386040000000001</v>
      </c>
      <c r="E286" s="629">
        <v>37.361530000000002</v>
      </c>
      <c r="F286" s="629">
        <v>26.912330000000001</v>
      </c>
      <c r="G286" s="629">
        <v>37.278120000000001</v>
      </c>
      <c r="H286" s="629">
        <v>28.76436</v>
      </c>
      <c r="I286" s="629">
        <v>38.771999999999998</v>
      </c>
      <c r="J286" s="629">
        <v>40.107999999999997</v>
      </c>
      <c r="K286" s="629">
        <v>40.302999999999997</v>
      </c>
      <c r="L286" s="629">
        <v>41.723999999999997</v>
      </c>
      <c r="M286" s="629">
        <v>39.789000000000001</v>
      </c>
      <c r="N286" s="629">
        <v>42.375999999999998</v>
      </c>
      <c r="O286" s="629"/>
      <c r="P286" s="629">
        <v>33.411000000000001</v>
      </c>
      <c r="Q286" s="629">
        <v>34.697000000000003</v>
      </c>
      <c r="R286" s="629">
        <v>33.847000000000001</v>
      </c>
      <c r="S286" s="629">
        <v>37.073</v>
      </c>
      <c r="T286" s="629">
        <v>36.005000000000003</v>
      </c>
      <c r="U286" s="629">
        <v>35.762999999999998</v>
      </c>
      <c r="V286" s="629">
        <v>31.347999999999999</v>
      </c>
      <c r="W286" s="629">
        <v>32.438000000000002</v>
      </c>
      <c r="X286" s="629">
        <v>33.601999999999997</v>
      </c>
      <c r="Y286" s="629">
        <v>35.186999999999998</v>
      </c>
      <c r="Z286" s="629">
        <v>33.011000000000003</v>
      </c>
      <c r="AA286" s="629">
        <v>37.503</v>
      </c>
      <c r="AB286" s="629">
        <v>36.775999999999897</v>
      </c>
      <c r="AC286" s="629">
        <v>38.061</v>
      </c>
      <c r="AD286" s="629">
        <v>37.210999999999999</v>
      </c>
      <c r="AE286" s="629">
        <v>38.951999999999998</v>
      </c>
    </row>
    <row r="287" spans="1:31">
      <c r="A287" s="444" t="s">
        <v>2335</v>
      </c>
      <c r="B287" s="445">
        <v>873.10524999999996</v>
      </c>
      <c r="C287" s="445">
        <v>1179.1282000000001</v>
      </c>
      <c r="D287" s="445">
        <v>910.99273000000005</v>
      </c>
      <c r="E287" s="445">
        <v>1205.34195</v>
      </c>
      <c r="F287" s="445">
        <v>1079.6657299999999</v>
      </c>
      <c r="G287" s="445">
        <v>1154.2302399999901</v>
      </c>
      <c r="H287" s="445">
        <v>1145.2131999999999</v>
      </c>
      <c r="I287" s="445">
        <v>1271.471</v>
      </c>
      <c r="J287" s="445">
        <v>1314.3309999999999</v>
      </c>
      <c r="K287" s="445">
        <v>1311.7619999999999</v>
      </c>
      <c r="L287" s="445">
        <v>1378.50799999999</v>
      </c>
      <c r="M287" s="445">
        <v>1326.4649999999999</v>
      </c>
      <c r="N287" s="445">
        <v>1061.874</v>
      </c>
      <c r="P287" s="445">
        <v>1302.4970000000001</v>
      </c>
      <c r="Q287" s="445">
        <v>1226.1129999999901</v>
      </c>
      <c r="R287" s="445">
        <v>1284.932</v>
      </c>
      <c r="S287" s="445">
        <v>1289.9680000000001</v>
      </c>
      <c r="T287" s="445">
        <v>1383.6959999999999</v>
      </c>
      <c r="U287" s="445">
        <v>1293.598</v>
      </c>
      <c r="V287" s="445">
        <v>1401.325</v>
      </c>
      <c r="W287" s="445">
        <v>1412.76</v>
      </c>
      <c r="X287" s="445">
        <v>1358.9369999999999</v>
      </c>
      <c r="Y287" s="445">
        <v>1455.348</v>
      </c>
      <c r="Z287" s="445">
        <v>1312.155</v>
      </c>
      <c r="AA287" s="445">
        <v>1226.914</v>
      </c>
      <c r="AB287" s="445">
        <v>1350.8040000000001</v>
      </c>
      <c r="AC287" s="445">
        <v>1263.981</v>
      </c>
      <c r="AD287" s="445">
        <v>1380.665</v>
      </c>
      <c r="AE287" s="445">
        <v>1343.874</v>
      </c>
    </row>
    <row r="288" spans="1:31" ht="15.75" thickBot="1">
      <c r="A288" s="444" t="s">
        <v>2369</v>
      </c>
      <c r="B288" s="629">
        <v>0.86454999999999904</v>
      </c>
      <c r="C288" s="629">
        <v>0.48499999999999999</v>
      </c>
      <c r="D288" s="629">
        <v>0</v>
      </c>
      <c r="E288" s="629">
        <v>9.9441399999999902</v>
      </c>
      <c r="F288" s="629">
        <v>0.49954999999999999</v>
      </c>
      <c r="G288" s="629">
        <v>3.3333300000000001</v>
      </c>
      <c r="H288" s="629">
        <v>9.7114999999999991</v>
      </c>
      <c r="I288" s="629">
        <v>0.96399999999999997</v>
      </c>
      <c r="J288" s="629">
        <v>0</v>
      </c>
      <c r="K288" s="629">
        <v>0</v>
      </c>
      <c r="L288" s="629">
        <v>0</v>
      </c>
      <c r="M288" s="629">
        <v>0</v>
      </c>
      <c r="N288" s="629">
        <v>0</v>
      </c>
      <c r="O288" s="629"/>
      <c r="P288" s="629">
        <v>0</v>
      </c>
      <c r="Q288" s="629">
        <v>0</v>
      </c>
      <c r="R288" s="629">
        <v>0</v>
      </c>
      <c r="S288" s="629">
        <v>0</v>
      </c>
      <c r="T288" s="629">
        <v>2</v>
      </c>
      <c r="U288" s="629">
        <v>7</v>
      </c>
      <c r="V288" s="629">
        <v>1</v>
      </c>
      <c r="W288" s="629">
        <v>0</v>
      </c>
      <c r="X288" s="629">
        <v>0</v>
      </c>
      <c r="Y288" s="629">
        <v>0</v>
      </c>
      <c r="Z288" s="629">
        <v>0</v>
      </c>
      <c r="AA288" s="629">
        <v>0</v>
      </c>
      <c r="AB288" s="629">
        <v>0</v>
      </c>
      <c r="AC288" s="629">
        <v>0</v>
      </c>
      <c r="AD288" s="629">
        <v>0</v>
      </c>
      <c r="AE288" s="629">
        <v>0</v>
      </c>
    </row>
    <row r="289" spans="1:31">
      <c r="A289" s="444" t="s">
        <v>2221</v>
      </c>
      <c r="B289" s="445">
        <v>0.86454999999999904</v>
      </c>
      <c r="C289" s="445">
        <v>0.48499999999999999</v>
      </c>
      <c r="D289" s="445">
        <v>0</v>
      </c>
      <c r="E289" s="445">
        <v>9.9441399999999902</v>
      </c>
      <c r="F289" s="445">
        <v>0.49954999999999999</v>
      </c>
      <c r="G289" s="445">
        <v>3.3333300000000001</v>
      </c>
      <c r="H289" s="445">
        <v>9.7114999999999991</v>
      </c>
      <c r="I289" s="445">
        <v>0.96399999999999997</v>
      </c>
      <c r="J289" s="445">
        <v>0</v>
      </c>
      <c r="K289" s="445">
        <v>0</v>
      </c>
      <c r="L289" s="445">
        <v>0</v>
      </c>
      <c r="M289" s="445">
        <v>0</v>
      </c>
      <c r="N289" s="445">
        <v>0</v>
      </c>
      <c r="P289" s="445">
        <v>0</v>
      </c>
      <c r="Q289" s="445">
        <v>0</v>
      </c>
      <c r="R289" s="445">
        <v>0</v>
      </c>
      <c r="S289" s="445">
        <v>0</v>
      </c>
      <c r="T289" s="445">
        <v>2</v>
      </c>
      <c r="U289" s="445">
        <v>7</v>
      </c>
      <c r="V289" s="445">
        <v>1</v>
      </c>
      <c r="W289" s="445">
        <v>0</v>
      </c>
      <c r="X289" s="445">
        <v>0</v>
      </c>
      <c r="Y289" s="445">
        <v>0</v>
      </c>
      <c r="Z289" s="445">
        <v>0</v>
      </c>
      <c r="AA289" s="445">
        <v>0</v>
      </c>
      <c r="AB289" s="445">
        <v>0</v>
      </c>
      <c r="AC289" s="445">
        <v>0</v>
      </c>
      <c r="AD289" s="445">
        <v>0</v>
      </c>
      <c r="AE289" s="445">
        <v>0</v>
      </c>
    </row>
    <row r="290" spans="1:31">
      <c r="B290" s="628"/>
      <c r="C290" s="628"/>
      <c r="D290" s="628"/>
      <c r="E290" s="628"/>
      <c r="F290" s="628"/>
      <c r="G290" s="628"/>
      <c r="H290" s="628"/>
      <c r="I290" s="628"/>
      <c r="J290" s="628"/>
      <c r="K290" s="628"/>
      <c r="L290" s="628"/>
      <c r="M290" s="628"/>
      <c r="N290" s="628"/>
      <c r="O290" s="628"/>
      <c r="P290" s="628"/>
      <c r="Q290" s="628"/>
      <c r="R290" s="628"/>
      <c r="S290" s="628"/>
      <c r="T290" s="628"/>
      <c r="U290" s="628"/>
      <c r="V290" s="628"/>
      <c r="W290" s="628"/>
      <c r="X290" s="628"/>
      <c r="Y290" s="628"/>
      <c r="Z290" s="628"/>
      <c r="AA290" s="628"/>
      <c r="AB290" s="628"/>
      <c r="AC290" s="628"/>
      <c r="AD290" s="628"/>
      <c r="AE290" s="628"/>
    </row>
    <row r="291" spans="1:31">
      <c r="A291" s="447" t="s">
        <v>2370</v>
      </c>
      <c r="B291" s="626">
        <v>2009.9590800000001</v>
      </c>
      <c r="C291" s="626">
        <v>2439.1203</v>
      </c>
      <c r="D291" s="626">
        <v>2255.68289</v>
      </c>
      <c r="E291" s="626">
        <v>2418.9956399999901</v>
      </c>
      <c r="F291" s="626">
        <v>2284.2655300000001</v>
      </c>
      <c r="G291" s="626">
        <v>2483.9217800000001</v>
      </c>
      <c r="H291" s="626">
        <v>2325.6525099999999</v>
      </c>
      <c r="I291" s="626">
        <v>2495.14499999999</v>
      </c>
      <c r="J291" s="626">
        <v>2609.165</v>
      </c>
      <c r="K291" s="626">
        <v>2599.424</v>
      </c>
      <c r="L291" s="626">
        <v>2805.08699999999</v>
      </c>
      <c r="M291" s="626">
        <v>2557.1779999999999</v>
      </c>
      <c r="N291" s="626">
        <v>2300.7399999999998</v>
      </c>
      <c r="O291" s="626"/>
      <c r="P291" s="626">
        <v>2636.9540000000002</v>
      </c>
      <c r="Q291" s="626">
        <v>2444.788</v>
      </c>
      <c r="R291" s="626">
        <v>2488.1019999999999</v>
      </c>
      <c r="S291" s="626">
        <v>2630.502</v>
      </c>
      <c r="T291" s="626">
        <v>2788.2359999999999</v>
      </c>
      <c r="U291" s="626">
        <v>2486.4319999999998</v>
      </c>
      <c r="V291" s="626">
        <v>2633.279</v>
      </c>
      <c r="W291" s="626">
        <v>2713.1680000000001</v>
      </c>
      <c r="X291" s="626">
        <v>2635.86</v>
      </c>
      <c r="Y291" s="626">
        <v>2850.4070000000002</v>
      </c>
      <c r="Z291" s="626">
        <v>2503.8580000000002</v>
      </c>
      <c r="AA291" s="626">
        <v>2448.1179999999999</v>
      </c>
      <c r="AB291" s="626">
        <v>2751.3960000000002</v>
      </c>
      <c r="AC291" s="626">
        <v>2549.2809999999999</v>
      </c>
      <c r="AD291" s="626">
        <v>2690.7169999999901</v>
      </c>
      <c r="AE291" s="626">
        <v>2736.4369999999999</v>
      </c>
    </row>
    <row r="293" spans="1:31">
      <c r="A293" s="447" t="s">
        <v>2371</v>
      </c>
      <c r="B293" s="626">
        <v>28009.018680000001</v>
      </c>
      <c r="C293" s="626">
        <v>35630.216869999997</v>
      </c>
      <c r="D293" s="626">
        <v>19753.2882499999</v>
      </c>
      <c r="E293" s="626">
        <v>19962.094880000001</v>
      </c>
      <c r="F293" s="626">
        <v>13598.422070000001</v>
      </c>
      <c r="G293" s="626">
        <v>7539.95741</v>
      </c>
      <c r="H293" s="626">
        <v>6403.4969499999997</v>
      </c>
      <c r="I293" s="626">
        <v>6165.6675392553097</v>
      </c>
      <c r="J293" s="626">
        <v>6851.0333031234904</v>
      </c>
      <c r="K293" s="626">
        <v>6808.7604823349702</v>
      </c>
      <c r="L293" s="626">
        <v>8719.1183794739009</v>
      </c>
      <c r="M293" s="626">
        <v>15003.8075546953</v>
      </c>
      <c r="N293" s="626">
        <v>26099.017408278702</v>
      </c>
      <c r="O293" s="626"/>
      <c r="P293" s="626">
        <v>33881.195942562197</v>
      </c>
      <c r="Q293" s="626">
        <v>29924.301876350299</v>
      </c>
      <c r="R293" s="626">
        <v>21720.109789424201</v>
      </c>
      <c r="S293" s="626">
        <v>12583.7923320596</v>
      </c>
      <c r="T293" s="626">
        <v>8781.7988823635897</v>
      </c>
      <c r="U293" s="626">
        <v>6137.8877296162</v>
      </c>
      <c r="V293" s="626">
        <v>8568.7480056119894</v>
      </c>
      <c r="W293" s="626">
        <v>8744.2963803834991</v>
      </c>
      <c r="X293" s="626">
        <v>11441.770549950101</v>
      </c>
      <c r="Y293" s="626">
        <v>7906.2427964174603</v>
      </c>
      <c r="Z293" s="626">
        <v>14514.2744977319</v>
      </c>
      <c r="AA293" s="626">
        <v>25221.140429329698</v>
      </c>
      <c r="AB293" s="626">
        <v>31634.897880937198</v>
      </c>
      <c r="AC293" s="626">
        <v>27823.613448918699</v>
      </c>
      <c r="AD293" s="626">
        <v>20728.677945700099</v>
      </c>
      <c r="AE293" s="626">
        <v>12205.642865681801</v>
      </c>
    </row>
    <row r="294" spans="1:31">
      <c r="A294" s="444" t="s">
        <v>539</v>
      </c>
    </row>
    <row r="295" spans="1:31">
      <c r="A295" s="444" t="s">
        <v>2372</v>
      </c>
      <c r="B295" s="445">
        <v>593.41958999999997</v>
      </c>
      <c r="C295" s="445">
        <v>393.59014999999999</v>
      </c>
      <c r="D295" s="445">
        <v>258.092479999999</v>
      </c>
      <c r="E295" s="445">
        <v>209.81041999999999</v>
      </c>
      <c r="F295" s="445">
        <v>164.21402</v>
      </c>
      <c r="G295" s="445">
        <v>134.42613</v>
      </c>
      <c r="H295" s="445">
        <v>103.887279999999</v>
      </c>
      <c r="I295" s="445">
        <v>498.93900000000002</v>
      </c>
      <c r="J295" s="445">
        <v>430.96899999999999</v>
      </c>
      <c r="K295" s="445">
        <v>368.71899999999999</v>
      </c>
      <c r="L295" s="445">
        <v>192.34899999999999</v>
      </c>
      <c r="M295" s="445">
        <v>94.105999999999995</v>
      </c>
      <c r="N295" s="445">
        <v>120.38500000000001</v>
      </c>
      <c r="P295" s="445">
        <v>281.19799999999998</v>
      </c>
      <c r="Q295" s="445">
        <v>188.012</v>
      </c>
      <c r="R295" s="445">
        <v>207.65799999999999</v>
      </c>
      <c r="S295" s="445">
        <v>70.185000000000002</v>
      </c>
      <c r="T295" s="445">
        <v>25.041</v>
      </c>
      <c r="U295" s="445">
        <v>135.23699999999999</v>
      </c>
      <c r="V295" s="445">
        <v>228.339</v>
      </c>
      <c r="W295" s="445">
        <v>390.29599999999999</v>
      </c>
      <c r="X295" s="445">
        <v>360.37299999999999</v>
      </c>
      <c r="Y295" s="445">
        <v>174.785</v>
      </c>
      <c r="Z295" s="445">
        <v>101.252</v>
      </c>
      <c r="AA295" s="445">
        <v>226.95004</v>
      </c>
      <c r="AB295" s="445">
        <v>289.05099999999999</v>
      </c>
      <c r="AC295" s="445">
        <v>193.239</v>
      </c>
      <c r="AD295" s="445">
        <v>213.67699999999999</v>
      </c>
      <c r="AE295" s="445">
        <v>72.116</v>
      </c>
    </row>
    <row r="296" spans="1:31">
      <c r="A296" s="444" t="s">
        <v>2373</v>
      </c>
      <c r="B296" s="445">
        <v>0</v>
      </c>
      <c r="C296" s="445">
        <v>0</v>
      </c>
      <c r="D296" s="445">
        <v>0</v>
      </c>
      <c r="E296" s="445">
        <v>0</v>
      </c>
      <c r="F296" s="445">
        <v>0</v>
      </c>
      <c r="G296" s="445">
        <v>0</v>
      </c>
      <c r="H296" s="445">
        <v>0</v>
      </c>
      <c r="I296" s="445">
        <v>0</v>
      </c>
      <c r="J296" s="445">
        <v>0</v>
      </c>
      <c r="K296" s="445">
        <v>0</v>
      </c>
      <c r="L296" s="445">
        <v>0</v>
      </c>
      <c r="M296" s="445">
        <v>0</v>
      </c>
      <c r="N296" s="445">
        <v>0</v>
      </c>
      <c r="P296" s="445">
        <v>0</v>
      </c>
      <c r="Q296" s="445">
        <v>0</v>
      </c>
      <c r="R296" s="445">
        <v>0</v>
      </c>
      <c r="S296" s="445">
        <v>0</v>
      </c>
      <c r="T296" s="445">
        <v>0</v>
      </c>
      <c r="U296" s="445">
        <v>0</v>
      </c>
      <c r="V296" s="445">
        <v>0</v>
      </c>
      <c r="W296" s="445">
        <v>0</v>
      </c>
      <c r="X296" s="445">
        <v>0</v>
      </c>
      <c r="Y296" s="445">
        <v>0</v>
      </c>
      <c r="Z296" s="445">
        <v>0</v>
      </c>
      <c r="AA296" s="445">
        <v>0</v>
      </c>
      <c r="AB296" s="445">
        <v>0</v>
      </c>
      <c r="AC296" s="445">
        <v>0</v>
      </c>
      <c r="AD296" s="445">
        <v>0</v>
      </c>
      <c r="AE296" s="445">
        <v>0</v>
      </c>
    </row>
    <row r="297" spans="1:31" ht="15.75" thickBot="1">
      <c r="A297" s="444" t="s">
        <v>2374</v>
      </c>
      <c r="B297" s="629">
        <v>32.66995</v>
      </c>
      <c r="C297" s="629">
        <v>35.104149999999997</v>
      </c>
      <c r="D297" s="629">
        <v>26.65868</v>
      </c>
      <c r="E297" s="629">
        <v>22.560009999999998</v>
      </c>
      <c r="F297" s="629">
        <v>29.31832</v>
      </c>
      <c r="G297" s="629">
        <v>26.275980000000001</v>
      </c>
      <c r="H297" s="629">
        <v>22.013439999999999</v>
      </c>
      <c r="I297" s="629">
        <v>14.722</v>
      </c>
      <c r="J297" s="629">
        <v>9.548</v>
      </c>
      <c r="K297" s="629">
        <v>10.015000000000001</v>
      </c>
      <c r="L297" s="629">
        <v>10.015000000000001</v>
      </c>
      <c r="M297" s="629">
        <v>10.015000000000001</v>
      </c>
      <c r="N297" s="629">
        <v>12.015000000000001</v>
      </c>
      <c r="O297" s="629"/>
      <c r="P297" s="629">
        <v>18.611000000000001</v>
      </c>
      <c r="Q297" s="629">
        <v>18.611000000000001</v>
      </c>
      <c r="R297" s="629">
        <v>18.611000000000001</v>
      </c>
      <c r="S297" s="629">
        <v>18.611000000000001</v>
      </c>
      <c r="T297" s="629">
        <v>18.350999999999999</v>
      </c>
      <c r="U297" s="629">
        <v>18.350999999999999</v>
      </c>
      <c r="V297" s="629">
        <v>18.350999999999999</v>
      </c>
      <c r="W297" s="629">
        <v>18.350999999999999</v>
      </c>
      <c r="X297" s="629">
        <v>18.350999999999999</v>
      </c>
      <c r="Y297" s="629">
        <v>18.350999999999999</v>
      </c>
      <c r="Z297" s="629">
        <v>18.350999999999999</v>
      </c>
      <c r="AA297" s="629">
        <v>18.34815</v>
      </c>
      <c r="AB297" s="629">
        <v>17.321999999999999</v>
      </c>
      <c r="AC297" s="629">
        <v>17.321999999999999</v>
      </c>
      <c r="AD297" s="629">
        <v>17.321999999999999</v>
      </c>
      <c r="AE297" s="629">
        <v>17.321999999999999</v>
      </c>
    </row>
    <row r="298" spans="1:31">
      <c r="A298" s="632" t="s">
        <v>2375</v>
      </c>
      <c r="B298" s="445">
        <v>626.08953999999903</v>
      </c>
      <c r="C298" s="445">
        <v>428.6943</v>
      </c>
      <c r="D298" s="445">
        <v>284.751159999999</v>
      </c>
      <c r="E298" s="445">
        <v>232.37043</v>
      </c>
      <c r="F298" s="445">
        <v>193.53234</v>
      </c>
      <c r="G298" s="445">
        <v>160.70211</v>
      </c>
      <c r="H298" s="445">
        <v>125.900719999999</v>
      </c>
      <c r="I298" s="445">
        <v>513.66099999999994</v>
      </c>
      <c r="J298" s="445">
        <v>440.517</v>
      </c>
      <c r="K298" s="445">
        <v>378.73399999999998</v>
      </c>
      <c r="L298" s="445">
        <v>202.364</v>
      </c>
      <c r="M298" s="445">
        <v>104.121</v>
      </c>
      <c r="N298" s="445">
        <v>132.4</v>
      </c>
      <c r="P298" s="445">
        <v>299.808999999999</v>
      </c>
      <c r="Q298" s="445">
        <v>206.62299999999999</v>
      </c>
      <c r="R298" s="445">
        <v>226.26899999999901</v>
      </c>
      <c r="S298" s="445">
        <v>88.796000000000006</v>
      </c>
      <c r="T298" s="445">
        <v>43.391999999999904</v>
      </c>
      <c r="U298" s="445">
        <v>153.58799999999999</v>
      </c>
      <c r="V298" s="445">
        <v>246.69</v>
      </c>
      <c r="W298" s="445">
        <v>408.64699999999999</v>
      </c>
      <c r="X298" s="445">
        <v>378.72399999999999</v>
      </c>
      <c r="Y298" s="445">
        <v>193.136</v>
      </c>
      <c r="Z298" s="445">
        <v>119.60299999999999</v>
      </c>
      <c r="AA298" s="445">
        <v>245.29819000000001</v>
      </c>
      <c r="AB298" s="445">
        <v>306.37299999999999</v>
      </c>
      <c r="AC298" s="445">
        <v>210.56100000000001</v>
      </c>
      <c r="AD298" s="445">
        <v>230.999</v>
      </c>
      <c r="AE298" s="445">
        <v>89.438000000000002</v>
      </c>
    </row>
    <row r="299" spans="1:31">
      <c r="A299" s="444" t="s">
        <v>2376</v>
      </c>
      <c r="B299" s="445">
        <v>169.911799999999</v>
      </c>
      <c r="C299" s="445">
        <v>208.62730999999999</v>
      </c>
      <c r="D299" s="445">
        <v>197.85059999999999</v>
      </c>
      <c r="E299" s="445">
        <v>208.7928</v>
      </c>
      <c r="F299" s="445">
        <v>190.66049000000001</v>
      </c>
      <c r="G299" s="445">
        <v>212.94241</v>
      </c>
      <c r="H299" s="445">
        <v>178.94571999999999</v>
      </c>
      <c r="I299" s="445">
        <v>222.941</v>
      </c>
      <c r="J299" s="445">
        <v>239.786</v>
      </c>
      <c r="K299" s="445">
        <v>226.292</v>
      </c>
      <c r="L299" s="445">
        <v>242.47800000000001</v>
      </c>
      <c r="M299" s="445">
        <v>211.803</v>
      </c>
      <c r="N299" s="445">
        <v>209.33600000000001</v>
      </c>
      <c r="P299" s="445">
        <v>252.44</v>
      </c>
      <c r="Q299" s="445">
        <v>212.79300000000001</v>
      </c>
      <c r="R299" s="445">
        <v>231.71100000000001</v>
      </c>
      <c r="S299" s="445">
        <v>272.517</v>
      </c>
      <c r="T299" s="445">
        <v>258.71499999999997</v>
      </c>
      <c r="U299" s="445">
        <v>219.55199999999999</v>
      </c>
      <c r="V299" s="445">
        <v>238.32300000000001</v>
      </c>
      <c r="W299" s="445">
        <v>241.09100000000001</v>
      </c>
      <c r="X299" s="445">
        <v>230.285</v>
      </c>
      <c r="Y299" s="445">
        <v>246.304</v>
      </c>
      <c r="Z299" s="445">
        <v>204.31200000000001</v>
      </c>
      <c r="AA299" s="445">
        <v>186.27699999999999</v>
      </c>
      <c r="AB299" s="445">
        <v>255.137</v>
      </c>
      <c r="AC299" s="445">
        <v>214.917</v>
      </c>
      <c r="AD299" s="445">
        <v>241.22499999999999</v>
      </c>
      <c r="AE299" s="445">
        <v>274.60899999999998</v>
      </c>
    </row>
    <row r="300" spans="1:31">
      <c r="A300" s="444" t="s">
        <v>2377</v>
      </c>
      <c r="B300" s="445">
        <v>342.63623999999999</v>
      </c>
      <c r="C300" s="445">
        <v>350.17198000000002</v>
      </c>
      <c r="D300" s="445">
        <v>351.00351999999998</v>
      </c>
      <c r="E300" s="445">
        <v>359.88351</v>
      </c>
      <c r="F300" s="445">
        <v>378.53138999999999</v>
      </c>
      <c r="G300" s="445">
        <v>363.35408000000001</v>
      </c>
      <c r="H300" s="445">
        <v>361.54912000000002</v>
      </c>
      <c r="I300" s="445">
        <v>395.423</v>
      </c>
      <c r="J300" s="445">
        <v>383.14400000000001</v>
      </c>
      <c r="K300" s="445">
        <v>370.90699999999998</v>
      </c>
      <c r="L300" s="445">
        <v>408.197</v>
      </c>
      <c r="M300" s="445">
        <v>376.58800000000002</v>
      </c>
      <c r="N300" s="445">
        <v>390.808999999999</v>
      </c>
      <c r="P300" s="445">
        <v>390.65300000000002</v>
      </c>
      <c r="Q300" s="445">
        <v>378.62700000000001</v>
      </c>
      <c r="R300" s="445">
        <v>380.59100000000001</v>
      </c>
      <c r="S300" s="445">
        <v>405.27800000000002</v>
      </c>
      <c r="T300" s="445">
        <v>393.20499999999998</v>
      </c>
      <c r="U300" s="445">
        <v>493.75900000000001</v>
      </c>
      <c r="V300" s="445">
        <v>505.51900000000001</v>
      </c>
      <c r="W300" s="445">
        <v>545.74199999999996</v>
      </c>
      <c r="X300" s="445">
        <v>497.36900000000003</v>
      </c>
      <c r="Y300" s="445">
        <v>547.548</v>
      </c>
      <c r="Z300" s="445">
        <v>497.712999999999</v>
      </c>
      <c r="AA300" s="445">
        <v>538.17399999999998</v>
      </c>
      <c r="AB300" s="445">
        <v>536.87</v>
      </c>
      <c r="AC300" s="445">
        <v>524.50599999999997</v>
      </c>
      <c r="AD300" s="445">
        <v>530.14700000000005</v>
      </c>
      <c r="AE300" s="445">
        <v>546.22</v>
      </c>
    </row>
    <row r="301" spans="1:31">
      <c r="A301" s="444" t="s">
        <v>2378</v>
      </c>
      <c r="B301" s="445">
        <v>880.96690000000001</v>
      </c>
      <c r="C301" s="445">
        <v>969.41173999999899</v>
      </c>
      <c r="D301" s="445">
        <v>999.03313000000003</v>
      </c>
      <c r="E301" s="445">
        <v>1106.27873</v>
      </c>
      <c r="F301" s="445">
        <v>1002.88966</v>
      </c>
      <c r="G301" s="445">
        <v>1099.0437099999899</v>
      </c>
      <c r="H301" s="445">
        <v>1007.31866</v>
      </c>
      <c r="I301" s="445">
        <v>1010.894</v>
      </c>
      <c r="J301" s="445">
        <v>1091.88299999999</v>
      </c>
      <c r="K301" s="445">
        <v>1058.2639999999999</v>
      </c>
      <c r="L301" s="445">
        <v>1177.9760000000001</v>
      </c>
      <c r="M301" s="445">
        <v>1075.9349999999999</v>
      </c>
      <c r="N301" s="445">
        <v>1077.501</v>
      </c>
      <c r="P301" s="445">
        <v>1088.45</v>
      </c>
      <c r="Q301" s="445">
        <v>968.99400000000003</v>
      </c>
      <c r="R301" s="445">
        <v>1056.0509999999999</v>
      </c>
      <c r="S301" s="445">
        <v>1021.2670000000001</v>
      </c>
      <c r="T301" s="445">
        <v>1140.7639999999999</v>
      </c>
      <c r="U301" s="445">
        <v>1031.396</v>
      </c>
      <c r="V301" s="445">
        <v>1083.6379999999999</v>
      </c>
      <c r="W301" s="445">
        <v>1132.173</v>
      </c>
      <c r="X301" s="445">
        <v>1041.8620000000001</v>
      </c>
      <c r="Y301" s="445">
        <v>1159.318</v>
      </c>
      <c r="Z301" s="445">
        <v>1012.29</v>
      </c>
      <c r="AA301" s="445">
        <v>1005.673</v>
      </c>
      <c r="AB301" s="445">
        <v>1037.8039999999901</v>
      </c>
      <c r="AC301" s="445">
        <v>918.81600000000003</v>
      </c>
      <c r="AD301" s="445">
        <v>1043.191</v>
      </c>
      <c r="AE301" s="445">
        <v>974.71100000000001</v>
      </c>
    </row>
    <row r="302" spans="1:31" ht="15.75" thickBot="1">
      <c r="A302" s="444" t="s">
        <v>2379</v>
      </c>
      <c r="B302" s="629">
        <v>2.54942</v>
      </c>
      <c r="C302" s="629">
        <v>9.1730000000000006E-2</v>
      </c>
      <c r="D302" s="629">
        <v>8.3610000000000004E-2</v>
      </c>
      <c r="E302" s="629">
        <v>1.6954400000000001</v>
      </c>
      <c r="F302" s="629">
        <v>0.97538999999999998</v>
      </c>
      <c r="G302" s="629">
        <v>1.9879999999999998E-2</v>
      </c>
      <c r="H302" s="629">
        <v>0.15515000000000001</v>
      </c>
      <c r="I302" s="629">
        <v>-16.297000000000001</v>
      </c>
      <c r="J302" s="629">
        <v>-21.219000000000001</v>
      </c>
      <c r="K302" s="629">
        <v>32.003</v>
      </c>
      <c r="L302" s="629">
        <v>37.113</v>
      </c>
      <c r="M302" s="629">
        <v>11.202</v>
      </c>
      <c r="N302" s="629">
        <v>-4.2999999999999997E-2</v>
      </c>
      <c r="O302" s="629"/>
      <c r="P302" s="629">
        <v>0</v>
      </c>
      <c r="Q302" s="629">
        <v>0</v>
      </c>
      <c r="R302" s="629">
        <v>0</v>
      </c>
      <c r="S302" s="629">
        <v>0</v>
      </c>
      <c r="T302" s="629">
        <v>0</v>
      </c>
      <c r="U302" s="629">
        <v>0</v>
      </c>
      <c r="V302" s="629">
        <v>0</v>
      </c>
      <c r="W302" s="629">
        <v>0</v>
      </c>
      <c r="X302" s="629">
        <v>0</v>
      </c>
      <c r="Y302" s="629">
        <v>0</v>
      </c>
      <c r="Z302" s="629">
        <v>0</v>
      </c>
      <c r="AA302" s="629">
        <v>0</v>
      </c>
      <c r="AB302" s="629">
        <v>0</v>
      </c>
      <c r="AC302" s="629">
        <v>0</v>
      </c>
      <c r="AD302" s="629">
        <v>0</v>
      </c>
      <c r="AE302" s="629">
        <v>0</v>
      </c>
    </row>
    <row r="303" spans="1:31">
      <c r="A303" s="632" t="s">
        <v>2380</v>
      </c>
      <c r="B303" s="445">
        <v>1396.0643600000001</v>
      </c>
      <c r="C303" s="445">
        <v>1528.30276</v>
      </c>
      <c r="D303" s="445">
        <v>1547.9708599999999</v>
      </c>
      <c r="E303" s="445">
        <v>1676.65048</v>
      </c>
      <c r="F303" s="445">
        <v>1573.05693</v>
      </c>
      <c r="G303" s="445">
        <v>1675.3600799999899</v>
      </c>
      <c r="H303" s="445">
        <v>1547.96865</v>
      </c>
      <c r="I303" s="445">
        <v>1612.961</v>
      </c>
      <c r="J303" s="445">
        <v>1693.59399999999</v>
      </c>
      <c r="K303" s="445">
        <v>1687.4659999999999</v>
      </c>
      <c r="L303" s="445">
        <v>1865.7639999999999</v>
      </c>
      <c r="M303" s="445">
        <v>1675.528</v>
      </c>
      <c r="N303" s="445">
        <v>1677.6030000000001</v>
      </c>
      <c r="P303" s="445">
        <v>1731.5429999999999</v>
      </c>
      <c r="Q303" s="445">
        <v>1560.414</v>
      </c>
      <c r="R303" s="445">
        <v>1668.3530000000001</v>
      </c>
      <c r="S303" s="445">
        <v>1699.0619999999999</v>
      </c>
      <c r="T303" s="445">
        <v>1792.684</v>
      </c>
      <c r="U303" s="445">
        <v>1744.7070000000001</v>
      </c>
      <c r="V303" s="445">
        <v>1827.48</v>
      </c>
      <c r="W303" s="445">
        <v>1919.0060000000001</v>
      </c>
      <c r="X303" s="445">
        <v>1769.5160000000001</v>
      </c>
      <c r="Y303" s="445">
        <v>1953.17</v>
      </c>
      <c r="Z303" s="445">
        <v>1714.3150000000001</v>
      </c>
      <c r="AA303" s="445">
        <v>1730.124</v>
      </c>
      <c r="AB303" s="445">
        <v>1829.8109999999999</v>
      </c>
      <c r="AC303" s="445">
        <v>1658.239</v>
      </c>
      <c r="AD303" s="445">
        <v>1814.5630000000001</v>
      </c>
      <c r="AE303" s="445">
        <v>1795.54</v>
      </c>
    </row>
    <row r="304" spans="1:31">
      <c r="A304" s="630" t="s">
        <v>2381</v>
      </c>
      <c r="B304" s="626">
        <v>2022.1539</v>
      </c>
      <c r="C304" s="626">
        <v>1956.9970599999999</v>
      </c>
      <c r="D304" s="626">
        <v>1832.7220199999999</v>
      </c>
      <c r="E304" s="626">
        <v>1909.02091</v>
      </c>
      <c r="F304" s="626">
        <v>1766.5892699999999</v>
      </c>
      <c r="G304" s="626">
        <v>1836.0621899999901</v>
      </c>
      <c r="H304" s="626">
        <v>1673.8693699999999</v>
      </c>
      <c r="I304" s="626">
        <v>2126.6219999999998</v>
      </c>
      <c r="J304" s="626">
        <v>2134.1109999999999</v>
      </c>
      <c r="K304" s="626">
        <v>2066.1999999999998</v>
      </c>
      <c r="L304" s="626">
        <v>2068.1280000000002</v>
      </c>
      <c r="M304" s="626">
        <v>1779.6489999999999</v>
      </c>
      <c r="N304" s="626">
        <v>1810.0029999999999</v>
      </c>
      <c r="O304" s="626"/>
      <c r="P304" s="626">
        <v>2031.3520000000001</v>
      </c>
      <c r="Q304" s="626">
        <v>1767.037</v>
      </c>
      <c r="R304" s="626">
        <v>1894.6220000000001</v>
      </c>
      <c r="S304" s="626">
        <v>1787.8579999999999</v>
      </c>
      <c r="T304" s="626">
        <v>1836.076</v>
      </c>
      <c r="U304" s="626">
        <v>1898.2950000000001</v>
      </c>
      <c r="V304" s="626">
        <v>2074.17</v>
      </c>
      <c r="W304" s="626">
        <v>2327.6529999999998</v>
      </c>
      <c r="X304" s="626">
        <v>2148.2399999999998</v>
      </c>
      <c r="Y304" s="626">
        <v>2146.306</v>
      </c>
      <c r="Z304" s="626">
        <v>1833.9179999999999</v>
      </c>
      <c r="AA304" s="626">
        <v>1975.42219</v>
      </c>
      <c r="AB304" s="626">
        <v>2136.1839999999902</v>
      </c>
      <c r="AC304" s="626">
        <v>1868.8</v>
      </c>
      <c r="AD304" s="626">
        <v>2045.5619999999999</v>
      </c>
      <c r="AE304" s="626">
        <v>1884.9780000000001</v>
      </c>
    </row>
    <row r="305" spans="1:31">
      <c r="A305" s="444" t="s">
        <v>539</v>
      </c>
    </row>
    <row r="306" spans="1:31">
      <c r="A306" s="444" t="s">
        <v>2382</v>
      </c>
      <c r="B306" s="445">
        <v>31.7036599999999</v>
      </c>
      <c r="C306" s="445">
        <v>33.183320000000002</v>
      </c>
      <c r="D306" s="445">
        <v>34.66554</v>
      </c>
      <c r="E306" s="445">
        <v>34.731619999999999</v>
      </c>
      <c r="F306" s="445">
        <v>34.375959999999999</v>
      </c>
      <c r="G306" s="445">
        <v>37.897309999999997</v>
      </c>
      <c r="H306" s="445">
        <v>35.478639999999999</v>
      </c>
      <c r="I306" s="445">
        <v>36.225000000000001</v>
      </c>
      <c r="J306" s="445">
        <v>42.301000000000002</v>
      </c>
      <c r="K306" s="445">
        <v>34.758000000000003</v>
      </c>
      <c r="L306" s="445">
        <v>43.040999999999997</v>
      </c>
      <c r="M306" s="445">
        <v>36.86</v>
      </c>
      <c r="N306" s="445">
        <v>31.346</v>
      </c>
      <c r="P306" s="445">
        <v>42.343000000000004</v>
      </c>
      <c r="Q306" s="445">
        <v>34.433999999999997</v>
      </c>
      <c r="R306" s="445">
        <v>37.923999999999999</v>
      </c>
      <c r="S306" s="445">
        <v>40.454000000000001</v>
      </c>
      <c r="T306" s="445">
        <v>42.048000000000002</v>
      </c>
      <c r="U306" s="445">
        <v>34.597000000000001</v>
      </c>
      <c r="V306" s="445">
        <v>41.723999999999997</v>
      </c>
      <c r="W306" s="445">
        <v>42.503999999999998</v>
      </c>
      <c r="X306" s="445">
        <v>39.451000000000001</v>
      </c>
      <c r="Y306" s="445">
        <v>46.929000000000002</v>
      </c>
      <c r="Z306" s="445">
        <v>35.655999999999999</v>
      </c>
      <c r="AA306" s="445">
        <v>30.920999999999999</v>
      </c>
      <c r="AB306" s="445">
        <v>42.777999999999999</v>
      </c>
      <c r="AC306" s="445">
        <v>34.268999999999998</v>
      </c>
      <c r="AD306" s="445">
        <v>39.941000000000003</v>
      </c>
      <c r="AE306" s="445">
        <v>40.497</v>
      </c>
    </row>
    <row r="307" spans="1:31">
      <c r="A307" s="444" t="s">
        <v>2383</v>
      </c>
      <c r="B307" s="445">
        <v>63.516589999999901</v>
      </c>
      <c r="C307" s="445">
        <v>20.05903</v>
      </c>
      <c r="D307" s="445">
        <v>26.90513</v>
      </c>
      <c r="E307" s="445">
        <v>26.774239999999999</v>
      </c>
      <c r="F307" s="445">
        <v>27.345689999999902</v>
      </c>
      <c r="G307" s="445">
        <v>29.128250000000001</v>
      </c>
      <c r="H307" s="445">
        <v>44.417490000000001</v>
      </c>
      <c r="I307" s="445">
        <v>37.213000000000001</v>
      </c>
      <c r="J307" s="445">
        <v>42.588999999999999</v>
      </c>
      <c r="K307" s="445">
        <v>32.628999999999998</v>
      </c>
      <c r="L307" s="445">
        <v>38.765000000000001</v>
      </c>
      <c r="M307" s="445">
        <v>34.585999999999999</v>
      </c>
      <c r="N307" s="445">
        <v>30.952000000000002</v>
      </c>
      <c r="P307" s="445">
        <v>48.326999999999998</v>
      </c>
      <c r="Q307" s="445">
        <v>42.749000000000002</v>
      </c>
      <c r="R307" s="445">
        <v>48.335999999999999</v>
      </c>
      <c r="S307" s="445">
        <v>46.634</v>
      </c>
      <c r="T307" s="445">
        <v>47.764000000000003</v>
      </c>
      <c r="U307" s="445">
        <v>47.511000000000003</v>
      </c>
      <c r="V307" s="445">
        <v>50.649000000000001</v>
      </c>
      <c r="W307" s="445">
        <v>49.417999999999999</v>
      </c>
      <c r="X307" s="445">
        <v>50.72</v>
      </c>
      <c r="Y307" s="445">
        <v>49.319000000000003</v>
      </c>
      <c r="Z307" s="445">
        <v>44.875999999999998</v>
      </c>
      <c r="AA307" s="445">
        <v>41.176000000000002</v>
      </c>
      <c r="AB307" s="445">
        <v>49.719000000000001</v>
      </c>
      <c r="AC307" s="445">
        <v>43.914000000000001</v>
      </c>
      <c r="AD307" s="445">
        <v>51.087000000000003</v>
      </c>
      <c r="AE307" s="445">
        <v>47.991</v>
      </c>
    </row>
    <row r="308" spans="1:31">
      <c r="A308" s="444" t="s">
        <v>2384</v>
      </c>
      <c r="B308" s="445">
        <v>1154.78468</v>
      </c>
      <c r="C308" s="445">
        <v>1051.15047</v>
      </c>
      <c r="D308" s="445">
        <v>706.13601000000006</v>
      </c>
      <c r="E308" s="445">
        <v>894.47163999999998</v>
      </c>
      <c r="F308" s="445">
        <v>1307.65687</v>
      </c>
      <c r="G308" s="445">
        <v>1143.0288</v>
      </c>
      <c r="H308" s="445">
        <v>1177.2158300000001</v>
      </c>
      <c r="I308" s="445">
        <v>1250.5630000000001</v>
      </c>
      <c r="J308" s="445">
        <v>1351.72</v>
      </c>
      <c r="K308" s="445">
        <v>1220.6969999999999</v>
      </c>
      <c r="L308" s="445">
        <v>849.52700000000004</v>
      </c>
      <c r="M308" s="445">
        <v>886.92600000000004</v>
      </c>
      <c r="N308" s="445">
        <v>1960.556</v>
      </c>
      <c r="P308" s="445">
        <v>409.05799999999999</v>
      </c>
      <c r="Q308" s="445">
        <v>322.01600000000002</v>
      </c>
      <c r="R308" s="445">
        <v>331.78399999999999</v>
      </c>
      <c r="S308" s="445">
        <v>338.45800000000003</v>
      </c>
      <c r="T308" s="445">
        <v>410.46</v>
      </c>
      <c r="U308" s="445">
        <v>493.10899999999998</v>
      </c>
      <c r="V308" s="445">
        <v>883.95399999999995</v>
      </c>
      <c r="W308" s="445">
        <v>545.59100000000001</v>
      </c>
      <c r="X308" s="445">
        <v>579.39499999999998</v>
      </c>
      <c r="Y308" s="445">
        <v>415.80099999999999</v>
      </c>
      <c r="Z308" s="445">
        <v>437.7</v>
      </c>
      <c r="AA308" s="445">
        <v>494.98500000000001</v>
      </c>
      <c r="AB308" s="445">
        <v>369.322</v>
      </c>
      <c r="AC308" s="445">
        <v>290.68799999999999</v>
      </c>
      <c r="AD308" s="445">
        <v>303.21100000000001</v>
      </c>
      <c r="AE308" s="445">
        <v>308.84300000000002</v>
      </c>
    </row>
    <row r="309" spans="1:31">
      <c r="A309" s="444" t="s">
        <v>2385</v>
      </c>
      <c r="B309" s="445">
        <v>289.65886</v>
      </c>
      <c r="C309" s="445">
        <v>290.24484000000001</v>
      </c>
      <c r="D309" s="445">
        <v>237.13292000000001</v>
      </c>
      <c r="E309" s="445">
        <v>209.09563</v>
      </c>
      <c r="F309" s="445">
        <v>282.65323000000001</v>
      </c>
      <c r="G309" s="445">
        <v>261.48522000000003</v>
      </c>
      <c r="H309" s="445">
        <v>242.62693999999999</v>
      </c>
      <c r="I309" s="445">
        <v>-34.265999999999998</v>
      </c>
      <c r="J309" s="445">
        <v>286.93</v>
      </c>
      <c r="K309" s="445">
        <v>119.50700000000001</v>
      </c>
      <c r="L309" s="445">
        <v>172.959</v>
      </c>
      <c r="M309" s="445">
        <v>272.19600000000003</v>
      </c>
      <c r="N309" s="445">
        <v>-534.87300000000005</v>
      </c>
      <c r="P309" s="445">
        <v>165.86199999999999</v>
      </c>
      <c r="Q309" s="445">
        <v>160.74100000000001</v>
      </c>
      <c r="R309" s="445">
        <v>158.68600000000001</v>
      </c>
      <c r="S309" s="445">
        <v>147.93100000000001</v>
      </c>
      <c r="T309" s="445">
        <v>150.49299999999999</v>
      </c>
      <c r="U309" s="445">
        <v>171.14500000000001</v>
      </c>
      <c r="V309" s="445">
        <v>156.72800000000001</v>
      </c>
      <c r="W309" s="445">
        <v>180.875</v>
      </c>
      <c r="X309" s="445">
        <v>180.43899999999999</v>
      </c>
      <c r="Y309" s="445">
        <v>194.672</v>
      </c>
      <c r="Z309" s="445">
        <v>220.86099999999999</v>
      </c>
      <c r="AA309" s="445">
        <v>218.47399999999999</v>
      </c>
      <c r="AB309" s="445">
        <v>166.154</v>
      </c>
      <c r="AC309" s="445">
        <v>161.05799999999999</v>
      </c>
      <c r="AD309" s="445">
        <v>158.97300000000001</v>
      </c>
      <c r="AE309" s="445">
        <v>148.24600000000001</v>
      </c>
    </row>
    <row r="310" spans="1:31">
      <c r="A310" s="444" t="s">
        <v>2386</v>
      </c>
      <c r="B310" s="445">
        <v>62.43121</v>
      </c>
      <c r="C310" s="445">
        <v>9.55199</v>
      </c>
      <c r="D310" s="445">
        <v>46.375990000000002</v>
      </c>
      <c r="E310" s="445">
        <v>107.08514</v>
      </c>
      <c r="F310" s="445">
        <v>40.855179999999997</v>
      </c>
      <c r="G310" s="445">
        <v>59.996579999999902</v>
      </c>
      <c r="H310" s="445">
        <v>35.3386</v>
      </c>
      <c r="I310" s="445">
        <v>72.876999999999995</v>
      </c>
      <c r="J310" s="445">
        <v>52.555</v>
      </c>
      <c r="K310" s="445">
        <v>28.300999999999998</v>
      </c>
      <c r="L310" s="445">
        <v>21.827000000000002</v>
      </c>
      <c r="M310" s="445">
        <v>23.896999999999998</v>
      </c>
      <c r="N310" s="445">
        <v>34.856999999999999</v>
      </c>
      <c r="P310" s="445">
        <v>131.601</v>
      </c>
      <c r="Q310" s="445">
        <v>117.413</v>
      </c>
      <c r="R310" s="445">
        <v>132.977</v>
      </c>
      <c r="S310" s="445">
        <v>176.94300000000001</v>
      </c>
      <c r="T310" s="445">
        <v>209.816</v>
      </c>
      <c r="U310" s="445">
        <v>145.56</v>
      </c>
      <c r="V310" s="445">
        <v>156.453</v>
      </c>
      <c r="W310" s="445">
        <v>145.88300000000001</v>
      </c>
      <c r="X310" s="445">
        <v>165.393</v>
      </c>
      <c r="Y310" s="445">
        <v>154.83500000000001</v>
      </c>
      <c r="Z310" s="445">
        <v>118.82299999999999</v>
      </c>
      <c r="AA310" s="445">
        <v>119.76300000000001</v>
      </c>
      <c r="AB310" s="445">
        <v>131.601</v>
      </c>
      <c r="AC310" s="445">
        <v>117.413</v>
      </c>
      <c r="AD310" s="445">
        <v>131.977</v>
      </c>
      <c r="AE310" s="445">
        <v>181.94300000000001</v>
      </c>
    </row>
    <row r="311" spans="1:31" ht="15.75" thickBot="1">
      <c r="A311" s="444" t="s">
        <v>2387</v>
      </c>
      <c r="B311" s="629">
        <v>47.424529999999997</v>
      </c>
      <c r="C311" s="629">
        <v>66.885289999999998</v>
      </c>
      <c r="D311" s="629">
        <v>45.538460000000001</v>
      </c>
      <c r="E311" s="629">
        <v>44.281469999999999</v>
      </c>
      <c r="F311" s="629">
        <v>50.379040000000003</v>
      </c>
      <c r="G311" s="629">
        <v>47.655479999999997</v>
      </c>
      <c r="H311" s="629">
        <v>60.603969999999997</v>
      </c>
      <c r="I311" s="629">
        <v>112.098</v>
      </c>
      <c r="J311" s="629">
        <v>76.353999999999999</v>
      </c>
      <c r="K311" s="629">
        <v>104.233</v>
      </c>
      <c r="L311" s="629">
        <v>67.953999999999994</v>
      </c>
      <c r="M311" s="629">
        <v>101.39400000000001</v>
      </c>
      <c r="N311" s="629">
        <v>94.201999999999998</v>
      </c>
      <c r="O311" s="629"/>
      <c r="P311" s="629">
        <v>68.256</v>
      </c>
      <c r="Q311" s="629">
        <v>54.456000000000003</v>
      </c>
      <c r="R311" s="629">
        <v>68.855999999999995</v>
      </c>
      <c r="S311" s="629">
        <v>54.456000000000003</v>
      </c>
      <c r="T311" s="629">
        <v>60.756</v>
      </c>
      <c r="U311" s="629">
        <v>82.256</v>
      </c>
      <c r="V311" s="629">
        <v>109.65600000000001</v>
      </c>
      <c r="W311" s="629">
        <v>75.956000000000003</v>
      </c>
      <c r="X311" s="629">
        <v>103.57599999999999</v>
      </c>
      <c r="Y311" s="629">
        <v>77.256</v>
      </c>
      <c r="Z311" s="629">
        <v>74.641000000000005</v>
      </c>
      <c r="AA311" s="629">
        <v>86.215999999999994</v>
      </c>
      <c r="AB311" s="629">
        <v>68.872</v>
      </c>
      <c r="AC311" s="629">
        <v>55.072000000000003</v>
      </c>
      <c r="AD311" s="629">
        <v>69.831999999999994</v>
      </c>
      <c r="AE311" s="629">
        <v>55.072000000000003</v>
      </c>
    </row>
    <row r="312" spans="1:31">
      <c r="A312" s="630" t="s">
        <v>2388</v>
      </c>
      <c r="B312" s="626">
        <v>1649.51953</v>
      </c>
      <c r="C312" s="626">
        <v>1471.07494</v>
      </c>
      <c r="D312" s="626">
        <v>1096.75405</v>
      </c>
      <c r="E312" s="626">
        <v>1316.43973999999</v>
      </c>
      <c r="F312" s="626">
        <v>1743.2659699999999</v>
      </c>
      <c r="G312" s="626">
        <v>1579.19164</v>
      </c>
      <c r="H312" s="626">
        <v>1595.68147</v>
      </c>
      <c r="I312" s="626">
        <v>1474.71</v>
      </c>
      <c r="J312" s="626">
        <v>1852.4490000000001</v>
      </c>
      <c r="K312" s="626">
        <v>1540.125</v>
      </c>
      <c r="L312" s="626">
        <v>1194.0730000000001</v>
      </c>
      <c r="M312" s="626">
        <v>1355.8589999999999</v>
      </c>
      <c r="N312" s="626">
        <v>1617.04</v>
      </c>
      <c r="O312" s="626"/>
      <c r="P312" s="626">
        <v>865.447</v>
      </c>
      <c r="Q312" s="626">
        <v>731.80899999999997</v>
      </c>
      <c r="R312" s="626">
        <v>778.56299999999999</v>
      </c>
      <c r="S312" s="626">
        <v>804.87599999999998</v>
      </c>
      <c r="T312" s="626">
        <v>921.33699999999999</v>
      </c>
      <c r="U312" s="626">
        <v>974.178</v>
      </c>
      <c r="V312" s="626">
        <v>1399.164</v>
      </c>
      <c r="W312" s="626">
        <v>1040.2270000000001</v>
      </c>
      <c r="X312" s="626">
        <v>1118.9739999999999</v>
      </c>
      <c r="Y312" s="626">
        <v>938.81200000000001</v>
      </c>
      <c r="Z312" s="626">
        <v>932.55699999999899</v>
      </c>
      <c r="AA312" s="626">
        <v>991.53499999999997</v>
      </c>
      <c r="AB312" s="626">
        <v>828.445999999999</v>
      </c>
      <c r="AC312" s="626">
        <v>702.41399999999999</v>
      </c>
      <c r="AD312" s="626">
        <v>755.02099999999996</v>
      </c>
      <c r="AE312" s="626">
        <v>782.59199999999998</v>
      </c>
    </row>
    <row r="313" spans="1:31">
      <c r="A313" s="444" t="s">
        <v>539</v>
      </c>
      <c r="B313" s="628"/>
      <c r="C313" s="628"/>
      <c r="D313" s="628"/>
      <c r="E313" s="628"/>
      <c r="F313" s="628"/>
      <c r="G313" s="628"/>
      <c r="H313" s="628"/>
      <c r="I313" s="628"/>
      <c r="J313" s="628"/>
      <c r="K313" s="628"/>
      <c r="L313" s="628"/>
      <c r="M313" s="628"/>
      <c r="N313" s="628"/>
      <c r="O313" s="628"/>
      <c r="P313" s="628"/>
      <c r="Q313" s="628"/>
      <c r="R313" s="628"/>
      <c r="S313" s="628"/>
      <c r="T313" s="628"/>
      <c r="U313" s="628"/>
      <c r="V313" s="628"/>
      <c r="W313" s="628"/>
      <c r="X313" s="628"/>
      <c r="Y313" s="628"/>
      <c r="Z313" s="628"/>
      <c r="AA313" s="628"/>
      <c r="AB313" s="628"/>
      <c r="AC313" s="628"/>
      <c r="AD313" s="628"/>
      <c r="AE313" s="628"/>
    </row>
    <row r="314" spans="1:31" ht="15.75" thickBot="1">
      <c r="A314" s="444" t="s">
        <v>2389</v>
      </c>
      <c r="B314" s="629">
        <v>83.897940000000006</v>
      </c>
      <c r="C314" s="629">
        <v>197.71546000000001</v>
      </c>
      <c r="D314" s="629">
        <v>78.470579999999998</v>
      </c>
      <c r="E314" s="629">
        <v>169.08842000000001</v>
      </c>
      <c r="F314" s="629">
        <v>0.57053999999999905</v>
      </c>
      <c r="G314" s="629">
        <v>184.05355999999901</v>
      </c>
      <c r="H314" s="629">
        <v>253.047</v>
      </c>
      <c r="I314" s="629">
        <v>43.165999999999997</v>
      </c>
      <c r="J314" s="629">
        <v>88.695999999999998</v>
      </c>
      <c r="K314" s="629">
        <v>89.057000000000002</v>
      </c>
      <c r="L314" s="629">
        <v>52.835999999999999</v>
      </c>
      <c r="M314" s="629">
        <v>52.835999999999999</v>
      </c>
      <c r="N314" s="629">
        <v>146.761</v>
      </c>
      <c r="O314" s="629"/>
      <c r="P314" s="629">
        <v>62.145000000000003</v>
      </c>
      <c r="Q314" s="629">
        <v>324.98099999999999</v>
      </c>
      <c r="R314" s="629">
        <v>103.58499999999999</v>
      </c>
      <c r="S314" s="629">
        <v>122.145</v>
      </c>
      <c r="T314" s="629">
        <v>62.585000000000001</v>
      </c>
      <c r="U314" s="629">
        <v>234.98099999999999</v>
      </c>
      <c r="V314" s="629">
        <v>69.734999999999999</v>
      </c>
      <c r="W314" s="629">
        <v>69.295000000000002</v>
      </c>
      <c r="X314" s="629">
        <v>69.734999999999999</v>
      </c>
      <c r="Y314" s="629">
        <v>69.295000000000002</v>
      </c>
      <c r="Z314" s="629">
        <v>62.585000000000001</v>
      </c>
      <c r="AA314" s="629">
        <v>62.585000000000001</v>
      </c>
      <c r="AB314" s="629">
        <v>62.896000000000001</v>
      </c>
      <c r="AC314" s="629">
        <v>330.904</v>
      </c>
      <c r="AD314" s="629">
        <v>104.336</v>
      </c>
      <c r="AE314" s="629">
        <v>128.33600000000001</v>
      </c>
    </row>
    <row r="315" spans="1:31">
      <c r="A315" s="630" t="s">
        <v>2390</v>
      </c>
      <c r="B315" s="626">
        <v>83.897940000000006</v>
      </c>
      <c r="C315" s="626">
        <v>197.71546000000001</v>
      </c>
      <c r="D315" s="626">
        <v>78.470579999999998</v>
      </c>
      <c r="E315" s="626">
        <v>169.08842000000001</v>
      </c>
      <c r="F315" s="626">
        <v>0.57053999999999905</v>
      </c>
      <c r="G315" s="626">
        <v>184.05355999999901</v>
      </c>
      <c r="H315" s="626">
        <v>253.047</v>
      </c>
      <c r="I315" s="626">
        <v>43.165999999999997</v>
      </c>
      <c r="J315" s="626">
        <v>88.695999999999998</v>
      </c>
      <c r="K315" s="626">
        <v>89.057000000000002</v>
      </c>
      <c r="L315" s="626">
        <v>52.835999999999999</v>
      </c>
      <c r="M315" s="626">
        <v>52.835999999999999</v>
      </c>
      <c r="N315" s="626">
        <v>146.761</v>
      </c>
      <c r="O315" s="626"/>
      <c r="P315" s="626">
        <v>62.145000000000003</v>
      </c>
      <c r="Q315" s="626">
        <v>324.98099999999999</v>
      </c>
      <c r="R315" s="626">
        <v>103.58499999999999</v>
      </c>
      <c r="S315" s="626">
        <v>122.145</v>
      </c>
      <c r="T315" s="626">
        <v>62.585000000000001</v>
      </c>
      <c r="U315" s="626">
        <v>234.98099999999999</v>
      </c>
      <c r="V315" s="626">
        <v>69.734999999999999</v>
      </c>
      <c r="W315" s="626">
        <v>69.295000000000002</v>
      </c>
      <c r="X315" s="626">
        <v>69.734999999999999</v>
      </c>
      <c r="Y315" s="626">
        <v>69.295000000000002</v>
      </c>
      <c r="Z315" s="626">
        <v>62.585000000000001</v>
      </c>
      <c r="AA315" s="626">
        <v>62.585000000000001</v>
      </c>
      <c r="AB315" s="626">
        <v>62.896000000000001</v>
      </c>
      <c r="AC315" s="626">
        <v>330.904</v>
      </c>
      <c r="AD315" s="626">
        <v>104.336</v>
      </c>
      <c r="AE315" s="626">
        <v>128.33600000000001</v>
      </c>
    </row>
    <row r="317" spans="1:31">
      <c r="A317" s="447" t="s">
        <v>2391</v>
      </c>
      <c r="B317" s="626">
        <v>3755.5713699999901</v>
      </c>
      <c r="C317" s="626">
        <v>3625.78746</v>
      </c>
      <c r="D317" s="626">
        <v>3007.9466499999999</v>
      </c>
      <c r="E317" s="626">
        <v>3394.54907</v>
      </c>
      <c r="F317" s="626">
        <v>3510.42578</v>
      </c>
      <c r="G317" s="626">
        <v>3599.3073899999899</v>
      </c>
      <c r="H317" s="626">
        <v>3522.5978399999999</v>
      </c>
      <c r="I317" s="626">
        <v>3644.498</v>
      </c>
      <c r="J317" s="626">
        <v>4075.2559999999999</v>
      </c>
      <c r="K317" s="626">
        <v>3695.3820000000001</v>
      </c>
      <c r="L317" s="626">
        <v>3315.0369999999998</v>
      </c>
      <c r="M317" s="626">
        <v>3188.3440000000001</v>
      </c>
      <c r="N317" s="626">
        <v>3573.8040000000001</v>
      </c>
      <c r="O317" s="626"/>
      <c r="P317" s="626">
        <v>2958.944</v>
      </c>
      <c r="Q317" s="626">
        <v>2823.8270000000002</v>
      </c>
      <c r="R317" s="626">
        <v>2776.77</v>
      </c>
      <c r="S317" s="626">
        <v>2714.8789999999999</v>
      </c>
      <c r="T317" s="626">
        <v>2819.998</v>
      </c>
      <c r="U317" s="626">
        <v>3107.4540000000002</v>
      </c>
      <c r="V317" s="626">
        <v>3543.069</v>
      </c>
      <c r="W317" s="626">
        <v>3437.1750000000002</v>
      </c>
      <c r="X317" s="626">
        <v>3336.9490000000001</v>
      </c>
      <c r="Y317" s="626">
        <v>3154.413</v>
      </c>
      <c r="Z317" s="626">
        <v>2829.06</v>
      </c>
      <c r="AA317" s="626">
        <v>3029.5421900000001</v>
      </c>
      <c r="AB317" s="626">
        <v>3027.5259999999998</v>
      </c>
      <c r="AC317" s="626">
        <v>2902.1179999999999</v>
      </c>
      <c r="AD317" s="626">
        <v>2904.9189999999999</v>
      </c>
      <c r="AE317" s="626">
        <v>2795.9059999999999</v>
      </c>
    </row>
    <row r="319" spans="1:31">
      <c r="A319" s="444" t="s">
        <v>2392</v>
      </c>
      <c r="B319" s="445">
        <v>2896.5985999999998</v>
      </c>
      <c r="C319" s="445">
        <v>2984.6668</v>
      </c>
      <c r="D319" s="445">
        <v>2716.5973899999999</v>
      </c>
      <c r="E319" s="445">
        <v>3137.85394</v>
      </c>
      <c r="F319" s="445">
        <v>2578.28728</v>
      </c>
      <c r="G319" s="445">
        <v>2821.9077000000002</v>
      </c>
      <c r="H319" s="445">
        <v>2553.2088199999998</v>
      </c>
      <c r="I319" s="445">
        <v>2644.5969999999902</v>
      </c>
      <c r="J319" s="445">
        <v>3047.8209999999999</v>
      </c>
      <c r="K319" s="445">
        <v>2546.9989999999998</v>
      </c>
      <c r="L319" s="445">
        <v>3079.2150000000001</v>
      </c>
      <c r="M319" s="445">
        <v>2696.0039999999999</v>
      </c>
      <c r="N319" s="445">
        <v>2436.703</v>
      </c>
      <c r="P319" s="445">
        <v>3313.203</v>
      </c>
      <c r="Q319" s="445">
        <v>2745.1990000000001</v>
      </c>
      <c r="R319" s="445">
        <v>2810.348</v>
      </c>
      <c r="S319" s="445">
        <v>2921.9229999999998</v>
      </c>
      <c r="T319" s="445">
        <v>3288.8339999999998</v>
      </c>
      <c r="U319" s="445">
        <v>2527.453</v>
      </c>
      <c r="V319" s="445">
        <v>3066.152</v>
      </c>
      <c r="W319" s="445">
        <v>3083.4560000000001</v>
      </c>
      <c r="X319" s="445">
        <v>2695.4549999999999</v>
      </c>
      <c r="Y319" s="445">
        <v>3237.6370000000002</v>
      </c>
      <c r="Z319" s="445">
        <v>2587.018</v>
      </c>
      <c r="AA319" s="445">
        <v>2416.2939999999999</v>
      </c>
      <c r="AB319" s="445">
        <v>3465.808</v>
      </c>
      <c r="AC319" s="445">
        <v>2828.5309999999999</v>
      </c>
      <c r="AD319" s="445">
        <v>3065.4319999999998</v>
      </c>
      <c r="AE319" s="445">
        <v>2954.7860000000001</v>
      </c>
    </row>
    <row r="320" spans="1:31">
      <c r="A320" s="444" t="s">
        <v>2393</v>
      </c>
      <c r="B320" s="445">
        <v>791.54530999999997</v>
      </c>
      <c r="C320" s="445">
        <v>713.92649999999901</v>
      </c>
      <c r="D320" s="445">
        <v>547.44226000000003</v>
      </c>
      <c r="E320" s="445">
        <v>716.31627000000003</v>
      </c>
      <c r="F320" s="445">
        <v>686.87157999999999</v>
      </c>
      <c r="G320" s="445">
        <v>704.08255999999994</v>
      </c>
      <c r="H320" s="445">
        <v>733.60263999999995</v>
      </c>
      <c r="I320" s="445">
        <v>860.89800000000002</v>
      </c>
      <c r="J320" s="445">
        <v>794.99699999999996</v>
      </c>
      <c r="K320" s="445">
        <v>892.31700000000001</v>
      </c>
      <c r="L320" s="445">
        <v>760.43299999999999</v>
      </c>
      <c r="M320" s="445">
        <v>793.36199999999997</v>
      </c>
      <c r="N320" s="445">
        <v>1061.675</v>
      </c>
      <c r="P320" s="445">
        <v>900.75099999999895</v>
      </c>
      <c r="Q320" s="445">
        <v>823.91899999999896</v>
      </c>
      <c r="R320" s="445">
        <v>846.84099999999899</v>
      </c>
      <c r="S320" s="445">
        <v>770.91300000000001</v>
      </c>
      <c r="T320" s="445">
        <v>785.30499999999995</v>
      </c>
      <c r="U320" s="445">
        <v>912.52200000000005</v>
      </c>
      <c r="V320" s="445">
        <v>815.11799999999903</v>
      </c>
      <c r="W320" s="445">
        <v>753.10299999999995</v>
      </c>
      <c r="X320" s="445">
        <v>822.92200000000003</v>
      </c>
      <c r="Y320" s="445">
        <v>815.70500000000004</v>
      </c>
      <c r="Z320" s="445">
        <v>747.654</v>
      </c>
      <c r="AA320" s="445">
        <v>788.221</v>
      </c>
      <c r="AB320" s="445">
        <v>786.777999999999</v>
      </c>
      <c r="AC320" s="445">
        <v>837.22699999999998</v>
      </c>
      <c r="AD320" s="445">
        <v>863.21600000000001</v>
      </c>
      <c r="AE320" s="445">
        <v>795.41200000000003</v>
      </c>
    </row>
    <row r="321" spans="1:31">
      <c r="A321" s="444" t="s">
        <v>2394</v>
      </c>
      <c r="B321" s="445">
        <v>-368.24860999999999</v>
      </c>
      <c r="C321" s="445">
        <v>-443.35897999999997</v>
      </c>
      <c r="D321" s="445">
        <v>-446.04480000000001</v>
      </c>
      <c r="E321" s="445">
        <v>-512.76343999999995</v>
      </c>
      <c r="F321" s="445">
        <v>-424.43799999999999</v>
      </c>
      <c r="G321" s="445">
        <v>-457.29536000000002</v>
      </c>
      <c r="H321" s="445">
        <v>-401.45357999999999</v>
      </c>
      <c r="I321" s="445">
        <v>-487.72800000000001</v>
      </c>
      <c r="J321" s="445">
        <v>-517.14599999999996</v>
      </c>
      <c r="K321" s="445">
        <v>-460.47699999999998</v>
      </c>
      <c r="L321" s="445">
        <v>-489.25099999999998</v>
      </c>
      <c r="M321" s="445">
        <v>-470.05700000000002</v>
      </c>
      <c r="N321" s="445">
        <v>-441.92</v>
      </c>
      <c r="P321" s="445">
        <v>-515.16200000000003</v>
      </c>
      <c r="Q321" s="445">
        <v>-448.68099999999998</v>
      </c>
      <c r="R321" s="445">
        <v>-458.85899999999998</v>
      </c>
      <c r="S321" s="445">
        <v>-457.84699999999998</v>
      </c>
      <c r="T321" s="445">
        <v>-495.15</v>
      </c>
      <c r="U321" s="445">
        <v>-429.92700000000002</v>
      </c>
      <c r="V321" s="445">
        <v>-475.553</v>
      </c>
      <c r="W321" s="445">
        <v>-470.62700000000001</v>
      </c>
      <c r="X321" s="445">
        <v>-435.87699999999899</v>
      </c>
      <c r="Y321" s="445">
        <v>-490.7</v>
      </c>
      <c r="Z321" s="445">
        <v>-415.31799999999998</v>
      </c>
      <c r="AA321" s="445">
        <v>-401.683999999999</v>
      </c>
      <c r="AB321" s="445">
        <v>-510.226</v>
      </c>
      <c r="AC321" s="445">
        <v>-449.96499999999997</v>
      </c>
      <c r="AD321" s="445">
        <v>-481.90499999999997</v>
      </c>
      <c r="AE321" s="445">
        <v>-464.4</v>
      </c>
    </row>
    <row r="322" spans="1:31">
      <c r="A322" s="444" t="s">
        <v>2395</v>
      </c>
      <c r="B322" s="445">
        <v>1891.0319999999999</v>
      </c>
      <c r="C322" s="445">
        <v>1121.35545</v>
      </c>
      <c r="D322" s="445">
        <v>1495.91904</v>
      </c>
      <c r="E322" s="445">
        <v>1923.0035399999999</v>
      </c>
      <c r="F322" s="445">
        <v>1489.5000500000001</v>
      </c>
      <c r="G322" s="445">
        <v>1694.35661</v>
      </c>
      <c r="H322" s="445">
        <v>1817.2600199999899</v>
      </c>
      <c r="I322" s="445">
        <v>1161.1479999999999</v>
      </c>
      <c r="J322" s="445">
        <v>1634.1759999999999</v>
      </c>
      <c r="K322" s="445">
        <v>1700.712</v>
      </c>
      <c r="L322" s="445">
        <v>1482.617</v>
      </c>
      <c r="M322" s="445">
        <v>1560.681</v>
      </c>
      <c r="N322" s="445">
        <v>1689.2819999999999</v>
      </c>
      <c r="P322" s="445">
        <v>1393.404</v>
      </c>
      <c r="Q322" s="445">
        <v>1547.934</v>
      </c>
      <c r="R322" s="445">
        <v>1778.98</v>
      </c>
      <c r="S322" s="445">
        <v>1681.675</v>
      </c>
      <c r="T322" s="445">
        <v>1733.182</v>
      </c>
      <c r="U322" s="445">
        <v>1920.77</v>
      </c>
      <c r="V322" s="445">
        <v>1560.77</v>
      </c>
      <c r="W322" s="445">
        <v>1724.346</v>
      </c>
      <c r="X322" s="445">
        <v>1981.8219999999999</v>
      </c>
      <c r="Y322" s="445">
        <v>1631.319</v>
      </c>
      <c r="Z322" s="445">
        <v>1603.6859999999999</v>
      </c>
      <c r="AA322" s="445">
        <v>1918.4059999999999</v>
      </c>
      <c r="AB322" s="445">
        <v>1477.8509999999901</v>
      </c>
      <c r="AC322" s="445">
        <v>1622.5069999999901</v>
      </c>
      <c r="AD322" s="445">
        <v>1897.6410000000001</v>
      </c>
      <c r="AE322" s="445">
        <v>1822.135</v>
      </c>
    </row>
    <row r="323" spans="1:31">
      <c r="A323" s="444" t="s">
        <v>2396</v>
      </c>
      <c r="B323" s="445">
        <v>334.24240999999898</v>
      </c>
      <c r="C323" s="445">
        <v>417.02658999999898</v>
      </c>
      <c r="D323" s="445">
        <v>367.04750999999999</v>
      </c>
      <c r="E323" s="445">
        <v>324.87682999999998</v>
      </c>
      <c r="F323" s="445">
        <v>434.10622000000001</v>
      </c>
      <c r="G323" s="445">
        <v>338.656219999999</v>
      </c>
      <c r="H323" s="445">
        <v>338.656219999999</v>
      </c>
      <c r="I323" s="445">
        <v>395.447</v>
      </c>
      <c r="J323" s="445">
        <v>357.32799999999997</v>
      </c>
      <c r="K323" s="445">
        <v>355.88</v>
      </c>
      <c r="L323" s="445">
        <v>443.67099999999999</v>
      </c>
      <c r="M323" s="445">
        <v>355.594999999999</v>
      </c>
      <c r="N323" s="445">
        <v>355.18199999999899</v>
      </c>
      <c r="P323" s="445">
        <v>525.16899999999998</v>
      </c>
      <c r="Q323" s="445">
        <v>354.91699999999997</v>
      </c>
      <c r="R323" s="445">
        <v>354.91699999999997</v>
      </c>
      <c r="S323" s="445">
        <v>525.21600000000001</v>
      </c>
      <c r="T323" s="445">
        <v>398.71600000000001</v>
      </c>
      <c r="U323" s="445">
        <v>398.71600000000001</v>
      </c>
      <c r="V323" s="445">
        <v>437.21600000000001</v>
      </c>
      <c r="W323" s="445">
        <v>399.95800000000003</v>
      </c>
      <c r="X323" s="445">
        <v>398.71600000000001</v>
      </c>
      <c r="Y323" s="445">
        <v>437.43200000000002</v>
      </c>
      <c r="Z323" s="445">
        <v>398.93200000000002</v>
      </c>
      <c r="AA323" s="445">
        <v>398.93200000000002</v>
      </c>
      <c r="AB323" s="445">
        <v>569.18399999999997</v>
      </c>
      <c r="AC323" s="445">
        <v>398.93200000000002</v>
      </c>
      <c r="AD323" s="445">
        <v>398.93200000000002</v>
      </c>
      <c r="AE323" s="445">
        <v>569.654</v>
      </c>
    </row>
    <row r="324" spans="1:31">
      <c r="A324" s="444" t="s">
        <v>2397</v>
      </c>
      <c r="B324" s="445">
        <v>-241.91095999999999</v>
      </c>
      <c r="C324" s="445">
        <v>303.47440999999998</v>
      </c>
      <c r="D324" s="445">
        <v>300.7439</v>
      </c>
      <c r="E324" s="445">
        <v>-367.48110999999898</v>
      </c>
      <c r="F324" s="445">
        <v>421.58515999999997</v>
      </c>
      <c r="G324" s="445">
        <v>285.66931</v>
      </c>
      <c r="H324" s="445">
        <v>160.06462999999999</v>
      </c>
      <c r="I324" s="445">
        <v>308.59699999999998</v>
      </c>
      <c r="J324" s="445">
        <v>268.45100000000002</v>
      </c>
      <c r="K324" s="445">
        <v>281.23899999999998</v>
      </c>
      <c r="L324" s="445">
        <v>294.69400000000002</v>
      </c>
      <c r="M324" s="445">
        <v>264.71600000000001</v>
      </c>
      <c r="N324" s="445">
        <v>288.06400000000002</v>
      </c>
      <c r="P324" s="445">
        <v>369.42899999999997</v>
      </c>
      <c r="Q324" s="445">
        <v>276</v>
      </c>
      <c r="R324" s="445">
        <v>290.86700000000002</v>
      </c>
      <c r="S324" s="445">
        <v>323.536</v>
      </c>
      <c r="T324" s="445">
        <v>273.78899999999999</v>
      </c>
      <c r="U324" s="445">
        <v>295.39</v>
      </c>
      <c r="V324" s="445">
        <v>330.64699999999999</v>
      </c>
      <c r="W324" s="445">
        <v>278.31299999999999</v>
      </c>
      <c r="X324" s="445">
        <v>293.87700000000001</v>
      </c>
      <c r="Y324" s="445">
        <v>321.745</v>
      </c>
      <c r="Z324" s="445">
        <v>276.20699999999999</v>
      </c>
      <c r="AA324" s="445">
        <v>292.60399999999998</v>
      </c>
      <c r="AB324" s="445">
        <v>373.481999999999</v>
      </c>
      <c r="AC324" s="445">
        <v>278.19</v>
      </c>
      <c r="AD324" s="445">
        <v>292.64699999999999</v>
      </c>
      <c r="AE324" s="445">
        <v>327.04599999999999</v>
      </c>
    </row>
    <row r="325" spans="1:31">
      <c r="A325" s="444" t="s">
        <v>2398</v>
      </c>
      <c r="B325" s="445">
        <v>1310.9643599999999</v>
      </c>
      <c r="C325" s="445">
        <v>2899.8412499999899</v>
      </c>
      <c r="D325" s="445">
        <v>2618.1419500000002</v>
      </c>
      <c r="E325" s="445">
        <v>1334.4823799999999</v>
      </c>
      <c r="F325" s="445">
        <v>3773.4112599999999</v>
      </c>
      <c r="G325" s="445">
        <v>2537.08598999999</v>
      </c>
      <c r="H325" s="445">
        <v>1933.2161900000001</v>
      </c>
      <c r="I325" s="445">
        <v>2781.9609999999998</v>
      </c>
      <c r="J325" s="445">
        <v>2601.42</v>
      </c>
      <c r="K325" s="445">
        <v>2310.13599999999</v>
      </c>
      <c r="L325" s="445">
        <v>2612.636</v>
      </c>
      <c r="M325" s="445">
        <v>2678.7829999999999</v>
      </c>
      <c r="N325" s="445">
        <v>2645</v>
      </c>
      <c r="P325" s="445">
        <v>2358.328</v>
      </c>
      <c r="Q325" s="445">
        <v>2422.8609999999999</v>
      </c>
      <c r="R325" s="445">
        <v>2398.0079999999998</v>
      </c>
      <c r="S325" s="445">
        <v>2398.7199999999898</v>
      </c>
      <c r="T325" s="445">
        <v>2367.6030000000001</v>
      </c>
      <c r="U325" s="445">
        <v>2447.4859999999999</v>
      </c>
      <c r="V325" s="445">
        <v>2363.1179999999899</v>
      </c>
      <c r="W325" s="445">
        <v>2345.2659999999901</v>
      </c>
      <c r="X325" s="445">
        <v>2410.4690000000001</v>
      </c>
      <c r="Y325" s="445">
        <v>2337.4740000000002</v>
      </c>
      <c r="Z325" s="445">
        <v>2427.3429999999998</v>
      </c>
      <c r="AA325" s="445">
        <v>2482.9749999999999</v>
      </c>
      <c r="AB325" s="445">
        <v>2340.8150000000001</v>
      </c>
      <c r="AC325" s="445">
        <v>2413.3020000000001</v>
      </c>
      <c r="AD325" s="445">
        <v>2365.8109999999901</v>
      </c>
      <c r="AE325" s="445">
        <v>2389.6419999999898</v>
      </c>
    </row>
    <row r="326" spans="1:31">
      <c r="A326" s="444" t="s">
        <v>2399</v>
      </c>
      <c r="B326" s="445">
        <v>2.7956699999999999</v>
      </c>
      <c r="C326" s="445">
        <v>7.5696599999999998</v>
      </c>
      <c r="D326" s="445">
        <v>0</v>
      </c>
      <c r="E326" s="445">
        <v>3.0246900000000001</v>
      </c>
      <c r="F326" s="445">
        <v>2.78843</v>
      </c>
      <c r="G326" s="445">
        <v>2.88673</v>
      </c>
      <c r="H326" s="445">
        <v>1.7569399999999999</v>
      </c>
      <c r="I326" s="445">
        <v>0</v>
      </c>
      <c r="J326" s="445">
        <v>0</v>
      </c>
      <c r="K326" s="445">
        <v>0</v>
      </c>
      <c r="L326" s="445">
        <v>0</v>
      </c>
      <c r="M326" s="445">
        <v>0</v>
      </c>
      <c r="N326" s="445">
        <v>0</v>
      </c>
      <c r="P326" s="445">
        <v>0</v>
      </c>
      <c r="Q326" s="445">
        <v>0</v>
      </c>
      <c r="R326" s="445">
        <v>0</v>
      </c>
      <c r="S326" s="445">
        <v>0</v>
      </c>
      <c r="T326" s="445">
        <v>0</v>
      </c>
      <c r="U326" s="445">
        <v>0</v>
      </c>
      <c r="V326" s="445">
        <v>0</v>
      </c>
      <c r="W326" s="445">
        <v>0</v>
      </c>
      <c r="X326" s="445">
        <v>0</v>
      </c>
      <c r="Y326" s="445">
        <v>0</v>
      </c>
      <c r="Z326" s="445">
        <v>0</v>
      </c>
      <c r="AA326" s="445">
        <v>0</v>
      </c>
      <c r="AB326" s="445">
        <v>0</v>
      </c>
      <c r="AC326" s="445">
        <v>0</v>
      </c>
      <c r="AD326" s="445">
        <v>0</v>
      </c>
      <c r="AE326" s="445">
        <v>0</v>
      </c>
    </row>
    <row r="327" spans="1:31">
      <c r="A327" s="444" t="s">
        <v>2400</v>
      </c>
      <c r="B327" s="445">
        <v>125.1277</v>
      </c>
      <c r="C327" s="445">
        <v>125.1277</v>
      </c>
      <c r="D327" s="445">
        <v>125.1277</v>
      </c>
      <c r="E327" s="445">
        <v>125.1277</v>
      </c>
      <c r="F327" s="445">
        <v>126.16255</v>
      </c>
      <c r="G327" s="445">
        <v>125.1277</v>
      </c>
      <c r="H327" s="445">
        <v>141.26348999999999</v>
      </c>
      <c r="I327" s="445">
        <v>201.18199999999999</v>
      </c>
      <c r="J327" s="445">
        <v>138.93199999999999</v>
      </c>
      <c r="K327" s="445">
        <v>138.93199999999999</v>
      </c>
      <c r="L327" s="445">
        <v>130.875</v>
      </c>
      <c r="M327" s="445">
        <v>128.17500000000001</v>
      </c>
      <c r="N327" s="445">
        <v>130.42500000000001</v>
      </c>
      <c r="P327" s="445">
        <v>135.11199999999999</v>
      </c>
      <c r="Q327" s="445">
        <v>135.11199999999999</v>
      </c>
      <c r="R327" s="445">
        <v>135.11199999999999</v>
      </c>
      <c r="S327" s="445">
        <v>140.06200000000001</v>
      </c>
      <c r="T327" s="445">
        <v>145.82999999999899</v>
      </c>
      <c r="U327" s="445">
        <v>145.82999999999899</v>
      </c>
      <c r="V327" s="445">
        <v>203.89999999999901</v>
      </c>
      <c r="W327" s="445">
        <v>143.57999999999899</v>
      </c>
      <c r="X327" s="445">
        <v>143.57999999999899</v>
      </c>
      <c r="Y327" s="445">
        <v>146.28</v>
      </c>
      <c r="Z327" s="445">
        <v>143.57999999999899</v>
      </c>
      <c r="AA327" s="445">
        <v>145.82999999999899</v>
      </c>
      <c r="AB327" s="445">
        <v>143.12099999999899</v>
      </c>
      <c r="AC327" s="445">
        <v>143.12099999999899</v>
      </c>
      <c r="AD327" s="445">
        <v>143.12099999999899</v>
      </c>
      <c r="AE327" s="445">
        <v>148.52099999999999</v>
      </c>
    </row>
    <row r="328" spans="1:31">
      <c r="A328" s="444" t="s">
        <v>2401</v>
      </c>
      <c r="B328" s="445">
        <v>-25.423120000000001</v>
      </c>
      <c r="C328" s="445">
        <v>-35.891860000000001</v>
      </c>
      <c r="D328" s="445">
        <v>-15.919589999999999</v>
      </c>
      <c r="E328" s="445">
        <v>-23.943490000000001</v>
      </c>
      <c r="F328" s="445">
        <v>-22.340199999999999</v>
      </c>
      <c r="G328" s="445">
        <v>-21.570399999999999</v>
      </c>
      <c r="H328" s="445">
        <v>-12.980779999999999</v>
      </c>
      <c r="I328" s="445">
        <v>-18.206</v>
      </c>
      <c r="J328" s="445">
        <v>-18.206</v>
      </c>
      <c r="K328" s="445">
        <v>-18.206</v>
      </c>
      <c r="L328" s="445">
        <v>-18.206</v>
      </c>
      <c r="M328" s="445">
        <v>-18.206</v>
      </c>
      <c r="N328" s="445">
        <v>-18.206</v>
      </c>
      <c r="P328" s="445">
        <v>-24.323</v>
      </c>
      <c r="Q328" s="445">
        <v>-21.286000000000001</v>
      </c>
      <c r="R328" s="445">
        <v>-22.888000000000002</v>
      </c>
      <c r="S328" s="445">
        <v>-19.616</v>
      </c>
      <c r="T328" s="445">
        <v>-18.149999999999999</v>
      </c>
      <c r="U328" s="445">
        <v>-13.494</v>
      </c>
      <c r="V328" s="445">
        <v>-12.686</v>
      </c>
      <c r="W328" s="445">
        <v>-12.823</v>
      </c>
      <c r="X328" s="445">
        <v>-12.864000000000001</v>
      </c>
      <c r="Y328" s="445">
        <v>-13.773999999999999</v>
      </c>
      <c r="Z328" s="445">
        <v>-18.373999999999999</v>
      </c>
      <c r="AA328" s="445">
        <v>-25.914999999999999</v>
      </c>
      <c r="AB328" s="445">
        <v>-24.323</v>
      </c>
      <c r="AC328" s="445">
        <v>-21.286000000000001</v>
      </c>
      <c r="AD328" s="445">
        <v>-22.888000000000002</v>
      </c>
      <c r="AE328" s="445">
        <v>-19.616</v>
      </c>
    </row>
    <row r="329" spans="1:31">
      <c r="A329" s="444" t="s">
        <v>2402</v>
      </c>
      <c r="B329" s="445">
        <v>-70.205079999999995</v>
      </c>
      <c r="C329" s="445">
        <v>-109.3023</v>
      </c>
      <c r="D329" s="445">
        <v>-94.421149999999997</v>
      </c>
      <c r="E329" s="445">
        <v>-99.042829999999995</v>
      </c>
      <c r="F329" s="445">
        <v>-75.591520000000003</v>
      </c>
      <c r="G329" s="445">
        <v>-13.25248</v>
      </c>
      <c r="H329" s="445">
        <v>-0.30943999999999999</v>
      </c>
      <c r="I329" s="445">
        <v>0</v>
      </c>
      <c r="J329" s="445">
        <v>0</v>
      </c>
      <c r="K329" s="445">
        <v>0</v>
      </c>
      <c r="L329" s="445">
        <v>0</v>
      </c>
      <c r="M329" s="445">
        <v>-4</v>
      </c>
      <c r="N329" s="445">
        <v>-72</v>
      </c>
      <c r="P329" s="445">
        <v>-121</v>
      </c>
      <c r="Q329" s="445">
        <v>-117</v>
      </c>
      <c r="R329" s="445">
        <v>-99</v>
      </c>
      <c r="S329" s="445">
        <v>-84</v>
      </c>
      <c r="T329" s="445">
        <v>-42</v>
      </c>
      <c r="U329" s="445">
        <v>0</v>
      </c>
      <c r="V329" s="445">
        <v>0</v>
      </c>
      <c r="W329" s="445">
        <v>0</v>
      </c>
      <c r="X329" s="445">
        <v>0</v>
      </c>
      <c r="Y329" s="445">
        <v>0</v>
      </c>
      <c r="Z329" s="445">
        <v>-4</v>
      </c>
      <c r="AA329" s="445">
        <v>-108</v>
      </c>
      <c r="AB329" s="445">
        <v>-119</v>
      </c>
      <c r="AC329" s="445">
        <v>-115</v>
      </c>
      <c r="AD329" s="445">
        <v>-99</v>
      </c>
      <c r="AE329" s="445">
        <v>-84</v>
      </c>
    </row>
    <row r="330" spans="1:31">
      <c r="A330" s="444" t="s">
        <v>2403</v>
      </c>
      <c r="B330" s="445">
        <v>0</v>
      </c>
      <c r="C330" s="445">
        <v>0</v>
      </c>
      <c r="D330" s="445">
        <v>0</v>
      </c>
      <c r="E330" s="445">
        <v>28.71142</v>
      </c>
      <c r="F330" s="445">
        <v>0</v>
      </c>
      <c r="G330" s="445">
        <v>0</v>
      </c>
      <c r="H330" s="445">
        <v>0</v>
      </c>
      <c r="I330" s="445">
        <v>0.88200000000000001</v>
      </c>
      <c r="J330" s="445">
        <v>0.35699999999999998</v>
      </c>
      <c r="K330" s="445">
        <v>1.46</v>
      </c>
      <c r="L330" s="445">
        <v>0.125</v>
      </c>
      <c r="M330" s="445">
        <v>0.104</v>
      </c>
      <c r="N330" s="445">
        <v>0.157</v>
      </c>
      <c r="P330" s="445">
        <v>0.82599999999999996</v>
      </c>
      <c r="Q330" s="445">
        <v>0.17</v>
      </c>
      <c r="R330" s="445">
        <v>0.28699999999999998</v>
      </c>
      <c r="S330" s="445">
        <v>0.59799999999999998</v>
      </c>
      <c r="T330" s="445">
        <v>0.71799999999999997</v>
      </c>
      <c r="U330" s="445">
        <v>1.5349999999999999</v>
      </c>
      <c r="V330" s="445">
        <v>1.0820000000000001</v>
      </c>
      <c r="W330" s="445">
        <v>0.46700000000000003</v>
      </c>
      <c r="X330" s="445">
        <v>0.753</v>
      </c>
      <c r="Y330" s="445">
        <v>0.15</v>
      </c>
      <c r="Z330" s="445">
        <v>0.19400000000000001</v>
      </c>
      <c r="AA330" s="445">
        <v>0.185</v>
      </c>
      <c r="AB330" s="445">
        <v>0.82799999999999996</v>
      </c>
      <c r="AC330" s="445">
        <v>0.17499999999999999</v>
      </c>
      <c r="AD330" s="445">
        <v>0.29499999999999998</v>
      </c>
      <c r="AE330" s="445">
        <v>0.61499999999999999</v>
      </c>
    </row>
    <row r="331" spans="1:31" ht="15.75" thickBot="1">
      <c r="A331" s="444" t="s">
        <v>2404</v>
      </c>
      <c r="B331" s="629">
        <v>283.12682999999998</v>
      </c>
      <c r="C331" s="629">
        <v>366.38815</v>
      </c>
      <c r="D331" s="629">
        <v>309.24356999999998</v>
      </c>
      <c r="E331" s="629">
        <v>281.83134999999999</v>
      </c>
      <c r="F331" s="629">
        <v>312.918869999999</v>
      </c>
      <c r="G331" s="629">
        <v>279.39492999999999</v>
      </c>
      <c r="H331" s="629">
        <v>244.32417999999899</v>
      </c>
      <c r="I331" s="629">
        <v>336.714</v>
      </c>
      <c r="J331" s="629">
        <v>278.351</v>
      </c>
      <c r="K331" s="629">
        <v>474.59699999999998</v>
      </c>
      <c r="L331" s="629">
        <v>507.98399999999998</v>
      </c>
      <c r="M331" s="629">
        <v>444.93900000000002</v>
      </c>
      <c r="N331" s="629">
        <v>-68.483999999999995</v>
      </c>
      <c r="O331" s="629"/>
      <c r="P331" s="629">
        <v>330.23099999999999</v>
      </c>
      <c r="Q331" s="629">
        <v>283.80200000000002</v>
      </c>
      <c r="R331" s="629">
        <v>265.22199999999998</v>
      </c>
      <c r="S331" s="629">
        <v>230.25899999999999</v>
      </c>
      <c r="T331" s="629">
        <v>231.5</v>
      </c>
      <c r="U331" s="629">
        <v>233.13900000000001</v>
      </c>
      <c r="V331" s="629">
        <v>241.137</v>
      </c>
      <c r="W331" s="629">
        <v>247.893</v>
      </c>
      <c r="X331" s="629">
        <v>229.49</v>
      </c>
      <c r="Y331" s="629">
        <v>252.56800000000001</v>
      </c>
      <c r="Z331" s="629">
        <v>229.57400000000001</v>
      </c>
      <c r="AA331" s="629">
        <v>234.26499999999999</v>
      </c>
      <c r="AB331" s="629">
        <v>333.76499999999999</v>
      </c>
      <c r="AC331" s="629">
        <v>283.851</v>
      </c>
      <c r="AD331" s="629">
        <v>265.79899999999998</v>
      </c>
      <c r="AE331" s="629">
        <v>231.2</v>
      </c>
    </row>
    <row r="332" spans="1:31">
      <c r="A332" s="632" t="s">
        <v>2405</v>
      </c>
      <c r="B332" s="445">
        <v>6929.6451100000004</v>
      </c>
      <c r="C332" s="445">
        <v>8350.8233699999892</v>
      </c>
      <c r="D332" s="445">
        <v>7923.8777799999998</v>
      </c>
      <c r="E332" s="445">
        <v>6871.9972500000003</v>
      </c>
      <c r="F332" s="445">
        <v>9303.2616799999905</v>
      </c>
      <c r="G332" s="445">
        <v>8297.0495100000007</v>
      </c>
      <c r="H332" s="445">
        <v>7508.6093300000002</v>
      </c>
      <c r="I332" s="445">
        <v>8185.4919999999902</v>
      </c>
      <c r="J332" s="445">
        <v>8586.4809999999998</v>
      </c>
      <c r="K332" s="445">
        <v>8223.5889999999999</v>
      </c>
      <c r="L332" s="445">
        <v>8804.7929999999997</v>
      </c>
      <c r="M332" s="445">
        <v>8430.0959999999995</v>
      </c>
      <c r="N332" s="445">
        <v>8005.8779999999997</v>
      </c>
      <c r="P332" s="445">
        <v>8665.9679999999898</v>
      </c>
      <c r="Q332" s="445">
        <v>8002.9470000000001</v>
      </c>
      <c r="R332" s="445">
        <v>8299.8349999999991</v>
      </c>
      <c r="S332" s="445">
        <v>8431.4390000000003</v>
      </c>
      <c r="T332" s="445">
        <v>8670.1769999999997</v>
      </c>
      <c r="U332" s="445">
        <v>8439.4199999999892</v>
      </c>
      <c r="V332" s="445">
        <v>8530.9009999999998</v>
      </c>
      <c r="W332" s="445">
        <v>8492.9320000000007</v>
      </c>
      <c r="X332" s="445">
        <v>8528.3430000000008</v>
      </c>
      <c r="Y332" s="445">
        <v>8675.8359999999993</v>
      </c>
      <c r="Z332" s="445">
        <v>7976.4960000000001</v>
      </c>
      <c r="AA332" s="445">
        <v>8142.1130000000003</v>
      </c>
      <c r="AB332" s="445">
        <v>8838.0829999999896</v>
      </c>
      <c r="AC332" s="445">
        <v>8219.5849999999991</v>
      </c>
      <c r="AD332" s="445">
        <v>8689.1010000000006</v>
      </c>
      <c r="AE332" s="445">
        <v>8670.9950000000008</v>
      </c>
    </row>
    <row r="333" spans="1:31" ht="15.75" thickBot="1">
      <c r="A333" s="444" t="s">
        <v>2406</v>
      </c>
      <c r="B333" s="629">
        <v>91.528530000000003</v>
      </c>
      <c r="C333" s="629">
        <v>117.50346</v>
      </c>
      <c r="D333" s="629">
        <v>103.53792</v>
      </c>
      <c r="E333" s="629">
        <v>98.69632</v>
      </c>
      <c r="F333" s="629">
        <v>102.93274</v>
      </c>
      <c r="G333" s="629">
        <v>96.904929999999993</v>
      </c>
      <c r="H333" s="629">
        <v>105.84528</v>
      </c>
      <c r="I333" s="629">
        <v>97.745999999999995</v>
      </c>
      <c r="J333" s="629">
        <v>96.23</v>
      </c>
      <c r="K333" s="629">
        <v>91.108999999999995</v>
      </c>
      <c r="L333" s="629">
        <v>107.005</v>
      </c>
      <c r="M333" s="629">
        <v>92.153000000000006</v>
      </c>
      <c r="N333" s="629">
        <v>87.171999999999997</v>
      </c>
      <c r="O333" s="629"/>
      <c r="P333" s="629">
        <v>138.12700000000001</v>
      </c>
      <c r="Q333" s="629">
        <v>121.435</v>
      </c>
      <c r="R333" s="629">
        <v>122.605</v>
      </c>
      <c r="S333" s="629">
        <v>126.096</v>
      </c>
      <c r="T333" s="629">
        <v>131.63999999999999</v>
      </c>
      <c r="U333" s="629">
        <v>14.319000000000001</v>
      </c>
      <c r="V333" s="629">
        <v>88.521000000000001</v>
      </c>
      <c r="W333" s="629">
        <v>92.777000000000001</v>
      </c>
      <c r="X333" s="629">
        <v>83.444999999999993</v>
      </c>
      <c r="Y333" s="629">
        <v>97.741</v>
      </c>
      <c r="Z333" s="629">
        <v>50.542000000000002</v>
      </c>
      <c r="AA333" s="629">
        <v>62.414000000000001</v>
      </c>
      <c r="AB333" s="629">
        <v>142.512</v>
      </c>
      <c r="AC333" s="629">
        <v>119.544</v>
      </c>
      <c r="AD333" s="629">
        <v>125.72799999999999</v>
      </c>
      <c r="AE333" s="629">
        <v>127.31100000000001</v>
      </c>
    </row>
    <row r="334" spans="1:31">
      <c r="A334" s="632" t="s">
        <v>2335</v>
      </c>
      <c r="B334" s="445">
        <v>91.528530000000003</v>
      </c>
      <c r="C334" s="445">
        <v>117.50346</v>
      </c>
      <c r="D334" s="445">
        <v>103.53792</v>
      </c>
      <c r="E334" s="445">
        <v>98.69632</v>
      </c>
      <c r="F334" s="445">
        <v>102.93274</v>
      </c>
      <c r="G334" s="445">
        <v>96.904929999999993</v>
      </c>
      <c r="H334" s="445">
        <v>105.84528</v>
      </c>
      <c r="I334" s="445">
        <v>97.745999999999995</v>
      </c>
      <c r="J334" s="445">
        <v>96.23</v>
      </c>
      <c r="K334" s="445">
        <v>91.108999999999995</v>
      </c>
      <c r="L334" s="445">
        <v>107.005</v>
      </c>
      <c r="M334" s="445">
        <v>92.153000000000006</v>
      </c>
      <c r="N334" s="445">
        <v>87.171999999999997</v>
      </c>
      <c r="P334" s="445">
        <v>138.12700000000001</v>
      </c>
      <c r="Q334" s="445">
        <v>121.435</v>
      </c>
      <c r="R334" s="445">
        <v>122.605</v>
      </c>
      <c r="S334" s="445">
        <v>126.096</v>
      </c>
      <c r="T334" s="445">
        <v>131.63999999999999</v>
      </c>
      <c r="U334" s="445">
        <v>14.319000000000001</v>
      </c>
      <c r="V334" s="445">
        <v>88.521000000000001</v>
      </c>
      <c r="W334" s="445">
        <v>92.777000000000001</v>
      </c>
      <c r="X334" s="445">
        <v>83.444999999999993</v>
      </c>
      <c r="Y334" s="445">
        <v>97.741</v>
      </c>
      <c r="Z334" s="445">
        <v>50.542000000000002</v>
      </c>
      <c r="AA334" s="445">
        <v>62.414000000000001</v>
      </c>
      <c r="AB334" s="445">
        <v>142.512</v>
      </c>
      <c r="AC334" s="445">
        <v>119.544</v>
      </c>
      <c r="AD334" s="445">
        <v>125.72799999999999</v>
      </c>
      <c r="AE334" s="445">
        <v>127.31100000000001</v>
      </c>
    </row>
    <row r="335" spans="1:31">
      <c r="A335" s="444" t="s">
        <v>2407</v>
      </c>
      <c r="B335" s="445">
        <v>142.29611</v>
      </c>
      <c r="C335" s="445">
        <v>154.02763999999999</v>
      </c>
      <c r="D335" s="445">
        <v>141.28139999999999</v>
      </c>
      <c r="E335" s="445">
        <v>163.24610999999999</v>
      </c>
      <c r="F335" s="445">
        <v>189.41985</v>
      </c>
      <c r="G335" s="445">
        <v>102.33654999999899</v>
      </c>
      <c r="H335" s="445">
        <v>159.25407000000001</v>
      </c>
      <c r="I335" s="445">
        <v>155.93600000000001</v>
      </c>
      <c r="J335" s="445">
        <v>133.05799999999999</v>
      </c>
      <c r="K335" s="445">
        <v>156.096</v>
      </c>
      <c r="L335" s="445">
        <v>156.09700000000001</v>
      </c>
      <c r="M335" s="445">
        <v>133.09700000000001</v>
      </c>
      <c r="N335" s="445">
        <v>156.096</v>
      </c>
      <c r="P335" s="445">
        <v>161.96600000000001</v>
      </c>
      <c r="Q335" s="445">
        <v>137.96700000000001</v>
      </c>
      <c r="R335" s="445">
        <v>161.96600000000001</v>
      </c>
      <c r="S335" s="445">
        <v>161.96700000000001</v>
      </c>
      <c r="T335" s="445">
        <v>140.762</v>
      </c>
      <c r="U335" s="445">
        <v>164.76300000000001</v>
      </c>
      <c r="V335" s="445">
        <v>164.762</v>
      </c>
      <c r="W335" s="445">
        <v>140.76499999999999</v>
      </c>
      <c r="X335" s="445">
        <v>164.76400000000001</v>
      </c>
      <c r="Y335" s="445">
        <v>164.76499999999999</v>
      </c>
      <c r="Z335" s="445">
        <v>143.18700000000001</v>
      </c>
      <c r="AA335" s="445">
        <v>164.76499999999999</v>
      </c>
      <c r="AB335" s="445">
        <v>161.69499999999999</v>
      </c>
      <c r="AC335" s="445">
        <v>137.696</v>
      </c>
      <c r="AD335" s="445">
        <v>161.69499999999999</v>
      </c>
      <c r="AE335" s="445">
        <v>161.696</v>
      </c>
    </row>
    <row r="336" spans="1:31" ht="15.75" thickBot="1">
      <c r="A336" s="444" t="s">
        <v>2408</v>
      </c>
      <c r="B336" s="629">
        <v>38.646419999999999</v>
      </c>
      <c r="C336" s="629">
        <v>40.66142</v>
      </c>
      <c r="D336" s="629">
        <v>40.663679999999999</v>
      </c>
      <c r="E336" s="629">
        <v>42.772379999999998</v>
      </c>
      <c r="F336" s="629">
        <v>44.99868</v>
      </c>
      <c r="G336" s="629">
        <v>46.851100000000002</v>
      </c>
      <c r="H336" s="629">
        <v>46.852890000000002</v>
      </c>
      <c r="I336" s="629">
        <v>38.119</v>
      </c>
      <c r="J336" s="629">
        <v>38.119</v>
      </c>
      <c r="K336" s="629">
        <v>38.119</v>
      </c>
      <c r="L336" s="629">
        <v>38.119</v>
      </c>
      <c r="M336" s="629">
        <v>38.119</v>
      </c>
      <c r="N336" s="629">
        <v>38.119</v>
      </c>
      <c r="O336" s="629"/>
      <c r="P336" s="629">
        <v>48.231000000000002</v>
      </c>
      <c r="Q336" s="629">
        <v>48.231000000000002</v>
      </c>
      <c r="R336" s="629">
        <v>48.231000000000002</v>
      </c>
      <c r="S336" s="629">
        <v>48.231000000000002</v>
      </c>
      <c r="T336" s="629">
        <v>48.231000000000002</v>
      </c>
      <c r="U336" s="629">
        <v>48.231000000000002</v>
      </c>
      <c r="V336" s="629">
        <v>48.231000000000002</v>
      </c>
      <c r="W336" s="629">
        <v>48.231000000000002</v>
      </c>
      <c r="X336" s="629">
        <v>48.231000000000002</v>
      </c>
      <c r="Y336" s="629">
        <v>48.231000000000002</v>
      </c>
      <c r="Z336" s="629">
        <v>48.231000000000002</v>
      </c>
      <c r="AA336" s="629">
        <v>48.231000000000002</v>
      </c>
      <c r="AB336" s="629">
        <v>48.231000000000002</v>
      </c>
      <c r="AC336" s="629">
        <v>48.231000000000002</v>
      </c>
      <c r="AD336" s="629">
        <v>48.231000000000002</v>
      </c>
      <c r="AE336" s="629">
        <v>48.231000000000002</v>
      </c>
    </row>
    <row r="337" spans="1:31">
      <c r="A337" s="632" t="s">
        <v>2221</v>
      </c>
      <c r="B337" s="445">
        <v>180.94253</v>
      </c>
      <c r="C337" s="445">
        <v>194.68906000000001</v>
      </c>
      <c r="D337" s="445">
        <v>181.94507999999999</v>
      </c>
      <c r="E337" s="445">
        <v>206.01849000000001</v>
      </c>
      <c r="F337" s="445">
        <v>234.41853</v>
      </c>
      <c r="G337" s="445">
        <v>149.18764999999999</v>
      </c>
      <c r="H337" s="445">
        <v>206.10695999999999</v>
      </c>
      <c r="I337" s="445">
        <v>194.05500000000001</v>
      </c>
      <c r="J337" s="445">
        <v>171.17699999999999</v>
      </c>
      <c r="K337" s="445">
        <v>194.215</v>
      </c>
      <c r="L337" s="445">
        <v>194.21600000000001</v>
      </c>
      <c r="M337" s="445">
        <v>171.21600000000001</v>
      </c>
      <c r="N337" s="445">
        <v>194.215</v>
      </c>
      <c r="P337" s="445">
        <v>210.197</v>
      </c>
      <c r="Q337" s="445">
        <v>186.19800000000001</v>
      </c>
      <c r="R337" s="445">
        <v>210.197</v>
      </c>
      <c r="S337" s="445">
        <v>210.19800000000001</v>
      </c>
      <c r="T337" s="445">
        <v>188.99299999999999</v>
      </c>
      <c r="U337" s="445">
        <v>212.994</v>
      </c>
      <c r="V337" s="445">
        <v>212.99299999999999</v>
      </c>
      <c r="W337" s="445">
        <v>188.99600000000001</v>
      </c>
      <c r="X337" s="445">
        <v>212.995</v>
      </c>
      <c r="Y337" s="445">
        <v>212.99600000000001</v>
      </c>
      <c r="Z337" s="445">
        <v>191.41800000000001</v>
      </c>
      <c r="AA337" s="445">
        <v>212.99600000000001</v>
      </c>
      <c r="AB337" s="445">
        <v>209.92599999999999</v>
      </c>
      <c r="AC337" s="445">
        <v>185.92699999999999</v>
      </c>
      <c r="AD337" s="445">
        <v>209.92599999999999</v>
      </c>
      <c r="AE337" s="445">
        <v>209.92699999999999</v>
      </c>
    </row>
    <row r="339" spans="1:31">
      <c r="A339" s="447" t="s">
        <v>2409</v>
      </c>
      <c r="B339" s="626">
        <v>7202.1161700000002</v>
      </c>
      <c r="C339" s="626">
        <v>8663.0158899999897</v>
      </c>
      <c r="D339" s="626">
        <v>8209.36077999999</v>
      </c>
      <c r="E339" s="626">
        <v>7176.7120599999998</v>
      </c>
      <c r="F339" s="626">
        <v>9640.6129499999897</v>
      </c>
      <c r="G339" s="626">
        <v>8543.1420899999994</v>
      </c>
      <c r="H339" s="626">
        <v>7820.5615699999998</v>
      </c>
      <c r="I339" s="626">
        <v>8477.2929999999997</v>
      </c>
      <c r="J339" s="626">
        <v>8853.8880000000008</v>
      </c>
      <c r="K339" s="626">
        <v>8508.9130000000005</v>
      </c>
      <c r="L339" s="626">
        <v>9106.0139999999992</v>
      </c>
      <c r="M339" s="626">
        <v>8693.4650000000001</v>
      </c>
      <c r="N339" s="626">
        <v>8287.2649999999994</v>
      </c>
      <c r="O339" s="626"/>
      <c r="P339" s="626">
        <v>9014.2919999999904</v>
      </c>
      <c r="Q339" s="626">
        <v>8310.58</v>
      </c>
      <c r="R339" s="626">
        <v>8632.6370000000006</v>
      </c>
      <c r="S339" s="626">
        <v>8767.7330000000002</v>
      </c>
      <c r="T339" s="626">
        <v>8990.81</v>
      </c>
      <c r="U339" s="626">
        <v>8666.7329999999893</v>
      </c>
      <c r="V339" s="626">
        <v>8832.4150000000009</v>
      </c>
      <c r="W339" s="626">
        <v>8774.7049999999999</v>
      </c>
      <c r="X339" s="626">
        <v>8824.7829999999994</v>
      </c>
      <c r="Y339" s="626">
        <v>8986.5730000000003</v>
      </c>
      <c r="Z339" s="626">
        <v>8218.4560000000001</v>
      </c>
      <c r="AA339" s="626">
        <v>8417.5229999999992</v>
      </c>
      <c r="AB339" s="626">
        <v>9190.5209999999897</v>
      </c>
      <c r="AC339" s="626">
        <v>8525.0559999999896</v>
      </c>
      <c r="AD339" s="626">
        <v>9024.7549999999992</v>
      </c>
      <c r="AE339" s="626">
        <v>9008.2330000000002</v>
      </c>
    </row>
    <row r="340" spans="1:31">
      <c r="A340" s="444" t="s">
        <v>539</v>
      </c>
    </row>
    <row r="341" spans="1:31">
      <c r="A341" s="444" t="s">
        <v>2410</v>
      </c>
      <c r="B341" s="445">
        <v>75751.583480000001</v>
      </c>
      <c r="C341" s="445">
        <v>96300.188299999994</v>
      </c>
      <c r="D341" s="445">
        <v>62788.48272</v>
      </c>
      <c r="E341" s="445">
        <v>63845.793980000002</v>
      </c>
      <c r="F341" s="445">
        <v>56922.741269999999</v>
      </c>
      <c r="G341" s="445">
        <v>54252.275199999902</v>
      </c>
      <c r="H341" s="445">
        <v>53435.442329999903</v>
      </c>
      <c r="I341" s="445">
        <v>55899.881579571302</v>
      </c>
      <c r="J341" s="445">
        <v>58536.308064983699</v>
      </c>
      <c r="K341" s="445">
        <v>51883.545370785701</v>
      </c>
      <c r="L341" s="445">
        <v>50466.077459219203</v>
      </c>
      <c r="M341" s="445">
        <v>57365.308903850899</v>
      </c>
      <c r="N341" s="445">
        <v>75279.659055494296</v>
      </c>
      <c r="P341" s="445">
        <v>84925.831355455593</v>
      </c>
      <c r="Q341" s="445">
        <v>75274.485334728</v>
      </c>
      <c r="R341" s="445">
        <v>68181.968165527403</v>
      </c>
      <c r="S341" s="445">
        <v>54714.452634703797</v>
      </c>
      <c r="T341" s="445">
        <v>54835.520668945501</v>
      </c>
      <c r="U341" s="445">
        <v>52660.516448490402</v>
      </c>
      <c r="V341" s="445">
        <v>56897.405673360103</v>
      </c>
      <c r="W341" s="445">
        <v>57520.621379894503</v>
      </c>
      <c r="X341" s="445">
        <v>51537.715035187903</v>
      </c>
      <c r="Y341" s="445">
        <v>50164.950042468001</v>
      </c>
      <c r="Z341" s="445">
        <v>58014.653033681701</v>
      </c>
      <c r="AA341" s="445">
        <v>72913.302733833698</v>
      </c>
      <c r="AB341" s="445">
        <v>82216.374978262407</v>
      </c>
      <c r="AC341" s="445">
        <v>72298.092340333504</v>
      </c>
      <c r="AD341" s="445">
        <v>71625.455103736895</v>
      </c>
      <c r="AE341" s="445">
        <v>53382.403876306897</v>
      </c>
    </row>
    <row r="342" spans="1:31">
      <c r="A342" s="444" t="s">
        <v>2411</v>
      </c>
      <c r="B342" s="445">
        <v>8544.5247999999992</v>
      </c>
      <c r="C342" s="445">
        <v>6681.97264</v>
      </c>
      <c r="D342" s="445">
        <v>7095.5654999999997</v>
      </c>
      <c r="E342" s="445">
        <v>9881.9841199999992</v>
      </c>
      <c r="F342" s="445">
        <v>11895.6891399999</v>
      </c>
      <c r="G342" s="445">
        <v>8091.3260299999902</v>
      </c>
      <c r="H342" s="445">
        <v>9045.1761499999993</v>
      </c>
      <c r="I342" s="445">
        <v>11237.4629999999</v>
      </c>
      <c r="J342" s="445">
        <v>10007.316999999999</v>
      </c>
      <c r="K342" s="445">
        <v>10037.181999999901</v>
      </c>
      <c r="L342" s="445">
        <v>13858.485999999901</v>
      </c>
      <c r="M342" s="445">
        <v>8500.8780000000006</v>
      </c>
      <c r="N342" s="445">
        <v>8007.21899999999</v>
      </c>
      <c r="P342" s="445">
        <v>7168.2669999999998</v>
      </c>
      <c r="Q342" s="445">
        <v>7450.0780000000004</v>
      </c>
      <c r="R342" s="445">
        <v>9471.0429999999997</v>
      </c>
      <c r="S342" s="445">
        <v>12316.369000000001</v>
      </c>
      <c r="T342" s="445">
        <v>9032.9120000000003</v>
      </c>
      <c r="U342" s="445">
        <v>9051.1309999999903</v>
      </c>
      <c r="V342" s="445">
        <v>12049.261</v>
      </c>
      <c r="W342" s="445">
        <v>11410.455</v>
      </c>
      <c r="X342" s="445">
        <v>15193.619999999901</v>
      </c>
      <c r="Y342" s="445">
        <v>12808.605</v>
      </c>
      <c r="Z342" s="445">
        <v>10789.743</v>
      </c>
      <c r="AA342" s="445">
        <v>8081.5079999999998</v>
      </c>
      <c r="AB342" s="445">
        <v>7353.52</v>
      </c>
      <c r="AC342" s="445">
        <v>7275.9529999999904</v>
      </c>
      <c r="AD342" s="445">
        <v>10362.9199999999</v>
      </c>
      <c r="AE342" s="445">
        <v>12369.116</v>
      </c>
    </row>
    <row r="343" spans="1:31" ht="15.75" thickBot="1">
      <c r="A343" s="444" t="s">
        <v>2412</v>
      </c>
      <c r="B343" s="629">
        <v>252.21672999999899</v>
      </c>
      <c r="C343" s="629">
        <v>252.60892999999999</v>
      </c>
      <c r="D343" s="629">
        <v>262.72904</v>
      </c>
      <c r="E343" s="629">
        <v>297.82616999999999</v>
      </c>
      <c r="F343" s="629">
        <v>317.65865000000002</v>
      </c>
      <c r="G343" s="629">
        <v>191.09513999999999</v>
      </c>
      <c r="H343" s="629">
        <v>266.83688000000001</v>
      </c>
      <c r="I343" s="629">
        <v>279.34199999999998</v>
      </c>
      <c r="J343" s="629">
        <v>228.81399999999999</v>
      </c>
      <c r="K343" s="629">
        <v>273.11799999999999</v>
      </c>
      <c r="L343" s="629">
        <v>259.50299999999999</v>
      </c>
      <c r="M343" s="629">
        <v>228.50299999999999</v>
      </c>
      <c r="N343" s="629">
        <v>271.50200000000001</v>
      </c>
      <c r="O343" s="629"/>
      <c r="P343" s="629">
        <v>276.30900000000003</v>
      </c>
      <c r="Q343" s="629">
        <v>243.65899999999999</v>
      </c>
      <c r="R343" s="629">
        <v>278.09800000000001</v>
      </c>
      <c r="S343" s="629">
        <v>327.26799999999997</v>
      </c>
      <c r="T343" s="629">
        <v>248.43</v>
      </c>
      <c r="U343" s="629">
        <v>280.23</v>
      </c>
      <c r="V343" s="629">
        <v>297.762</v>
      </c>
      <c r="W343" s="629">
        <v>249.309</v>
      </c>
      <c r="X343" s="629">
        <v>263.57400000000001</v>
      </c>
      <c r="Y343" s="629">
        <v>271.01499999999999</v>
      </c>
      <c r="Z343" s="629">
        <v>277.66800000000001</v>
      </c>
      <c r="AA343" s="629">
        <v>303.91199999999998</v>
      </c>
      <c r="AB343" s="629">
        <v>276.736999999999</v>
      </c>
      <c r="AC343" s="629">
        <v>244.08699999999999</v>
      </c>
      <c r="AD343" s="629">
        <v>278.52599999999899</v>
      </c>
      <c r="AE343" s="629">
        <v>327.69600000000003</v>
      </c>
    </row>
    <row r="344" spans="1:31">
      <c r="A344" s="447" t="s">
        <v>2063</v>
      </c>
      <c r="B344" s="445">
        <v>84548.32501</v>
      </c>
      <c r="C344" s="445">
        <v>103234.76987</v>
      </c>
      <c r="D344" s="445">
        <v>70146.777260000003</v>
      </c>
      <c r="E344" s="445">
        <v>74025.604269999996</v>
      </c>
      <c r="F344" s="445">
        <v>69136.089059999998</v>
      </c>
      <c r="G344" s="445">
        <v>62534.696369999998</v>
      </c>
      <c r="H344" s="445">
        <v>62747.45536</v>
      </c>
      <c r="I344" s="445">
        <v>67416.686579571295</v>
      </c>
      <c r="J344" s="445">
        <v>68772.439064983701</v>
      </c>
      <c r="K344" s="445">
        <v>62193.845370785697</v>
      </c>
      <c r="L344" s="445">
        <v>64584.066459219299</v>
      </c>
      <c r="M344" s="445">
        <v>66094.6899038509</v>
      </c>
      <c r="N344" s="445">
        <v>83558.380055494301</v>
      </c>
      <c r="P344" s="445">
        <v>92370.407355455594</v>
      </c>
      <c r="Q344" s="445">
        <v>82968.222334727994</v>
      </c>
      <c r="R344" s="445">
        <v>77931.109165527407</v>
      </c>
      <c r="S344" s="445">
        <v>67358.089634703807</v>
      </c>
      <c r="T344" s="445">
        <v>64116.862668945498</v>
      </c>
      <c r="U344" s="445">
        <v>61991.877448490399</v>
      </c>
      <c r="V344" s="445">
        <v>69244.428673360104</v>
      </c>
      <c r="W344" s="445">
        <v>69180.385379894404</v>
      </c>
      <c r="X344" s="445">
        <v>66994.909035187899</v>
      </c>
      <c r="Y344" s="445">
        <v>63244.570042468004</v>
      </c>
      <c r="Z344" s="445">
        <v>69082.064033681701</v>
      </c>
      <c r="AA344" s="445">
        <v>81298.722733833696</v>
      </c>
      <c r="AB344" s="445">
        <v>89846.631978262405</v>
      </c>
      <c r="AC344" s="445">
        <v>79818.132340333497</v>
      </c>
      <c r="AD344" s="445">
        <v>82266.901103736804</v>
      </c>
      <c r="AE344" s="445">
        <v>66079.215876306902</v>
      </c>
    </row>
    <row r="345" spans="1:31">
      <c r="A345" s="444" t="s">
        <v>539</v>
      </c>
    </row>
    <row r="346" spans="1:31" ht="15.75" thickBot="1">
      <c r="A346" s="444" t="s">
        <v>2413</v>
      </c>
      <c r="B346" s="629">
        <v>14452.12125</v>
      </c>
      <c r="C346" s="629">
        <v>14588.566339999999</v>
      </c>
      <c r="D346" s="629">
        <v>14630.413929999901</v>
      </c>
      <c r="E346" s="629">
        <v>14626.5502</v>
      </c>
      <c r="F346" s="629">
        <v>14645.76686</v>
      </c>
      <c r="G346" s="629">
        <v>14680.87674</v>
      </c>
      <c r="H346" s="629">
        <v>14718.10865</v>
      </c>
      <c r="I346" s="629">
        <v>14788.7727793668</v>
      </c>
      <c r="J346" s="629">
        <v>14901.454046725499</v>
      </c>
      <c r="K346" s="629">
        <v>15023.184256884701</v>
      </c>
      <c r="L346" s="629">
        <v>15201.126882078001</v>
      </c>
      <c r="M346" s="629">
        <v>15367.7364209225</v>
      </c>
      <c r="N346" s="629">
        <v>15517.055465062</v>
      </c>
      <c r="O346" s="629"/>
      <c r="P346" s="629">
        <v>15816.4996492558</v>
      </c>
      <c r="Q346" s="629">
        <v>16023.4532371438</v>
      </c>
      <c r="R346" s="629">
        <v>16043.0412271763</v>
      </c>
      <c r="S346" s="629">
        <v>16123.7768896049</v>
      </c>
      <c r="T346" s="629">
        <v>19977.494389232201</v>
      </c>
      <c r="U346" s="629">
        <v>20064.719614593701</v>
      </c>
      <c r="V346" s="629">
        <v>20115.611694688199</v>
      </c>
      <c r="W346" s="629">
        <v>20158.066173314699</v>
      </c>
      <c r="X346" s="629">
        <v>20184.4222825377</v>
      </c>
      <c r="Y346" s="629">
        <v>20210.2155470449</v>
      </c>
      <c r="Z346" s="629">
        <v>20311.2679924851</v>
      </c>
      <c r="AA346" s="629">
        <v>20574.930325024299</v>
      </c>
      <c r="AB346" s="629">
        <v>20762.474028258101</v>
      </c>
      <c r="AC346" s="629">
        <v>20760.525163402999</v>
      </c>
      <c r="AD346" s="629">
        <v>20782.613292069698</v>
      </c>
      <c r="AE346" s="629">
        <v>20839.339462790002</v>
      </c>
    </row>
    <row r="347" spans="1:31">
      <c r="A347" s="632" t="s">
        <v>2414</v>
      </c>
      <c r="B347" s="445">
        <v>14452.12125</v>
      </c>
      <c r="C347" s="445">
        <v>14588.566339999999</v>
      </c>
      <c r="D347" s="445">
        <v>14630.413929999901</v>
      </c>
      <c r="E347" s="445">
        <v>14626.5502</v>
      </c>
      <c r="F347" s="445">
        <v>14645.76686</v>
      </c>
      <c r="G347" s="445">
        <v>14680.87674</v>
      </c>
      <c r="H347" s="445">
        <v>14718.10865</v>
      </c>
      <c r="I347" s="445">
        <v>14788.7727793668</v>
      </c>
      <c r="J347" s="445">
        <v>14901.454046725499</v>
      </c>
      <c r="K347" s="445">
        <v>15023.184256884701</v>
      </c>
      <c r="L347" s="445">
        <v>15201.126882078001</v>
      </c>
      <c r="M347" s="445">
        <v>15367.7364209225</v>
      </c>
      <c r="N347" s="445">
        <v>15517.055465062</v>
      </c>
      <c r="P347" s="445">
        <v>15816.4996492558</v>
      </c>
      <c r="Q347" s="445">
        <v>16023.4532371438</v>
      </c>
      <c r="R347" s="445">
        <v>16043.0412271763</v>
      </c>
      <c r="S347" s="445">
        <v>16123.7768896049</v>
      </c>
      <c r="T347" s="445">
        <v>19977.494389232201</v>
      </c>
      <c r="U347" s="445">
        <v>20064.719614593701</v>
      </c>
      <c r="V347" s="445">
        <v>20115.611694688199</v>
      </c>
      <c r="W347" s="445">
        <v>20158.066173314699</v>
      </c>
      <c r="X347" s="445">
        <v>20184.4222825377</v>
      </c>
      <c r="Y347" s="445">
        <v>20210.2155470449</v>
      </c>
      <c r="Z347" s="445">
        <v>20311.2679924851</v>
      </c>
      <c r="AA347" s="445">
        <v>20574.930325024299</v>
      </c>
      <c r="AB347" s="445">
        <v>20762.474028258101</v>
      </c>
      <c r="AC347" s="445">
        <v>20760.525163402999</v>
      </c>
      <c r="AD347" s="445">
        <v>20782.613292069698</v>
      </c>
      <c r="AE347" s="445">
        <v>20839.339462790002</v>
      </c>
    </row>
    <row r="348" spans="1:31" ht="15.75" thickBot="1">
      <c r="A348" s="444" t="s">
        <v>2415</v>
      </c>
      <c r="B348" s="629">
        <v>1433.8710999999901</v>
      </c>
      <c r="C348" s="629">
        <v>1479.7672399999999</v>
      </c>
      <c r="D348" s="629">
        <v>1518.8523499999999</v>
      </c>
      <c r="E348" s="629">
        <v>1511.5593200000001</v>
      </c>
      <c r="F348" s="629">
        <v>1504.83547</v>
      </c>
      <c r="G348" s="629">
        <v>1501.3956000000001</v>
      </c>
      <c r="H348" s="629">
        <v>1495.8449700000001</v>
      </c>
      <c r="I348" s="629">
        <v>1512.90170283425</v>
      </c>
      <c r="J348" s="629">
        <v>1542.06755983425</v>
      </c>
      <c r="K348" s="629">
        <v>1545.72352463425</v>
      </c>
      <c r="L348" s="629">
        <v>1588.5393685342499</v>
      </c>
      <c r="M348" s="629">
        <v>1645.7099629342499</v>
      </c>
      <c r="N348" s="629">
        <v>1692.0461173342501</v>
      </c>
      <c r="O348" s="629"/>
      <c r="P348" s="629">
        <v>1723.95736943425</v>
      </c>
      <c r="Q348" s="629">
        <v>1702.08219743425</v>
      </c>
      <c r="R348" s="629">
        <v>1681.2770314342499</v>
      </c>
      <c r="S348" s="629">
        <v>1512.6978736342501</v>
      </c>
      <c r="T348" s="629">
        <v>1348.2086495342501</v>
      </c>
      <c r="U348" s="629">
        <v>1369.13781323425</v>
      </c>
      <c r="V348" s="629">
        <v>1395.0826552342501</v>
      </c>
      <c r="W348" s="629">
        <v>1399.7408572342499</v>
      </c>
      <c r="X348" s="629">
        <v>1394.23556623425</v>
      </c>
      <c r="Y348" s="629">
        <v>1418.4514922342501</v>
      </c>
      <c r="Z348" s="629">
        <v>1420.7007032342501</v>
      </c>
      <c r="AA348" s="629">
        <v>1417.7805666342499</v>
      </c>
      <c r="AB348" s="629">
        <v>1430.5798251342501</v>
      </c>
      <c r="AC348" s="629">
        <v>1401.6355921342499</v>
      </c>
      <c r="AD348" s="629">
        <v>1442.8286531342501</v>
      </c>
      <c r="AE348" s="629">
        <v>1515.19141013425</v>
      </c>
    </row>
    <row r="349" spans="1:31">
      <c r="A349" s="632" t="s">
        <v>2416</v>
      </c>
      <c r="B349" s="445">
        <v>1433.8710999999901</v>
      </c>
      <c r="C349" s="445">
        <v>1479.7672399999999</v>
      </c>
      <c r="D349" s="445">
        <v>1518.8523499999999</v>
      </c>
      <c r="E349" s="445">
        <v>1511.5593200000001</v>
      </c>
      <c r="F349" s="445">
        <v>1504.83547</v>
      </c>
      <c r="G349" s="445">
        <v>1501.3956000000001</v>
      </c>
      <c r="H349" s="445">
        <v>1495.8449700000001</v>
      </c>
      <c r="I349" s="445">
        <v>1512.90170283425</v>
      </c>
      <c r="J349" s="445">
        <v>1542.06755983425</v>
      </c>
      <c r="K349" s="445">
        <v>1545.72352463425</v>
      </c>
      <c r="L349" s="445">
        <v>1588.5393685342499</v>
      </c>
      <c r="M349" s="445">
        <v>1645.7099629342499</v>
      </c>
      <c r="N349" s="445">
        <v>1692.0461173342501</v>
      </c>
      <c r="P349" s="445">
        <v>1723.95736943425</v>
      </c>
      <c r="Q349" s="445">
        <v>1702.08219743425</v>
      </c>
      <c r="R349" s="445">
        <v>1681.2770314342499</v>
      </c>
      <c r="S349" s="445">
        <v>1512.6978736342501</v>
      </c>
      <c r="T349" s="445">
        <v>1348.2086495342501</v>
      </c>
      <c r="U349" s="445">
        <v>1369.13781323425</v>
      </c>
      <c r="V349" s="445">
        <v>1395.0826552342501</v>
      </c>
      <c r="W349" s="445">
        <v>1399.7408572342499</v>
      </c>
      <c r="X349" s="445">
        <v>1394.23556623425</v>
      </c>
      <c r="Y349" s="445">
        <v>1418.4514922342501</v>
      </c>
      <c r="Z349" s="445">
        <v>1420.7007032342501</v>
      </c>
      <c r="AA349" s="445">
        <v>1417.7805666342499</v>
      </c>
      <c r="AB349" s="445">
        <v>1430.5798251342501</v>
      </c>
      <c r="AC349" s="445">
        <v>1401.6355921342499</v>
      </c>
      <c r="AD349" s="445">
        <v>1442.8286531342501</v>
      </c>
      <c r="AE349" s="445">
        <v>1515.19141013425</v>
      </c>
    </row>
    <row r="350" spans="1:31" ht="15.75" thickBot="1">
      <c r="A350" s="444" t="s">
        <v>2417</v>
      </c>
      <c r="B350" s="629">
        <v>31.5914</v>
      </c>
      <c r="C350" s="629">
        <v>33.215580000000003</v>
      </c>
      <c r="D350" s="629">
        <v>35.355539999999998</v>
      </c>
      <c r="E350" s="629">
        <v>39.074179999999998</v>
      </c>
      <c r="F350" s="629">
        <v>41.143500000000003</v>
      </c>
      <c r="G350" s="629">
        <v>42.014119999999998</v>
      </c>
      <c r="H350" s="629">
        <v>43.675870000000003</v>
      </c>
      <c r="I350" s="629">
        <v>46.068719839678202</v>
      </c>
      <c r="J350" s="629">
        <v>48.193010894223598</v>
      </c>
      <c r="K350" s="629">
        <v>52.084689689844097</v>
      </c>
      <c r="L350" s="629">
        <v>56.225788627573003</v>
      </c>
      <c r="M350" s="629">
        <v>60.283119252573002</v>
      </c>
      <c r="N350" s="629">
        <v>67.158041651096994</v>
      </c>
      <c r="O350" s="629"/>
      <c r="P350" s="629">
        <v>69.591557169615498</v>
      </c>
      <c r="Q350" s="629">
        <v>73.078728879652701</v>
      </c>
      <c r="R350" s="629">
        <v>77.4429049617423</v>
      </c>
      <c r="S350" s="629">
        <v>83.902377583465096</v>
      </c>
      <c r="T350" s="629">
        <v>90.344780553389896</v>
      </c>
      <c r="U350" s="629">
        <v>98.920928440182394</v>
      </c>
      <c r="V350" s="629">
        <v>106.135622341697</v>
      </c>
      <c r="W350" s="629">
        <v>117.522235231431</v>
      </c>
      <c r="X350" s="629">
        <v>127.680277941355</v>
      </c>
      <c r="Y350" s="629">
        <v>134.935064109937</v>
      </c>
      <c r="Z350" s="629">
        <v>137.904484071475</v>
      </c>
      <c r="AA350" s="629">
        <v>140.906534998116</v>
      </c>
      <c r="AB350" s="629">
        <v>143.26642154850401</v>
      </c>
      <c r="AC350" s="629">
        <v>145.635491937609</v>
      </c>
      <c r="AD350" s="629">
        <v>148.791549632921</v>
      </c>
      <c r="AE350" s="629">
        <v>154.21316088782299</v>
      </c>
    </row>
    <row r="351" spans="1:31">
      <c r="A351" s="632" t="s">
        <v>2418</v>
      </c>
      <c r="B351" s="445">
        <v>31.5914</v>
      </c>
      <c r="C351" s="445">
        <v>33.215580000000003</v>
      </c>
      <c r="D351" s="445">
        <v>35.355539999999998</v>
      </c>
      <c r="E351" s="445">
        <v>39.074179999999998</v>
      </c>
      <c r="F351" s="445">
        <v>41.143500000000003</v>
      </c>
      <c r="G351" s="445">
        <v>42.014119999999998</v>
      </c>
      <c r="H351" s="445">
        <v>43.675870000000003</v>
      </c>
      <c r="I351" s="445">
        <v>46.068719839678202</v>
      </c>
      <c r="J351" s="445">
        <v>48.193010894223598</v>
      </c>
      <c r="K351" s="445">
        <v>52.084689689844097</v>
      </c>
      <c r="L351" s="445">
        <v>56.225788627573003</v>
      </c>
      <c r="M351" s="445">
        <v>60.283119252573002</v>
      </c>
      <c r="N351" s="445">
        <v>67.158041651096994</v>
      </c>
      <c r="P351" s="445">
        <v>69.591557169615498</v>
      </c>
      <c r="Q351" s="445">
        <v>73.078728879652701</v>
      </c>
      <c r="R351" s="445">
        <v>77.4429049617423</v>
      </c>
      <c r="S351" s="445">
        <v>83.902377583465096</v>
      </c>
      <c r="T351" s="445">
        <v>90.344780553389896</v>
      </c>
      <c r="U351" s="445">
        <v>98.920928440182394</v>
      </c>
      <c r="V351" s="445">
        <v>106.135622341697</v>
      </c>
      <c r="W351" s="445">
        <v>117.522235231431</v>
      </c>
      <c r="X351" s="445">
        <v>127.680277941355</v>
      </c>
      <c r="Y351" s="445">
        <v>134.935064109937</v>
      </c>
      <c r="Z351" s="445">
        <v>137.904484071475</v>
      </c>
      <c r="AA351" s="445">
        <v>140.906534998116</v>
      </c>
      <c r="AB351" s="445">
        <v>143.26642154850401</v>
      </c>
      <c r="AC351" s="445">
        <v>145.635491937609</v>
      </c>
      <c r="AD351" s="445">
        <v>148.791549632921</v>
      </c>
      <c r="AE351" s="445">
        <v>154.21316088782299</v>
      </c>
    </row>
    <row r="352" spans="1:31">
      <c r="A352" s="444" t="s">
        <v>2419</v>
      </c>
      <c r="B352" s="445">
        <v>-14416.2292</v>
      </c>
      <c r="C352" s="445">
        <v>8508.3409200000006</v>
      </c>
      <c r="D352" s="445">
        <v>5354.64113</v>
      </c>
      <c r="E352" s="445">
        <v>-3428.0603099999998</v>
      </c>
      <c r="F352" s="445">
        <v>2179.44623</v>
      </c>
      <c r="G352" s="445">
        <v>4843.2891300000001</v>
      </c>
      <c r="H352" s="445">
        <v>-6275.2623699999904</v>
      </c>
      <c r="I352" s="445">
        <v>5468.1856522934004</v>
      </c>
      <c r="J352" s="445">
        <v>5453.1448547523096</v>
      </c>
      <c r="K352" s="445">
        <v>-21743.836960828601</v>
      </c>
      <c r="L352" s="445">
        <v>1769.33707523506</v>
      </c>
      <c r="M352" s="445">
        <v>3701.96388306075</v>
      </c>
      <c r="N352" s="445">
        <v>-8554.91149747485</v>
      </c>
      <c r="P352" s="445">
        <v>6702.7481835829403</v>
      </c>
      <c r="Q352" s="445">
        <v>5706.4470582308804</v>
      </c>
      <c r="R352" s="445">
        <v>-8415.1542578630397</v>
      </c>
      <c r="S352" s="445">
        <v>1787.9507860628</v>
      </c>
      <c r="T352" s="445">
        <v>3276.1893775130702</v>
      </c>
      <c r="U352" s="445">
        <v>-8279.1947471532094</v>
      </c>
      <c r="V352" s="445">
        <v>5233.3771094080103</v>
      </c>
      <c r="W352" s="445">
        <v>5476.1996932893999</v>
      </c>
      <c r="X352" s="445">
        <v>-9670.5282409564606</v>
      </c>
      <c r="Y352" s="445">
        <v>1888.4478517924899</v>
      </c>
      <c r="Z352" s="445">
        <v>3574.67138607278</v>
      </c>
      <c r="AA352" s="445">
        <v>-6741.2195844406797</v>
      </c>
      <c r="AB352" s="445">
        <v>7282.9075270166304</v>
      </c>
      <c r="AC352" s="445">
        <v>6306.6455622628901</v>
      </c>
      <c r="AD352" s="445">
        <v>623.98543059025099</v>
      </c>
      <c r="AE352" s="445">
        <v>2008.2508187542101</v>
      </c>
    </row>
    <row r="353" spans="1:31" ht="15.75" thickBot="1">
      <c r="A353" s="444" t="s">
        <v>2420</v>
      </c>
      <c r="B353" s="629">
        <v>0</v>
      </c>
      <c r="C353" s="629">
        <v>0</v>
      </c>
      <c r="D353" s="629">
        <v>0</v>
      </c>
      <c r="E353" s="629">
        <v>0</v>
      </c>
      <c r="F353" s="629">
        <v>0</v>
      </c>
      <c r="G353" s="629">
        <v>0</v>
      </c>
      <c r="H353" s="629">
        <v>0</v>
      </c>
      <c r="I353" s="629">
        <v>0</v>
      </c>
      <c r="J353" s="629">
        <v>0</v>
      </c>
      <c r="K353" s="629">
        <v>0</v>
      </c>
      <c r="L353" s="629">
        <v>0</v>
      </c>
      <c r="M353" s="629">
        <v>0</v>
      </c>
      <c r="N353" s="629">
        <v>0</v>
      </c>
      <c r="O353" s="629"/>
      <c r="P353" s="629">
        <v>0</v>
      </c>
      <c r="Q353" s="629">
        <v>0</v>
      </c>
      <c r="R353" s="629">
        <v>0</v>
      </c>
      <c r="S353" s="629">
        <v>0</v>
      </c>
      <c r="T353" s="629">
        <v>0</v>
      </c>
      <c r="U353" s="629">
        <v>0</v>
      </c>
      <c r="V353" s="629">
        <v>0</v>
      </c>
      <c r="W353" s="629">
        <v>0</v>
      </c>
      <c r="X353" s="629">
        <v>0</v>
      </c>
      <c r="Y353" s="629">
        <v>0</v>
      </c>
      <c r="Z353" s="629">
        <v>0</v>
      </c>
      <c r="AA353" s="629">
        <v>0</v>
      </c>
      <c r="AB353" s="629">
        <v>0</v>
      </c>
      <c r="AC353" s="629">
        <v>0</v>
      </c>
      <c r="AD353" s="629">
        <v>0</v>
      </c>
      <c r="AE353" s="629">
        <v>0</v>
      </c>
    </row>
    <row r="354" spans="1:31">
      <c r="A354" s="632" t="s">
        <v>2421</v>
      </c>
      <c r="B354" s="445">
        <v>-14416.2292</v>
      </c>
      <c r="C354" s="445">
        <v>8508.3409200000006</v>
      </c>
      <c r="D354" s="445">
        <v>5354.64113</v>
      </c>
      <c r="E354" s="445">
        <v>-3428.0603099999998</v>
      </c>
      <c r="F354" s="445">
        <v>2179.44623</v>
      </c>
      <c r="G354" s="445">
        <v>4843.2891300000001</v>
      </c>
      <c r="H354" s="445">
        <v>-6275.2623699999904</v>
      </c>
      <c r="I354" s="445">
        <v>5468.1856522934004</v>
      </c>
      <c r="J354" s="445">
        <v>5453.1448547523096</v>
      </c>
      <c r="K354" s="445">
        <v>-21743.836960828601</v>
      </c>
      <c r="L354" s="445">
        <v>1769.33707523506</v>
      </c>
      <c r="M354" s="445">
        <v>3701.96388306075</v>
      </c>
      <c r="N354" s="445">
        <v>-8554.91149747485</v>
      </c>
      <c r="P354" s="445">
        <v>6702.7481835829403</v>
      </c>
      <c r="Q354" s="445">
        <v>5706.4470582308804</v>
      </c>
      <c r="R354" s="445">
        <v>-8415.1542578630397</v>
      </c>
      <c r="S354" s="445">
        <v>1787.9507860628</v>
      </c>
      <c r="T354" s="445">
        <v>3276.1893775130702</v>
      </c>
      <c r="U354" s="445">
        <v>-8279.1947471532094</v>
      </c>
      <c r="V354" s="445">
        <v>5233.3771094080103</v>
      </c>
      <c r="W354" s="445">
        <v>5476.1996932893999</v>
      </c>
      <c r="X354" s="445">
        <v>-9670.5282409564606</v>
      </c>
      <c r="Y354" s="445">
        <v>1888.4478517924899</v>
      </c>
      <c r="Z354" s="445">
        <v>3574.67138607278</v>
      </c>
      <c r="AA354" s="445">
        <v>-6741.2195844406797</v>
      </c>
      <c r="AB354" s="445">
        <v>7282.9075270166304</v>
      </c>
      <c r="AC354" s="445">
        <v>6306.6455622628901</v>
      </c>
      <c r="AD354" s="445">
        <v>623.98543059025099</v>
      </c>
      <c r="AE354" s="445">
        <v>2008.2508187542101</v>
      </c>
    </row>
    <row r="355" spans="1:31">
      <c r="A355" s="444" t="s">
        <v>2422</v>
      </c>
      <c r="B355" s="445">
        <v>-264.58103999999997</v>
      </c>
      <c r="C355" s="445">
        <v>2586.1218599999902</v>
      </c>
      <c r="D355" s="445">
        <v>1627.5504900000001</v>
      </c>
      <c r="E355" s="445">
        <v>-497.906059999999</v>
      </c>
      <c r="F355" s="445">
        <v>-84.087859999999907</v>
      </c>
      <c r="G355" s="445">
        <v>1213.8569299999999</v>
      </c>
      <c r="H355" s="445">
        <v>-1158.0038099999999</v>
      </c>
      <c r="I355" s="445">
        <v>1337.1392612264101</v>
      </c>
      <c r="J355" s="445">
        <v>1333.3696377825299</v>
      </c>
      <c r="K355" s="445">
        <v>-1428.4536852107799</v>
      </c>
      <c r="L355" s="445">
        <v>410.10954266542899</v>
      </c>
      <c r="M355" s="445">
        <v>894.47716367437295</v>
      </c>
      <c r="N355" s="445">
        <v>-1022.82051769357</v>
      </c>
      <c r="P355" s="445">
        <v>1646.55342946941</v>
      </c>
      <c r="Q355" s="445">
        <v>1396.8538993059799</v>
      </c>
      <c r="R355" s="445">
        <v>-1864.39064569539</v>
      </c>
      <c r="S355" s="445">
        <v>414.774633098447</v>
      </c>
      <c r="T355" s="445">
        <v>787.76676128147301</v>
      </c>
      <c r="U355" s="445">
        <v>-1830.3155803597101</v>
      </c>
      <c r="V355" s="445">
        <v>1278.29000235789</v>
      </c>
      <c r="W355" s="445">
        <v>1339.1477928043601</v>
      </c>
      <c r="X355" s="445">
        <v>-2179.02071667159</v>
      </c>
      <c r="Y355" s="445">
        <v>439.96186761716501</v>
      </c>
      <c r="Z355" s="445">
        <v>862.57428222375495</v>
      </c>
      <c r="AA355" s="445">
        <v>-1444.85814613927</v>
      </c>
      <c r="AB355" s="445">
        <v>1791.95677368837</v>
      </c>
      <c r="AC355" s="445">
        <v>1547.27958953957</v>
      </c>
      <c r="AD355" s="445">
        <v>-946.24880576792702</v>
      </c>
      <c r="AE355" s="445">
        <v>469.98767387323699</v>
      </c>
    </row>
    <row r="356" spans="1:31" ht="15.75" thickBot="1">
      <c r="A356" s="444" t="s">
        <v>2423</v>
      </c>
      <c r="B356" s="629">
        <v>0</v>
      </c>
      <c r="C356" s="629">
        <v>0</v>
      </c>
      <c r="D356" s="629">
        <v>0</v>
      </c>
      <c r="E356" s="629">
        <v>0</v>
      </c>
      <c r="F356" s="629">
        <v>0</v>
      </c>
      <c r="G356" s="629">
        <v>0</v>
      </c>
      <c r="H356" s="629">
        <v>0</v>
      </c>
      <c r="I356" s="629">
        <v>0</v>
      </c>
      <c r="J356" s="629">
        <v>0</v>
      </c>
      <c r="K356" s="629">
        <v>0</v>
      </c>
      <c r="L356" s="629">
        <v>0</v>
      </c>
      <c r="M356" s="629">
        <v>0</v>
      </c>
      <c r="N356" s="629">
        <v>0</v>
      </c>
      <c r="O356" s="629"/>
      <c r="P356" s="629">
        <v>0</v>
      </c>
      <c r="Q356" s="629">
        <v>0</v>
      </c>
      <c r="R356" s="629">
        <v>0</v>
      </c>
      <c r="S356" s="629">
        <v>0</v>
      </c>
      <c r="T356" s="629">
        <v>0</v>
      </c>
      <c r="U356" s="629">
        <v>0</v>
      </c>
      <c r="V356" s="629">
        <v>0</v>
      </c>
      <c r="W356" s="629">
        <v>0</v>
      </c>
      <c r="X356" s="629">
        <v>0</v>
      </c>
      <c r="Y356" s="629">
        <v>0</v>
      </c>
      <c r="Z356" s="629">
        <v>0</v>
      </c>
      <c r="AA356" s="629">
        <v>0</v>
      </c>
      <c r="AB356" s="629">
        <v>0</v>
      </c>
      <c r="AC356" s="629">
        <v>0</v>
      </c>
      <c r="AD356" s="629">
        <v>0</v>
      </c>
      <c r="AE356" s="629">
        <v>0</v>
      </c>
    </row>
    <row r="357" spans="1:31">
      <c r="A357" s="632" t="s">
        <v>2424</v>
      </c>
      <c r="B357" s="445">
        <v>-264.58103999999997</v>
      </c>
      <c r="C357" s="445">
        <v>2586.1218599999902</v>
      </c>
      <c r="D357" s="445">
        <v>1627.5504900000001</v>
      </c>
      <c r="E357" s="445">
        <v>-497.906059999999</v>
      </c>
      <c r="F357" s="445">
        <v>-84.087859999999907</v>
      </c>
      <c r="G357" s="445">
        <v>1213.8569299999999</v>
      </c>
      <c r="H357" s="445">
        <v>-1158.0038099999999</v>
      </c>
      <c r="I357" s="445">
        <v>1337.1392612264101</v>
      </c>
      <c r="J357" s="445">
        <v>1333.3696377825299</v>
      </c>
      <c r="K357" s="445">
        <v>-1428.4536852107799</v>
      </c>
      <c r="L357" s="445">
        <v>410.10954266542899</v>
      </c>
      <c r="M357" s="445">
        <v>894.47716367437295</v>
      </c>
      <c r="N357" s="445">
        <v>-1022.82051769357</v>
      </c>
      <c r="P357" s="445">
        <v>1646.55342946941</v>
      </c>
      <c r="Q357" s="445">
        <v>1396.8538993059799</v>
      </c>
      <c r="R357" s="445">
        <v>-1864.39064569539</v>
      </c>
      <c r="S357" s="445">
        <v>414.774633098447</v>
      </c>
      <c r="T357" s="445">
        <v>787.76676128147301</v>
      </c>
      <c r="U357" s="445">
        <v>-1830.3155803597101</v>
      </c>
      <c r="V357" s="445">
        <v>1278.29000235789</v>
      </c>
      <c r="W357" s="445">
        <v>1339.1477928043601</v>
      </c>
      <c r="X357" s="445">
        <v>-2179.02071667159</v>
      </c>
      <c r="Y357" s="445">
        <v>439.96186761716501</v>
      </c>
      <c r="Z357" s="445">
        <v>862.57428222375495</v>
      </c>
      <c r="AA357" s="445">
        <v>-1444.85814613927</v>
      </c>
      <c r="AB357" s="445">
        <v>1791.95677368837</v>
      </c>
      <c r="AC357" s="445">
        <v>1547.27958953957</v>
      </c>
      <c r="AD357" s="445">
        <v>-946.24880576792702</v>
      </c>
      <c r="AE357" s="445">
        <v>469.98767387323699</v>
      </c>
    </row>
    <row r="358" spans="1:31">
      <c r="A358" s="444" t="s">
        <v>2425</v>
      </c>
      <c r="B358" s="445">
        <v>27699.05416</v>
      </c>
      <c r="C358" s="445">
        <v>2.0000000000000002E-5</v>
      </c>
      <c r="D358" s="445">
        <v>0</v>
      </c>
      <c r="E358" s="445">
        <v>5622.1834799999997</v>
      </c>
      <c r="F358" s="445">
        <v>-281.23155999999898</v>
      </c>
      <c r="G358" s="445">
        <v>0</v>
      </c>
      <c r="H358" s="445">
        <v>9849.5449299999891</v>
      </c>
      <c r="I358" s="445">
        <v>9.0345223848299696</v>
      </c>
      <c r="J358" s="445">
        <v>9.0345223848299696</v>
      </c>
      <c r="K358" s="445">
        <v>23641.519235535001</v>
      </c>
      <c r="L358" s="445">
        <v>9.0345223848299696</v>
      </c>
      <c r="M358" s="445">
        <v>9.0345223848299696</v>
      </c>
      <c r="N358" s="445">
        <v>12732.190382704101</v>
      </c>
      <c r="P358" s="445">
        <v>9.0345223848299696</v>
      </c>
      <c r="Q358" s="445">
        <v>9.0345223848299696</v>
      </c>
      <c r="R358" s="445">
        <v>9057.2120930344099</v>
      </c>
      <c r="S358" s="445">
        <v>-832.71686657350403</v>
      </c>
      <c r="T358" s="445">
        <v>9.0345223848299696</v>
      </c>
      <c r="U358" s="445">
        <v>11672.5283700611</v>
      </c>
      <c r="V358" s="445">
        <v>9.0345223848299696</v>
      </c>
      <c r="W358" s="445">
        <v>9.0345223848299696</v>
      </c>
      <c r="X358" s="445">
        <v>9745.0820068180201</v>
      </c>
      <c r="Y358" s="445">
        <v>9.0345223848299696</v>
      </c>
      <c r="Z358" s="445">
        <v>9.0345223848299696</v>
      </c>
      <c r="AA358" s="445">
        <v>10335.5490755963</v>
      </c>
      <c r="AB358" s="445">
        <v>9.0345223848299696</v>
      </c>
      <c r="AC358" s="445">
        <v>9.0345223848299696</v>
      </c>
      <c r="AD358" s="445">
        <v>-260.05586137349002</v>
      </c>
      <c r="AE358" s="445">
        <v>-582.47694359755099</v>
      </c>
    </row>
    <row r="359" spans="1:31" ht="15.75" thickBot="1">
      <c r="A359" s="444" t="s">
        <v>2426</v>
      </c>
      <c r="B359" s="629">
        <v>0</v>
      </c>
      <c r="C359" s="629">
        <v>0</v>
      </c>
      <c r="D359" s="629">
        <v>0</v>
      </c>
      <c r="E359" s="629">
        <v>0</v>
      </c>
      <c r="F359" s="629">
        <v>0</v>
      </c>
      <c r="G359" s="629">
        <v>0</v>
      </c>
      <c r="H359" s="629">
        <v>0</v>
      </c>
      <c r="I359" s="629">
        <v>0</v>
      </c>
      <c r="J359" s="629">
        <v>0</v>
      </c>
      <c r="K359" s="629">
        <v>0</v>
      </c>
      <c r="L359" s="629">
        <v>0</v>
      </c>
      <c r="M359" s="629">
        <v>0</v>
      </c>
      <c r="N359" s="629">
        <v>0</v>
      </c>
      <c r="O359" s="629"/>
      <c r="P359" s="629">
        <v>0</v>
      </c>
      <c r="Q359" s="629">
        <v>0</v>
      </c>
      <c r="R359" s="629">
        <v>0</v>
      </c>
      <c r="S359" s="629">
        <v>0</v>
      </c>
      <c r="T359" s="629">
        <v>0</v>
      </c>
      <c r="U359" s="629">
        <v>0</v>
      </c>
      <c r="V359" s="629">
        <v>0</v>
      </c>
      <c r="W359" s="629">
        <v>0</v>
      </c>
      <c r="X359" s="629">
        <v>0</v>
      </c>
      <c r="Y359" s="629">
        <v>0</v>
      </c>
      <c r="Z359" s="629">
        <v>0</v>
      </c>
      <c r="AA359" s="629">
        <v>0</v>
      </c>
      <c r="AB359" s="629">
        <v>0</v>
      </c>
      <c r="AC359" s="629">
        <v>0</v>
      </c>
      <c r="AD359" s="629">
        <v>0</v>
      </c>
      <c r="AE359" s="629">
        <v>0</v>
      </c>
    </row>
    <row r="360" spans="1:31">
      <c r="A360" s="632" t="s">
        <v>2427</v>
      </c>
      <c r="B360" s="445">
        <v>27699.05416</v>
      </c>
      <c r="C360" s="445">
        <v>2.0000000000000002E-5</v>
      </c>
      <c r="D360" s="445">
        <v>0</v>
      </c>
      <c r="E360" s="445">
        <v>5622.1834799999997</v>
      </c>
      <c r="F360" s="445">
        <v>-281.23155999999898</v>
      </c>
      <c r="G360" s="445">
        <v>0</v>
      </c>
      <c r="H360" s="445">
        <v>9849.5449299999891</v>
      </c>
      <c r="I360" s="445">
        <v>9.0345223848299696</v>
      </c>
      <c r="J360" s="445">
        <v>9.0345223848299696</v>
      </c>
      <c r="K360" s="445">
        <v>23641.519235535001</v>
      </c>
      <c r="L360" s="445">
        <v>9.0345223848299696</v>
      </c>
      <c r="M360" s="445">
        <v>9.0345223848299696</v>
      </c>
      <c r="N360" s="445">
        <v>12732.190382704101</v>
      </c>
      <c r="P360" s="445">
        <v>9.0345223848299696</v>
      </c>
      <c r="Q360" s="445">
        <v>9.0345223848299696</v>
      </c>
      <c r="R360" s="445">
        <v>9057.2120930344099</v>
      </c>
      <c r="S360" s="445">
        <v>-832.71686657350403</v>
      </c>
      <c r="T360" s="445">
        <v>9.0345223848299696</v>
      </c>
      <c r="U360" s="445">
        <v>11672.5283700611</v>
      </c>
      <c r="V360" s="445">
        <v>9.0345223848299696</v>
      </c>
      <c r="W360" s="445">
        <v>9.0345223848299696</v>
      </c>
      <c r="X360" s="445">
        <v>9745.0820068180201</v>
      </c>
      <c r="Y360" s="445">
        <v>9.0345223848299696</v>
      </c>
      <c r="Z360" s="445">
        <v>9.0345223848299696</v>
      </c>
      <c r="AA360" s="445">
        <v>10335.5490755963</v>
      </c>
      <c r="AB360" s="445">
        <v>9.0345223848299696</v>
      </c>
      <c r="AC360" s="445">
        <v>9.0345223848299696</v>
      </c>
      <c r="AD360" s="445">
        <v>-260.05586137349002</v>
      </c>
      <c r="AE360" s="445">
        <v>-582.47694359755099</v>
      </c>
    </row>
    <row r="361" spans="1:31">
      <c r="A361" s="444" t="s">
        <v>2428</v>
      </c>
      <c r="B361" s="445">
        <v>2416.8697899999902</v>
      </c>
      <c r="C361" s="445">
        <v>0</v>
      </c>
      <c r="D361" s="445">
        <v>0</v>
      </c>
      <c r="E361" s="445">
        <v>1702.34744999999</v>
      </c>
      <c r="F361" s="445">
        <v>-305.82817</v>
      </c>
      <c r="G361" s="445">
        <v>0</v>
      </c>
      <c r="H361" s="445">
        <v>2181.7761500000001</v>
      </c>
      <c r="I361" s="445">
        <v>2.1510767582928501</v>
      </c>
      <c r="J361" s="445">
        <v>2.1510767582928501</v>
      </c>
      <c r="K361" s="445">
        <v>2159.55997426466</v>
      </c>
      <c r="L361" s="445">
        <v>2.1510767582928501</v>
      </c>
      <c r="M361" s="445">
        <v>2.1510767582928501</v>
      </c>
      <c r="N361" s="445">
        <v>2188.49446888491</v>
      </c>
      <c r="P361" s="445">
        <v>2.1510767582928501</v>
      </c>
      <c r="Q361" s="445">
        <v>2.1510767582928501</v>
      </c>
      <c r="R361" s="445">
        <v>2609.7460351784398</v>
      </c>
      <c r="S361" s="445">
        <v>2.1510767582928501</v>
      </c>
      <c r="T361" s="445">
        <v>2.1510767582928501</v>
      </c>
      <c r="U361" s="445">
        <v>2609.7460351796099</v>
      </c>
      <c r="V361" s="445">
        <v>2.1510767582928501</v>
      </c>
      <c r="W361" s="445">
        <v>2.1510767582928501</v>
      </c>
      <c r="X361" s="445">
        <v>2609.74603517996</v>
      </c>
      <c r="Y361" s="445">
        <v>2.1510767582928501</v>
      </c>
      <c r="Z361" s="445">
        <v>2.1510767582928501</v>
      </c>
      <c r="AA361" s="445">
        <v>2609.7460351805098</v>
      </c>
      <c r="AB361" s="445">
        <v>2.1510767582928501</v>
      </c>
      <c r="AC361" s="445">
        <v>2.1510767582928501</v>
      </c>
      <c r="AD361" s="445">
        <v>1769.2402907432199</v>
      </c>
      <c r="AE361" s="445">
        <v>2.1510767582928501</v>
      </c>
    </row>
    <row r="362" spans="1:31" ht="15.75" thickBot="1">
      <c r="A362" s="444" t="s">
        <v>2429</v>
      </c>
      <c r="B362" s="629">
        <v>0</v>
      </c>
      <c r="C362" s="629">
        <v>0</v>
      </c>
      <c r="D362" s="629">
        <v>0</v>
      </c>
      <c r="E362" s="629">
        <v>0</v>
      </c>
      <c r="F362" s="629">
        <v>0</v>
      </c>
      <c r="G362" s="629">
        <v>0</v>
      </c>
      <c r="H362" s="629">
        <v>0</v>
      </c>
      <c r="I362" s="629">
        <v>0</v>
      </c>
      <c r="J362" s="629">
        <v>0</v>
      </c>
      <c r="K362" s="629">
        <v>0</v>
      </c>
      <c r="L362" s="629">
        <v>0</v>
      </c>
      <c r="M362" s="629">
        <v>0</v>
      </c>
      <c r="N362" s="629">
        <v>0</v>
      </c>
      <c r="O362" s="629"/>
      <c r="P362" s="629">
        <v>0</v>
      </c>
      <c r="Q362" s="629">
        <v>0</v>
      </c>
      <c r="R362" s="629">
        <v>0</v>
      </c>
      <c r="S362" s="629">
        <v>0</v>
      </c>
      <c r="T362" s="629">
        <v>0</v>
      </c>
      <c r="U362" s="629">
        <v>0</v>
      </c>
      <c r="V362" s="629">
        <v>0</v>
      </c>
      <c r="W362" s="629">
        <v>0</v>
      </c>
      <c r="X362" s="629">
        <v>0</v>
      </c>
      <c r="Y362" s="629">
        <v>0</v>
      </c>
      <c r="Z362" s="629">
        <v>0</v>
      </c>
      <c r="AA362" s="629">
        <v>0</v>
      </c>
      <c r="AB362" s="629">
        <v>0</v>
      </c>
      <c r="AC362" s="629">
        <v>0</v>
      </c>
      <c r="AD362" s="629">
        <v>0</v>
      </c>
      <c r="AE362" s="629">
        <v>0</v>
      </c>
    </row>
    <row r="363" spans="1:31">
      <c r="A363" s="632" t="s">
        <v>2430</v>
      </c>
      <c r="B363" s="445">
        <v>2416.8697899999902</v>
      </c>
      <c r="C363" s="445">
        <v>0</v>
      </c>
      <c r="D363" s="445">
        <v>0</v>
      </c>
      <c r="E363" s="445">
        <v>1702.34744999999</v>
      </c>
      <c r="F363" s="445">
        <v>-305.82817</v>
      </c>
      <c r="G363" s="445">
        <v>0</v>
      </c>
      <c r="H363" s="445">
        <v>2181.7761500000001</v>
      </c>
      <c r="I363" s="445">
        <v>2.1510767582928501</v>
      </c>
      <c r="J363" s="445">
        <v>2.1510767582928501</v>
      </c>
      <c r="K363" s="445">
        <v>2159.55997426466</v>
      </c>
      <c r="L363" s="445">
        <v>2.1510767582928501</v>
      </c>
      <c r="M363" s="445">
        <v>2.1510767582928501</v>
      </c>
      <c r="N363" s="445">
        <v>2188.49446888491</v>
      </c>
      <c r="P363" s="445">
        <v>2.1510767582928501</v>
      </c>
      <c r="Q363" s="445">
        <v>2.1510767582928501</v>
      </c>
      <c r="R363" s="445">
        <v>2609.7460351784398</v>
      </c>
      <c r="S363" s="445">
        <v>2.1510767582928501</v>
      </c>
      <c r="T363" s="445">
        <v>2.1510767582928501</v>
      </c>
      <c r="U363" s="445">
        <v>2609.7460351796099</v>
      </c>
      <c r="V363" s="445">
        <v>2.1510767582928501</v>
      </c>
      <c r="W363" s="445">
        <v>2.1510767582928501</v>
      </c>
      <c r="X363" s="445">
        <v>2609.74603517996</v>
      </c>
      <c r="Y363" s="445">
        <v>2.1510767582928501</v>
      </c>
      <c r="Z363" s="445">
        <v>2.1510767582928501</v>
      </c>
      <c r="AA363" s="445">
        <v>2609.7460351805098</v>
      </c>
      <c r="AB363" s="445">
        <v>2.1510767582928501</v>
      </c>
      <c r="AC363" s="445">
        <v>2.1510767582928501</v>
      </c>
      <c r="AD363" s="445">
        <v>1769.2402907432199</v>
      </c>
      <c r="AE363" s="445">
        <v>2.1510767582928501</v>
      </c>
    </row>
    <row r="364" spans="1:31" ht="15.75" thickBot="1">
      <c r="A364" s="444" t="s">
        <v>2431</v>
      </c>
      <c r="B364" s="629">
        <v>3525.1234599999998</v>
      </c>
      <c r="C364" s="629">
        <v>3815.9516699999999</v>
      </c>
      <c r="D364" s="629">
        <v>3645.3858399999999</v>
      </c>
      <c r="E364" s="629">
        <v>3928.6614399999899</v>
      </c>
      <c r="F364" s="629">
        <v>3880.84348</v>
      </c>
      <c r="G364" s="629">
        <v>3655.9470999999999</v>
      </c>
      <c r="H364" s="629">
        <v>3814.5161899999998</v>
      </c>
      <c r="I364" s="629">
        <v>3830.3564824540699</v>
      </c>
      <c r="J364" s="629">
        <v>3815.3774824540701</v>
      </c>
      <c r="K364" s="629">
        <v>3839.95948245407</v>
      </c>
      <c r="L364" s="629">
        <v>3819.1384824540701</v>
      </c>
      <c r="M364" s="629">
        <v>3833.6244824540699</v>
      </c>
      <c r="N364" s="629">
        <v>3933.8624824540698</v>
      </c>
      <c r="O364" s="629"/>
      <c r="P364" s="629">
        <v>4034.3515221136799</v>
      </c>
      <c r="Q364" s="629">
        <v>4051.9685221136801</v>
      </c>
      <c r="R364" s="629">
        <v>4042.3345221136801</v>
      </c>
      <c r="S364" s="629">
        <v>4045.18452211368</v>
      </c>
      <c r="T364" s="629">
        <v>4033.5295221136898</v>
      </c>
      <c r="U364" s="629">
        <v>4053.8255221136801</v>
      </c>
      <c r="V364" s="629">
        <v>4041.6515221136801</v>
      </c>
      <c r="W364" s="629">
        <v>4036.0445221136802</v>
      </c>
      <c r="X364" s="629">
        <v>4050.76252211369</v>
      </c>
      <c r="Y364" s="629">
        <v>4035.0965221136898</v>
      </c>
      <c r="Z364" s="629">
        <v>4057.6945221136898</v>
      </c>
      <c r="AA364" s="629">
        <v>4058.9845221136802</v>
      </c>
      <c r="AB364" s="629">
        <v>4240.08464735504</v>
      </c>
      <c r="AC364" s="629">
        <v>4259.5116473550397</v>
      </c>
      <c r="AD364" s="629">
        <v>4238.95964735504</v>
      </c>
      <c r="AE364" s="629">
        <v>4252.3376473550397</v>
      </c>
    </row>
    <row r="365" spans="1:31">
      <c r="A365" s="632" t="s">
        <v>2432</v>
      </c>
      <c r="B365" s="445">
        <v>3525.1234599999998</v>
      </c>
      <c r="C365" s="445">
        <v>3815.9516699999999</v>
      </c>
      <c r="D365" s="445">
        <v>3645.3858399999999</v>
      </c>
      <c r="E365" s="445">
        <v>3928.6614399999899</v>
      </c>
      <c r="F365" s="445">
        <v>3880.84348</v>
      </c>
      <c r="G365" s="445">
        <v>3655.9470999999999</v>
      </c>
      <c r="H365" s="445">
        <v>3814.5161899999998</v>
      </c>
      <c r="I365" s="445">
        <v>3830.3564824540699</v>
      </c>
      <c r="J365" s="445">
        <v>3815.3774824540701</v>
      </c>
      <c r="K365" s="445">
        <v>3839.95948245407</v>
      </c>
      <c r="L365" s="445">
        <v>3819.1384824540701</v>
      </c>
      <c r="M365" s="445">
        <v>3833.6244824540699</v>
      </c>
      <c r="N365" s="445">
        <v>3933.8624824540698</v>
      </c>
      <c r="P365" s="445">
        <v>4034.3515221136799</v>
      </c>
      <c r="Q365" s="445">
        <v>4051.9685221136801</v>
      </c>
      <c r="R365" s="445">
        <v>4042.3345221136801</v>
      </c>
      <c r="S365" s="445">
        <v>4045.18452211368</v>
      </c>
      <c r="T365" s="445">
        <v>4033.5295221136898</v>
      </c>
      <c r="U365" s="445">
        <v>4053.8255221136801</v>
      </c>
      <c r="V365" s="445">
        <v>4041.6515221136801</v>
      </c>
      <c r="W365" s="445">
        <v>4036.0445221136802</v>
      </c>
      <c r="X365" s="445">
        <v>4050.76252211369</v>
      </c>
      <c r="Y365" s="445">
        <v>4035.0965221136898</v>
      </c>
      <c r="Z365" s="445">
        <v>4057.6945221136898</v>
      </c>
      <c r="AA365" s="445">
        <v>4058.9845221136802</v>
      </c>
      <c r="AB365" s="445">
        <v>4240.08464735504</v>
      </c>
      <c r="AC365" s="445">
        <v>4259.5116473550397</v>
      </c>
      <c r="AD365" s="445">
        <v>4238.95964735504</v>
      </c>
      <c r="AE365" s="445">
        <v>4252.3376473550397</v>
      </c>
    </row>
    <row r="366" spans="1:31" ht="15.75" thickBot="1">
      <c r="A366" s="444" t="s">
        <v>2433</v>
      </c>
      <c r="B366" s="629">
        <v>0</v>
      </c>
      <c r="C366" s="629">
        <v>0</v>
      </c>
      <c r="D366" s="629">
        <v>0</v>
      </c>
      <c r="E366" s="629">
        <v>0</v>
      </c>
      <c r="F366" s="629">
        <v>0</v>
      </c>
      <c r="G366" s="629">
        <v>0</v>
      </c>
      <c r="H366" s="629">
        <v>0</v>
      </c>
      <c r="I366" s="629">
        <v>0</v>
      </c>
      <c r="J366" s="629">
        <v>0</v>
      </c>
      <c r="K366" s="629">
        <v>0</v>
      </c>
      <c r="L366" s="629">
        <v>0</v>
      </c>
      <c r="M366" s="629">
        <v>0</v>
      </c>
      <c r="N366" s="629">
        <v>0</v>
      </c>
      <c r="O366" s="629"/>
      <c r="P366" s="629">
        <v>0</v>
      </c>
      <c r="Q366" s="629">
        <v>0</v>
      </c>
      <c r="R366" s="629">
        <v>0</v>
      </c>
      <c r="S366" s="629">
        <v>0</v>
      </c>
      <c r="T366" s="629">
        <v>0</v>
      </c>
      <c r="U366" s="629">
        <v>0</v>
      </c>
      <c r="V366" s="629">
        <v>0</v>
      </c>
      <c r="W366" s="629">
        <v>0</v>
      </c>
      <c r="X366" s="629">
        <v>0</v>
      </c>
      <c r="Y366" s="629">
        <v>0</v>
      </c>
      <c r="Z366" s="629">
        <v>0</v>
      </c>
      <c r="AA366" s="629">
        <v>0</v>
      </c>
      <c r="AB366" s="629">
        <v>0</v>
      </c>
      <c r="AC366" s="629">
        <v>0</v>
      </c>
      <c r="AD366" s="629">
        <v>0</v>
      </c>
      <c r="AE366" s="629">
        <v>0</v>
      </c>
    </row>
    <row r="367" spans="1:31">
      <c r="A367" s="632" t="s">
        <v>2434</v>
      </c>
      <c r="B367" s="445">
        <v>0</v>
      </c>
      <c r="C367" s="445">
        <v>0</v>
      </c>
      <c r="D367" s="445">
        <v>0</v>
      </c>
      <c r="E367" s="445">
        <v>0</v>
      </c>
      <c r="F367" s="445">
        <v>0</v>
      </c>
      <c r="G367" s="445">
        <v>0</v>
      </c>
      <c r="H367" s="445">
        <v>0</v>
      </c>
      <c r="I367" s="445">
        <v>0</v>
      </c>
      <c r="J367" s="445">
        <v>0</v>
      </c>
      <c r="K367" s="445">
        <v>0</v>
      </c>
      <c r="L367" s="445">
        <v>0</v>
      </c>
      <c r="M367" s="445">
        <v>0</v>
      </c>
      <c r="N367" s="445">
        <v>0</v>
      </c>
      <c r="P367" s="445">
        <v>0</v>
      </c>
      <c r="Q367" s="445">
        <v>0</v>
      </c>
      <c r="R367" s="445">
        <v>0</v>
      </c>
      <c r="S367" s="445">
        <v>0</v>
      </c>
      <c r="T367" s="445">
        <v>0</v>
      </c>
      <c r="U367" s="445">
        <v>0</v>
      </c>
      <c r="V367" s="445">
        <v>0</v>
      </c>
      <c r="W367" s="445">
        <v>0</v>
      </c>
      <c r="X367" s="445">
        <v>0</v>
      </c>
      <c r="Y367" s="445">
        <v>0</v>
      </c>
      <c r="Z367" s="445">
        <v>0</v>
      </c>
      <c r="AA367" s="445">
        <v>0</v>
      </c>
      <c r="AB367" s="445">
        <v>0</v>
      </c>
      <c r="AC367" s="445">
        <v>0</v>
      </c>
      <c r="AD367" s="445">
        <v>0</v>
      </c>
      <c r="AE367" s="445">
        <v>0</v>
      </c>
    </row>
    <row r="368" spans="1:31" ht="15.75" thickBot="1">
      <c r="A368" s="444" t="s">
        <v>2435</v>
      </c>
      <c r="B368" s="629">
        <v>-93.308000000000007</v>
      </c>
      <c r="C368" s="629">
        <v>-93.975999999999999</v>
      </c>
      <c r="D368" s="629">
        <v>-93.975999999999999</v>
      </c>
      <c r="E368" s="629">
        <v>-93.974999999999994</v>
      </c>
      <c r="F368" s="629">
        <v>-93.975999999999999</v>
      </c>
      <c r="G368" s="629">
        <v>-93.975999999999999</v>
      </c>
      <c r="H368" s="629">
        <v>-93.974999999999994</v>
      </c>
      <c r="I368" s="629">
        <v>-93.975891052515905</v>
      </c>
      <c r="J368" s="629">
        <v>-93.975891052515905</v>
      </c>
      <c r="K368" s="629">
        <v>-93.975891052515905</v>
      </c>
      <c r="L368" s="629">
        <v>-93.975891052515905</v>
      </c>
      <c r="M368" s="629">
        <v>-93.975891052515905</v>
      </c>
      <c r="N368" s="629">
        <v>-93.975891052515905</v>
      </c>
      <c r="O368" s="629"/>
      <c r="P368" s="629">
        <v>-86.009224385849294</v>
      </c>
      <c r="Q368" s="629">
        <v>-86.009224385849294</v>
      </c>
      <c r="R368" s="629">
        <v>-86.009224385849294</v>
      </c>
      <c r="S368" s="629">
        <v>-86.009224385849294</v>
      </c>
      <c r="T368" s="629">
        <v>-86.009224385849294</v>
      </c>
      <c r="U368" s="629">
        <v>-86.009224385849294</v>
      </c>
      <c r="V368" s="629">
        <v>-86.009224385849294</v>
      </c>
      <c r="W368" s="629">
        <v>-86.009224385849294</v>
      </c>
      <c r="X368" s="629">
        <v>-86.009224385849294</v>
      </c>
      <c r="Y368" s="629">
        <v>-86.009224385849294</v>
      </c>
      <c r="Z368" s="629">
        <v>-86.009224385849294</v>
      </c>
      <c r="AA368" s="629">
        <v>-86.009224385849294</v>
      </c>
      <c r="AB368" s="629">
        <v>-80.175057719182604</v>
      </c>
      <c r="AC368" s="629">
        <v>-80.175057719182604</v>
      </c>
      <c r="AD368" s="629">
        <v>-80.175057719182604</v>
      </c>
      <c r="AE368" s="629">
        <v>-80.175057719182604</v>
      </c>
    </row>
    <row r="369" spans="1:32">
      <c r="A369" s="632" t="s">
        <v>2436</v>
      </c>
      <c r="B369" s="445">
        <v>-93.308000000000007</v>
      </c>
      <c r="C369" s="445">
        <v>-93.975999999999999</v>
      </c>
      <c r="D369" s="445">
        <v>-93.975999999999999</v>
      </c>
      <c r="E369" s="445">
        <v>-93.974999999999994</v>
      </c>
      <c r="F369" s="445">
        <v>-93.975999999999999</v>
      </c>
      <c r="G369" s="445">
        <v>-93.975999999999999</v>
      </c>
      <c r="H369" s="445">
        <v>-93.974999999999994</v>
      </c>
      <c r="I369" s="445">
        <v>-93.975891052515905</v>
      </c>
      <c r="J369" s="445">
        <v>-93.975891052515905</v>
      </c>
      <c r="K369" s="445">
        <v>-93.975891052515905</v>
      </c>
      <c r="L369" s="445">
        <v>-93.975891052515905</v>
      </c>
      <c r="M369" s="445">
        <v>-93.975891052515905</v>
      </c>
      <c r="N369" s="445">
        <v>-93.975891052515905</v>
      </c>
      <c r="P369" s="445">
        <v>-86.009224385849294</v>
      </c>
      <c r="Q369" s="445">
        <v>-86.009224385849294</v>
      </c>
      <c r="R369" s="445">
        <v>-86.009224385849294</v>
      </c>
      <c r="S369" s="445">
        <v>-86.009224385849294</v>
      </c>
      <c r="T369" s="445">
        <v>-86.009224385849294</v>
      </c>
      <c r="U369" s="445">
        <v>-86.009224385849294</v>
      </c>
      <c r="V369" s="445">
        <v>-86.009224385849294</v>
      </c>
      <c r="W369" s="445">
        <v>-86.009224385849294</v>
      </c>
      <c r="X369" s="445">
        <v>-86.009224385849294</v>
      </c>
      <c r="Y369" s="445">
        <v>-86.009224385849294</v>
      </c>
      <c r="Z369" s="445">
        <v>-86.009224385849294</v>
      </c>
      <c r="AA369" s="445">
        <v>-86.009224385849294</v>
      </c>
      <c r="AB369" s="445">
        <v>-80.175057719182604</v>
      </c>
      <c r="AC369" s="445">
        <v>-80.175057719182604</v>
      </c>
      <c r="AD369" s="445">
        <v>-80.175057719182604</v>
      </c>
      <c r="AE369" s="445">
        <v>-80.175057719182604</v>
      </c>
    </row>
    <row r="370" spans="1:32" ht="15.75" thickBot="1">
      <c r="A370" s="444" t="s">
        <v>2437</v>
      </c>
      <c r="B370" s="629">
        <v>-2.73</v>
      </c>
      <c r="C370" s="629">
        <v>0</v>
      </c>
      <c r="D370" s="629">
        <v>-6.7515000000000001</v>
      </c>
      <c r="E370" s="629">
        <v>-6.9580000000000003E-2</v>
      </c>
      <c r="F370" s="629">
        <v>-3.5070800000000002</v>
      </c>
      <c r="G370" s="629">
        <v>0</v>
      </c>
      <c r="H370" s="629">
        <v>-7.4645999999999999</v>
      </c>
      <c r="I370" s="629">
        <v>0</v>
      </c>
      <c r="J370" s="629">
        <v>0</v>
      </c>
      <c r="K370" s="629">
        <v>0</v>
      </c>
      <c r="L370" s="629">
        <v>0</v>
      </c>
      <c r="M370" s="629">
        <v>0</v>
      </c>
      <c r="N370" s="629">
        <v>0</v>
      </c>
      <c r="O370" s="629"/>
      <c r="P370" s="629">
        <v>0</v>
      </c>
      <c r="Q370" s="629">
        <v>0</v>
      </c>
      <c r="R370" s="629">
        <v>0</v>
      </c>
      <c r="S370" s="629">
        <v>0</v>
      </c>
      <c r="T370" s="629">
        <v>0</v>
      </c>
      <c r="U370" s="629">
        <v>0</v>
      </c>
      <c r="V370" s="629">
        <v>0</v>
      </c>
      <c r="W370" s="629">
        <v>0</v>
      </c>
      <c r="X370" s="629">
        <v>0</v>
      </c>
      <c r="Y370" s="629">
        <v>0</v>
      </c>
      <c r="Z370" s="629">
        <v>0</v>
      </c>
      <c r="AA370" s="629">
        <v>0</v>
      </c>
      <c r="AB370" s="629">
        <v>0</v>
      </c>
      <c r="AC370" s="629">
        <v>0</v>
      </c>
      <c r="AD370" s="629">
        <v>0</v>
      </c>
      <c r="AE370" s="629">
        <v>0</v>
      </c>
    </row>
    <row r="371" spans="1:32">
      <c r="A371" s="632" t="s">
        <v>2438</v>
      </c>
      <c r="B371" s="445">
        <v>-2.73</v>
      </c>
      <c r="C371" s="445">
        <v>0</v>
      </c>
      <c r="D371" s="445">
        <v>-6.7515000000000001</v>
      </c>
      <c r="E371" s="445">
        <v>-6.9580000000000003E-2</v>
      </c>
      <c r="F371" s="445">
        <v>-3.5070800000000002</v>
      </c>
      <c r="G371" s="445">
        <v>0</v>
      </c>
      <c r="H371" s="445">
        <v>-7.4645999999999999</v>
      </c>
      <c r="I371" s="445">
        <v>0</v>
      </c>
      <c r="J371" s="445">
        <v>0</v>
      </c>
      <c r="K371" s="445">
        <v>0</v>
      </c>
      <c r="L371" s="445">
        <v>0</v>
      </c>
      <c r="M371" s="445">
        <v>0</v>
      </c>
      <c r="N371" s="445">
        <v>0</v>
      </c>
      <c r="P371" s="445">
        <v>0</v>
      </c>
      <c r="Q371" s="445">
        <v>0</v>
      </c>
      <c r="R371" s="445">
        <v>0</v>
      </c>
      <c r="S371" s="445">
        <v>0</v>
      </c>
      <c r="T371" s="445">
        <v>0</v>
      </c>
      <c r="U371" s="445">
        <v>0</v>
      </c>
      <c r="V371" s="445">
        <v>0</v>
      </c>
      <c r="W371" s="445">
        <v>0</v>
      </c>
      <c r="X371" s="445">
        <v>0</v>
      </c>
      <c r="Y371" s="445">
        <v>0</v>
      </c>
      <c r="Z371" s="445">
        <v>0</v>
      </c>
      <c r="AA371" s="445">
        <v>0</v>
      </c>
      <c r="AB371" s="445">
        <v>0</v>
      </c>
      <c r="AC371" s="445">
        <v>0</v>
      </c>
      <c r="AD371" s="445">
        <v>0</v>
      </c>
      <c r="AE371" s="445">
        <v>0</v>
      </c>
    </row>
    <row r="372" spans="1:32">
      <c r="B372" s="628"/>
      <c r="C372" s="628"/>
      <c r="D372" s="628"/>
      <c r="E372" s="628"/>
      <c r="F372" s="628"/>
      <c r="G372" s="628"/>
      <c r="H372" s="628"/>
      <c r="I372" s="628"/>
      <c r="J372" s="628"/>
      <c r="K372" s="628"/>
      <c r="L372" s="628"/>
      <c r="M372" s="628"/>
      <c r="N372" s="628"/>
      <c r="O372" s="628"/>
      <c r="P372" s="628"/>
      <c r="Q372" s="628"/>
      <c r="R372" s="628"/>
      <c r="S372" s="628"/>
      <c r="T372" s="628"/>
      <c r="U372" s="628"/>
      <c r="V372" s="628"/>
      <c r="W372" s="628"/>
      <c r="X372" s="628"/>
      <c r="Y372" s="628"/>
      <c r="Z372" s="628"/>
      <c r="AA372" s="628"/>
      <c r="AB372" s="628"/>
      <c r="AC372" s="628"/>
      <c r="AD372" s="628"/>
      <c r="AE372" s="628"/>
    </row>
    <row r="373" spans="1:32">
      <c r="A373" s="447" t="s">
        <v>2439</v>
      </c>
      <c r="B373" s="626">
        <v>34781.782919999998</v>
      </c>
      <c r="C373" s="626">
        <v>30917.987629999901</v>
      </c>
      <c r="D373" s="626">
        <v>26711.47178</v>
      </c>
      <c r="E373" s="626">
        <v>23410.365119999999</v>
      </c>
      <c r="F373" s="626">
        <v>21483.404869999998</v>
      </c>
      <c r="G373" s="626">
        <v>25843.403620000001</v>
      </c>
      <c r="H373" s="626">
        <v>24568.760979999999</v>
      </c>
      <c r="I373" s="626">
        <v>26900.634306105199</v>
      </c>
      <c r="J373" s="626">
        <v>27010.816300533501</v>
      </c>
      <c r="K373" s="626">
        <v>22995.764626370699</v>
      </c>
      <c r="L373" s="626">
        <v>22761.686847685</v>
      </c>
      <c r="M373" s="626">
        <v>25421.004740389199</v>
      </c>
      <c r="N373" s="626">
        <v>26459.0990518695</v>
      </c>
      <c r="O373" s="626"/>
      <c r="P373" s="626">
        <v>29918.878085782999</v>
      </c>
      <c r="Q373" s="626">
        <v>28879.0600178655</v>
      </c>
      <c r="R373" s="626">
        <v>23145.499685954601</v>
      </c>
      <c r="S373" s="626">
        <v>23051.7120678965</v>
      </c>
      <c r="T373" s="626">
        <v>29438.7098549853</v>
      </c>
      <c r="U373" s="626">
        <v>29673.358731723802</v>
      </c>
      <c r="V373" s="626">
        <v>32095.324980901099</v>
      </c>
      <c r="W373" s="626">
        <v>32451.8976487451</v>
      </c>
      <c r="X373" s="626">
        <v>26176.370508811098</v>
      </c>
      <c r="Y373" s="626">
        <v>28052.2847196697</v>
      </c>
      <c r="Z373" s="626">
        <v>30289.989744958399</v>
      </c>
      <c r="AA373" s="626">
        <v>30865.8101045814</v>
      </c>
      <c r="AB373" s="626">
        <v>35582.2797644249</v>
      </c>
      <c r="AC373" s="626">
        <v>34352.243588056299</v>
      </c>
      <c r="AD373" s="626">
        <v>27719.939138664799</v>
      </c>
      <c r="AE373" s="626">
        <v>28578.8192492362</v>
      </c>
    </row>
    <row r="374" spans="1:32" ht="15.75" thickBot="1">
      <c r="A374" s="633" t="s">
        <v>539</v>
      </c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9"/>
      <c r="Q374" s="629"/>
      <c r="R374" s="629"/>
      <c r="S374" s="629"/>
      <c r="T374" s="629"/>
      <c r="U374" s="629"/>
      <c r="V374" s="629"/>
      <c r="W374" s="629"/>
      <c r="X374" s="629"/>
      <c r="Y374" s="629"/>
      <c r="Z374" s="629"/>
      <c r="AA374" s="629"/>
      <c r="AB374" s="629"/>
      <c r="AC374" s="629"/>
      <c r="AD374" s="629"/>
      <c r="AE374" s="629"/>
    </row>
    <row r="375" spans="1:32" ht="15.75" thickBot="1">
      <c r="A375" s="634" t="s">
        <v>2064</v>
      </c>
      <c r="B375" s="635">
        <v>30790.69643</v>
      </c>
      <c r="C375" s="635">
        <v>38234.767839999899</v>
      </c>
      <c r="D375" s="635">
        <v>26252.5307599999</v>
      </c>
      <c r="E375" s="635">
        <v>27235.44499</v>
      </c>
      <c r="F375" s="635">
        <v>15139.68109</v>
      </c>
      <c r="G375" s="635">
        <v>24750.580219999902</v>
      </c>
      <c r="H375" s="635">
        <v>29412.70967</v>
      </c>
      <c r="I375" s="635">
        <v>27092.328471987599</v>
      </c>
      <c r="J375" s="635">
        <v>27072.219862113801</v>
      </c>
      <c r="K375" s="635">
        <v>23957.0291808865</v>
      </c>
      <c r="L375" s="635">
        <v>13370.4639347887</v>
      </c>
      <c r="M375" s="635">
        <v>20727.847299258901</v>
      </c>
      <c r="N375" s="635">
        <v>29645.199745979298</v>
      </c>
      <c r="O375" s="635"/>
      <c r="P375" s="635">
        <v>32112.193281937401</v>
      </c>
      <c r="Q375" s="635">
        <v>28332.524963950302</v>
      </c>
      <c r="R375" s="635">
        <v>26726.469904359899</v>
      </c>
      <c r="S375" s="635">
        <v>14680.804846806501</v>
      </c>
      <c r="T375" s="635">
        <v>20642.9061081728</v>
      </c>
      <c r="U375" s="635">
        <v>25664.569991210301</v>
      </c>
      <c r="V375" s="635">
        <v>27735.931322427699</v>
      </c>
      <c r="W375" s="635">
        <v>28670.494100017499</v>
      </c>
      <c r="X375" s="635">
        <v>22439.070914756699</v>
      </c>
      <c r="Y375" s="635">
        <v>15284.3300903939</v>
      </c>
      <c r="Z375" s="635">
        <v>21723.854040928702</v>
      </c>
      <c r="AA375" s="635">
        <v>33110.884378759998</v>
      </c>
      <c r="AB375" s="635">
        <v>35640.782243386901</v>
      </c>
      <c r="AC375" s="635">
        <v>31847.8341913845</v>
      </c>
      <c r="AD375" s="635">
        <v>29375.031131104399</v>
      </c>
      <c r="AE375" s="635">
        <v>16384.105939837998</v>
      </c>
    </row>
    <row r="376" spans="1:32">
      <c r="A376" s="444" t="s">
        <v>539</v>
      </c>
    </row>
    <row r="377" spans="1:32">
      <c r="A377" s="444" t="s">
        <v>2440</v>
      </c>
      <c r="B377" s="445">
        <v>0</v>
      </c>
      <c r="C377" s="445">
        <v>0</v>
      </c>
      <c r="D377" s="445">
        <v>0</v>
      </c>
      <c r="E377" s="445">
        <v>0</v>
      </c>
      <c r="F377" s="445">
        <v>0</v>
      </c>
      <c r="G377" s="445">
        <v>0</v>
      </c>
      <c r="H377" s="445">
        <v>0</v>
      </c>
      <c r="I377" s="445">
        <v>0</v>
      </c>
      <c r="J377" s="445">
        <v>0</v>
      </c>
      <c r="K377" s="445">
        <v>0</v>
      </c>
      <c r="L377" s="445">
        <v>0</v>
      </c>
      <c r="M377" s="445">
        <v>0</v>
      </c>
      <c r="N377" s="445">
        <v>0</v>
      </c>
      <c r="P377" s="445">
        <v>0</v>
      </c>
      <c r="Q377" s="445">
        <v>0</v>
      </c>
      <c r="R377" s="445">
        <v>0</v>
      </c>
      <c r="S377" s="445">
        <v>0</v>
      </c>
      <c r="T377" s="445">
        <v>0</v>
      </c>
      <c r="U377" s="445">
        <v>0</v>
      </c>
      <c r="V377" s="445">
        <v>0</v>
      </c>
      <c r="W377" s="445">
        <v>0</v>
      </c>
      <c r="X377" s="445">
        <v>0</v>
      </c>
      <c r="Y377" s="445">
        <v>0</v>
      </c>
      <c r="Z377" s="445">
        <v>0</v>
      </c>
      <c r="AA377" s="445">
        <v>0</v>
      </c>
      <c r="AB377" s="445">
        <v>0</v>
      </c>
      <c r="AC377" s="445">
        <v>0</v>
      </c>
      <c r="AD377" s="445">
        <v>0</v>
      </c>
      <c r="AE377" s="445">
        <v>0</v>
      </c>
    </row>
    <row r="378" spans="1:32">
      <c r="A378" s="444" t="s">
        <v>2441</v>
      </c>
      <c r="B378" s="445">
        <v>0</v>
      </c>
      <c r="C378" s="445">
        <v>0</v>
      </c>
      <c r="D378" s="445">
        <v>0</v>
      </c>
      <c r="E378" s="445">
        <v>0</v>
      </c>
      <c r="F378" s="445">
        <v>0</v>
      </c>
      <c r="G378" s="445">
        <v>0</v>
      </c>
      <c r="H378" s="445">
        <v>0</v>
      </c>
      <c r="I378" s="445">
        <v>0</v>
      </c>
      <c r="J378" s="445">
        <v>0</v>
      </c>
      <c r="K378" s="445">
        <v>0</v>
      </c>
      <c r="L378" s="445">
        <v>0</v>
      </c>
      <c r="M378" s="445">
        <v>0</v>
      </c>
      <c r="N378" s="445">
        <v>0</v>
      </c>
      <c r="P378" s="445">
        <v>0</v>
      </c>
      <c r="Q378" s="445">
        <v>0</v>
      </c>
      <c r="R378" s="445">
        <v>0</v>
      </c>
      <c r="S378" s="445">
        <v>0</v>
      </c>
      <c r="T378" s="445">
        <v>0</v>
      </c>
      <c r="U378" s="445">
        <v>0</v>
      </c>
      <c r="V378" s="445">
        <v>0</v>
      </c>
      <c r="W378" s="445">
        <v>0</v>
      </c>
      <c r="X378" s="445">
        <v>0</v>
      </c>
      <c r="Y378" s="445">
        <v>0</v>
      </c>
      <c r="Z378" s="445">
        <v>0</v>
      </c>
      <c r="AA378" s="445">
        <v>0</v>
      </c>
      <c r="AB378" s="445">
        <v>0</v>
      </c>
      <c r="AC378" s="445">
        <v>0</v>
      </c>
      <c r="AD378" s="445">
        <v>0</v>
      </c>
      <c r="AE378" s="445">
        <v>0</v>
      </c>
    </row>
    <row r="379" spans="1:32">
      <c r="A379" s="444" t="s">
        <v>2442</v>
      </c>
      <c r="B379" s="445">
        <v>0</v>
      </c>
      <c r="C379" s="445">
        <v>0</v>
      </c>
      <c r="D379" s="445">
        <v>0</v>
      </c>
      <c r="E379" s="445">
        <v>0</v>
      </c>
      <c r="F379" s="445">
        <v>0</v>
      </c>
      <c r="G379" s="445">
        <v>0</v>
      </c>
      <c r="H379" s="445">
        <v>0</v>
      </c>
      <c r="I379" s="445">
        <v>0</v>
      </c>
      <c r="J379" s="445">
        <v>0</v>
      </c>
      <c r="K379" s="445">
        <v>0</v>
      </c>
      <c r="L379" s="445">
        <v>0</v>
      </c>
      <c r="M379" s="445">
        <v>0</v>
      </c>
      <c r="N379" s="445">
        <v>0</v>
      </c>
      <c r="P379" s="445">
        <v>0</v>
      </c>
      <c r="Q379" s="445">
        <v>0</v>
      </c>
      <c r="R379" s="445">
        <v>0</v>
      </c>
      <c r="S379" s="445">
        <v>0</v>
      </c>
      <c r="T379" s="445">
        <v>0</v>
      </c>
      <c r="U379" s="445">
        <v>0</v>
      </c>
      <c r="V379" s="445">
        <v>0</v>
      </c>
      <c r="W379" s="445">
        <v>0</v>
      </c>
      <c r="X379" s="445">
        <v>0</v>
      </c>
      <c r="Y379" s="445">
        <v>0</v>
      </c>
      <c r="Z379" s="445">
        <v>0</v>
      </c>
      <c r="AA379" s="445">
        <v>0</v>
      </c>
      <c r="AB379" s="445">
        <v>0</v>
      </c>
      <c r="AC379" s="445">
        <v>0</v>
      </c>
      <c r="AD379" s="445">
        <v>0</v>
      </c>
      <c r="AE379" s="445">
        <v>0</v>
      </c>
    </row>
    <row r="380" spans="1:32">
      <c r="A380" s="444" t="s">
        <v>2443</v>
      </c>
      <c r="B380" s="445">
        <v>0</v>
      </c>
      <c r="C380" s="445">
        <v>0</v>
      </c>
      <c r="D380" s="445">
        <v>0</v>
      </c>
      <c r="E380" s="445">
        <v>0</v>
      </c>
      <c r="F380" s="445">
        <v>0</v>
      </c>
      <c r="G380" s="445">
        <v>0</v>
      </c>
      <c r="H380" s="445">
        <v>0</v>
      </c>
      <c r="I380" s="445">
        <v>0</v>
      </c>
      <c r="J380" s="445">
        <v>0</v>
      </c>
      <c r="K380" s="445">
        <v>0</v>
      </c>
      <c r="L380" s="445">
        <v>0</v>
      </c>
      <c r="M380" s="445">
        <v>0</v>
      </c>
      <c r="N380" s="445">
        <v>0</v>
      </c>
      <c r="P380" s="445">
        <v>0</v>
      </c>
      <c r="Q380" s="445">
        <v>0</v>
      </c>
      <c r="R380" s="445">
        <v>0</v>
      </c>
      <c r="S380" s="445">
        <v>0</v>
      </c>
      <c r="T380" s="445">
        <v>0</v>
      </c>
      <c r="U380" s="445">
        <v>0</v>
      </c>
      <c r="V380" s="445">
        <v>0</v>
      </c>
      <c r="W380" s="445">
        <v>0</v>
      </c>
      <c r="X380" s="445">
        <v>0</v>
      </c>
      <c r="Y380" s="445">
        <v>0</v>
      </c>
      <c r="Z380" s="445">
        <v>0</v>
      </c>
      <c r="AA380" s="445">
        <v>0</v>
      </c>
      <c r="AB380" s="445">
        <v>0</v>
      </c>
      <c r="AC380" s="445">
        <v>0</v>
      </c>
      <c r="AD380" s="445">
        <v>0</v>
      </c>
      <c r="AE380" s="445">
        <v>0</v>
      </c>
    </row>
    <row r="381" spans="1:32">
      <c r="A381" s="444" t="s">
        <v>2444</v>
      </c>
      <c r="B381" s="445">
        <v>0.58699999999999997</v>
      </c>
      <c r="C381" s="445">
        <v>0.64600000000000002</v>
      </c>
      <c r="D381" s="445">
        <v>0.64600000000000002</v>
      </c>
      <c r="E381" s="445">
        <v>0.64600000000000002</v>
      </c>
      <c r="F381" s="445">
        <v>0.64600000000000002</v>
      </c>
      <c r="G381" s="445">
        <v>0.64600000000000002</v>
      </c>
      <c r="H381" s="445">
        <v>0.64600000000000002</v>
      </c>
      <c r="I381" s="445">
        <v>0</v>
      </c>
      <c r="J381" s="445">
        <v>0</v>
      </c>
      <c r="K381" s="445">
        <v>0</v>
      </c>
      <c r="L381" s="445">
        <v>0</v>
      </c>
      <c r="M381" s="445">
        <v>0</v>
      </c>
      <c r="N381" s="445">
        <v>0</v>
      </c>
      <c r="P381" s="445">
        <v>0</v>
      </c>
      <c r="Q381" s="445">
        <v>0</v>
      </c>
      <c r="R381" s="445">
        <v>0</v>
      </c>
      <c r="S381" s="445">
        <v>0</v>
      </c>
      <c r="T381" s="445">
        <v>0</v>
      </c>
      <c r="U381" s="445">
        <v>0</v>
      </c>
      <c r="V381" s="445">
        <v>0</v>
      </c>
      <c r="W381" s="445">
        <v>0</v>
      </c>
      <c r="X381" s="445">
        <v>0</v>
      </c>
      <c r="Y381" s="445">
        <v>0</v>
      </c>
      <c r="Z381" s="445">
        <v>0</v>
      </c>
      <c r="AA381" s="445">
        <v>0</v>
      </c>
      <c r="AB381" s="445">
        <v>0</v>
      </c>
      <c r="AC381" s="445">
        <v>0</v>
      </c>
      <c r="AD381" s="445">
        <v>0</v>
      </c>
      <c r="AE381" s="445">
        <v>0</v>
      </c>
    </row>
    <row r="382" spans="1:32">
      <c r="A382" s="444" t="s">
        <v>2445</v>
      </c>
      <c r="B382" s="445">
        <v>-99.666329999999903</v>
      </c>
      <c r="C382" s="445">
        <v>-208.08556999999999</v>
      </c>
      <c r="D382" s="445">
        <v>-96.485619999999997</v>
      </c>
      <c r="E382" s="445">
        <v>-82.274859999999904</v>
      </c>
      <c r="F382" s="445">
        <v>-42.294980000000002</v>
      </c>
      <c r="G382" s="445">
        <v>-57.891100000000002</v>
      </c>
      <c r="H382" s="445">
        <v>11.6133399999999</v>
      </c>
      <c r="I382" s="445">
        <v>-2.6250821836325602</v>
      </c>
      <c r="J382" s="445">
        <v>-10.6821155000515</v>
      </c>
      <c r="K382" s="445">
        <v>-18.204121687551499</v>
      </c>
      <c r="L382" s="445">
        <v>-15.207764687551199</v>
      </c>
      <c r="M382" s="445">
        <v>-20.023553375050898</v>
      </c>
      <c r="N382" s="445">
        <v>-72.967170937550904</v>
      </c>
      <c r="O382" s="627">
        <f>SUM(C382:N382)</f>
        <v>-615.12859837138865</v>
      </c>
      <c r="P382" s="445">
        <v>-75.728990750052503</v>
      </c>
      <c r="Q382" s="445">
        <v>-71.306532937560704</v>
      </c>
      <c r="R382" s="445">
        <v>-173.88518525006501</v>
      </c>
      <c r="S382" s="445">
        <v>-33.5236518750648</v>
      </c>
      <c r="T382" s="445">
        <v>-19.545734250067099</v>
      </c>
      <c r="U382" s="445">
        <v>-24.457557250071702</v>
      </c>
      <c r="V382" s="445">
        <v>-21.6971838125746</v>
      </c>
      <c r="W382" s="445">
        <v>-17.772370437577301</v>
      </c>
      <c r="X382" s="445">
        <v>-20.923123812578201</v>
      </c>
      <c r="Y382" s="445">
        <v>-15.561461562580099</v>
      </c>
      <c r="Z382" s="445">
        <v>-14.591259812583401</v>
      </c>
      <c r="AA382" s="445">
        <v>-50.941564625085199</v>
      </c>
      <c r="AB382" s="445">
        <v>-75.008521437568703</v>
      </c>
      <c r="AC382" s="445">
        <v>-70.517535375045995</v>
      </c>
      <c r="AD382" s="445">
        <v>-173.251215812537</v>
      </c>
      <c r="AE382" s="445">
        <v>-32.852899625030098</v>
      </c>
      <c r="AF382" s="627">
        <f>SUM(T382:AE382)</f>
        <v>-537.12042781329944</v>
      </c>
    </row>
    <row r="383" spans="1:32">
      <c r="A383" s="444" t="s">
        <v>2446</v>
      </c>
      <c r="B383" s="445">
        <v>-18.176219999999901</v>
      </c>
      <c r="C383" s="445">
        <v>-63.247889999999998</v>
      </c>
      <c r="D383" s="445">
        <v>-29.32694</v>
      </c>
      <c r="E383" s="445">
        <v>-25.007559999999899</v>
      </c>
      <c r="F383" s="445">
        <v>10.02824</v>
      </c>
      <c r="G383" s="445">
        <v>-14.50905</v>
      </c>
      <c r="H383" s="445">
        <v>2.9106299999999901</v>
      </c>
      <c r="I383" s="445">
        <v>-0.65791533424375104</v>
      </c>
      <c r="J383" s="445">
        <v>-2.6772219298374802</v>
      </c>
      <c r="K383" s="445">
        <v>-4.5624365131708098</v>
      </c>
      <c r="L383" s="445">
        <v>-3.8114698465040702</v>
      </c>
      <c r="M383" s="445">
        <v>-5.0184344298373302</v>
      </c>
      <c r="N383" s="445">
        <v>-18.2875115131706</v>
      </c>
      <c r="O383" s="627">
        <f>SUM(C383:N383)</f>
        <v>-154.16755956676394</v>
      </c>
      <c r="P383" s="445">
        <v>-18.979696929837701</v>
      </c>
      <c r="Q383" s="445">
        <v>-17.871311513173101</v>
      </c>
      <c r="R383" s="445">
        <v>-43.580246929841003</v>
      </c>
      <c r="S383" s="445">
        <v>-8.4019177631741293</v>
      </c>
      <c r="T383" s="445">
        <v>-4.8986802631747297</v>
      </c>
      <c r="U383" s="445">
        <v>-6.1297135965092098</v>
      </c>
      <c r="V383" s="445">
        <v>-5.43789067984327</v>
      </c>
      <c r="W383" s="445">
        <v>-4.45422817984395</v>
      </c>
      <c r="X383" s="445">
        <v>-5.2438906798441796</v>
      </c>
      <c r="Y383" s="445">
        <v>-3.9001156798446299</v>
      </c>
      <c r="Z383" s="445">
        <v>-3.6569573465121401</v>
      </c>
      <c r="AA383" s="445">
        <v>-12.7673094298459</v>
      </c>
      <c r="AB383" s="445">
        <v>-18.799128179841698</v>
      </c>
      <c r="AC383" s="445">
        <v>-17.673567763169402</v>
      </c>
      <c r="AD383" s="445">
        <v>-43.4213573465005</v>
      </c>
      <c r="AE383" s="445">
        <v>-8.2338094298321103</v>
      </c>
      <c r="AF383" s="627">
        <f>SUM(T383:AE383)</f>
        <v>-134.61664857476171</v>
      </c>
    </row>
    <row r="384" spans="1:32">
      <c r="A384" s="444" t="s">
        <v>2447</v>
      </c>
      <c r="B384" s="445">
        <v>0</v>
      </c>
      <c r="C384" s="445">
        <v>0</v>
      </c>
      <c r="D384" s="445">
        <v>0</v>
      </c>
      <c r="E384" s="445">
        <v>0</v>
      </c>
      <c r="F384" s="445">
        <v>0</v>
      </c>
      <c r="G384" s="445">
        <v>0</v>
      </c>
      <c r="H384" s="445">
        <v>0</v>
      </c>
      <c r="I384" s="445">
        <v>0</v>
      </c>
      <c r="J384" s="445">
        <v>0</v>
      </c>
      <c r="K384" s="445">
        <v>0</v>
      </c>
      <c r="L384" s="445">
        <v>0</v>
      </c>
      <c r="M384" s="445">
        <v>0</v>
      </c>
      <c r="N384" s="445">
        <v>0</v>
      </c>
      <c r="O384" s="627"/>
      <c r="P384" s="445">
        <v>0</v>
      </c>
      <c r="Q384" s="445">
        <v>0</v>
      </c>
      <c r="R384" s="445">
        <v>0</v>
      </c>
      <c r="S384" s="445">
        <v>0</v>
      </c>
      <c r="T384" s="445">
        <v>0</v>
      </c>
      <c r="U384" s="445">
        <v>0</v>
      </c>
      <c r="V384" s="445">
        <v>0</v>
      </c>
      <c r="W384" s="445">
        <v>0</v>
      </c>
      <c r="X384" s="445">
        <v>0</v>
      </c>
      <c r="Y384" s="445">
        <v>0</v>
      </c>
      <c r="Z384" s="445">
        <v>0</v>
      </c>
      <c r="AA384" s="445">
        <v>0</v>
      </c>
      <c r="AB384" s="445">
        <v>0</v>
      </c>
      <c r="AC384" s="445">
        <v>0</v>
      </c>
      <c r="AD384" s="445">
        <v>0</v>
      </c>
      <c r="AE384" s="445">
        <v>0</v>
      </c>
    </row>
    <row r="385" spans="1:32">
      <c r="A385" s="444" t="s">
        <v>2448</v>
      </c>
      <c r="B385" s="445">
        <v>0</v>
      </c>
      <c r="C385" s="445">
        <v>0</v>
      </c>
      <c r="D385" s="445">
        <v>0</v>
      </c>
      <c r="E385" s="445">
        <v>0</v>
      </c>
      <c r="F385" s="445">
        <v>0</v>
      </c>
      <c r="G385" s="445">
        <v>0</v>
      </c>
      <c r="H385" s="445">
        <v>0</v>
      </c>
      <c r="I385" s="445">
        <v>0</v>
      </c>
      <c r="J385" s="445">
        <v>0</v>
      </c>
      <c r="K385" s="445">
        <v>0</v>
      </c>
      <c r="L385" s="445">
        <v>0</v>
      </c>
      <c r="M385" s="445">
        <v>0</v>
      </c>
      <c r="N385" s="445">
        <v>0</v>
      </c>
      <c r="O385" s="627"/>
      <c r="P385" s="445">
        <v>0</v>
      </c>
      <c r="Q385" s="445">
        <v>0</v>
      </c>
      <c r="R385" s="445">
        <v>0</v>
      </c>
      <c r="S385" s="445">
        <v>0</v>
      </c>
      <c r="T385" s="445">
        <v>0</v>
      </c>
      <c r="U385" s="445">
        <v>0</v>
      </c>
      <c r="V385" s="445">
        <v>0</v>
      </c>
      <c r="W385" s="445">
        <v>0</v>
      </c>
      <c r="X385" s="445">
        <v>0</v>
      </c>
      <c r="Y385" s="445">
        <v>0</v>
      </c>
      <c r="Z385" s="445">
        <v>0</v>
      </c>
      <c r="AA385" s="445">
        <v>0</v>
      </c>
      <c r="AB385" s="445">
        <v>0</v>
      </c>
      <c r="AC385" s="445">
        <v>0</v>
      </c>
      <c r="AD385" s="445">
        <v>0</v>
      </c>
      <c r="AE385" s="445">
        <v>0</v>
      </c>
    </row>
    <row r="386" spans="1:32">
      <c r="A386" s="444" t="s">
        <v>2449</v>
      </c>
      <c r="B386" s="445">
        <v>27.000859999999999</v>
      </c>
      <c r="C386" s="445">
        <v>0</v>
      </c>
      <c r="D386" s="445">
        <v>0</v>
      </c>
      <c r="E386" s="445">
        <v>0</v>
      </c>
      <c r="F386" s="445">
        <v>0</v>
      </c>
      <c r="G386" s="445">
        <v>0</v>
      </c>
      <c r="H386" s="445">
        <v>0</v>
      </c>
      <c r="I386" s="445">
        <v>0</v>
      </c>
      <c r="J386" s="445">
        <v>0</v>
      </c>
      <c r="K386" s="445">
        <v>0</v>
      </c>
      <c r="L386" s="445">
        <v>0</v>
      </c>
      <c r="M386" s="445">
        <v>0</v>
      </c>
      <c r="N386" s="445">
        <v>0</v>
      </c>
      <c r="O386" s="627"/>
      <c r="P386" s="445">
        <v>0</v>
      </c>
      <c r="Q386" s="445">
        <v>0</v>
      </c>
      <c r="R386" s="445">
        <v>0</v>
      </c>
      <c r="S386" s="445">
        <v>0</v>
      </c>
      <c r="T386" s="445">
        <v>0</v>
      </c>
      <c r="U386" s="445">
        <v>0</v>
      </c>
      <c r="V386" s="445">
        <v>0</v>
      </c>
      <c r="W386" s="445">
        <v>0</v>
      </c>
      <c r="X386" s="445">
        <v>0</v>
      </c>
      <c r="Y386" s="445">
        <v>0</v>
      </c>
      <c r="Z386" s="445">
        <v>0</v>
      </c>
      <c r="AA386" s="445">
        <v>0</v>
      </c>
      <c r="AB386" s="445">
        <v>0</v>
      </c>
      <c r="AC386" s="445">
        <v>0</v>
      </c>
      <c r="AD386" s="445">
        <v>0</v>
      </c>
      <c r="AE386" s="445">
        <v>0</v>
      </c>
    </row>
    <row r="387" spans="1:32">
      <c r="A387" s="444" t="s">
        <v>2450</v>
      </c>
      <c r="B387" s="445">
        <v>6.0785499999999999</v>
      </c>
      <c r="C387" s="445">
        <v>0</v>
      </c>
      <c r="D387" s="445">
        <v>0</v>
      </c>
      <c r="E387" s="445">
        <v>0</v>
      </c>
      <c r="F387" s="445">
        <v>0</v>
      </c>
      <c r="G387" s="445">
        <v>0</v>
      </c>
      <c r="H387" s="445">
        <v>-1.0000000000000001E-5</v>
      </c>
      <c r="I387" s="445">
        <v>0</v>
      </c>
      <c r="J387" s="445">
        <v>0</v>
      </c>
      <c r="K387" s="445">
        <v>0</v>
      </c>
      <c r="L387" s="445">
        <v>0</v>
      </c>
      <c r="M387" s="445">
        <v>0</v>
      </c>
      <c r="N387" s="445">
        <v>0</v>
      </c>
      <c r="O387" s="627"/>
      <c r="P387" s="445">
        <v>0</v>
      </c>
      <c r="Q387" s="445">
        <v>0</v>
      </c>
      <c r="R387" s="445">
        <v>0</v>
      </c>
      <c r="S387" s="445">
        <v>0</v>
      </c>
      <c r="T387" s="445">
        <v>0</v>
      </c>
      <c r="U387" s="445">
        <v>0</v>
      </c>
      <c r="V387" s="445">
        <v>0</v>
      </c>
      <c r="W387" s="445">
        <v>0</v>
      </c>
      <c r="X387" s="445">
        <v>0</v>
      </c>
      <c r="Y387" s="445">
        <v>0</v>
      </c>
      <c r="Z387" s="445">
        <v>0</v>
      </c>
      <c r="AA387" s="445">
        <v>0</v>
      </c>
      <c r="AB387" s="445">
        <v>0</v>
      </c>
      <c r="AC387" s="445">
        <v>0</v>
      </c>
      <c r="AD387" s="445">
        <v>0</v>
      </c>
      <c r="AE387" s="445">
        <v>0</v>
      </c>
    </row>
    <row r="388" spans="1:32">
      <c r="A388" s="444" t="s">
        <v>2451</v>
      </c>
      <c r="B388" s="445">
        <v>1.1085499999999999</v>
      </c>
      <c r="C388" s="445">
        <v>0</v>
      </c>
      <c r="D388" s="445">
        <v>0</v>
      </c>
      <c r="E388" s="445">
        <v>0</v>
      </c>
      <c r="F388" s="445">
        <v>0</v>
      </c>
      <c r="G388" s="445">
        <v>0</v>
      </c>
      <c r="H388" s="445">
        <v>0</v>
      </c>
      <c r="I388" s="445">
        <v>0</v>
      </c>
      <c r="J388" s="445">
        <v>0</v>
      </c>
      <c r="K388" s="445">
        <v>0</v>
      </c>
      <c r="L388" s="445">
        <v>0</v>
      </c>
      <c r="M388" s="445">
        <v>0</v>
      </c>
      <c r="N388" s="445">
        <v>0</v>
      </c>
      <c r="O388" s="627"/>
      <c r="P388" s="445">
        <v>0</v>
      </c>
      <c r="Q388" s="445">
        <v>0</v>
      </c>
      <c r="R388" s="445">
        <v>0</v>
      </c>
      <c r="S388" s="445">
        <v>0</v>
      </c>
      <c r="T388" s="445">
        <v>0</v>
      </c>
      <c r="U388" s="445">
        <v>0</v>
      </c>
      <c r="V388" s="445">
        <v>0</v>
      </c>
      <c r="W388" s="445">
        <v>0</v>
      </c>
      <c r="X388" s="445">
        <v>0</v>
      </c>
      <c r="Y388" s="445">
        <v>0</v>
      </c>
      <c r="Z388" s="445">
        <v>0</v>
      </c>
      <c r="AA388" s="445">
        <v>0</v>
      </c>
      <c r="AB388" s="445">
        <v>0</v>
      </c>
      <c r="AC388" s="445">
        <v>0</v>
      </c>
      <c r="AD388" s="445">
        <v>0</v>
      </c>
      <c r="AE388" s="445">
        <v>0</v>
      </c>
    </row>
    <row r="389" spans="1:32">
      <c r="A389" s="444" t="s">
        <v>2452</v>
      </c>
      <c r="B389" s="445">
        <v>0</v>
      </c>
      <c r="C389" s="445">
        <v>0</v>
      </c>
      <c r="D389" s="445">
        <v>0</v>
      </c>
      <c r="E389" s="445">
        <v>0</v>
      </c>
      <c r="F389" s="445">
        <v>0</v>
      </c>
      <c r="G389" s="445">
        <v>0</v>
      </c>
      <c r="H389" s="445">
        <v>2.0517399999999899</v>
      </c>
      <c r="I389" s="445">
        <v>0</v>
      </c>
      <c r="J389" s="445">
        <v>0</v>
      </c>
      <c r="K389" s="445">
        <v>0</v>
      </c>
      <c r="L389" s="445">
        <v>0</v>
      </c>
      <c r="M389" s="445">
        <v>0</v>
      </c>
      <c r="N389" s="445">
        <v>0</v>
      </c>
      <c r="O389" s="627"/>
      <c r="P389" s="445">
        <v>0</v>
      </c>
      <c r="Q389" s="445">
        <v>0</v>
      </c>
      <c r="R389" s="445">
        <v>0</v>
      </c>
      <c r="S389" s="445">
        <v>0</v>
      </c>
      <c r="T389" s="445">
        <v>0</v>
      </c>
      <c r="U389" s="445">
        <v>0</v>
      </c>
      <c r="V389" s="445">
        <v>0</v>
      </c>
      <c r="W389" s="445">
        <v>0</v>
      </c>
      <c r="X389" s="445">
        <v>0</v>
      </c>
      <c r="Y389" s="445">
        <v>0</v>
      </c>
      <c r="Z389" s="445">
        <v>0</v>
      </c>
      <c r="AA389" s="445">
        <v>0</v>
      </c>
      <c r="AB389" s="445">
        <v>0</v>
      </c>
      <c r="AC389" s="445">
        <v>0</v>
      </c>
      <c r="AD389" s="445">
        <v>0</v>
      </c>
      <c r="AE389" s="445">
        <v>0</v>
      </c>
    </row>
    <row r="390" spans="1:32">
      <c r="A390" s="444" t="s">
        <v>2453</v>
      </c>
      <c r="B390" s="445">
        <v>0</v>
      </c>
      <c r="C390" s="445">
        <v>0</v>
      </c>
      <c r="D390" s="445">
        <v>0</v>
      </c>
      <c r="E390" s="445">
        <v>0</v>
      </c>
      <c r="F390" s="445">
        <v>0</v>
      </c>
      <c r="G390" s="445">
        <v>0</v>
      </c>
      <c r="H390" s="445">
        <v>-0.43086000000000002</v>
      </c>
      <c r="I390" s="445">
        <v>0</v>
      </c>
      <c r="J390" s="445">
        <v>0</v>
      </c>
      <c r="K390" s="445">
        <v>0</v>
      </c>
      <c r="L390" s="445">
        <v>0</v>
      </c>
      <c r="M390" s="445">
        <v>0</v>
      </c>
      <c r="N390" s="445">
        <v>0</v>
      </c>
      <c r="O390" s="627"/>
      <c r="P390" s="445">
        <v>0</v>
      </c>
      <c r="Q390" s="445">
        <v>0</v>
      </c>
      <c r="R390" s="445">
        <v>0</v>
      </c>
      <c r="S390" s="445">
        <v>0</v>
      </c>
      <c r="T390" s="445">
        <v>0</v>
      </c>
      <c r="U390" s="445">
        <v>0</v>
      </c>
      <c r="V390" s="445">
        <v>0</v>
      </c>
      <c r="W390" s="445">
        <v>0</v>
      </c>
      <c r="X390" s="445">
        <v>0</v>
      </c>
      <c r="Y390" s="445">
        <v>0</v>
      </c>
      <c r="Z390" s="445">
        <v>0</v>
      </c>
      <c r="AA390" s="445">
        <v>0</v>
      </c>
      <c r="AB390" s="445">
        <v>0</v>
      </c>
      <c r="AC390" s="445">
        <v>0</v>
      </c>
      <c r="AD390" s="445">
        <v>0</v>
      </c>
      <c r="AE390" s="445">
        <v>0</v>
      </c>
    </row>
    <row r="391" spans="1:32">
      <c r="A391" s="444" t="s">
        <v>2454</v>
      </c>
      <c r="B391" s="445">
        <v>0</v>
      </c>
      <c r="C391" s="445">
        <v>0</v>
      </c>
      <c r="D391" s="445">
        <v>0</v>
      </c>
      <c r="E391" s="445">
        <v>0</v>
      </c>
      <c r="F391" s="445">
        <v>0</v>
      </c>
      <c r="G391" s="445">
        <v>0</v>
      </c>
      <c r="H391" s="445">
        <v>0</v>
      </c>
      <c r="I391" s="445">
        <v>0</v>
      </c>
      <c r="J391" s="445">
        <v>0</v>
      </c>
      <c r="K391" s="445">
        <v>0</v>
      </c>
      <c r="L391" s="445">
        <v>0</v>
      </c>
      <c r="M391" s="445">
        <v>0</v>
      </c>
      <c r="N391" s="445">
        <v>0</v>
      </c>
      <c r="O391" s="627"/>
      <c r="P391" s="445">
        <v>0</v>
      </c>
      <c r="Q391" s="445">
        <v>0</v>
      </c>
      <c r="R391" s="445">
        <v>0</v>
      </c>
      <c r="S391" s="445">
        <v>0</v>
      </c>
      <c r="T391" s="445">
        <v>0</v>
      </c>
      <c r="U391" s="445">
        <v>0</v>
      </c>
      <c r="V391" s="445">
        <v>0</v>
      </c>
      <c r="W391" s="445">
        <v>0</v>
      </c>
      <c r="X391" s="445">
        <v>0</v>
      </c>
      <c r="Y391" s="445">
        <v>0</v>
      </c>
      <c r="Z391" s="445">
        <v>0</v>
      </c>
      <c r="AA391" s="445">
        <v>0</v>
      </c>
      <c r="AB391" s="445">
        <v>0</v>
      </c>
      <c r="AC391" s="445">
        <v>0</v>
      </c>
      <c r="AD391" s="445">
        <v>0</v>
      </c>
      <c r="AE391" s="445">
        <v>0</v>
      </c>
    </row>
    <row r="392" spans="1:32">
      <c r="A392" s="444" t="s">
        <v>2455</v>
      </c>
      <c r="B392" s="445">
        <v>0</v>
      </c>
      <c r="C392" s="445">
        <v>0</v>
      </c>
      <c r="D392" s="445">
        <v>0</v>
      </c>
      <c r="E392" s="445">
        <v>0</v>
      </c>
      <c r="F392" s="445">
        <v>0</v>
      </c>
      <c r="G392" s="445">
        <v>0</v>
      </c>
      <c r="H392" s="445">
        <v>0</v>
      </c>
      <c r="I392" s="445">
        <v>0</v>
      </c>
      <c r="J392" s="445">
        <v>0</v>
      </c>
      <c r="K392" s="445">
        <v>0</v>
      </c>
      <c r="L392" s="445">
        <v>0</v>
      </c>
      <c r="M392" s="445">
        <v>0</v>
      </c>
      <c r="N392" s="445">
        <v>0</v>
      </c>
      <c r="O392" s="627"/>
      <c r="P392" s="445">
        <v>0</v>
      </c>
      <c r="Q392" s="445">
        <v>0</v>
      </c>
      <c r="R392" s="445">
        <v>0</v>
      </c>
      <c r="S392" s="445">
        <v>0</v>
      </c>
      <c r="T392" s="445">
        <v>0</v>
      </c>
      <c r="U392" s="445">
        <v>0</v>
      </c>
      <c r="V392" s="445">
        <v>0</v>
      </c>
      <c r="W392" s="445">
        <v>0</v>
      </c>
      <c r="X392" s="445">
        <v>0</v>
      </c>
      <c r="Y392" s="445">
        <v>0</v>
      </c>
      <c r="Z392" s="445">
        <v>0</v>
      </c>
      <c r="AA392" s="445">
        <v>0</v>
      </c>
      <c r="AB392" s="445">
        <v>0</v>
      </c>
      <c r="AC392" s="445">
        <v>0</v>
      </c>
      <c r="AD392" s="445">
        <v>0</v>
      </c>
      <c r="AE392" s="445">
        <v>0</v>
      </c>
    </row>
    <row r="393" spans="1:32">
      <c r="A393" s="444" t="s">
        <v>2456</v>
      </c>
      <c r="B393" s="445">
        <v>0</v>
      </c>
      <c r="C393" s="445">
        <v>0</v>
      </c>
      <c r="D393" s="445">
        <v>0</v>
      </c>
      <c r="E393" s="445">
        <v>0</v>
      </c>
      <c r="F393" s="445">
        <v>0</v>
      </c>
      <c r="G393" s="445">
        <v>0</v>
      </c>
      <c r="H393" s="445">
        <v>0</v>
      </c>
      <c r="I393" s="445">
        <v>0</v>
      </c>
      <c r="J393" s="445">
        <v>0</v>
      </c>
      <c r="K393" s="445">
        <v>0</v>
      </c>
      <c r="L393" s="445">
        <v>0</v>
      </c>
      <c r="M393" s="445">
        <v>0</v>
      </c>
      <c r="N393" s="445">
        <v>0</v>
      </c>
      <c r="O393" s="627"/>
      <c r="P393" s="445">
        <v>0</v>
      </c>
      <c r="Q393" s="445">
        <v>0</v>
      </c>
      <c r="R393" s="445">
        <v>0</v>
      </c>
      <c r="S393" s="445">
        <v>0</v>
      </c>
      <c r="T393" s="445">
        <v>0</v>
      </c>
      <c r="U393" s="445">
        <v>0</v>
      </c>
      <c r="V393" s="445">
        <v>0</v>
      </c>
      <c r="W393" s="445">
        <v>0</v>
      </c>
      <c r="X393" s="445">
        <v>0</v>
      </c>
      <c r="Y393" s="445">
        <v>0</v>
      </c>
      <c r="Z393" s="445">
        <v>0</v>
      </c>
      <c r="AA393" s="445">
        <v>0</v>
      </c>
      <c r="AB393" s="445">
        <v>0</v>
      </c>
      <c r="AC393" s="445">
        <v>0</v>
      </c>
      <c r="AD393" s="445">
        <v>0</v>
      </c>
      <c r="AE393" s="445">
        <v>0</v>
      </c>
    </row>
    <row r="394" spans="1:32">
      <c r="A394" s="444" t="s">
        <v>2457</v>
      </c>
      <c r="B394" s="445">
        <v>0</v>
      </c>
      <c r="C394" s="445">
        <v>0</v>
      </c>
      <c r="D394" s="445">
        <v>0</v>
      </c>
      <c r="E394" s="445">
        <v>0</v>
      </c>
      <c r="F394" s="445">
        <v>0</v>
      </c>
      <c r="G394" s="445">
        <v>0</v>
      </c>
      <c r="H394" s="445">
        <v>0</v>
      </c>
      <c r="I394" s="445">
        <v>0</v>
      </c>
      <c r="J394" s="445">
        <v>0</v>
      </c>
      <c r="K394" s="445">
        <v>0</v>
      </c>
      <c r="L394" s="445">
        <v>0</v>
      </c>
      <c r="M394" s="445">
        <v>0</v>
      </c>
      <c r="N394" s="445">
        <v>0</v>
      </c>
      <c r="O394" s="627"/>
      <c r="P394" s="445">
        <v>0</v>
      </c>
      <c r="Q394" s="445">
        <v>0</v>
      </c>
      <c r="R394" s="445">
        <v>0</v>
      </c>
      <c r="S394" s="445">
        <v>0</v>
      </c>
      <c r="T394" s="445">
        <v>0</v>
      </c>
      <c r="U394" s="445">
        <v>0</v>
      </c>
      <c r="V394" s="445">
        <v>0</v>
      </c>
      <c r="W394" s="445">
        <v>0</v>
      </c>
      <c r="X394" s="445">
        <v>0</v>
      </c>
      <c r="Y394" s="445">
        <v>0</v>
      </c>
      <c r="Z394" s="445">
        <v>0</v>
      </c>
      <c r="AA394" s="445">
        <v>0</v>
      </c>
      <c r="AB394" s="445">
        <v>0</v>
      </c>
      <c r="AC394" s="445">
        <v>0</v>
      </c>
      <c r="AD394" s="445">
        <v>0</v>
      </c>
      <c r="AE394" s="445">
        <v>0</v>
      </c>
    </row>
    <row r="395" spans="1:32">
      <c r="A395" s="444" t="s">
        <v>2458</v>
      </c>
      <c r="B395" s="445">
        <v>0</v>
      </c>
      <c r="C395" s="445">
        <v>0</v>
      </c>
      <c r="D395" s="445">
        <v>0</v>
      </c>
      <c r="E395" s="445">
        <v>0</v>
      </c>
      <c r="F395" s="445">
        <v>0</v>
      </c>
      <c r="G395" s="445">
        <v>0</v>
      </c>
      <c r="H395" s="445">
        <v>0</v>
      </c>
      <c r="I395" s="445">
        <v>0</v>
      </c>
      <c r="J395" s="445">
        <v>0</v>
      </c>
      <c r="K395" s="445">
        <v>0</v>
      </c>
      <c r="L395" s="445">
        <v>0</v>
      </c>
      <c r="M395" s="445">
        <v>0</v>
      </c>
      <c r="N395" s="445">
        <v>0</v>
      </c>
      <c r="O395" s="627"/>
      <c r="P395" s="445">
        <v>0</v>
      </c>
      <c r="Q395" s="445">
        <v>0</v>
      </c>
      <c r="R395" s="445">
        <v>0</v>
      </c>
      <c r="S395" s="445">
        <v>0</v>
      </c>
      <c r="T395" s="445">
        <v>0</v>
      </c>
      <c r="U395" s="445">
        <v>0</v>
      </c>
      <c r="V395" s="445">
        <v>0</v>
      </c>
      <c r="W395" s="445">
        <v>0</v>
      </c>
      <c r="X395" s="445">
        <v>0</v>
      </c>
      <c r="Y395" s="445">
        <v>0</v>
      </c>
      <c r="Z395" s="445">
        <v>0</v>
      </c>
      <c r="AA395" s="445">
        <v>0</v>
      </c>
      <c r="AB395" s="445">
        <v>0</v>
      </c>
      <c r="AC395" s="445">
        <v>0</v>
      </c>
      <c r="AD395" s="445">
        <v>0</v>
      </c>
      <c r="AE395" s="445">
        <v>0</v>
      </c>
    </row>
    <row r="396" spans="1:32">
      <c r="A396" s="444" t="s">
        <v>2459</v>
      </c>
      <c r="B396" s="445">
        <v>0</v>
      </c>
      <c r="C396" s="445">
        <v>0</v>
      </c>
      <c r="D396" s="445">
        <v>0.16372999999999999</v>
      </c>
      <c r="E396" s="445">
        <v>0</v>
      </c>
      <c r="F396" s="445">
        <v>0</v>
      </c>
      <c r="G396" s="445">
        <v>0</v>
      </c>
      <c r="H396" s="445">
        <v>0</v>
      </c>
      <c r="I396" s="445">
        <v>0</v>
      </c>
      <c r="J396" s="445">
        <v>0</v>
      </c>
      <c r="K396" s="445">
        <v>0</v>
      </c>
      <c r="L396" s="445">
        <v>0</v>
      </c>
      <c r="M396" s="445">
        <v>0</v>
      </c>
      <c r="N396" s="445">
        <v>0</v>
      </c>
      <c r="O396" s="627"/>
      <c r="P396" s="445">
        <v>0</v>
      </c>
      <c r="Q396" s="445">
        <v>0</v>
      </c>
      <c r="R396" s="445">
        <v>0</v>
      </c>
      <c r="S396" s="445">
        <v>0</v>
      </c>
      <c r="T396" s="445">
        <v>0</v>
      </c>
      <c r="U396" s="445">
        <v>0</v>
      </c>
      <c r="V396" s="445">
        <v>0</v>
      </c>
      <c r="W396" s="445">
        <v>0</v>
      </c>
      <c r="X396" s="445">
        <v>0</v>
      </c>
      <c r="Y396" s="445">
        <v>0</v>
      </c>
      <c r="Z396" s="445">
        <v>0</v>
      </c>
      <c r="AA396" s="445">
        <v>0</v>
      </c>
      <c r="AB396" s="445">
        <v>0</v>
      </c>
      <c r="AC396" s="445">
        <v>0</v>
      </c>
      <c r="AD396" s="445">
        <v>0</v>
      </c>
      <c r="AE396" s="445">
        <v>0</v>
      </c>
    </row>
    <row r="397" spans="1:32">
      <c r="A397" s="444" t="s">
        <v>2460</v>
      </c>
      <c r="B397" s="445">
        <v>0</v>
      </c>
      <c r="C397" s="445">
        <v>0</v>
      </c>
      <c r="D397" s="445">
        <v>-0.3</v>
      </c>
      <c r="E397" s="445">
        <v>0</v>
      </c>
      <c r="F397" s="445">
        <v>-8.0000000000000007E-5</v>
      </c>
      <c r="G397" s="445">
        <v>0</v>
      </c>
      <c r="H397" s="445">
        <v>0</v>
      </c>
      <c r="I397" s="445">
        <v>0</v>
      </c>
      <c r="J397" s="445">
        <v>0</v>
      </c>
      <c r="K397" s="445">
        <v>0</v>
      </c>
      <c r="L397" s="445">
        <v>0</v>
      </c>
      <c r="M397" s="445">
        <v>0</v>
      </c>
      <c r="N397" s="445">
        <v>0</v>
      </c>
      <c r="O397" s="627"/>
      <c r="P397" s="445">
        <v>0</v>
      </c>
      <c r="Q397" s="445">
        <v>0</v>
      </c>
      <c r="R397" s="445">
        <v>0</v>
      </c>
      <c r="S397" s="445">
        <v>0</v>
      </c>
      <c r="T397" s="445">
        <v>0</v>
      </c>
      <c r="U397" s="445">
        <v>0</v>
      </c>
      <c r="V397" s="445">
        <v>0</v>
      </c>
      <c r="W397" s="445">
        <v>0</v>
      </c>
      <c r="X397" s="445">
        <v>0</v>
      </c>
      <c r="Y397" s="445">
        <v>0</v>
      </c>
      <c r="Z397" s="445">
        <v>0</v>
      </c>
      <c r="AA397" s="445">
        <v>0</v>
      </c>
      <c r="AB397" s="445">
        <v>0</v>
      </c>
      <c r="AC397" s="445">
        <v>0</v>
      </c>
      <c r="AD397" s="445">
        <v>0</v>
      </c>
      <c r="AE397" s="445">
        <v>0</v>
      </c>
    </row>
    <row r="398" spans="1:32">
      <c r="A398" s="444" t="s">
        <v>2461</v>
      </c>
      <c r="B398" s="445">
        <v>-144.77355</v>
      </c>
      <c r="C398" s="445">
        <v>-126.6575</v>
      </c>
      <c r="D398" s="445">
        <v>-71.302579999999907</v>
      </c>
      <c r="E398" s="445">
        <v>-131.84486999999999</v>
      </c>
      <c r="F398" s="445">
        <v>-122.92791</v>
      </c>
      <c r="G398" s="445">
        <v>-99.598680000000002</v>
      </c>
      <c r="H398" s="445">
        <v>-106.3835</v>
      </c>
      <c r="I398" s="445">
        <v>-126.696</v>
      </c>
      <c r="J398" s="445">
        <v>-126.696</v>
      </c>
      <c r="K398" s="445">
        <v>-126.696</v>
      </c>
      <c r="L398" s="445">
        <v>-126.696</v>
      </c>
      <c r="M398" s="445">
        <v>-126.696</v>
      </c>
      <c r="N398" s="445">
        <v>-126.696</v>
      </c>
      <c r="O398" s="627">
        <f>SUM(C398:N398)</f>
        <v>-1418.8910399999997</v>
      </c>
      <c r="P398" s="445">
        <v>-119.773</v>
      </c>
      <c r="Q398" s="445">
        <v>-119.773</v>
      </c>
      <c r="R398" s="445">
        <v>-119.773</v>
      </c>
      <c r="S398" s="445">
        <v>-119.773</v>
      </c>
      <c r="T398" s="445">
        <v>-119.773</v>
      </c>
      <c r="U398" s="445">
        <v>-119.773</v>
      </c>
      <c r="V398" s="445">
        <v>-119.773</v>
      </c>
      <c r="W398" s="445">
        <v>-119.773</v>
      </c>
      <c r="X398" s="445">
        <v>-119.773</v>
      </c>
      <c r="Y398" s="445">
        <v>-119.773</v>
      </c>
      <c r="Z398" s="445">
        <v>-119.773</v>
      </c>
      <c r="AA398" s="445">
        <v>-119.773</v>
      </c>
      <c r="AB398" s="445">
        <v>-120.971</v>
      </c>
      <c r="AC398" s="445">
        <v>-120.971</v>
      </c>
      <c r="AD398" s="445">
        <v>-120.971</v>
      </c>
      <c r="AE398" s="445">
        <v>-120.971</v>
      </c>
      <c r="AF398" s="627">
        <f>SUM(T398:AE398)</f>
        <v>-1442.0680000000002</v>
      </c>
    </row>
    <row r="399" spans="1:32">
      <c r="A399" s="444" t="s">
        <v>2462</v>
      </c>
      <c r="B399" s="445">
        <v>0</v>
      </c>
      <c r="C399" s="445">
        <v>0</v>
      </c>
      <c r="D399" s="445">
        <v>0</v>
      </c>
      <c r="E399" s="445">
        <v>0</v>
      </c>
      <c r="F399" s="445">
        <v>0</v>
      </c>
      <c r="G399" s="445">
        <v>0</v>
      </c>
      <c r="H399" s="445">
        <v>0</v>
      </c>
      <c r="I399" s="445">
        <v>0</v>
      </c>
      <c r="J399" s="445">
        <v>0</v>
      </c>
      <c r="K399" s="445">
        <v>0</v>
      </c>
      <c r="L399" s="445">
        <v>0</v>
      </c>
      <c r="M399" s="445">
        <v>0</v>
      </c>
      <c r="N399" s="445">
        <v>0</v>
      </c>
      <c r="O399" s="627"/>
      <c r="P399" s="445">
        <v>0</v>
      </c>
      <c r="Q399" s="445">
        <v>0</v>
      </c>
      <c r="R399" s="445">
        <v>0</v>
      </c>
      <c r="S399" s="445">
        <v>0</v>
      </c>
      <c r="T399" s="445">
        <v>0</v>
      </c>
      <c r="U399" s="445">
        <v>0</v>
      </c>
      <c r="V399" s="445">
        <v>0</v>
      </c>
      <c r="W399" s="445">
        <v>0</v>
      </c>
      <c r="X399" s="445">
        <v>0</v>
      </c>
      <c r="Y399" s="445">
        <v>0</v>
      </c>
      <c r="Z399" s="445">
        <v>0</v>
      </c>
      <c r="AA399" s="445">
        <v>0</v>
      </c>
      <c r="AB399" s="445">
        <v>0</v>
      </c>
      <c r="AC399" s="445">
        <v>0</v>
      </c>
      <c r="AD399" s="445">
        <v>0</v>
      </c>
      <c r="AE399" s="445">
        <v>0</v>
      </c>
    </row>
    <row r="400" spans="1:32">
      <c r="A400" s="444" t="s">
        <v>2463</v>
      </c>
      <c r="B400" s="445">
        <v>0</v>
      </c>
      <c r="C400" s="445">
        <v>0</v>
      </c>
      <c r="D400" s="445">
        <v>0</v>
      </c>
      <c r="E400" s="445">
        <v>0</v>
      </c>
      <c r="F400" s="445">
        <v>0</v>
      </c>
      <c r="G400" s="445">
        <v>0</v>
      </c>
      <c r="H400" s="445">
        <v>0</v>
      </c>
      <c r="I400" s="445">
        <v>0</v>
      </c>
      <c r="J400" s="445">
        <v>0</v>
      </c>
      <c r="K400" s="445">
        <v>0</v>
      </c>
      <c r="L400" s="445">
        <v>0</v>
      </c>
      <c r="M400" s="445">
        <v>0</v>
      </c>
      <c r="N400" s="445">
        <v>0</v>
      </c>
      <c r="O400" s="627"/>
      <c r="P400" s="445">
        <v>0</v>
      </c>
      <c r="Q400" s="445">
        <v>0</v>
      </c>
      <c r="R400" s="445">
        <v>0</v>
      </c>
      <c r="S400" s="445">
        <v>0</v>
      </c>
      <c r="T400" s="445">
        <v>0</v>
      </c>
      <c r="U400" s="445">
        <v>0</v>
      </c>
      <c r="V400" s="445">
        <v>0</v>
      </c>
      <c r="W400" s="445">
        <v>0</v>
      </c>
      <c r="X400" s="445">
        <v>0</v>
      </c>
      <c r="Y400" s="445">
        <v>0</v>
      </c>
      <c r="Z400" s="445">
        <v>0</v>
      </c>
      <c r="AA400" s="445">
        <v>0</v>
      </c>
      <c r="AB400" s="445">
        <v>0</v>
      </c>
      <c r="AC400" s="445">
        <v>0</v>
      </c>
      <c r="AD400" s="445">
        <v>0</v>
      </c>
      <c r="AE400" s="445">
        <v>0</v>
      </c>
    </row>
    <row r="401" spans="1:32">
      <c r="A401" s="444" t="s">
        <v>2464</v>
      </c>
      <c r="B401" s="445">
        <v>0</v>
      </c>
      <c r="C401" s="445">
        <v>0</v>
      </c>
      <c r="D401" s="445">
        <v>0</v>
      </c>
      <c r="E401" s="445">
        <v>0</v>
      </c>
      <c r="F401" s="445">
        <v>0</v>
      </c>
      <c r="G401" s="445">
        <v>0</v>
      </c>
      <c r="H401" s="445">
        <v>0</v>
      </c>
      <c r="I401" s="445">
        <v>0</v>
      </c>
      <c r="J401" s="445">
        <v>0</v>
      </c>
      <c r="K401" s="445">
        <v>0</v>
      </c>
      <c r="L401" s="445">
        <v>0</v>
      </c>
      <c r="M401" s="445">
        <v>0</v>
      </c>
      <c r="N401" s="445">
        <v>0</v>
      </c>
      <c r="O401" s="627"/>
      <c r="P401" s="445">
        <v>0</v>
      </c>
      <c r="Q401" s="445">
        <v>0</v>
      </c>
      <c r="R401" s="445">
        <v>0</v>
      </c>
      <c r="S401" s="445">
        <v>0</v>
      </c>
      <c r="T401" s="445">
        <v>0</v>
      </c>
      <c r="U401" s="445">
        <v>0</v>
      </c>
      <c r="V401" s="445">
        <v>0</v>
      </c>
      <c r="W401" s="445">
        <v>0</v>
      </c>
      <c r="X401" s="445">
        <v>0</v>
      </c>
      <c r="Y401" s="445">
        <v>0</v>
      </c>
      <c r="Z401" s="445">
        <v>0</v>
      </c>
      <c r="AA401" s="445">
        <v>0</v>
      </c>
      <c r="AB401" s="445">
        <v>0</v>
      </c>
      <c r="AC401" s="445">
        <v>0</v>
      </c>
      <c r="AD401" s="445">
        <v>0</v>
      </c>
      <c r="AE401" s="445">
        <v>0</v>
      </c>
    </row>
    <row r="402" spans="1:32">
      <c r="A402" s="444" t="s">
        <v>2465</v>
      </c>
      <c r="B402" s="445">
        <v>-2.5645600000000002</v>
      </c>
      <c r="C402" s="445">
        <v>-3.4252600000000002</v>
      </c>
      <c r="D402" s="445">
        <v>-2.5012400000000001</v>
      </c>
      <c r="E402" s="445">
        <v>-1.92361</v>
      </c>
      <c r="F402" s="445">
        <v>-2.59741</v>
      </c>
      <c r="G402" s="445">
        <v>-3.0490499999999998</v>
      </c>
      <c r="H402" s="445">
        <v>-4.30511</v>
      </c>
      <c r="I402" s="445">
        <v>-18.421381911874899</v>
      </c>
      <c r="J402" s="445">
        <v>-8.0372499999997693</v>
      </c>
      <c r="K402" s="445">
        <v>-8.1789583333329396</v>
      </c>
      <c r="L402" s="445">
        <v>-8.6682916666655103</v>
      </c>
      <c r="M402" s="445">
        <v>-8.9429999999983298</v>
      </c>
      <c r="N402" s="445">
        <v>-9.3484583333320295</v>
      </c>
      <c r="O402" s="627">
        <f>SUM(C402:N402)</f>
        <v>-79.399020245203488</v>
      </c>
      <c r="P402" s="445">
        <v>-9.8097499999985391</v>
      </c>
      <c r="Q402" s="445">
        <v>-10.133458333333399</v>
      </c>
      <c r="R402" s="445">
        <v>-10.432750000001899</v>
      </c>
      <c r="S402" s="445">
        <v>-10.785333333328399</v>
      </c>
      <c r="T402" s="445">
        <v>-11.089083333335999</v>
      </c>
      <c r="U402" s="445">
        <v>-11.355416666685199</v>
      </c>
      <c r="V402" s="445">
        <v>-11.621875000053601</v>
      </c>
      <c r="W402" s="445">
        <v>-11.889125000083901</v>
      </c>
      <c r="X402" s="445">
        <v>-12.1028750000792</v>
      </c>
      <c r="Y402" s="445">
        <v>-12.2853750000889</v>
      </c>
      <c r="Z402" s="445">
        <v>-12.532541666767999</v>
      </c>
      <c r="AA402" s="445">
        <v>-12.712500000100601</v>
      </c>
      <c r="AB402" s="445">
        <v>-12.8601250001346</v>
      </c>
      <c r="AC402" s="445">
        <v>-13.056333333453299</v>
      </c>
      <c r="AD402" s="445">
        <v>-13.058541666740499</v>
      </c>
      <c r="AE402" s="445">
        <v>-13.0925000000585</v>
      </c>
      <c r="AF402" s="627">
        <f>SUM(T402:AE402)</f>
        <v>-147.65629166758231</v>
      </c>
    </row>
    <row r="403" spans="1:32">
      <c r="A403" s="444" t="s">
        <v>2466</v>
      </c>
      <c r="B403" s="445">
        <v>0</v>
      </c>
      <c r="C403" s="445">
        <v>0</v>
      </c>
      <c r="D403" s="445">
        <v>0</v>
      </c>
      <c r="E403" s="445">
        <v>0</v>
      </c>
      <c r="F403" s="445">
        <v>0</v>
      </c>
      <c r="G403" s="445">
        <v>0</v>
      </c>
      <c r="H403" s="445">
        <v>0</v>
      </c>
      <c r="I403" s="445">
        <v>0</v>
      </c>
      <c r="J403" s="445">
        <v>0</v>
      </c>
      <c r="K403" s="445">
        <v>0</v>
      </c>
      <c r="L403" s="445">
        <v>0</v>
      </c>
      <c r="M403" s="445">
        <v>0</v>
      </c>
      <c r="N403" s="445">
        <v>0</v>
      </c>
      <c r="O403" s="627"/>
      <c r="P403" s="445">
        <v>0</v>
      </c>
      <c r="Q403" s="445">
        <v>0</v>
      </c>
      <c r="R403" s="445">
        <v>0</v>
      </c>
      <c r="S403" s="445">
        <v>0</v>
      </c>
      <c r="T403" s="445">
        <v>0</v>
      </c>
      <c r="U403" s="445">
        <v>0</v>
      </c>
      <c r="V403" s="445">
        <v>0</v>
      </c>
      <c r="W403" s="445">
        <v>0</v>
      </c>
      <c r="X403" s="445">
        <v>0</v>
      </c>
      <c r="Y403" s="445">
        <v>0</v>
      </c>
      <c r="Z403" s="445">
        <v>0</v>
      </c>
      <c r="AA403" s="445">
        <v>0</v>
      </c>
      <c r="AB403" s="445">
        <v>0</v>
      </c>
      <c r="AC403" s="445">
        <v>0</v>
      </c>
      <c r="AD403" s="445">
        <v>0</v>
      </c>
      <c r="AE403" s="445">
        <v>0</v>
      </c>
    </row>
    <row r="404" spans="1:32">
      <c r="A404" s="444" t="s">
        <v>2467</v>
      </c>
      <c r="B404" s="445">
        <v>-1.2588200000000001</v>
      </c>
      <c r="C404" s="445">
        <v>-2.0651899999999999</v>
      </c>
      <c r="D404" s="445">
        <v>-1.6030899999999999</v>
      </c>
      <c r="E404" s="445">
        <v>-10.23029</v>
      </c>
      <c r="F404" s="445">
        <v>-0.97950999999999999</v>
      </c>
      <c r="G404" s="445">
        <v>-1.26505</v>
      </c>
      <c r="H404" s="445">
        <v>-0.91973000000000005</v>
      </c>
      <c r="I404" s="445">
        <v>0</v>
      </c>
      <c r="J404" s="445">
        <v>0</v>
      </c>
      <c r="K404" s="445">
        <v>0</v>
      </c>
      <c r="L404" s="445">
        <v>0</v>
      </c>
      <c r="M404" s="445">
        <v>0</v>
      </c>
      <c r="N404" s="445">
        <v>0</v>
      </c>
      <c r="O404" s="627"/>
      <c r="P404" s="445">
        <v>0</v>
      </c>
      <c r="Q404" s="445">
        <v>0</v>
      </c>
      <c r="R404" s="445">
        <v>0</v>
      </c>
      <c r="S404" s="445">
        <v>0</v>
      </c>
      <c r="T404" s="445">
        <v>0</v>
      </c>
      <c r="U404" s="445">
        <v>0</v>
      </c>
      <c r="V404" s="445">
        <v>0</v>
      </c>
      <c r="W404" s="445">
        <v>0</v>
      </c>
      <c r="X404" s="445">
        <v>0</v>
      </c>
      <c r="Y404" s="445">
        <v>0</v>
      </c>
      <c r="Z404" s="445">
        <v>0</v>
      </c>
      <c r="AA404" s="445">
        <v>0</v>
      </c>
      <c r="AB404" s="445">
        <v>0</v>
      </c>
      <c r="AC404" s="445">
        <v>0</v>
      </c>
      <c r="AD404" s="445">
        <v>0</v>
      </c>
      <c r="AE404" s="445">
        <v>0</v>
      </c>
    </row>
    <row r="405" spans="1:32">
      <c r="A405" s="444" t="s">
        <v>2468</v>
      </c>
      <c r="B405" s="445">
        <v>0</v>
      </c>
      <c r="C405" s="445">
        <v>0</v>
      </c>
      <c r="D405" s="445">
        <v>0</v>
      </c>
      <c r="E405" s="445">
        <v>0</v>
      </c>
      <c r="F405" s="445">
        <v>0</v>
      </c>
      <c r="G405" s="445">
        <v>0</v>
      </c>
      <c r="H405" s="445">
        <v>0</v>
      </c>
      <c r="I405" s="445">
        <v>0</v>
      </c>
      <c r="J405" s="445">
        <v>0</v>
      </c>
      <c r="K405" s="445">
        <v>0</v>
      </c>
      <c r="L405" s="445">
        <v>0</v>
      </c>
      <c r="M405" s="445">
        <v>0</v>
      </c>
      <c r="N405" s="445">
        <v>0</v>
      </c>
      <c r="O405" s="627"/>
      <c r="P405" s="445">
        <v>0</v>
      </c>
      <c r="Q405" s="445">
        <v>0</v>
      </c>
      <c r="R405" s="445">
        <v>0</v>
      </c>
      <c r="S405" s="445">
        <v>0</v>
      </c>
      <c r="T405" s="445">
        <v>0</v>
      </c>
      <c r="U405" s="445">
        <v>0</v>
      </c>
      <c r="V405" s="445">
        <v>0</v>
      </c>
      <c r="W405" s="445">
        <v>0</v>
      </c>
      <c r="X405" s="445">
        <v>0</v>
      </c>
      <c r="Y405" s="445">
        <v>0</v>
      </c>
      <c r="Z405" s="445">
        <v>0</v>
      </c>
      <c r="AA405" s="445">
        <v>0</v>
      </c>
      <c r="AB405" s="445">
        <v>0</v>
      </c>
      <c r="AC405" s="445">
        <v>0</v>
      </c>
      <c r="AD405" s="445">
        <v>0</v>
      </c>
      <c r="AE405" s="445">
        <v>0</v>
      </c>
    </row>
    <row r="406" spans="1:32">
      <c r="A406" s="444" t="s">
        <v>2469</v>
      </c>
      <c r="B406" s="445">
        <v>0</v>
      </c>
      <c r="C406" s="445">
        <v>0</v>
      </c>
      <c r="D406" s="445">
        <v>0</v>
      </c>
      <c r="E406" s="445">
        <v>0</v>
      </c>
      <c r="F406" s="445">
        <v>0</v>
      </c>
      <c r="G406" s="445">
        <v>-63.088410000000003</v>
      </c>
      <c r="H406" s="445">
        <v>0</v>
      </c>
      <c r="I406" s="445">
        <v>0</v>
      </c>
      <c r="J406" s="445">
        <v>0</v>
      </c>
      <c r="K406" s="445">
        <v>0</v>
      </c>
      <c r="L406" s="445">
        <v>0</v>
      </c>
      <c r="M406" s="445">
        <v>0</v>
      </c>
      <c r="N406" s="445">
        <v>0</v>
      </c>
      <c r="O406" s="627"/>
      <c r="P406" s="445">
        <v>0</v>
      </c>
      <c r="Q406" s="445">
        <v>0</v>
      </c>
      <c r="R406" s="445">
        <v>0</v>
      </c>
      <c r="S406" s="445">
        <v>0</v>
      </c>
      <c r="T406" s="445">
        <v>0</v>
      </c>
      <c r="U406" s="445">
        <v>0</v>
      </c>
      <c r="V406" s="445">
        <v>0</v>
      </c>
      <c r="W406" s="445">
        <v>0</v>
      </c>
      <c r="X406" s="445">
        <v>0</v>
      </c>
      <c r="Y406" s="445">
        <v>0</v>
      </c>
      <c r="Z406" s="445">
        <v>0</v>
      </c>
      <c r="AA406" s="445">
        <v>0</v>
      </c>
      <c r="AB406" s="445">
        <v>0</v>
      </c>
      <c r="AC406" s="445">
        <v>0</v>
      </c>
      <c r="AD406" s="445">
        <v>0</v>
      </c>
      <c r="AE406" s="445">
        <v>0</v>
      </c>
    </row>
    <row r="407" spans="1:32">
      <c r="A407" s="444" t="s">
        <v>2470</v>
      </c>
      <c r="B407" s="445">
        <v>0</v>
      </c>
      <c r="C407" s="445">
        <v>0</v>
      </c>
      <c r="D407" s="445">
        <v>0</v>
      </c>
      <c r="E407" s="445">
        <v>0</v>
      </c>
      <c r="F407" s="445">
        <v>0</v>
      </c>
      <c r="G407" s="445">
        <v>0</v>
      </c>
      <c r="H407" s="445">
        <v>0</v>
      </c>
      <c r="I407" s="445">
        <v>0</v>
      </c>
      <c r="J407" s="445">
        <v>0</v>
      </c>
      <c r="K407" s="445">
        <v>0</v>
      </c>
      <c r="L407" s="445">
        <v>0</v>
      </c>
      <c r="M407" s="445">
        <v>0</v>
      </c>
      <c r="N407" s="445">
        <v>0</v>
      </c>
      <c r="O407" s="627"/>
      <c r="P407" s="445">
        <v>0</v>
      </c>
      <c r="Q407" s="445">
        <v>0</v>
      </c>
      <c r="R407" s="445">
        <v>0</v>
      </c>
      <c r="S407" s="445">
        <v>0</v>
      </c>
      <c r="T407" s="445">
        <v>0</v>
      </c>
      <c r="U407" s="445">
        <v>0</v>
      </c>
      <c r="V407" s="445">
        <v>0</v>
      </c>
      <c r="W407" s="445">
        <v>0</v>
      </c>
      <c r="X407" s="445">
        <v>0</v>
      </c>
      <c r="Y407" s="445">
        <v>0</v>
      </c>
      <c r="Z407" s="445">
        <v>0</v>
      </c>
      <c r="AA407" s="445">
        <v>0</v>
      </c>
      <c r="AB407" s="445">
        <v>0</v>
      </c>
      <c r="AC407" s="445">
        <v>0</v>
      </c>
      <c r="AD407" s="445">
        <v>0</v>
      </c>
      <c r="AE407" s="445">
        <v>0</v>
      </c>
    </row>
    <row r="408" spans="1:32">
      <c r="A408" s="444" t="s">
        <v>2471</v>
      </c>
      <c r="B408" s="445">
        <v>0</v>
      </c>
      <c r="C408" s="445">
        <v>0</v>
      </c>
      <c r="D408" s="445">
        <v>0</v>
      </c>
      <c r="E408" s="445">
        <v>0</v>
      </c>
      <c r="F408" s="445">
        <v>0</v>
      </c>
      <c r="G408" s="445">
        <v>0</v>
      </c>
      <c r="H408" s="445">
        <v>0</v>
      </c>
      <c r="I408" s="445">
        <v>0</v>
      </c>
      <c r="J408" s="445">
        <v>0</v>
      </c>
      <c r="K408" s="445">
        <v>0</v>
      </c>
      <c r="L408" s="445">
        <v>0</v>
      </c>
      <c r="M408" s="445">
        <v>0</v>
      </c>
      <c r="N408" s="445">
        <v>0</v>
      </c>
      <c r="O408" s="627"/>
      <c r="P408" s="445">
        <v>0</v>
      </c>
      <c r="Q408" s="445">
        <v>0</v>
      </c>
      <c r="R408" s="445">
        <v>0</v>
      </c>
      <c r="S408" s="445">
        <v>0</v>
      </c>
      <c r="T408" s="445">
        <v>0</v>
      </c>
      <c r="U408" s="445">
        <v>0</v>
      </c>
      <c r="V408" s="445">
        <v>0</v>
      </c>
      <c r="W408" s="445">
        <v>0</v>
      </c>
      <c r="X408" s="445">
        <v>0</v>
      </c>
      <c r="Y408" s="445">
        <v>0</v>
      </c>
      <c r="Z408" s="445">
        <v>0</v>
      </c>
      <c r="AA408" s="445">
        <v>0</v>
      </c>
      <c r="AB408" s="445">
        <v>0</v>
      </c>
      <c r="AC408" s="445">
        <v>0</v>
      </c>
      <c r="AD408" s="445">
        <v>0</v>
      </c>
      <c r="AE408" s="445">
        <v>0</v>
      </c>
    </row>
    <row r="409" spans="1:32">
      <c r="A409" s="444" t="s">
        <v>2472</v>
      </c>
      <c r="B409" s="445">
        <v>153.98477999999901</v>
      </c>
      <c r="C409" s="445">
        <v>1120.21804</v>
      </c>
      <c r="D409" s="445">
        <v>489.20785999999998</v>
      </c>
      <c r="E409" s="445">
        <v>265.05137000000002</v>
      </c>
      <c r="F409" s="445">
        <v>140.17874</v>
      </c>
      <c r="G409" s="445">
        <v>294.36727999999999</v>
      </c>
      <c r="H409" s="445">
        <v>51.92548</v>
      </c>
      <c r="I409" s="445">
        <v>62.734999999999999</v>
      </c>
      <c r="J409" s="445">
        <v>78.451999999999998</v>
      </c>
      <c r="K409" s="445">
        <v>78.150999999999996</v>
      </c>
      <c r="L409" s="445">
        <v>98.736999999999995</v>
      </c>
      <c r="M409" s="445">
        <v>105.23399999999999</v>
      </c>
      <c r="N409" s="445">
        <v>166.756</v>
      </c>
      <c r="O409" s="627">
        <f>SUM(C409:N409)</f>
        <v>2951.0137699999996</v>
      </c>
      <c r="P409" s="445">
        <v>415.661</v>
      </c>
      <c r="Q409" s="445">
        <v>394.00599999999997</v>
      </c>
      <c r="R409" s="445">
        <v>894.72399999999902</v>
      </c>
      <c r="S409" s="445">
        <v>166.99199999999999</v>
      </c>
      <c r="T409" s="445">
        <v>136.625</v>
      </c>
      <c r="U409" s="445">
        <v>113.782</v>
      </c>
      <c r="V409" s="445">
        <v>139.72</v>
      </c>
      <c r="W409" s="445">
        <v>121.79300000000001</v>
      </c>
      <c r="X409" s="445">
        <v>118.369</v>
      </c>
      <c r="Y409" s="445">
        <v>103.354</v>
      </c>
      <c r="Z409" s="445">
        <v>97.725999999999999</v>
      </c>
      <c r="AA409" s="445">
        <v>184.149</v>
      </c>
      <c r="AB409" s="445">
        <v>415.661</v>
      </c>
      <c r="AC409" s="445">
        <v>394.00599999999997</v>
      </c>
      <c r="AD409" s="445">
        <v>894.72399999999902</v>
      </c>
      <c r="AE409" s="445">
        <v>166.99199999999999</v>
      </c>
      <c r="AF409" s="627">
        <f>SUM(T409:AE409)</f>
        <v>2886.9009999999989</v>
      </c>
    </row>
    <row r="410" spans="1:32">
      <c r="A410" s="444" t="s">
        <v>2473</v>
      </c>
      <c r="B410" s="445">
        <v>0</v>
      </c>
      <c r="C410" s="445">
        <v>0</v>
      </c>
      <c r="D410" s="445">
        <v>0</v>
      </c>
      <c r="E410" s="445">
        <v>0</v>
      </c>
      <c r="F410" s="445">
        <v>0</v>
      </c>
      <c r="G410" s="445">
        <v>0</v>
      </c>
      <c r="H410" s="445">
        <v>0</v>
      </c>
      <c r="I410" s="445">
        <v>0</v>
      </c>
      <c r="J410" s="445">
        <v>0</v>
      </c>
      <c r="K410" s="445">
        <v>0</v>
      </c>
      <c r="L410" s="445">
        <v>0</v>
      </c>
      <c r="M410" s="445">
        <v>0</v>
      </c>
      <c r="N410" s="445">
        <v>0</v>
      </c>
      <c r="O410" s="627"/>
      <c r="P410" s="445">
        <v>0</v>
      </c>
      <c r="Q410" s="445">
        <v>0</v>
      </c>
      <c r="R410" s="445">
        <v>0</v>
      </c>
      <c r="S410" s="445">
        <v>0</v>
      </c>
      <c r="T410" s="445">
        <v>0</v>
      </c>
      <c r="U410" s="445">
        <v>0</v>
      </c>
      <c r="V410" s="445">
        <v>0</v>
      </c>
      <c r="W410" s="445">
        <v>0</v>
      </c>
      <c r="X410" s="445">
        <v>0</v>
      </c>
      <c r="Y410" s="445">
        <v>0</v>
      </c>
      <c r="Z410" s="445">
        <v>0</v>
      </c>
      <c r="AA410" s="445">
        <v>0</v>
      </c>
      <c r="AB410" s="445">
        <v>0</v>
      </c>
      <c r="AC410" s="445">
        <v>0</v>
      </c>
      <c r="AD410" s="445">
        <v>0</v>
      </c>
      <c r="AE410" s="445">
        <v>0</v>
      </c>
    </row>
    <row r="411" spans="1:32">
      <c r="A411" s="444" t="s">
        <v>2474</v>
      </c>
      <c r="B411" s="445">
        <v>0</v>
      </c>
      <c r="C411" s="445">
        <v>0</v>
      </c>
      <c r="D411" s="445">
        <v>0</v>
      </c>
      <c r="E411" s="445">
        <v>395</v>
      </c>
      <c r="F411" s="445">
        <v>55</v>
      </c>
      <c r="G411" s="445">
        <v>0</v>
      </c>
      <c r="H411" s="445">
        <v>0</v>
      </c>
      <c r="I411" s="445">
        <v>0</v>
      </c>
      <c r="J411" s="445">
        <v>0</v>
      </c>
      <c r="K411" s="445">
        <v>0</v>
      </c>
      <c r="L411" s="445">
        <v>0</v>
      </c>
      <c r="M411" s="445">
        <v>0</v>
      </c>
      <c r="N411" s="445">
        <v>0</v>
      </c>
      <c r="O411" s="627"/>
      <c r="P411" s="445">
        <v>0</v>
      </c>
      <c r="Q411" s="445">
        <v>0</v>
      </c>
      <c r="R411" s="445">
        <v>0</v>
      </c>
      <c r="S411" s="445">
        <v>0</v>
      </c>
      <c r="T411" s="445">
        <v>0</v>
      </c>
      <c r="U411" s="445">
        <v>0</v>
      </c>
      <c r="V411" s="445">
        <v>0</v>
      </c>
      <c r="W411" s="445">
        <v>0</v>
      </c>
      <c r="X411" s="445">
        <v>0</v>
      </c>
      <c r="Y411" s="445">
        <v>0</v>
      </c>
      <c r="Z411" s="445">
        <v>0</v>
      </c>
      <c r="AA411" s="445">
        <v>0</v>
      </c>
      <c r="AB411" s="445">
        <v>0</v>
      </c>
      <c r="AC411" s="445">
        <v>0</v>
      </c>
      <c r="AD411" s="445">
        <v>0</v>
      </c>
      <c r="AE411" s="445">
        <v>0</v>
      </c>
    </row>
    <row r="412" spans="1:32">
      <c r="A412" s="444" t="s">
        <v>2475</v>
      </c>
      <c r="B412" s="445">
        <v>40.579169999999998</v>
      </c>
      <c r="C412" s="445">
        <v>39.616390000000003</v>
      </c>
      <c r="D412" s="445">
        <v>57.293759999999999</v>
      </c>
      <c r="E412" s="445">
        <v>33.711849999999998</v>
      </c>
      <c r="F412" s="445">
        <v>54.489100000000001</v>
      </c>
      <c r="G412" s="445">
        <v>36.773529999999901</v>
      </c>
      <c r="H412" s="445">
        <v>74.847200000000001</v>
      </c>
      <c r="I412" s="445">
        <v>60.927</v>
      </c>
      <c r="J412" s="445">
        <v>57.146999999999998</v>
      </c>
      <c r="K412" s="445">
        <v>63.01</v>
      </c>
      <c r="L412" s="445">
        <v>67.748999999999995</v>
      </c>
      <c r="M412" s="445">
        <v>56.820999999999898</v>
      </c>
      <c r="N412" s="445">
        <v>61.085000000000001</v>
      </c>
      <c r="O412" s="627"/>
      <c r="P412" s="445">
        <v>89.799000000000007</v>
      </c>
      <c r="Q412" s="445">
        <v>52.71</v>
      </c>
      <c r="R412" s="445">
        <v>55.87</v>
      </c>
      <c r="S412" s="445">
        <v>55.988999999999997</v>
      </c>
      <c r="T412" s="445">
        <v>55.948999999999998</v>
      </c>
      <c r="U412" s="445">
        <v>53.863</v>
      </c>
      <c r="V412" s="445">
        <v>59.170999999999999</v>
      </c>
      <c r="W412" s="445">
        <v>55.673999999999999</v>
      </c>
      <c r="X412" s="445">
        <v>61.773000000000003</v>
      </c>
      <c r="Y412" s="445">
        <v>59.783999999999999</v>
      </c>
      <c r="Z412" s="445">
        <v>50.808</v>
      </c>
      <c r="AA412" s="445">
        <v>79.137</v>
      </c>
      <c r="AB412" s="445">
        <v>90.620999999999995</v>
      </c>
      <c r="AC412" s="445">
        <v>53.466999999999999</v>
      </c>
      <c r="AD412" s="445">
        <v>57.886000000000003</v>
      </c>
      <c r="AE412" s="445">
        <v>56.789000000000001</v>
      </c>
    </row>
    <row r="413" spans="1:32" ht="15.75" thickBot="1">
      <c r="A413" s="444" t="s">
        <v>2476</v>
      </c>
      <c r="B413" s="629">
        <v>140.57937999999999</v>
      </c>
      <c r="C413" s="629">
        <v>26.445059999999899</v>
      </c>
      <c r="D413" s="629">
        <v>17.82385</v>
      </c>
      <c r="E413" s="629">
        <v>35.745910000000002</v>
      </c>
      <c r="F413" s="629">
        <v>68.213570000000004</v>
      </c>
      <c r="G413" s="629">
        <v>126.04137</v>
      </c>
      <c r="H413" s="629">
        <v>81.335290000000001</v>
      </c>
      <c r="I413" s="629">
        <v>62.088999999999999</v>
      </c>
      <c r="J413" s="629">
        <v>76.373999999999995</v>
      </c>
      <c r="K413" s="629">
        <v>114.521</v>
      </c>
      <c r="L413" s="629">
        <v>79.405000000000001</v>
      </c>
      <c r="M413" s="629">
        <v>97.321999999999903</v>
      </c>
      <c r="N413" s="629">
        <v>301.58699999999999</v>
      </c>
      <c r="O413" s="627"/>
      <c r="P413" s="629">
        <v>60.063999999999901</v>
      </c>
      <c r="Q413" s="629">
        <v>59.875</v>
      </c>
      <c r="R413" s="629">
        <v>73.635000000000005</v>
      </c>
      <c r="S413" s="629">
        <v>98.153000000000006</v>
      </c>
      <c r="T413" s="629">
        <v>58.758999999999901</v>
      </c>
      <c r="U413" s="629">
        <v>106.489</v>
      </c>
      <c r="V413" s="629">
        <v>66.980999999999995</v>
      </c>
      <c r="W413" s="629">
        <v>65.501999999999995</v>
      </c>
      <c r="X413" s="629">
        <v>84.932999999999893</v>
      </c>
      <c r="Y413" s="629">
        <v>73.254999999999995</v>
      </c>
      <c r="Z413" s="629">
        <v>74.266999999999996</v>
      </c>
      <c r="AA413" s="629">
        <v>170.23099999999999</v>
      </c>
      <c r="AB413" s="629">
        <v>60.701000000000001</v>
      </c>
      <c r="AC413" s="629">
        <v>60.040999999999997</v>
      </c>
      <c r="AD413" s="629">
        <v>74.281000000000006</v>
      </c>
      <c r="AE413" s="629">
        <v>98.296000000000006</v>
      </c>
    </row>
    <row r="414" spans="1:32">
      <c r="A414" s="632" t="s">
        <v>2477</v>
      </c>
      <c r="B414" s="445">
        <v>103.47881</v>
      </c>
      <c r="C414" s="445">
        <v>783.44407999999999</v>
      </c>
      <c r="D414" s="445">
        <v>363.61572999999999</v>
      </c>
      <c r="E414" s="445">
        <v>478.87394</v>
      </c>
      <c r="F414" s="445">
        <v>159.75576000000001</v>
      </c>
      <c r="G414" s="445">
        <v>218.42684</v>
      </c>
      <c r="H414" s="445">
        <v>113.29047</v>
      </c>
      <c r="I414" s="445">
        <v>37.350620570248701</v>
      </c>
      <c r="J414" s="445">
        <v>63.880412570111098</v>
      </c>
      <c r="K414" s="445">
        <v>98.040483465944703</v>
      </c>
      <c r="L414" s="445">
        <v>91.507473799279097</v>
      </c>
      <c r="M414" s="445">
        <v>98.696012195113298</v>
      </c>
      <c r="N414" s="445">
        <v>302.12885921594602</v>
      </c>
      <c r="O414" s="627">
        <f>SUM(C414:N414)</f>
        <v>2809.0106818166432</v>
      </c>
      <c r="P414" s="445">
        <v>341.23256232011101</v>
      </c>
      <c r="Q414" s="445">
        <v>287.50669721593198</v>
      </c>
      <c r="R414" s="445">
        <v>676.55781782009103</v>
      </c>
      <c r="S414" s="445">
        <v>148.65009702843199</v>
      </c>
      <c r="T414" s="445">
        <v>96.026502153421902</v>
      </c>
      <c r="U414" s="445">
        <v>112.418312486733</v>
      </c>
      <c r="V414" s="445">
        <v>107.342050507528</v>
      </c>
      <c r="W414" s="445">
        <v>89.080276382494603</v>
      </c>
      <c r="X414" s="445">
        <v>107.032110507498</v>
      </c>
      <c r="Y414" s="445">
        <v>84.873047757486304</v>
      </c>
      <c r="Z414" s="445">
        <v>72.247241174136306</v>
      </c>
      <c r="AA414" s="445">
        <v>237.322625944968</v>
      </c>
      <c r="AB414" s="445">
        <v>339.344225382454</v>
      </c>
      <c r="AC414" s="445">
        <v>285.295563528331</v>
      </c>
      <c r="AD414" s="445">
        <v>676.18888517422101</v>
      </c>
      <c r="AE414" s="445">
        <v>146.92679094507901</v>
      </c>
      <c r="AF414" s="627">
        <f>SUM(T414:AE414)</f>
        <v>2354.0976319443516</v>
      </c>
    </row>
    <row r="415" spans="1:32" ht="15.75" thickBot="1">
      <c r="A415" s="444" t="s">
        <v>2478</v>
      </c>
      <c r="B415" s="629">
        <v>0</v>
      </c>
      <c r="C415" s="629">
        <v>0</v>
      </c>
      <c r="D415" s="629">
        <v>0</v>
      </c>
      <c r="E415" s="629">
        <v>0</v>
      </c>
      <c r="F415" s="629">
        <v>0</v>
      </c>
      <c r="G415" s="629">
        <v>0</v>
      </c>
      <c r="H415" s="629">
        <v>0</v>
      </c>
      <c r="I415" s="629">
        <v>0</v>
      </c>
      <c r="J415" s="629">
        <v>0</v>
      </c>
      <c r="K415" s="629">
        <v>0</v>
      </c>
      <c r="L415" s="629">
        <v>0</v>
      </c>
      <c r="M415" s="629">
        <v>0</v>
      </c>
      <c r="N415" s="629">
        <v>0</v>
      </c>
      <c r="O415" s="627"/>
      <c r="P415" s="629">
        <v>0</v>
      </c>
      <c r="Q415" s="629">
        <v>0</v>
      </c>
      <c r="R415" s="629">
        <v>0</v>
      </c>
      <c r="S415" s="629">
        <v>0</v>
      </c>
      <c r="T415" s="629">
        <v>0</v>
      </c>
      <c r="U415" s="629">
        <v>0</v>
      </c>
      <c r="V415" s="629">
        <v>0</v>
      </c>
      <c r="W415" s="629">
        <v>0</v>
      </c>
      <c r="X415" s="629">
        <v>0</v>
      </c>
      <c r="Y415" s="629">
        <v>0</v>
      </c>
      <c r="Z415" s="629">
        <v>0</v>
      </c>
      <c r="AA415" s="629">
        <v>0</v>
      </c>
      <c r="AB415" s="629">
        <v>0</v>
      </c>
      <c r="AC415" s="629">
        <v>0</v>
      </c>
      <c r="AD415" s="629">
        <v>0</v>
      </c>
      <c r="AE415" s="629">
        <v>0</v>
      </c>
    </row>
    <row r="416" spans="1:32">
      <c r="A416" s="632" t="s">
        <v>2479</v>
      </c>
      <c r="B416" s="445">
        <v>0</v>
      </c>
      <c r="C416" s="445">
        <v>0</v>
      </c>
      <c r="D416" s="445">
        <v>0</v>
      </c>
      <c r="E416" s="445">
        <v>0</v>
      </c>
      <c r="F416" s="445">
        <v>0</v>
      </c>
      <c r="G416" s="445">
        <v>0</v>
      </c>
      <c r="H416" s="445">
        <v>0</v>
      </c>
      <c r="I416" s="445">
        <v>0</v>
      </c>
      <c r="J416" s="445">
        <v>0</v>
      </c>
      <c r="K416" s="445">
        <v>0</v>
      </c>
      <c r="L416" s="445">
        <v>0</v>
      </c>
      <c r="M416" s="445">
        <v>0</v>
      </c>
      <c r="N416" s="445">
        <v>0</v>
      </c>
      <c r="O416" s="627"/>
      <c r="P416" s="445">
        <v>0</v>
      </c>
      <c r="Q416" s="445">
        <v>0</v>
      </c>
      <c r="R416" s="445">
        <v>0</v>
      </c>
      <c r="S416" s="445">
        <v>0</v>
      </c>
      <c r="T416" s="445">
        <v>0</v>
      </c>
      <c r="U416" s="445">
        <v>0</v>
      </c>
      <c r="V416" s="445">
        <v>0</v>
      </c>
      <c r="W416" s="445">
        <v>0</v>
      </c>
      <c r="X416" s="445">
        <v>0</v>
      </c>
      <c r="Y416" s="445">
        <v>0</v>
      </c>
      <c r="Z416" s="445">
        <v>0</v>
      </c>
      <c r="AA416" s="445">
        <v>0</v>
      </c>
      <c r="AB416" s="445">
        <v>0</v>
      </c>
      <c r="AC416" s="445">
        <v>0</v>
      </c>
      <c r="AD416" s="445">
        <v>0</v>
      </c>
      <c r="AE416" s="445">
        <v>0</v>
      </c>
    </row>
    <row r="417" spans="1:32" ht="15.75" thickBot="1">
      <c r="B417" s="636"/>
      <c r="C417" s="636"/>
      <c r="D417" s="636"/>
      <c r="E417" s="636"/>
      <c r="F417" s="636"/>
      <c r="G417" s="636"/>
      <c r="H417" s="636"/>
      <c r="I417" s="636"/>
      <c r="J417" s="636"/>
      <c r="K417" s="636"/>
      <c r="L417" s="636"/>
      <c r="M417" s="636"/>
      <c r="N417" s="636"/>
      <c r="O417" s="627">
        <f>SUM(C417:N417)*1000</f>
        <v>0</v>
      </c>
      <c r="P417" s="636"/>
      <c r="Q417" s="636"/>
      <c r="R417" s="636"/>
      <c r="S417" s="636"/>
      <c r="T417" s="636"/>
      <c r="U417" s="636"/>
      <c r="V417" s="636"/>
      <c r="W417" s="636"/>
      <c r="X417" s="636"/>
      <c r="Y417" s="636"/>
      <c r="Z417" s="636"/>
      <c r="AA417" s="636"/>
      <c r="AB417" s="636"/>
      <c r="AC417" s="636"/>
      <c r="AD417" s="636"/>
      <c r="AE417" s="636"/>
      <c r="AF417" s="627">
        <f>SUM(T417:AE417)*1000</f>
        <v>0</v>
      </c>
    </row>
    <row r="418" spans="1:32">
      <c r="A418" s="447" t="s">
        <v>2480</v>
      </c>
      <c r="B418" s="445">
        <v>103.47881</v>
      </c>
      <c r="C418" s="445">
        <v>783.44407999999999</v>
      </c>
      <c r="D418" s="445">
        <v>363.61572999999999</v>
      </c>
      <c r="E418" s="445">
        <v>478.87394</v>
      </c>
      <c r="F418" s="445">
        <v>159.75576000000001</v>
      </c>
      <c r="G418" s="445">
        <v>218.42684</v>
      </c>
      <c r="H418" s="445">
        <v>113.29047</v>
      </c>
      <c r="I418" s="445">
        <v>37.350620570248701</v>
      </c>
      <c r="J418" s="445">
        <v>63.880412570111098</v>
      </c>
      <c r="K418" s="445">
        <v>98.040483465944703</v>
      </c>
      <c r="L418" s="445">
        <v>91.507473799279097</v>
      </c>
      <c r="M418" s="445">
        <v>98.696012195113298</v>
      </c>
      <c r="N418" s="445">
        <v>302.12885921594602</v>
      </c>
      <c r="O418" s="627">
        <f>SUM(C418:N418)</f>
        <v>2809.0106818166432</v>
      </c>
      <c r="P418" s="445">
        <v>341.23256232011101</v>
      </c>
      <c r="Q418" s="445">
        <v>287.50669721593198</v>
      </c>
      <c r="R418" s="445">
        <v>676.55781782009103</v>
      </c>
      <c r="S418" s="445">
        <v>148.65009702843199</v>
      </c>
      <c r="T418" s="445">
        <v>96.026502153421902</v>
      </c>
      <c r="U418" s="445">
        <v>112.418312486733</v>
      </c>
      <c r="V418" s="445">
        <v>107.342050507528</v>
      </c>
      <c r="W418" s="445">
        <v>89.080276382494603</v>
      </c>
      <c r="X418" s="445">
        <v>107.032110507498</v>
      </c>
      <c r="Y418" s="445">
        <v>84.873047757486304</v>
      </c>
      <c r="Z418" s="445">
        <v>72.247241174136306</v>
      </c>
      <c r="AA418" s="445">
        <v>237.322625944968</v>
      </c>
      <c r="AB418" s="445">
        <v>339.344225382454</v>
      </c>
      <c r="AC418" s="445">
        <v>285.295563528331</v>
      </c>
      <c r="AD418" s="445">
        <v>676.18888517422101</v>
      </c>
      <c r="AE418" s="445">
        <v>146.92679094507901</v>
      </c>
      <c r="AF418" s="627">
        <f>SUM(T418:AE418)</f>
        <v>2354.0976319443516</v>
      </c>
    </row>
    <row r="419" spans="1:32">
      <c r="O419" s="627"/>
    </row>
    <row r="420" spans="1:32">
      <c r="A420" s="447" t="s">
        <v>2481</v>
      </c>
      <c r="B420" s="626">
        <v>30687.217619999999</v>
      </c>
      <c r="C420" s="626">
        <v>37451.323759999897</v>
      </c>
      <c r="D420" s="626">
        <v>25888.915029999898</v>
      </c>
      <c r="E420" s="626">
        <v>26756.571049999999</v>
      </c>
      <c r="F420" s="626">
        <v>14979.92533</v>
      </c>
      <c r="G420" s="626">
        <v>24532.153379999902</v>
      </c>
      <c r="H420" s="626">
        <v>29299.4192</v>
      </c>
      <c r="I420" s="626">
        <v>27054.9778514174</v>
      </c>
      <c r="J420" s="626">
        <v>27008.339449543699</v>
      </c>
      <c r="K420" s="626">
        <v>23858.988697420598</v>
      </c>
      <c r="L420" s="626">
        <v>13278.956460989401</v>
      </c>
      <c r="M420" s="626">
        <v>20629.1512870638</v>
      </c>
      <c r="N420" s="626">
        <v>29343.0708867633</v>
      </c>
      <c r="O420" s="627"/>
      <c r="P420" s="626">
        <v>31770.960719617298</v>
      </c>
      <c r="Q420" s="626">
        <v>28045.018266734402</v>
      </c>
      <c r="R420" s="626">
        <v>26049.912086539902</v>
      </c>
      <c r="S420" s="626">
        <v>14532.154749777999</v>
      </c>
      <c r="T420" s="626">
        <v>20546.879606019302</v>
      </c>
      <c r="U420" s="626">
        <v>25552.1516787236</v>
      </c>
      <c r="V420" s="626">
        <v>27628.589271920198</v>
      </c>
      <c r="W420" s="626">
        <v>28581.413823635099</v>
      </c>
      <c r="X420" s="626">
        <v>22332.038804249201</v>
      </c>
      <c r="Y420" s="626">
        <v>15199.457042636401</v>
      </c>
      <c r="Z420" s="626">
        <v>21651.6067997545</v>
      </c>
      <c r="AA420" s="626">
        <v>32873.561752815003</v>
      </c>
      <c r="AB420" s="626">
        <v>35301.438018004497</v>
      </c>
      <c r="AC420" s="626">
        <v>31562.5386278562</v>
      </c>
      <c r="AD420" s="626">
        <v>28698.842245930198</v>
      </c>
      <c r="AE420" s="626">
        <v>16237.179148892899</v>
      </c>
    </row>
    <row r="421" spans="1:32">
      <c r="A421" s="444" t="s">
        <v>539</v>
      </c>
      <c r="O421" s="627"/>
    </row>
    <row r="422" spans="1:32">
      <c r="A422" s="444" t="s">
        <v>2482</v>
      </c>
      <c r="B422" s="445">
        <v>5403.3924699999998</v>
      </c>
      <c r="C422" s="445">
        <v>5537.5753599999998</v>
      </c>
      <c r="D422" s="445">
        <v>5543.8476499999997</v>
      </c>
      <c r="E422" s="445">
        <v>5636.8659799999996</v>
      </c>
      <c r="F422" s="445">
        <v>5670.77423</v>
      </c>
      <c r="G422" s="445">
        <v>5748.9203799999996</v>
      </c>
      <c r="H422" s="445">
        <v>5740.8454499999998</v>
      </c>
      <c r="I422" s="445">
        <v>5783.67763617733</v>
      </c>
      <c r="J422" s="445">
        <v>5798.2454231773299</v>
      </c>
      <c r="K422" s="445">
        <v>5799.8880412384797</v>
      </c>
      <c r="L422" s="445">
        <v>5824.0681214585802</v>
      </c>
      <c r="M422" s="445">
        <v>5831.1531992697201</v>
      </c>
      <c r="N422" s="445">
        <v>5851.9010515835798</v>
      </c>
      <c r="O422" s="627"/>
      <c r="P422" s="445">
        <v>5870.77745255233</v>
      </c>
      <c r="Q422" s="445">
        <v>5871.5552606732699</v>
      </c>
      <c r="R422" s="445">
        <v>5896.27107980233</v>
      </c>
      <c r="S422" s="445">
        <v>5984.9818583096503</v>
      </c>
      <c r="T422" s="445">
        <v>7493.6231737867001</v>
      </c>
      <c r="U422" s="445">
        <v>7525.1194314496997</v>
      </c>
      <c r="V422" s="445">
        <v>7529.5209661802201</v>
      </c>
      <c r="W422" s="445">
        <v>7530.9458899374904</v>
      </c>
      <c r="X422" s="445">
        <v>7526.9865070298802</v>
      </c>
      <c r="Y422" s="445">
        <v>7531.3107371249898</v>
      </c>
      <c r="Z422" s="445">
        <v>7527.3821226132204</v>
      </c>
      <c r="AA422" s="445">
        <v>7531.7040124687401</v>
      </c>
      <c r="AB422" s="445">
        <v>7531.8399381874897</v>
      </c>
      <c r="AC422" s="445">
        <v>7523.7082105702002</v>
      </c>
      <c r="AD422" s="445">
        <v>7532.0226303333202</v>
      </c>
      <c r="AE422" s="445">
        <v>7527.8977042486404</v>
      </c>
    </row>
    <row r="423" spans="1:32">
      <c r="A423" s="444" t="s">
        <v>2483</v>
      </c>
      <c r="B423" s="445">
        <v>0</v>
      </c>
      <c r="C423" s="445">
        <v>0</v>
      </c>
      <c r="D423" s="445">
        <v>0</v>
      </c>
      <c r="E423" s="445">
        <v>0</v>
      </c>
      <c r="F423" s="445">
        <v>0</v>
      </c>
      <c r="G423" s="445">
        <v>0</v>
      </c>
      <c r="H423" s="445">
        <v>0</v>
      </c>
      <c r="I423" s="445">
        <v>0</v>
      </c>
      <c r="J423" s="445">
        <v>0</v>
      </c>
      <c r="K423" s="445">
        <v>0</v>
      </c>
      <c r="L423" s="445">
        <v>0</v>
      </c>
      <c r="M423" s="445">
        <v>0</v>
      </c>
      <c r="N423" s="445">
        <v>0</v>
      </c>
      <c r="O423" s="627"/>
      <c r="P423" s="445">
        <v>0</v>
      </c>
      <c r="Q423" s="445">
        <v>0</v>
      </c>
      <c r="R423" s="445">
        <v>0</v>
      </c>
      <c r="S423" s="445">
        <v>0</v>
      </c>
      <c r="T423" s="445">
        <v>0</v>
      </c>
      <c r="U423" s="445">
        <v>0</v>
      </c>
      <c r="V423" s="445">
        <v>0</v>
      </c>
      <c r="W423" s="445">
        <v>0</v>
      </c>
      <c r="X423" s="445">
        <v>0</v>
      </c>
      <c r="Y423" s="445">
        <v>0</v>
      </c>
      <c r="Z423" s="445">
        <v>0</v>
      </c>
      <c r="AA423" s="445">
        <v>0</v>
      </c>
      <c r="AB423" s="445">
        <v>0</v>
      </c>
      <c r="AC423" s="445">
        <v>0</v>
      </c>
      <c r="AD423" s="445">
        <v>0</v>
      </c>
      <c r="AE423" s="445">
        <v>0</v>
      </c>
    </row>
    <row r="424" spans="1:32" ht="15.75" thickBot="1">
      <c r="A424" s="444" t="s">
        <v>2484</v>
      </c>
      <c r="B424" s="629">
        <v>0</v>
      </c>
      <c r="C424" s="629">
        <v>0</v>
      </c>
      <c r="D424" s="629">
        <v>0</v>
      </c>
      <c r="E424" s="629">
        <v>0</v>
      </c>
      <c r="F424" s="629">
        <v>0</v>
      </c>
      <c r="G424" s="629">
        <v>0</v>
      </c>
      <c r="H424" s="629">
        <v>0</v>
      </c>
      <c r="I424" s="629">
        <v>0</v>
      </c>
      <c r="J424" s="629">
        <v>0</v>
      </c>
      <c r="K424" s="629">
        <v>0</v>
      </c>
      <c r="L424" s="629">
        <v>0</v>
      </c>
      <c r="M424" s="629">
        <v>0</v>
      </c>
      <c r="N424" s="629">
        <v>0</v>
      </c>
      <c r="O424" s="627"/>
      <c r="P424" s="629">
        <v>0</v>
      </c>
      <c r="Q424" s="629">
        <v>0</v>
      </c>
      <c r="R424" s="629">
        <v>0</v>
      </c>
      <c r="S424" s="629">
        <v>0</v>
      </c>
      <c r="T424" s="629">
        <v>0</v>
      </c>
      <c r="U424" s="629">
        <v>0</v>
      </c>
      <c r="V424" s="629">
        <v>0</v>
      </c>
      <c r="W424" s="629">
        <v>0</v>
      </c>
      <c r="X424" s="629">
        <v>0</v>
      </c>
      <c r="Y424" s="629">
        <v>0</v>
      </c>
      <c r="Z424" s="629">
        <v>0</v>
      </c>
      <c r="AA424" s="629">
        <v>0</v>
      </c>
      <c r="AB424" s="629">
        <v>0</v>
      </c>
      <c r="AC424" s="629">
        <v>0</v>
      </c>
      <c r="AD424" s="629">
        <v>0</v>
      </c>
      <c r="AE424" s="629">
        <v>0</v>
      </c>
    </row>
    <row r="425" spans="1:32">
      <c r="A425" s="444" t="s">
        <v>2485</v>
      </c>
      <c r="B425" s="445">
        <v>5403.3924699999998</v>
      </c>
      <c r="C425" s="445">
        <v>5537.5753599999998</v>
      </c>
      <c r="D425" s="445">
        <v>5543.8476499999997</v>
      </c>
      <c r="E425" s="445">
        <v>5636.8659799999996</v>
      </c>
      <c r="F425" s="445">
        <v>5670.77423</v>
      </c>
      <c r="G425" s="445">
        <v>5748.9203799999996</v>
      </c>
      <c r="H425" s="445">
        <v>5740.8454499999998</v>
      </c>
      <c r="I425" s="445">
        <v>5783.67763617733</v>
      </c>
      <c r="J425" s="445">
        <v>5798.2454231773299</v>
      </c>
      <c r="K425" s="445">
        <v>5799.8880412384797</v>
      </c>
      <c r="L425" s="445">
        <v>5824.0681214585802</v>
      </c>
      <c r="M425" s="445">
        <v>5831.1531992697201</v>
      </c>
      <c r="N425" s="445">
        <v>5851.9010515835798</v>
      </c>
      <c r="O425" s="627">
        <f t="shared" ref="O425:O433" si="0">SUM(C425:N425)</f>
        <v>68767.762522905017</v>
      </c>
      <c r="P425" s="445">
        <v>5870.77745255233</v>
      </c>
      <c r="Q425" s="445">
        <v>5871.5552606732699</v>
      </c>
      <c r="R425" s="445">
        <v>5896.27107980233</v>
      </c>
      <c r="S425" s="445">
        <v>5984.9818583096503</v>
      </c>
      <c r="T425" s="445">
        <v>7493.6231737867001</v>
      </c>
      <c r="U425" s="445">
        <v>7525.1194314496997</v>
      </c>
      <c r="V425" s="445">
        <v>7529.5209661802201</v>
      </c>
      <c r="W425" s="445">
        <v>7530.9458899374904</v>
      </c>
      <c r="X425" s="445">
        <v>7526.9865070298802</v>
      </c>
      <c r="Y425" s="445">
        <v>7531.3107371249898</v>
      </c>
      <c r="Z425" s="445">
        <v>7527.3821226132204</v>
      </c>
      <c r="AA425" s="445">
        <v>7531.7040124687401</v>
      </c>
      <c r="AB425" s="445">
        <v>7531.8399381874897</v>
      </c>
      <c r="AC425" s="445">
        <v>7523.7082105702002</v>
      </c>
      <c r="AD425" s="445">
        <v>7532.0226303333202</v>
      </c>
      <c r="AE425" s="445">
        <v>7527.8977042486404</v>
      </c>
      <c r="AF425" s="627">
        <f t="shared" ref="AF425:AF433" si="1">SUM(T425:AE425)</f>
        <v>90312.061323930582</v>
      </c>
    </row>
    <row r="426" spans="1:32" ht="15.75" thickBot="1">
      <c r="A426" s="444" t="s">
        <v>2486</v>
      </c>
      <c r="B426" s="629">
        <v>261.39743999999899</v>
      </c>
      <c r="C426" s="629">
        <v>254.6918</v>
      </c>
      <c r="D426" s="629">
        <v>235.84119000000001</v>
      </c>
      <c r="E426" s="629">
        <v>281.24167999999997</v>
      </c>
      <c r="F426" s="629">
        <v>259.86635000000001</v>
      </c>
      <c r="G426" s="629">
        <v>299.35843</v>
      </c>
      <c r="H426" s="629">
        <v>260.16120000000001</v>
      </c>
      <c r="I426" s="629">
        <v>266.85771</v>
      </c>
      <c r="J426" s="629">
        <v>268.469729999999</v>
      </c>
      <c r="K426" s="629">
        <v>261.38267000000002</v>
      </c>
      <c r="L426" s="629">
        <v>271.76229999999902</v>
      </c>
      <c r="M426" s="629">
        <v>264.64940999999902</v>
      </c>
      <c r="N426" s="629">
        <v>275.22332</v>
      </c>
      <c r="O426" s="627">
        <f t="shared" si="0"/>
        <v>3199.505789999997</v>
      </c>
      <c r="P426" s="629">
        <v>273.92995025191601</v>
      </c>
      <c r="Q426" s="629">
        <v>254.17206541073301</v>
      </c>
      <c r="R426" s="629">
        <v>283.22840956188298</v>
      </c>
      <c r="S426" s="629">
        <v>271.27888507314401</v>
      </c>
      <c r="T426" s="629">
        <v>286.88876257558201</v>
      </c>
      <c r="U426" s="629">
        <v>286.65550197320903</v>
      </c>
      <c r="V426" s="629">
        <v>307.02706632496199</v>
      </c>
      <c r="W426" s="629">
        <v>318.24639043455102</v>
      </c>
      <c r="X426" s="629">
        <v>308.73914046636003</v>
      </c>
      <c r="Y426" s="629">
        <v>317.80404043455098</v>
      </c>
      <c r="Z426" s="629">
        <v>304.59559046636002</v>
      </c>
      <c r="AA426" s="629">
        <v>314.65136043455101</v>
      </c>
      <c r="AB426" s="629">
        <v>308.34847243455101</v>
      </c>
      <c r="AC426" s="629">
        <v>293.582089735463</v>
      </c>
      <c r="AD426" s="629">
        <v>314.77123617097101</v>
      </c>
      <c r="AE426" s="629">
        <v>305.425841953217</v>
      </c>
      <c r="AF426" s="627">
        <f t="shared" si="1"/>
        <v>3666.7354934043283</v>
      </c>
    </row>
    <row r="427" spans="1:32">
      <c r="A427" s="444" t="s">
        <v>2487</v>
      </c>
      <c r="B427" s="445">
        <v>261.39743999999899</v>
      </c>
      <c r="C427" s="445">
        <v>254.6918</v>
      </c>
      <c r="D427" s="445">
        <v>235.84119000000001</v>
      </c>
      <c r="E427" s="445">
        <v>281.24167999999997</v>
      </c>
      <c r="F427" s="445">
        <v>259.86635000000001</v>
      </c>
      <c r="G427" s="445">
        <v>299.35843</v>
      </c>
      <c r="H427" s="445">
        <v>260.16120000000001</v>
      </c>
      <c r="I427" s="445">
        <v>266.85771</v>
      </c>
      <c r="J427" s="445">
        <v>268.469729999999</v>
      </c>
      <c r="K427" s="445">
        <v>261.38267000000002</v>
      </c>
      <c r="L427" s="445">
        <v>271.76229999999902</v>
      </c>
      <c r="M427" s="445">
        <v>264.64940999999902</v>
      </c>
      <c r="N427" s="445">
        <v>275.22332</v>
      </c>
      <c r="O427" s="627">
        <f t="shared" si="0"/>
        <v>3199.505789999997</v>
      </c>
      <c r="P427" s="445">
        <v>273.92995025191601</v>
      </c>
      <c r="Q427" s="445">
        <v>254.17206541073301</v>
      </c>
      <c r="R427" s="445">
        <v>283.22840956188298</v>
      </c>
      <c r="S427" s="445">
        <v>271.27888507314401</v>
      </c>
      <c r="T427" s="445">
        <v>286.88876257558201</v>
      </c>
      <c r="U427" s="445">
        <v>286.65550197320903</v>
      </c>
      <c r="V427" s="445">
        <v>307.02706632496199</v>
      </c>
      <c r="W427" s="445">
        <v>318.24639043455102</v>
      </c>
      <c r="X427" s="445">
        <v>308.73914046636003</v>
      </c>
      <c r="Y427" s="445">
        <v>317.80404043455098</v>
      </c>
      <c r="Z427" s="445">
        <v>304.59559046636002</v>
      </c>
      <c r="AA427" s="445">
        <v>314.65136043455101</v>
      </c>
      <c r="AB427" s="445">
        <v>308.34847243455101</v>
      </c>
      <c r="AC427" s="445">
        <v>293.582089735463</v>
      </c>
      <c r="AD427" s="445">
        <v>314.77123617097101</v>
      </c>
      <c r="AE427" s="445">
        <v>305.425841953217</v>
      </c>
      <c r="AF427" s="627">
        <f t="shared" si="1"/>
        <v>3666.7354934043283</v>
      </c>
    </row>
    <row r="428" spans="1:32">
      <c r="A428" s="444" t="s">
        <v>2488</v>
      </c>
      <c r="B428" s="445">
        <v>37.737850000000002</v>
      </c>
      <c r="C428" s="445">
        <v>5.8003499999999999</v>
      </c>
      <c r="D428" s="445">
        <v>0</v>
      </c>
      <c r="E428" s="445">
        <v>2.8458000000000001</v>
      </c>
      <c r="F428" s="445">
        <v>0</v>
      </c>
      <c r="G428" s="445">
        <v>0</v>
      </c>
      <c r="H428" s="445">
        <v>0.95755000000000001</v>
      </c>
      <c r="I428" s="445">
        <v>0</v>
      </c>
      <c r="J428" s="445">
        <v>0</v>
      </c>
      <c r="K428" s="445">
        <v>0</v>
      </c>
      <c r="L428" s="445">
        <v>0</v>
      </c>
      <c r="M428" s="445">
        <v>0</v>
      </c>
      <c r="N428" s="445">
        <v>0</v>
      </c>
      <c r="O428" s="627">
        <f t="shared" si="0"/>
        <v>9.6036999999999999</v>
      </c>
      <c r="P428" s="445">
        <v>0</v>
      </c>
      <c r="Q428" s="445">
        <v>0</v>
      </c>
      <c r="R428" s="445">
        <v>0</v>
      </c>
      <c r="S428" s="445">
        <v>0</v>
      </c>
      <c r="T428" s="445">
        <v>0</v>
      </c>
      <c r="U428" s="445">
        <v>0</v>
      </c>
      <c r="V428" s="445">
        <v>0</v>
      </c>
      <c r="W428" s="445">
        <v>0</v>
      </c>
      <c r="X428" s="445">
        <v>0</v>
      </c>
      <c r="Y428" s="445">
        <v>0</v>
      </c>
      <c r="Z428" s="445">
        <v>0</v>
      </c>
      <c r="AA428" s="445">
        <v>0</v>
      </c>
      <c r="AB428" s="445">
        <v>0</v>
      </c>
      <c r="AC428" s="445">
        <v>0</v>
      </c>
      <c r="AD428" s="445">
        <v>0</v>
      </c>
      <c r="AE428" s="445">
        <v>0</v>
      </c>
      <c r="AF428" s="627">
        <f t="shared" si="1"/>
        <v>0</v>
      </c>
    </row>
    <row r="429" spans="1:32" ht="15.75" thickBot="1">
      <c r="A429" s="444" t="s">
        <v>2489</v>
      </c>
      <c r="B429" s="629">
        <v>293.03109000000001</v>
      </c>
      <c r="C429" s="629">
        <v>334.51013999999998</v>
      </c>
      <c r="D429" s="629">
        <v>234.56994</v>
      </c>
      <c r="E429" s="629">
        <v>274.34573999999998</v>
      </c>
      <c r="F429" s="629">
        <v>328.48971</v>
      </c>
      <c r="G429" s="629">
        <v>387.68693000000002</v>
      </c>
      <c r="H429" s="629">
        <v>415.98766999999998</v>
      </c>
      <c r="I429" s="629">
        <v>421.66087815629902</v>
      </c>
      <c r="J429" s="629">
        <v>441.95450917512102</v>
      </c>
      <c r="K429" s="629">
        <v>479.85041309359599</v>
      </c>
      <c r="L429" s="629">
        <v>569.21734127332502</v>
      </c>
      <c r="M429" s="629">
        <v>656.27052658847504</v>
      </c>
      <c r="N429" s="629">
        <v>703.66824017588203</v>
      </c>
      <c r="O429" s="627">
        <f t="shared" si="0"/>
        <v>5248.2120384626978</v>
      </c>
      <c r="P429" s="629">
        <v>711.01363283718297</v>
      </c>
      <c r="Q429" s="629">
        <v>698.31533932418995</v>
      </c>
      <c r="R429" s="629">
        <v>742.49216159763796</v>
      </c>
      <c r="S429" s="629">
        <v>815.32020171659406</v>
      </c>
      <c r="T429" s="629">
        <v>496.30981503911698</v>
      </c>
      <c r="U429" s="629">
        <v>152.16635081874</v>
      </c>
      <c r="V429" s="629">
        <v>170.54508461225501</v>
      </c>
      <c r="W429" s="629">
        <v>178.98817973562501</v>
      </c>
      <c r="X429" s="629">
        <v>209.33429318981001</v>
      </c>
      <c r="Y429" s="629">
        <v>289.68241000572903</v>
      </c>
      <c r="Z429" s="629">
        <v>402.93108177313297</v>
      </c>
      <c r="AA429" s="629">
        <v>441.20491687951801</v>
      </c>
      <c r="AB429" s="629">
        <v>367.45155633531499</v>
      </c>
      <c r="AC429" s="629">
        <v>270.00614871850502</v>
      </c>
      <c r="AD429" s="629">
        <v>294.80410370373897</v>
      </c>
      <c r="AE429" s="629">
        <v>368.88483948806999</v>
      </c>
      <c r="AF429" s="627">
        <f t="shared" si="1"/>
        <v>3642.3087802995565</v>
      </c>
    </row>
    <row r="430" spans="1:32">
      <c r="A430" s="444" t="s">
        <v>2490</v>
      </c>
      <c r="B430" s="445">
        <v>330.76893999999999</v>
      </c>
      <c r="C430" s="445">
        <v>340.31049000000002</v>
      </c>
      <c r="D430" s="445">
        <v>234.56994</v>
      </c>
      <c r="E430" s="445">
        <v>277.19153999999997</v>
      </c>
      <c r="F430" s="445">
        <v>328.48971</v>
      </c>
      <c r="G430" s="445">
        <v>387.68693000000002</v>
      </c>
      <c r="H430" s="445">
        <v>416.94522000000001</v>
      </c>
      <c r="I430" s="445">
        <v>421.66087815629902</v>
      </c>
      <c r="J430" s="445">
        <v>441.95450917512102</v>
      </c>
      <c r="K430" s="445">
        <v>479.85041309359599</v>
      </c>
      <c r="L430" s="445">
        <v>569.21734127332502</v>
      </c>
      <c r="M430" s="445">
        <v>656.27052658847504</v>
      </c>
      <c r="N430" s="445">
        <v>703.66824017588203</v>
      </c>
      <c r="O430" s="627">
        <f t="shared" si="0"/>
        <v>5257.8157384626975</v>
      </c>
      <c r="P430" s="445">
        <v>711.01363283718297</v>
      </c>
      <c r="Q430" s="445">
        <v>698.31533932418995</v>
      </c>
      <c r="R430" s="445">
        <v>742.49216159763796</v>
      </c>
      <c r="S430" s="445">
        <v>815.32020171659406</v>
      </c>
      <c r="T430" s="445">
        <v>496.30981503911698</v>
      </c>
      <c r="U430" s="445">
        <v>152.16635081874</v>
      </c>
      <c r="V430" s="445">
        <v>170.54508461225501</v>
      </c>
      <c r="W430" s="445">
        <v>178.98817973562501</v>
      </c>
      <c r="X430" s="445">
        <v>209.33429318981001</v>
      </c>
      <c r="Y430" s="445">
        <v>289.68241000572903</v>
      </c>
      <c r="Z430" s="445">
        <v>402.93108177313297</v>
      </c>
      <c r="AA430" s="445">
        <v>441.20491687951801</v>
      </c>
      <c r="AB430" s="445">
        <v>367.45155633531499</v>
      </c>
      <c r="AC430" s="445">
        <v>270.00614871850502</v>
      </c>
      <c r="AD430" s="445">
        <v>294.80410370373897</v>
      </c>
      <c r="AE430" s="445">
        <v>368.88483948806999</v>
      </c>
      <c r="AF430" s="627">
        <f t="shared" si="1"/>
        <v>3642.3087802995565</v>
      </c>
    </row>
    <row r="431" spans="1:32" ht="15.75" thickBot="1">
      <c r="A431" s="444" t="s">
        <v>2491</v>
      </c>
      <c r="B431" s="629">
        <v>0</v>
      </c>
      <c r="C431" s="629">
        <v>0</v>
      </c>
      <c r="D431" s="629">
        <v>0</v>
      </c>
      <c r="E431" s="629">
        <v>0</v>
      </c>
      <c r="F431" s="629">
        <v>0</v>
      </c>
      <c r="G431" s="629">
        <v>0</v>
      </c>
      <c r="H431" s="629">
        <v>0</v>
      </c>
      <c r="I431" s="629">
        <v>0</v>
      </c>
      <c r="J431" s="629">
        <v>0</v>
      </c>
      <c r="K431" s="629">
        <v>0</v>
      </c>
      <c r="L431" s="629">
        <v>0</v>
      </c>
      <c r="M431" s="629">
        <v>0</v>
      </c>
      <c r="N431" s="629">
        <v>0</v>
      </c>
      <c r="O431" s="627">
        <f t="shared" si="0"/>
        <v>0</v>
      </c>
      <c r="P431" s="629">
        <v>0</v>
      </c>
      <c r="Q431" s="629">
        <v>0</v>
      </c>
      <c r="R431" s="629">
        <v>0</v>
      </c>
      <c r="S431" s="629">
        <v>0</v>
      </c>
      <c r="T431" s="629">
        <v>0</v>
      </c>
      <c r="U431" s="629">
        <v>0</v>
      </c>
      <c r="V431" s="629">
        <v>0</v>
      </c>
      <c r="W431" s="629">
        <v>0</v>
      </c>
      <c r="X431" s="629">
        <v>0</v>
      </c>
      <c r="Y431" s="629">
        <v>0</v>
      </c>
      <c r="Z431" s="629">
        <v>0</v>
      </c>
      <c r="AA431" s="629">
        <v>0</v>
      </c>
      <c r="AB431" s="629">
        <v>0</v>
      </c>
      <c r="AC431" s="629">
        <v>0</v>
      </c>
      <c r="AD431" s="629">
        <v>0</v>
      </c>
      <c r="AE431" s="629">
        <v>0</v>
      </c>
      <c r="AF431" s="627">
        <f t="shared" si="1"/>
        <v>0</v>
      </c>
    </row>
    <row r="432" spans="1:32">
      <c r="A432" s="444" t="s">
        <v>2492</v>
      </c>
      <c r="B432" s="445">
        <v>0</v>
      </c>
      <c r="C432" s="445">
        <v>0</v>
      </c>
      <c r="D432" s="445">
        <v>0</v>
      </c>
      <c r="E432" s="445">
        <v>0</v>
      </c>
      <c r="F432" s="445">
        <v>0</v>
      </c>
      <c r="G432" s="445">
        <v>0</v>
      </c>
      <c r="H432" s="445">
        <v>0</v>
      </c>
      <c r="I432" s="445">
        <v>0</v>
      </c>
      <c r="J432" s="445">
        <v>0</v>
      </c>
      <c r="K432" s="445">
        <v>0</v>
      </c>
      <c r="L432" s="445">
        <v>0</v>
      </c>
      <c r="M432" s="445">
        <v>0</v>
      </c>
      <c r="N432" s="445">
        <v>0</v>
      </c>
      <c r="O432" s="627">
        <f t="shared" si="0"/>
        <v>0</v>
      </c>
      <c r="P432" s="445">
        <v>0</v>
      </c>
      <c r="Q432" s="445">
        <v>0</v>
      </c>
      <c r="R432" s="445">
        <v>0</v>
      </c>
      <c r="S432" s="445">
        <v>0</v>
      </c>
      <c r="T432" s="445">
        <v>0</v>
      </c>
      <c r="U432" s="445">
        <v>0</v>
      </c>
      <c r="V432" s="445">
        <v>0</v>
      </c>
      <c r="W432" s="445">
        <v>0</v>
      </c>
      <c r="X432" s="445">
        <v>0</v>
      </c>
      <c r="Y432" s="445">
        <v>0</v>
      </c>
      <c r="Z432" s="445">
        <v>0</v>
      </c>
      <c r="AA432" s="445">
        <v>0</v>
      </c>
      <c r="AB432" s="445">
        <v>0</v>
      </c>
      <c r="AC432" s="445">
        <v>0</v>
      </c>
      <c r="AD432" s="445">
        <v>0</v>
      </c>
      <c r="AE432" s="445">
        <v>0</v>
      </c>
      <c r="AF432" s="627">
        <f t="shared" si="1"/>
        <v>0</v>
      </c>
    </row>
    <row r="433" spans="1:34">
      <c r="A433" s="447" t="s">
        <v>2493</v>
      </c>
      <c r="B433" s="626">
        <v>5995.5588499999903</v>
      </c>
      <c r="C433" s="626">
        <v>6132.5776500000002</v>
      </c>
      <c r="D433" s="626">
        <v>6014.2587800000001</v>
      </c>
      <c r="E433" s="626">
        <v>6195.2992000000004</v>
      </c>
      <c r="F433" s="626">
        <v>6259.1302900000001</v>
      </c>
      <c r="G433" s="626">
        <v>6435.9657399999996</v>
      </c>
      <c r="H433" s="626">
        <v>6417.9518699999999</v>
      </c>
      <c r="I433" s="626">
        <v>6472.1962243336302</v>
      </c>
      <c r="J433" s="626">
        <v>6508.6696623524504</v>
      </c>
      <c r="K433" s="626">
        <v>6541.1211243320704</v>
      </c>
      <c r="L433" s="626">
        <v>6665.0477627318996</v>
      </c>
      <c r="M433" s="626">
        <v>6752.0731358581997</v>
      </c>
      <c r="N433" s="626">
        <v>6830.7926117594598</v>
      </c>
      <c r="O433" s="627">
        <f t="shared" si="0"/>
        <v>77225.08405136771</v>
      </c>
      <c r="P433" s="626">
        <v>6855.7210356414298</v>
      </c>
      <c r="Q433" s="626">
        <v>6824.0426654082003</v>
      </c>
      <c r="R433" s="626">
        <v>6921.9916509618497</v>
      </c>
      <c r="S433" s="626">
        <v>7071.5809450993902</v>
      </c>
      <c r="T433" s="626">
        <v>8276.8217514013995</v>
      </c>
      <c r="U433" s="626">
        <v>7963.9412842416496</v>
      </c>
      <c r="V433" s="626">
        <v>8007.0931171174398</v>
      </c>
      <c r="W433" s="626">
        <v>8028.1804601076601</v>
      </c>
      <c r="X433" s="626">
        <v>8045.0599406860601</v>
      </c>
      <c r="Y433" s="626">
        <v>8138.7971875652702</v>
      </c>
      <c r="Z433" s="626">
        <v>8234.9087948527103</v>
      </c>
      <c r="AA433" s="626">
        <v>8287.5602897828103</v>
      </c>
      <c r="AB433" s="626">
        <v>8207.6399669573493</v>
      </c>
      <c r="AC433" s="626">
        <v>8087.2964490241702</v>
      </c>
      <c r="AD433" s="626">
        <v>8141.5979702080303</v>
      </c>
      <c r="AE433" s="626">
        <v>8202.2083856899299</v>
      </c>
      <c r="AF433" s="627">
        <f t="shared" si="1"/>
        <v>97621.10559763448</v>
      </c>
      <c r="AH433" s="637"/>
    </row>
    <row r="434" spans="1:34">
      <c r="A434" s="444" t="s">
        <v>539</v>
      </c>
      <c r="B434" s="628"/>
      <c r="C434" s="628"/>
      <c r="D434" s="628"/>
      <c r="E434" s="628"/>
      <c r="F434" s="628"/>
      <c r="G434" s="628"/>
      <c r="H434" s="628"/>
      <c r="I434" s="628"/>
      <c r="J434" s="628"/>
      <c r="K434" s="628"/>
      <c r="L434" s="628"/>
      <c r="M434" s="628"/>
      <c r="N434" s="628"/>
      <c r="O434" s="628"/>
      <c r="P434" s="628"/>
      <c r="Q434" s="628"/>
      <c r="R434" s="628"/>
      <c r="S434" s="628"/>
      <c r="T434" s="628"/>
      <c r="U434" s="628"/>
      <c r="V434" s="628"/>
      <c r="W434" s="628"/>
      <c r="X434" s="628"/>
      <c r="Y434" s="628"/>
      <c r="Z434" s="628"/>
      <c r="AA434" s="628"/>
      <c r="AB434" s="628"/>
      <c r="AC434" s="628"/>
      <c r="AD434" s="628"/>
      <c r="AE434" s="628"/>
    </row>
    <row r="435" spans="1:34" ht="15.75" thickBot="1">
      <c r="A435" s="444" t="s">
        <v>2494</v>
      </c>
      <c r="B435" s="629">
        <v>0</v>
      </c>
      <c r="C435" s="629">
        <v>0</v>
      </c>
      <c r="D435" s="629">
        <v>0</v>
      </c>
      <c r="E435" s="629">
        <v>0</v>
      </c>
      <c r="F435" s="629">
        <v>0</v>
      </c>
      <c r="G435" s="629">
        <v>0</v>
      </c>
      <c r="H435" s="629">
        <v>0</v>
      </c>
      <c r="I435" s="629">
        <v>0</v>
      </c>
      <c r="J435" s="629">
        <v>0</v>
      </c>
      <c r="K435" s="629">
        <v>0</v>
      </c>
      <c r="L435" s="629">
        <v>0</v>
      </c>
      <c r="M435" s="629">
        <v>0</v>
      </c>
      <c r="N435" s="629">
        <v>0</v>
      </c>
      <c r="O435" s="629"/>
      <c r="P435" s="629">
        <v>0</v>
      </c>
      <c r="Q435" s="629">
        <v>0</v>
      </c>
      <c r="R435" s="629">
        <v>0</v>
      </c>
      <c r="S435" s="629">
        <v>0</v>
      </c>
      <c r="T435" s="629">
        <v>0</v>
      </c>
      <c r="U435" s="629">
        <v>0</v>
      </c>
      <c r="V435" s="629">
        <v>0</v>
      </c>
      <c r="W435" s="629">
        <v>0</v>
      </c>
      <c r="X435" s="629">
        <v>0</v>
      </c>
      <c r="Y435" s="629">
        <v>0</v>
      </c>
      <c r="Z435" s="629">
        <v>0</v>
      </c>
      <c r="AA435" s="629">
        <v>0</v>
      </c>
      <c r="AB435" s="629">
        <v>0</v>
      </c>
      <c r="AC435" s="629">
        <v>0</v>
      </c>
      <c r="AD435" s="629">
        <v>0</v>
      </c>
      <c r="AE435" s="629">
        <v>0</v>
      </c>
    </row>
    <row r="436" spans="1:34">
      <c r="A436" s="632" t="s">
        <v>2495</v>
      </c>
      <c r="B436" s="445">
        <v>0</v>
      </c>
      <c r="C436" s="445">
        <v>0</v>
      </c>
      <c r="D436" s="445">
        <v>0</v>
      </c>
      <c r="E436" s="445">
        <v>0</v>
      </c>
      <c r="F436" s="445">
        <v>0</v>
      </c>
      <c r="G436" s="445">
        <v>0</v>
      </c>
      <c r="H436" s="445">
        <v>0</v>
      </c>
      <c r="I436" s="445">
        <v>0</v>
      </c>
      <c r="J436" s="445">
        <v>0</v>
      </c>
      <c r="K436" s="445">
        <v>0</v>
      </c>
      <c r="L436" s="445">
        <v>0</v>
      </c>
      <c r="M436" s="445">
        <v>0</v>
      </c>
      <c r="N436" s="445">
        <v>0</v>
      </c>
      <c r="P436" s="445">
        <v>0</v>
      </c>
      <c r="Q436" s="445">
        <v>0</v>
      </c>
      <c r="R436" s="445">
        <v>0</v>
      </c>
      <c r="S436" s="445">
        <v>0</v>
      </c>
      <c r="T436" s="445">
        <v>0</v>
      </c>
      <c r="U436" s="445">
        <v>0</v>
      </c>
      <c r="V436" s="445">
        <v>0</v>
      </c>
      <c r="W436" s="445">
        <v>0</v>
      </c>
      <c r="X436" s="445">
        <v>0</v>
      </c>
      <c r="Y436" s="445">
        <v>0</v>
      </c>
      <c r="Z436" s="445">
        <v>0</v>
      </c>
      <c r="AA436" s="445">
        <v>0</v>
      </c>
      <c r="AB436" s="445">
        <v>0</v>
      </c>
      <c r="AC436" s="445">
        <v>0</v>
      </c>
      <c r="AD436" s="445">
        <v>0</v>
      </c>
      <c r="AE436" s="445">
        <v>0</v>
      </c>
    </row>
    <row r="438" spans="1:34" ht="15.75" thickBot="1">
      <c r="A438" s="633" t="s">
        <v>539</v>
      </c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  <c r="S438" s="629"/>
      <c r="T438" s="629"/>
      <c r="U438" s="629"/>
      <c r="V438" s="629"/>
      <c r="W438" s="629"/>
      <c r="X438" s="629"/>
      <c r="Y438" s="629"/>
      <c r="Z438" s="629"/>
      <c r="AA438" s="629"/>
      <c r="AB438" s="629"/>
      <c r="AC438" s="629"/>
      <c r="AD438" s="629"/>
      <c r="AE438" s="629"/>
    </row>
    <row r="439" spans="1:34" ht="15.75" thickBot="1">
      <c r="A439" s="634" t="s">
        <v>1752</v>
      </c>
      <c r="B439" s="635">
        <v>24691.658769999998</v>
      </c>
      <c r="C439" s="635">
        <v>31318.746109999898</v>
      </c>
      <c r="D439" s="635">
        <v>19874.656249999902</v>
      </c>
      <c r="E439" s="635">
        <v>20561.271850000001</v>
      </c>
      <c r="F439" s="635">
        <v>8720.7950400000009</v>
      </c>
      <c r="G439" s="635">
        <v>18096.187639999898</v>
      </c>
      <c r="H439" s="635">
        <v>22881.467329999999</v>
      </c>
      <c r="I439" s="635">
        <v>20582.781627083699</v>
      </c>
      <c r="J439" s="635">
        <v>20499.6697871912</v>
      </c>
      <c r="K439" s="635">
        <v>17317.867573088501</v>
      </c>
      <c r="L439" s="635">
        <v>6613.90869825752</v>
      </c>
      <c r="M439" s="635">
        <v>13877.0781512056</v>
      </c>
      <c r="N439" s="635">
        <v>22512.2782750039</v>
      </c>
      <c r="O439" s="635"/>
      <c r="P439" s="635">
        <v>24915.2396839758</v>
      </c>
      <c r="Q439" s="635">
        <v>21220.975601326201</v>
      </c>
      <c r="R439" s="635">
        <v>19127.920435577998</v>
      </c>
      <c r="S439" s="635">
        <v>7460.5738046786701</v>
      </c>
      <c r="T439" s="635">
        <v>12270.0578546179</v>
      </c>
      <c r="U439" s="635">
        <v>17588.210394481899</v>
      </c>
      <c r="V439" s="635">
        <v>19621.496154802699</v>
      </c>
      <c r="W439" s="635">
        <v>20553.233363527401</v>
      </c>
      <c r="X439" s="635">
        <v>14286.978863563199</v>
      </c>
      <c r="Y439" s="635">
        <v>7060.6598550711797</v>
      </c>
      <c r="Z439" s="635">
        <v>13416.6980049018</v>
      </c>
      <c r="AA439" s="635">
        <v>24586.0014630322</v>
      </c>
      <c r="AB439" s="635">
        <v>27093.798051047099</v>
      </c>
      <c r="AC439" s="635">
        <v>23475.242178831999</v>
      </c>
      <c r="AD439" s="635">
        <v>20557.2442757221</v>
      </c>
      <c r="AE439" s="635">
        <v>8034.9707632030404</v>
      </c>
    </row>
  </sheetData>
  <pageMargins left="0.75" right="0.75" top="1" bottom="1" header="0.5" footer="0.5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zoomScale="70" zoomScaleNormal="70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G7" sqref="G7"/>
    </sheetView>
  </sheetViews>
  <sheetFormatPr defaultRowHeight="15"/>
  <cols>
    <col min="1" max="1" width="7.33203125" style="710" customWidth="1"/>
    <col min="2" max="2" width="37.44140625" style="757" customWidth="1"/>
    <col min="3" max="31" width="8.33203125" style="764" customWidth="1"/>
    <col min="32" max="16384" width="8.88671875" style="757"/>
  </cols>
  <sheetData>
    <row r="1" spans="1:31">
      <c r="A1" s="709"/>
      <c r="B1" s="756" t="s">
        <v>2542</v>
      </c>
    </row>
    <row r="2" spans="1:31">
      <c r="A2" s="709"/>
      <c r="B2" s="756" t="s">
        <v>2543</v>
      </c>
    </row>
    <row r="3" spans="1:31" ht="30">
      <c r="A3" s="709" t="s">
        <v>2518</v>
      </c>
      <c r="B3" s="757" t="s">
        <v>1851</v>
      </c>
      <c r="C3" s="765">
        <v>43100</v>
      </c>
      <c r="D3" s="765">
        <f>EOMONTH(C3,1)</f>
        <v>43131</v>
      </c>
      <c r="E3" s="765">
        <f t="shared" ref="E3:AE3" si="0">EOMONTH(D3,1)</f>
        <v>43159</v>
      </c>
      <c r="F3" s="765">
        <f t="shared" si="0"/>
        <v>43190</v>
      </c>
      <c r="G3" s="765">
        <f t="shared" si="0"/>
        <v>43220</v>
      </c>
      <c r="H3" s="765">
        <f t="shared" si="0"/>
        <v>43251</v>
      </c>
      <c r="I3" s="765">
        <f t="shared" si="0"/>
        <v>43281</v>
      </c>
      <c r="J3" s="765">
        <f t="shared" si="0"/>
        <v>43312</v>
      </c>
      <c r="K3" s="765">
        <f t="shared" si="0"/>
        <v>43343</v>
      </c>
      <c r="L3" s="765">
        <f t="shared" si="0"/>
        <v>43373</v>
      </c>
      <c r="M3" s="765">
        <f t="shared" si="0"/>
        <v>43404</v>
      </c>
      <c r="N3" s="765">
        <f t="shared" si="0"/>
        <v>43434</v>
      </c>
      <c r="O3" s="765">
        <f t="shared" si="0"/>
        <v>43465</v>
      </c>
      <c r="P3" s="765">
        <f t="shared" si="0"/>
        <v>43496</v>
      </c>
      <c r="Q3" s="765">
        <f t="shared" si="0"/>
        <v>43524</v>
      </c>
      <c r="R3" s="765">
        <f t="shared" si="0"/>
        <v>43555</v>
      </c>
      <c r="S3" s="765">
        <f t="shared" si="0"/>
        <v>43585</v>
      </c>
      <c r="T3" s="765">
        <f t="shared" si="0"/>
        <v>43616</v>
      </c>
      <c r="U3" s="765">
        <f t="shared" si="0"/>
        <v>43646</v>
      </c>
      <c r="V3" s="765">
        <f t="shared" si="0"/>
        <v>43677</v>
      </c>
      <c r="W3" s="765">
        <f t="shared" si="0"/>
        <v>43708</v>
      </c>
      <c r="X3" s="765">
        <f t="shared" si="0"/>
        <v>43738</v>
      </c>
      <c r="Y3" s="765">
        <f t="shared" si="0"/>
        <v>43769</v>
      </c>
      <c r="Z3" s="765">
        <f t="shared" si="0"/>
        <v>43799</v>
      </c>
      <c r="AA3" s="765">
        <f t="shared" si="0"/>
        <v>43830</v>
      </c>
      <c r="AB3" s="765">
        <f t="shared" si="0"/>
        <v>43861</v>
      </c>
      <c r="AC3" s="765">
        <f t="shared" si="0"/>
        <v>43890</v>
      </c>
      <c r="AD3" s="765">
        <f>EOMONTH(AC3,1)</f>
        <v>43921</v>
      </c>
      <c r="AE3" s="765">
        <f t="shared" si="0"/>
        <v>43951</v>
      </c>
    </row>
    <row r="4" spans="1:31">
      <c r="B4" s="756" t="s">
        <v>1413</v>
      </c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765"/>
      <c r="W4" s="765"/>
      <c r="X4" s="765"/>
      <c r="Y4" s="765"/>
      <c r="Z4" s="765"/>
      <c r="AA4" s="765"/>
      <c r="AB4" s="765"/>
      <c r="AC4" s="765"/>
      <c r="AD4" s="765"/>
      <c r="AE4" s="765"/>
    </row>
    <row r="5" spans="1:31">
      <c r="B5" s="756" t="s">
        <v>2544</v>
      </c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  <c r="P5" s="765"/>
      <c r="Q5" s="765"/>
      <c r="R5" s="765"/>
      <c r="S5" s="765"/>
      <c r="T5" s="765"/>
      <c r="U5" s="765"/>
      <c r="V5" s="765"/>
      <c r="W5" s="765"/>
      <c r="X5" s="765"/>
      <c r="Y5" s="765"/>
      <c r="Z5" s="765"/>
      <c r="AA5" s="765"/>
      <c r="AB5" s="765"/>
      <c r="AC5" s="765"/>
      <c r="AD5" s="765"/>
      <c r="AE5" s="765"/>
    </row>
    <row r="6" spans="1:31">
      <c r="A6" s="137" t="str">
        <f>MID($B6,1,3)</f>
        <v>128</v>
      </c>
      <c r="B6" s="758" t="s">
        <v>2545</v>
      </c>
      <c r="C6" s="766">
        <v>0</v>
      </c>
      <c r="D6" s="766">
        <v>0</v>
      </c>
      <c r="E6" s="766">
        <v>7536.0506399999995</v>
      </c>
      <c r="F6" s="766">
        <v>7536.0506399999995</v>
      </c>
      <c r="G6" s="766">
        <v>7535.1335099999997</v>
      </c>
      <c r="H6" s="766">
        <v>7535.1335099999997</v>
      </c>
      <c r="I6" s="766">
        <v>1597.6712399999999</v>
      </c>
      <c r="J6" s="766">
        <v>2677.1865152004339</v>
      </c>
      <c r="K6" s="766">
        <v>3750.5925706819712</v>
      </c>
      <c r="L6" s="766">
        <v>4817.6017592533517</v>
      </c>
      <c r="M6" s="766">
        <v>5880.0792063142781</v>
      </c>
      <c r="N6" s="766">
        <v>6942.5374325775283</v>
      </c>
      <c r="O6" s="766">
        <v>8002.9491568146059</v>
      </c>
      <c r="P6" s="766">
        <v>9557.8004172504588</v>
      </c>
      <c r="Q6" s="766">
        <v>10575.794898996211</v>
      </c>
      <c r="R6" s="766">
        <v>11589.635096391441</v>
      </c>
      <c r="S6" s="766">
        <v>12601.398846322498</v>
      </c>
      <c r="T6" s="766">
        <v>13589.916986182323</v>
      </c>
      <c r="U6" s="766">
        <v>14563.603985888585</v>
      </c>
      <c r="V6" s="766">
        <v>15513.662716890625</v>
      </c>
      <c r="W6" s="766">
        <v>16485.599042647114</v>
      </c>
      <c r="X6" s="766">
        <v>17446.054929498157</v>
      </c>
      <c r="Y6" s="766">
        <v>18430.554457634731</v>
      </c>
      <c r="Z6" s="766">
        <v>19414.446946541331</v>
      </c>
      <c r="AA6" s="766">
        <v>20420.203453300139</v>
      </c>
      <c r="AB6" s="766">
        <v>21469.073832821879</v>
      </c>
      <c r="AC6" s="766">
        <v>22513.291381140891</v>
      </c>
      <c r="AD6" s="766">
        <v>23556.178969988548</v>
      </c>
      <c r="AE6" s="766">
        <v>24579.906942373625</v>
      </c>
    </row>
    <row r="7" spans="1:31">
      <c r="A7" s="137" t="str">
        <f t="shared" ref="A7:A52" si="1">MID($B7,1,3)</f>
        <v>182</v>
      </c>
      <c r="B7" s="759" t="s">
        <v>2546</v>
      </c>
      <c r="C7" s="766">
        <v>191784.93620900001</v>
      </c>
      <c r="D7" s="766">
        <v>192112.254151</v>
      </c>
      <c r="E7" s="766">
        <v>192112.254151</v>
      </c>
      <c r="F7" s="766">
        <v>188685.87855189998</v>
      </c>
      <c r="G7" s="766">
        <v>188662.91568119999</v>
      </c>
      <c r="H7" s="766">
        <v>188662.91568119999</v>
      </c>
      <c r="I7" s="766">
        <v>189324.37187839998</v>
      </c>
      <c r="J7" s="766">
        <v>188348.77405982997</v>
      </c>
      <c r="K7" s="766">
        <v>186922.32488313038</v>
      </c>
      <c r="L7" s="766">
        <v>185764.3932359576</v>
      </c>
      <c r="M7" s="766">
        <v>184174.91676927597</v>
      </c>
      <c r="N7" s="766">
        <v>182702.41721588754</v>
      </c>
      <c r="O7" s="766">
        <v>181675.12852458959</v>
      </c>
      <c r="P7" s="766">
        <v>180573.21384397402</v>
      </c>
      <c r="Q7" s="766">
        <v>179396.48650793446</v>
      </c>
      <c r="R7" s="766">
        <v>178323.77216944686</v>
      </c>
      <c r="S7" s="766">
        <v>177130.02593704942</v>
      </c>
      <c r="T7" s="766">
        <v>175670.76124194413</v>
      </c>
      <c r="U7" s="766">
        <v>174236.81131448777</v>
      </c>
      <c r="V7" s="766">
        <v>172493.48599064691</v>
      </c>
      <c r="W7" s="766">
        <v>171080.43061316607</v>
      </c>
      <c r="X7" s="766">
        <v>169740.92003439498</v>
      </c>
      <c r="Y7" s="766">
        <v>168553.17369940961</v>
      </c>
      <c r="Z7" s="766">
        <v>167386.34532704853</v>
      </c>
      <c r="AA7" s="766">
        <v>166548.74526386723</v>
      </c>
      <c r="AB7" s="766">
        <v>165526.64294405922</v>
      </c>
      <c r="AC7" s="766">
        <v>164479.63492992587</v>
      </c>
      <c r="AD7" s="766">
        <v>163502.44631820178</v>
      </c>
      <c r="AE7" s="766">
        <v>162341.63626999807</v>
      </c>
    </row>
    <row r="8" spans="1:31">
      <c r="A8" s="137" t="str">
        <f t="shared" si="1"/>
        <v>183</v>
      </c>
      <c r="B8" s="760" t="s">
        <v>2547</v>
      </c>
      <c r="C8" s="766">
        <v>2158.8476099999998</v>
      </c>
      <c r="D8" s="766">
        <v>2136.7601600000003</v>
      </c>
      <c r="E8" s="766">
        <v>2118.6563500000002</v>
      </c>
      <c r="F8" s="766">
        <v>2164.4161800000002</v>
      </c>
      <c r="G8" s="766">
        <v>2175.6647699999999</v>
      </c>
      <c r="H8" s="766">
        <v>2175.6844599999999</v>
      </c>
      <c r="I8" s="766">
        <v>2174.4459899999997</v>
      </c>
      <c r="J8" s="766">
        <v>2174.4459899999924</v>
      </c>
      <c r="K8" s="766">
        <v>2174.4459899999924</v>
      </c>
      <c r="L8" s="766">
        <v>2174.4459899999924</v>
      </c>
      <c r="M8" s="766">
        <v>2174.4459899999924</v>
      </c>
      <c r="N8" s="766">
        <v>2174.4459899999924</v>
      </c>
      <c r="O8" s="766">
        <v>2174.4459899999924</v>
      </c>
      <c r="P8" s="766">
        <v>2174.4459899999924</v>
      </c>
      <c r="Q8" s="766">
        <v>2174.4459899999924</v>
      </c>
      <c r="R8" s="766">
        <v>2174.4459899999924</v>
      </c>
      <c r="S8" s="766">
        <v>2174.4459899999924</v>
      </c>
      <c r="T8" s="766">
        <v>2174.4459899999924</v>
      </c>
      <c r="U8" s="766">
        <v>2174.4459899999924</v>
      </c>
      <c r="V8" s="766">
        <v>2174.4459899999924</v>
      </c>
      <c r="W8" s="766">
        <v>2174.4459899999924</v>
      </c>
      <c r="X8" s="766">
        <v>2174.4459899999924</v>
      </c>
      <c r="Y8" s="766">
        <v>2174.4459899999924</v>
      </c>
      <c r="Z8" s="766">
        <v>2174.4459899999924</v>
      </c>
      <c r="AA8" s="766">
        <v>2174.4459899999924</v>
      </c>
      <c r="AB8" s="766">
        <v>2174.4459899999924</v>
      </c>
      <c r="AC8" s="766">
        <v>2174.4459899999924</v>
      </c>
      <c r="AD8" s="766">
        <v>2174.4459899999924</v>
      </c>
      <c r="AE8" s="766">
        <v>2174.4459899999924</v>
      </c>
    </row>
    <row r="9" spans="1:31">
      <c r="A9" s="137" t="str">
        <f t="shared" si="1"/>
        <v>184</v>
      </c>
      <c r="B9" s="760" t="s">
        <v>2548</v>
      </c>
      <c r="C9" s="766">
        <v>0</v>
      </c>
      <c r="D9" s="766">
        <v>-267.49313929500482</v>
      </c>
      <c r="E9" s="766">
        <v>-512.37336630598691</v>
      </c>
      <c r="F9" s="766">
        <v>2826.6769646880034</v>
      </c>
      <c r="G9" s="766">
        <v>2293.6103699820055</v>
      </c>
      <c r="H9" s="766">
        <v>2265.9776315609984</v>
      </c>
      <c r="I9" s="766">
        <v>5400.7717635810022</v>
      </c>
      <c r="J9" s="766">
        <v>5400.7717635809995</v>
      </c>
      <c r="K9" s="766">
        <v>5400.7717635809995</v>
      </c>
      <c r="L9" s="766">
        <v>5400.7717635809995</v>
      </c>
      <c r="M9" s="766">
        <v>5400.7717635809995</v>
      </c>
      <c r="N9" s="766">
        <v>5400.7717635809995</v>
      </c>
      <c r="O9" s="766">
        <v>5400.7717635809995</v>
      </c>
      <c r="P9" s="766">
        <v>5400.7717635809995</v>
      </c>
      <c r="Q9" s="766">
        <v>5400.7717635809995</v>
      </c>
      <c r="R9" s="766">
        <v>5400.7717635809995</v>
      </c>
      <c r="S9" s="766">
        <v>5400.7717635809995</v>
      </c>
      <c r="T9" s="766">
        <v>5400.7717635809995</v>
      </c>
      <c r="U9" s="766">
        <v>5400.7717635809995</v>
      </c>
      <c r="V9" s="766">
        <v>5400.7717635809995</v>
      </c>
      <c r="W9" s="766">
        <v>5400.7717635809995</v>
      </c>
      <c r="X9" s="766">
        <v>5400.7717635809995</v>
      </c>
      <c r="Y9" s="766">
        <v>5400.7717635809995</v>
      </c>
      <c r="Z9" s="766">
        <v>5400.7717635809995</v>
      </c>
      <c r="AA9" s="766">
        <v>5400.7717635809995</v>
      </c>
      <c r="AB9" s="766">
        <v>5400.7717635809995</v>
      </c>
      <c r="AC9" s="766">
        <v>5400.7717635809995</v>
      </c>
      <c r="AD9" s="766">
        <v>5400.7717635809995</v>
      </c>
      <c r="AE9" s="766">
        <v>5400.7717635809995</v>
      </c>
    </row>
    <row r="10" spans="1:31">
      <c r="A10" s="137" t="str">
        <f t="shared" si="1"/>
        <v>184</v>
      </c>
      <c r="B10" s="760" t="s">
        <v>2549</v>
      </c>
      <c r="C10" s="766">
        <v>0</v>
      </c>
      <c r="D10" s="766">
        <v>-224.8747041180078</v>
      </c>
      <c r="E10" s="766">
        <v>-430.41096497700812</v>
      </c>
      <c r="F10" s="766">
        <v>-557.2225642200068</v>
      </c>
      <c r="G10" s="766">
        <v>-778.89051210900743</v>
      </c>
      <c r="H10" s="766">
        <v>-989.50510208100923</v>
      </c>
      <c r="I10" s="766">
        <v>-1066.002808602005</v>
      </c>
      <c r="J10" s="766">
        <v>-1066.002808602</v>
      </c>
      <c r="K10" s="766">
        <v>-1066.002808602</v>
      </c>
      <c r="L10" s="766">
        <v>-1066.002808602</v>
      </c>
      <c r="M10" s="766">
        <v>-1066.002808602</v>
      </c>
      <c r="N10" s="766">
        <v>-1066.002808602</v>
      </c>
      <c r="O10" s="766">
        <v>-1066.002808602</v>
      </c>
      <c r="P10" s="766">
        <v>-1066.002808602</v>
      </c>
      <c r="Q10" s="766">
        <v>-1066.002808602</v>
      </c>
      <c r="R10" s="766">
        <v>-1066.002808602</v>
      </c>
      <c r="S10" s="766">
        <v>-1066.002808602</v>
      </c>
      <c r="T10" s="766">
        <v>-1066.002808602</v>
      </c>
      <c r="U10" s="766">
        <v>-1066.002808602</v>
      </c>
      <c r="V10" s="766">
        <v>-1066.002808602</v>
      </c>
      <c r="W10" s="766">
        <v>-1066.002808602</v>
      </c>
      <c r="X10" s="766">
        <v>-1066.002808602</v>
      </c>
      <c r="Y10" s="766">
        <v>-1066.002808602</v>
      </c>
      <c r="Z10" s="766">
        <v>-1066.002808602</v>
      </c>
      <c r="AA10" s="766">
        <v>-1066.002808602</v>
      </c>
      <c r="AB10" s="766">
        <v>-1066.002808602</v>
      </c>
      <c r="AC10" s="766">
        <v>-1066.002808602</v>
      </c>
      <c r="AD10" s="766">
        <v>-1066.002808602</v>
      </c>
      <c r="AE10" s="766">
        <v>-1066.002808602</v>
      </c>
    </row>
    <row r="11" spans="1:31">
      <c r="A11" s="137" t="str">
        <f t="shared" si="1"/>
        <v>186</v>
      </c>
      <c r="B11" s="760" t="s">
        <v>2550</v>
      </c>
      <c r="C11" s="766">
        <v>-1784.1905300000001</v>
      </c>
      <c r="D11" s="766">
        <v>-1873.9984899999999</v>
      </c>
      <c r="E11" s="766">
        <v>-1671.02045</v>
      </c>
      <c r="F11" s="766">
        <v>-1713.58924</v>
      </c>
      <c r="G11" s="766">
        <v>-1757.7176000000002</v>
      </c>
      <c r="H11" s="766">
        <v>-1633.8983299999998</v>
      </c>
      <c r="I11" s="766">
        <v>-1710.14048</v>
      </c>
      <c r="J11" s="766">
        <v>276.66760842739103</v>
      </c>
      <c r="K11" s="766">
        <v>276.37059914757117</v>
      </c>
      <c r="L11" s="766">
        <v>275.83977893463515</v>
      </c>
      <c r="M11" s="766">
        <v>275.29035549729593</v>
      </c>
      <c r="N11" s="766">
        <v>274.90962126009873</v>
      </c>
      <c r="O11" s="766">
        <v>274.56041252067899</v>
      </c>
      <c r="P11" s="766">
        <v>274.37397238412933</v>
      </c>
      <c r="Q11" s="766">
        <v>274.07120626024033</v>
      </c>
      <c r="R11" s="766">
        <v>273.72399513102971</v>
      </c>
      <c r="S11" s="766">
        <v>273.38827366641073</v>
      </c>
      <c r="T11" s="766">
        <v>272.63675749902893</v>
      </c>
      <c r="U11" s="766">
        <v>271.71377336457323</v>
      </c>
      <c r="V11" s="766">
        <v>270.49959267664343</v>
      </c>
      <c r="W11" s="766">
        <v>269.79258742801755</v>
      </c>
      <c r="X11" s="766">
        <v>268.99039039832047</v>
      </c>
      <c r="Y11" s="766">
        <v>268.62638738991461</v>
      </c>
      <c r="Z11" s="766">
        <v>268.2917506942922</v>
      </c>
      <c r="AA11" s="766">
        <v>268.27735782392944</v>
      </c>
      <c r="AB11" s="766">
        <v>268.13693153161569</v>
      </c>
      <c r="AC11" s="766">
        <v>267.95433597041756</v>
      </c>
      <c r="AD11" s="766">
        <v>267.77302623536826</v>
      </c>
      <c r="AE11" s="766">
        <v>267.39887196811588</v>
      </c>
    </row>
    <row r="12" spans="1:31">
      <c r="A12" s="137" t="str">
        <f t="shared" si="1"/>
        <v>186</v>
      </c>
      <c r="B12" s="757" t="s">
        <v>2551</v>
      </c>
      <c r="C12" s="766">
        <v>4534.0148300000001</v>
      </c>
      <c r="D12" s="766">
        <v>4769.1483200000002</v>
      </c>
      <c r="E12" s="766">
        <v>4916.1280199999992</v>
      </c>
      <c r="F12" s="766">
        <v>5150.3629299999993</v>
      </c>
      <c r="G12" s="766">
        <v>5416.2797799999998</v>
      </c>
      <c r="H12" s="766">
        <v>5620.2104900000004</v>
      </c>
      <c r="I12" s="766">
        <v>5728.5309800000005</v>
      </c>
      <c r="J12" s="766">
        <v>5936.3037460147298</v>
      </c>
      <c r="K12" s="766">
        <v>6142.0070320294699</v>
      </c>
      <c r="L12" s="766">
        <v>6294.9700090081296</v>
      </c>
      <c r="M12" s="766">
        <v>6371.4530236789496</v>
      </c>
      <c r="N12" s="766">
        <v>6510.1160194100303</v>
      </c>
      <c r="O12" s="766">
        <v>6647.6742854247595</v>
      </c>
      <c r="P12" s="766">
        <v>6861.7576953806501</v>
      </c>
      <c r="Q12" s="766">
        <v>10706.1361141708</v>
      </c>
      <c r="R12" s="766">
        <v>9774.0956837434605</v>
      </c>
      <c r="S12" s="766">
        <v>6583.3669797376897</v>
      </c>
      <c r="T12" s="766">
        <v>5900.3877410576897</v>
      </c>
      <c r="U12" s="766">
        <v>6047.92480078876</v>
      </c>
      <c r="V12" s="766">
        <v>6209.8762318510899</v>
      </c>
      <c r="W12" s="766">
        <v>6378.5989192922598</v>
      </c>
      <c r="X12" s="766">
        <v>6506.8674892093604</v>
      </c>
      <c r="Y12" s="766">
        <v>6637.7365391168196</v>
      </c>
      <c r="Z12" s="766">
        <v>6825.1128710478997</v>
      </c>
      <c r="AA12" s="766">
        <v>6968.0420874626298</v>
      </c>
      <c r="AB12" s="766">
        <v>7191.2590965711397</v>
      </c>
      <c r="AC12" s="766">
        <v>7288.3484375198104</v>
      </c>
      <c r="AD12" s="766">
        <v>3208.5855477844202</v>
      </c>
      <c r="AE12" s="766">
        <v>2228.3220499260701</v>
      </c>
    </row>
    <row r="13" spans="1:31">
      <c r="A13" s="137" t="str">
        <f t="shared" si="1"/>
        <v>188</v>
      </c>
      <c r="B13" s="757" t="s">
        <v>1799</v>
      </c>
      <c r="C13" s="766">
        <v>753.30594999999994</v>
      </c>
      <c r="D13" s="766">
        <v>737.93236000000002</v>
      </c>
      <c r="E13" s="766">
        <v>722.55876999999998</v>
      </c>
      <c r="F13" s="766">
        <v>707.18517999999995</v>
      </c>
      <c r="G13" s="766">
        <v>691.81159000000002</v>
      </c>
      <c r="H13" s="766">
        <v>676.43799999999999</v>
      </c>
      <c r="I13" s="766">
        <v>661.06440999999995</v>
      </c>
      <c r="J13" s="766">
        <v>645.66972999999996</v>
      </c>
      <c r="K13" s="766">
        <v>630.27504999999996</v>
      </c>
      <c r="L13" s="766">
        <v>614.88036999999997</v>
      </c>
      <c r="M13" s="766">
        <v>599.48568999999998</v>
      </c>
      <c r="N13" s="766">
        <v>584.09100999999998</v>
      </c>
      <c r="O13" s="766">
        <v>568.69632999999999</v>
      </c>
      <c r="P13" s="766">
        <v>553.30165</v>
      </c>
      <c r="Q13" s="766">
        <v>537.90697</v>
      </c>
      <c r="R13" s="766">
        <v>522.51229000000001</v>
      </c>
      <c r="S13" s="766">
        <v>507.11761000000001</v>
      </c>
      <c r="T13" s="766">
        <v>491.72293000000002</v>
      </c>
      <c r="U13" s="766">
        <v>476.32825000000003</v>
      </c>
      <c r="V13" s="766">
        <v>460.93356999999997</v>
      </c>
      <c r="W13" s="766">
        <v>445.53888999999998</v>
      </c>
      <c r="X13" s="766">
        <v>430.14420999999999</v>
      </c>
      <c r="Y13" s="766">
        <v>414.74952999999999</v>
      </c>
      <c r="Z13" s="766">
        <v>399.35485</v>
      </c>
      <c r="AA13" s="766">
        <v>383.96017000000001</v>
      </c>
      <c r="AB13" s="766">
        <v>368.56549000000001</v>
      </c>
      <c r="AC13" s="766">
        <v>353.17081000000002</v>
      </c>
      <c r="AD13" s="766">
        <v>337.77613000000002</v>
      </c>
      <c r="AE13" s="766">
        <v>322.38144999999997</v>
      </c>
    </row>
    <row r="14" spans="1:31">
      <c r="A14" s="137"/>
      <c r="B14" s="756" t="s">
        <v>2552</v>
      </c>
      <c r="C14" s="766"/>
      <c r="D14" s="766"/>
      <c r="E14" s="766"/>
      <c r="F14" s="766"/>
      <c r="G14" s="766"/>
      <c r="H14" s="766"/>
      <c r="I14" s="766"/>
      <c r="J14" s="766"/>
      <c r="K14" s="766"/>
      <c r="L14" s="766"/>
      <c r="M14" s="766"/>
      <c r="N14" s="766"/>
      <c r="O14" s="766"/>
      <c r="P14" s="766"/>
      <c r="Q14" s="766"/>
      <c r="R14" s="766"/>
      <c r="S14" s="766"/>
      <c r="T14" s="766"/>
      <c r="U14" s="766"/>
      <c r="V14" s="766"/>
      <c r="W14" s="766"/>
      <c r="X14" s="766"/>
      <c r="Y14" s="766"/>
      <c r="Z14" s="766"/>
      <c r="AA14" s="766"/>
      <c r="AB14" s="766"/>
      <c r="AC14" s="766"/>
      <c r="AD14" s="766"/>
      <c r="AE14" s="766"/>
    </row>
    <row r="15" spans="1:31">
      <c r="A15" s="448">
        <v>228.2</v>
      </c>
      <c r="B15" s="757" t="s">
        <v>2553</v>
      </c>
      <c r="C15" s="766">
        <v>519.81605000000002</v>
      </c>
      <c r="D15" s="766">
        <v>520.70321000000001</v>
      </c>
      <c r="E15" s="766">
        <v>520.70321000000001</v>
      </c>
      <c r="F15" s="766">
        <v>528.0548</v>
      </c>
      <c r="G15" s="766">
        <v>527.99053000000004</v>
      </c>
      <c r="H15" s="766">
        <v>527.99053000000004</v>
      </c>
      <c r="I15" s="766">
        <v>492.87617</v>
      </c>
      <c r="J15" s="766">
        <v>493.52693000998386</v>
      </c>
      <c r="K15" s="766">
        <v>492.99711707348877</v>
      </c>
      <c r="L15" s="766">
        <v>492.05022606746667</v>
      </c>
      <c r="M15" s="766">
        <v>491.0701501422551</v>
      </c>
      <c r="N15" s="766">
        <v>490.39098643277094</v>
      </c>
      <c r="O15" s="766">
        <v>489.76805873235065</v>
      </c>
      <c r="P15" s="766">
        <v>489.43548193109444</v>
      </c>
      <c r="Q15" s="766">
        <v>488.89539978529024</v>
      </c>
      <c r="R15" s="766">
        <v>488.2760354743084</v>
      </c>
      <c r="S15" s="766">
        <v>487.67716672811281</v>
      </c>
      <c r="T15" s="766">
        <v>486.33659249519474</v>
      </c>
      <c r="U15" s="766">
        <v>484.69014920927833</v>
      </c>
      <c r="V15" s="766">
        <v>482.52426188044535</v>
      </c>
      <c r="W15" s="766">
        <v>481.26308739081639</v>
      </c>
      <c r="X15" s="766">
        <v>479.8321073076043</v>
      </c>
      <c r="Y15" s="766">
        <v>479.1827892024815</v>
      </c>
      <c r="Z15" s="766">
        <v>478.58585549564839</v>
      </c>
      <c r="AA15" s="766">
        <v>478.56018111632892</v>
      </c>
      <c r="AB15" s="766">
        <v>478.30968501621726</v>
      </c>
      <c r="AC15" s="766">
        <v>477.98396626922039</v>
      </c>
      <c r="AD15" s="766">
        <v>477.66054121260316</v>
      </c>
      <c r="AE15" s="766">
        <v>476.99311502593525</v>
      </c>
    </row>
    <row r="16" spans="1:31">
      <c r="A16" s="448">
        <v>228.2</v>
      </c>
      <c r="B16" s="757" t="s">
        <v>2554</v>
      </c>
      <c r="C16" s="766">
        <v>2775.6540800000002</v>
      </c>
      <c r="D16" s="766">
        <v>2780.3912700000001</v>
      </c>
      <c r="E16" s="766">
        <v>2780.3912700000001</v>
      </c>
      <c r="F16" s="766">
        <v>2031.89482</v>
      </c>
      <c r="G16" s="766">
        <v>2031.6475399999999</v>
      </c>
      <c r="H16" s="766">
        <v>2031.6475399999999</v>
      </c>
      <c r="I16" s="766">
        <v>1963.45146</v>
      </c>
      <c r="J16" s="766">
        <v>1966.0438543129094</v>
      </c>
      <c r="K16" s="766">
        <v>1963.9332593192169</v>
      </c>
      <c r="L16" s="766">
        <v>1960.1611667951952</v>
      </c>
      <c r="M16" s="766">
        <v>1956.2568768114991</v>
      </c>
      <c r="N16" s="766">
        <v>1953.5513190072338</v>
      </c>
      <c r="O16" s="766">
        <v>1951.0697863843477</v>
      </c>
      <c r="P16" s="766">
        <v>1949.7449132387553</v>
      </c>
      <c r="Q16" s="766">
        <v>1947.5934091991257</v>
      </c>
      <c r="R16" s="766">
        <v>1945.1260719108404</v>
      </c>
      <c r="S16" s="766">
        <v>1942.740381999301</v>
      </c>
      <c r="T16" s="766">
        <v>1937.399989061016</v>
      </c>
      <c r="U16" s="766">
        <v>1930.8411175852784</v>
      </c>
      <c r="V16" s="766">
        <v>1922.2129572700953</v>
      </c>
      <c r="W16" s="766">
        <v>1917.1888659717724</v>
      </c>
      <c r="X16" s="766">
        <v>1911.4883267971697</v>
      </c>
      <c r="Y16" s="766">
        <v>1908.9016637552056</v>
      </c>
      <c r="Z16" s="766">
        <v>1906.5236823840012</v>
      </c>
      <c r="AA16" s="766">
        <v>1906.4214043671295</v>
      </c>
      <c r="AB16" s="766">
        <v>1905.4235128880484</v>
      </c>
      <c r="AC16" s="766">
        <v>1904.1259599039495</v>
      </c>
      <c r="AD16" s="766">
        <v>1902.8375442041613</v>
      </c>
      <c r="AE16" s="766">
        <v>1900.1787447087024</v>
      </c>
    </row>
    <row r="17" spans="1:31">
      <c r="A17" s="448">
        <v>228.3</v>
      </c>
      <c r="B17" s="757" t="s">
        <v>2555</v>
      </c>
      <c r="C17" s="766">
        <v>3234.3616899999997</v>
      </c>
      <c r="D17" s="766">
        <v>3239.88175</v>
      </c>
      <c r="E17" s="766">
        <v>3239.88175</v>
      </c>
      <c r="F17" s="766">
        <v>3256.63375</v>
      </c>
      <c r="G17" s="766">
        <v>3256.2374199999999</v>
      </c>
      <c r="H17" s="766">
        <v>3256.2374199999999</v>
      </c>
      <c r="I17" s="766">
        <v>3256.2374199999999</v>
      </c>
      <c r="J17" s="766">
        <v>3282.3342330808873</v>
      </c>
      <c r="K17" s="766">
        <v>3300.5846819734652</v>
      </c>
      <c r="L17" s="766">
        <v>3315.9775981194703</v>
      </c>
      <c r="M17" s="766">
        <v>3331.0617696529675</v>
      </c>
      <c r="N17" s="766">
        <v>3348.1138268760701</v>
      </c>
      <c r="O17" s="766">
        <v>3365.4923227063223</v>
      </c>
      <c r="P17" s="766">
        <v>3363.2069865122166</v>
      </c>
      <c r="Q17" s="766">
        <v>3359.4957556899385</v>
      </c>
      <c r="R17" s="766">
        <v>3355.2397291965758</v>
      </c>
      <c r="S17" s="766">
        <v>3351.1245401153469</v>
      </c>
      <c r="T17" s="766">
        <v>3341.9126443853947</v>
      </c>
      <c r="U17" s="766">
        <v>3330.5989375404342</v>
      </c>
      <c r="V17" s="766">
        <v>3315.7158167507673</v>
      </c>
      <c r="W17" s="766">
        <v>3307.0495246421615</v>
      </c>
      <c r="X17" s="766">
        <v>3297.2163956780946</v>
      </c>
      <c r="Y17" s="766">
        <v>3292.754538562624</v>
      </c>
      <c r="Z17" s="766">
        <v>3288.6526463062951</v>
      </c>
      <c r="AA17" s="766">
        <v>3288.4762221296892</v>
      </c>
      <c r="AB17" s="766">
        <v>3286.7549120385906</v>
      </c>
      <c r="AC17" s="766">
        <v>3284.5167016799637</v>
      </c>
      <c r="AD17" s="766">
        <v>3282.2942526541256</v>
      </c>
      <c r="AE17" s="766">
        <v>3277.7079639667463</v>
      </c>
    </row>
    <row r="18" spans="1:31">
      <c r="A18" s="448">
        <v>228.3</v>
      </c>
      <c r="B18" s="757" t="s">
        <v>2556</v>
      </c>
      <c r="C18" s="766">
        <v>37186.642119999997</v>
      </c>
      <c r="D18" s="766">
        <v>-7121.6917100000001</v>
      </c>
      <c r="E18" s="766">
        <v>414.35892000000001</v>
      </c>
      <c r="F18" s="766">
        <v>414.35892000000001</v>
      </c>
      <c r="G18" s="766">
        <v>414.30849000000001</v>
      </c>
      <c r="H18" s="766">
        <v>414.30849000000001</v>
      </c>
      <c r="I18" s="766">
        <v>0</v>
      </c>
      <c r="J18" s="766">
        <v>0</v>
      </c>
      <c r="K18" s="766">
        <v>0</v>
      </c>
      <c r="L18" s="766">
        <v>0</v>
      </c>
      <c r="M18" s="766">
        <v>0</v>
      </c>
      <c r="N18" s="766">
        <v>0</v>
      </c>
      <c r="O18" s="766">
        <v>0</v>
      </c>
      <c r="P18" s="766">
        <v>0</v>
      </c>
      <c r="Q18" s="766">
        <v>0</v>
      </c>
      <c r="R18" s="766">
        <v>0</v>
      </c>
      <c r="S18" s="766">
        <v>0</v>
      </c>
      <c r="T18" s="766">
        <v>0</v>
      </c>
      <c r="U18" s="766">
        <v>0</v>
      </c>
      <c r="V18" s="766">
        <v>0</v>
      </c>
      <c r="W18" s="766">
        <v>0</v>
      </c>
      <c r="X18" s="766">
        <v>0</v>
      </c>
      <c r="Y18" s="766">
        <v>0</v>
      </c>
      <c r="Z18" s="766">
        <v>0</v>
      </c>
      <c r="AA18" s="766">
        <v>0</v>
      </c>
      <c r="AB18" s="766">
        <v>0</v>
      </c>
      <c r="AC18" s="766">
        <v>0</v>
      </c>
      <c r="AD18" s="766">
        <v>0</v>
      </c>
      <c r="AE18" s="766">
        <v>0</v>
      </c>
    </row>
    <row r="19" spans="1:31">
      <c r="A19" s="448">
        <v>228.3</v>
      </c>
      <c r="B19" s="757" t="s">
        <v>2557</v>
      </c>
      <c r="C19" s="766">
        <v>58601.096920000004</v>
      </c>
      <c r="D19" s="766">
        <v>58659.83509</v>
      </c>
      <c r="E19" s="766">
        <v>57639.87386</v>
      </c>
      <c r="F19" s="766">
        <v>57596.901709999998</v>
      </c>
      <c r="G19" s="766">
        <v>57313.453670000003</v>
      </c>
      <c r="H19" s="766">
        <v>57269.135450000002</v>
      </c>
      <c r="I19" s="766">
        <v>53828.69326</v>
      </c>
      <c r="J19" s="766">
        <v>54149.318262453649</v>
      </c>
      <c r="K19" s="766">
        <v>54294.187467012867</v>
      </c>
      <c r="L19" s="766">
        <v>53091.734367640514</v>
      </c>
      <c r="M19" s="766">
        <v>53188.191470492522</v>
      </c>
      <c r="N19" s="766">
        <v>53316.557390823575</v>
      </c>
      <c r="O19" s="766">
        <v>52155.75331204378</v>
      </c>
      <c r="P19" s="766">
        <v>52324.331999400099</v>
      </c>
      <c r="Q19" s="766">
        <v>52470.36308439479</v>
      </c>
      <c r="R19" s="766">
        <v>51280.491320513662</v>
      </c>
      <c r="S19" s="766">
        <v>51420.858158841307</v>
      </c>
      <c r="T19" s="766">
        <v>51482.210947204694</v>
      </c>
      <c r="U19" s="766">
        <v>50192.774432662991</v>
      </c>
      <c r="V19" s="766">
        <v>50169.597362356901</v>
      </c>
      <c r="W19" s="766">
        <v>50239.057804242075</v>
      </c>
      <c r="X19" s="766">
        <v>48985.706196773623</v>
      </c>
      <c r="Y19" s="766">
        <v>49119.139533250484</v>
      </c>
      <c r="Z19" s="766">
        <v>49257.423154497337</v>
      </c>
      <c r="AA19" s="766">
        <v>48153.73546821253</v>
      </c>
      <c r="AB19" s="766">
        <v>48322.618779776887</v>
      </c>
      <c r="AC19" s="766">
        <v>48483.66868919543</v>
      </c>
      <c r="AD19" s="766">
        <v>47329.553104712613</v>
      </c>
      <c r="AE19" s="766">
        <v>47456.974920177214</v>
      </c>
    </row>
    <row r="20" spans="1:31">
      <c r="A20" s="137" t="str">
        <f t="shared" si="1"/>
        <v>242</v>
      </c>
      <c r="B20" s="757" t="s">
        <v>2558</v>
      </c>
      <c r="C20" s="766">
        <v>3849.8167100000001</v>
      </c>
      <c r="D20" s="766">
        <v>3654.81187</v>
      </c>
      <c r="E20" s="766">
        <v>3627.8778100000004</v>
      </c>
      <c r="F20" s="766">
        <v>4039.9063099999998</v>
      </c>
      <c r="G20" s="766">
        <v>5068.8214600000001</v>
      </c>
      <c r="H20" s="766">
        <v>4714.5140799999999</v>
      </c>
      <c r="I20" s="766">
        <v>4784.7340899999999</v>
      </c>
      <c r="J20" s="766">
        <v>4225.1053235380768</v>
      </c>
      <c r="K20" s="766">
        <v>4195.3520494373352</v>
      </c>
      <c r="L20" s="766">
        <v>4256.1457836152867</v>
      </c>
      <c r="M20" s="766">
        <v>4221.4708002671714</v>
      </c>
      <c r="N20" s="766">
        <v>4189.4711171127628</v>
      </c>
      <c r="O20" s="766">
        <v>4158.0213288582481</v>
      </c>
      <c r="P20" s="766">
        <v>4129.0875288740863</v>
      </c>
      <c r="Q20" s="766">
        <v>4098.4496792723603</v>
      </c>
      <c r="R20" s="766">
        <v>4067.2090547640191</v>
      </c>
      <c r="S20" s="766">
        <v>4036.2041428713896</v>
      </c>
      <c r="T20" s="766">
        <v>3999.1640555586523</v>
      </c>
      <c r="U20" s="766">
        <v>3959.7681463005929</v>
      </c>
      <c r="V20" s="766">
        <v>3916.3319197486171</v>
      </c>
      <c r="W20" s="766">
        <v>3880.4214781331666</v>
      </c>
      <c r="X20" s="766">
        <v>3843.2855154776971</v>
      </c>
      <c r="Y20" s="766">
        <v>3812.5213681723135</v>
      </c>
      <c r="Z20" s="766">
        <v>3782.2404915528778</v>
      </c>
      <c r="AA20" s="766">
        <v>3756.5074640793991</v>
      </c>
      <c r="AB20" s="766">
        <v>3729.0244084199712</v>
      </c>
      <c r="AC20" s="766">
        <v>3700.9856375863378</v>
      </c>
      <c r="AD20" s="766">
        <v>3672.9992569671349</v>
      </c>
      <c r="AE20" s="766">
        <v>3642.4205188309875</v>
      </c>
    </row>
    <row r="21" spans="1:31">
      <c r="A21" s="137" t="str">
        <f t="shared" si="1"/>
        <v>242</v>
      </c>
      <c r="B21" s="757" t="s">
        <v>2559</v>
      </c>
      <c r="C21" s="766">
        <v>-989.34917000000007</v>
      </c>
      <c r="D21" s="766">
        <v>-1002.2964700000001</v>
      </c>
      <c r="E21" s="766">
        <v>-1016.4549000000001</v>
      </c>
      <c r="F21" s="766">
        <v>-1028.27621</v>
      </c>
      <c r="G21" s="766">
        <v>-1038.4508900000001</v>
      </c>
      <c r="H21" s="766">
        <v>-1047.3675799999999</v>
      </c>
      <c r="I21" s="766">
        <v>-1055.8712499999999</v>
      </c>
      <c r="J21" s="766">
        <v>1540.4023303265701</v>
      </c>
      <c r="K21" s="766">
        <v>1538.7486716660433</v>
      </c>
      <c r="L21" s="766">
        <v>1535.7932237997795</v>
      </c>
      <c r="M21" s="766">
        <v>1532.7341987551638</v>
      </c>
      <c r="N21" s="766">
        <v>1530.6143846231539</v>
      </c>
      <c r="O21" s="766">
        <v>1528.6700950150205</v>
      </c>
      <c r="P21" s="766">
        <v>1527.6320522082028</v>
      </c>
      <c r="Q21" s="766">
        <v>1525.9463411651443</v>
      </c>
      <c r="R21" s="766">
        <v>1524.0131736519993</v>
      </c>
      <c r="S21" s="766">
        <v>1522.1439771480095</v>
      </c>
      <c r="T21" s="766">
        <v>1517.9597603468699</v>
      </c>
      <c r="U21" s="766">
        <v>1512.8208612916046</v>
      </c>
      <c r="V21" s="766">
        <v>1506.0606670941136</v>
      </c>
      <c r="W21" s="766">
        <v>1502.1242737493094</v>
      </c>
      <c r="X21" s="766">
        <v>1497.6578810951412</v>
      </c>
      <c r="Y21" s="766">
        <v>1495.6312214309276</v>
      </c>
      <c r="Z21" s="766">
        <v>1493.7680645956204</v>
      </c>
      <c r="AA21" s="766">
        <v>1493.6879294067819</v>
      </c>
      <c r="AB21" s="766">
        <v>1492.9060778949668</v>
      </c>
      <c r="AC21" s="766">
        <v>1491.8894405315409</v>
      </c>
      <c r="AD21" s="766">
        <v>1490.8799622627682</v>
      </c>
      <c r="AE21" s="766">
        <v>1488.7967834314866</v>
      </c>
    </row>
    <row r="22" spans="1:31">
      <c r="A22" s="137" t="str">
        <f t="shared" si="1"/>
        <v>242</v>
      </c>
      <c r="B22" s="757" t="s">
        <v>2560</v>
      </c>
      <c r="C22" s="766">
        <v>3462.3449599999999</v>
      </c>
      <c r="D22" s="766">
        <v>3468.1581699999997</v>
      </c>
      <c r="E22" s="766">
        <v>3472.4356900000002</v>
      </c>
      <c r="F22" s="766">
        <v>2640.0841800000003</v>
      </c>
      <c r="G22" s="766">
        <v>2645.5977499999999</v>
      </c>
      <c r="H22" s="766">
        <v>2644.4519</v>
      </c>
      <c r="I22" s="766">
        <v>2860.0990400000001</v>
      </c>
      <c r="J22" s="766">
        <v>3060.1881816453083</v>
      </c>
      <c r="K22" s="766">
        <v>3175.3557506338861</v>
      </c>
      <c r="L22" s="766">
        <v>3267.8506411158273</v>
      </c>
      <c r="M22" s="766">
        <v>3378.8865815173995</v>
      </c>
      <c r="N22" s="766">
        <v>3478.762039982968</v>
      </c>
      <c r="O22" s="766">
        <v>3567.2754147207916</v>
      </c>
      <c r="P22" s="766">
        <v>3688.6507940605306</v>
      </c>
      <c r="Q22" s="766">
        <v>3791.4750998494219</v>
      </c>
      <c r="R22" s="766">
        <v>2634.235730801005</v>
      </c>
      <c r="S22" s="766">
        <v>2744.6808370121994</v>
      </c>
      <c r="T22" s="766">
        <v>2860.4931038299392</v>
      </c>
      <c r="U22" s="766">
        <v>2954.0338783030352</v>
      </c>
      <c r="V22" s="766">
        <v>3061.2345324339331</v>
      </c>
      <c r="W22" s="766">
        <v>3176.8218067923326</v>
      </c>
      <c r="X22" s="766">
        <v>3279.0523640968404</v>
      </c>
      <c r="Y22" s="766">
        <v>3403.2141312797057</v>
      </c>
      <c r="Z22" s="766">
        <v>3503.7721208118505</v>
      </c>
      <c r="AA22" s="766">
        <v>3607.6080538630313</v>
      </c>
      <c r="AB22" s="766">
        <v>3741.9217244322617</v>
      </c>
      <c r="AC22" s="766">
        <v>3856.9014247492205</v>
      </c>
      <c r="AD22" s="766">
        <v>2625.2715303083287</v>
      </c>
      <c r="AE22" s="766">
        <v>2745.2169103245383</v>
      </c>
    </row>
    <row r="23" spans="1:31">
      <c r="A23" s="137" t="str">
        <f t="shared" si="1"/>
        <v>242</v>
      </c>
      <c r="B23" s="757" t="s">
        <v>2561</v>
      </c>
      <c r="C23" s="766">
        <v>4874.2806399999999</v>
      </c>
      <c r="D23" s="766">
        <v>4882.5995400000002</v>
      </c>
      <c r="E23" s="766">
        <v>4882.5995400000002</v>
      </c>
      <c r="F23" s="766">
        <v>5318.3076500000006</v>
      </c>
      <c r="G23" s="766">
        <v>5317.6604200000002</v>
      </c>
      <c r="H23" s="766">
        <v>5317.6604200000002</v>
      </c>
      <c r="I23" s="766">
        <v>5351.5302300000003</v>
      </c>
      <c r="J23" s="766">
        <v>5358.5960030107772</v>
      </c>
      <c r="K23" s="766">
        <v>5352.8434223283239</v>
      </c>
      <c r="L23" s="766">
        <v>5342.5623088740804</v>
      </c>
      <c r="M23" s="766">
        <v>5331.9208815959792</v>
      </c>
      <c r="N23" s="766">
        <v>5324.5466863540742</v>
      </c>
      <c r="O23" s="766">
        <v>5317.7830880929432</v>
      </c>
      <c r="P23" s="766">
        <v>5314.1720496479493</v>
      </c>
      <c r="Q23" s="766">
        <v>5308.3079683753322</v>
      </c>
      <c r="R23" s="766">
        <v>5301.5830605346036</v>
      </c>
      <c r="S23" s="766">
        <v>5295.0806885776638</v>
      </c>
      <c r="T23" s="766">
        <v>5280.5250578928117</v>
      </c>
      <c r="U23" s="766">
        <v>5262.6483750319248</v>
      </c>
      <c r="V23" s="766">
        <v>5239.1316944264281</v>
      </c>
      <c r="W23" s="766">
        <v>5225.4381669443756</v>
      </c>
      <c r="X23" s="766">
        <v>5209.9009314096629</v>
      </c>
      <c r="Y23" s="766">
        <v>5202.8507925191207</v>
      </c>
      <c r="Z23" s="766">
        <v>5196.3694307514179</v>
      </c>
      <c r="AA23" s="766">
        <v>5196.0906645523819</v>
      </c>
      <c r="AB23" s="766">
        <v>5193.3708385019554</v>
      </c>
      <c r="AC23" s="766">
        <v>5189.834263150884</v>
      </c>
      <c r="AD23" s="766">
        <v>5186.3225921350231</v>
      </c>
      <c r="AE23" s="766">
        <v>5179.0758400761015</v>
      </c>
    </row>
    <row r="24" spans="1:31">
      <c r="A24" s="137" t="str">
        <f t="shared" si="1"/>
        <v>242</v>
      </c>
      <c r="B24" s="757" t="s">
        <v>2562</v>
      </c>
      <c r="C24" s="766">
        <v>762.09137999999996</v>
      </c>
      <c r="D24" s="766">
        <v>763.64688999999998</v>
      </c>
      <c r="E24" s="766">
        <v>763.64688999999998</v>
      </c>
      <c r="F24" s="766">
        <v>976.19939999999997</v>
      </c>
      <c r="G24" s="766">
        <v>763.64688999999998</v>
      </c>
      <c r="H24" s="766">
        <v>763.64688999999998</v>
      </c>
      <c r="I24" s="766">
        <v>1569.01776</v>
      </c>
      <c r="J24" s="766">
        <v>1878.083853691468</v>
      </c>
      <c r="K24" s="766">
        <v>1876.0676858574491</v>
      </c>
      <c r="L24" s="766">
        <v>1872.4643552153302</v>
      </c>
      <c r="M24" s="766">
        <v>1868.7347415739948</v>
      </c>
      <c r="N24" s="766">
        <v>1866.150229323023</v>
      </c>
      <c r="O24" s="766">
        <v>1863.7797194581351</v>
      </c>
      <c r="P24" s="766">
        <v>1862.5141205970172</v>
      </c>
      <c r="Q24" s="766">
        <v>1860.4588739711007</v>
      </c>
      <c r="R24" s="766">
        <v>1858.1019243473302</v>
      </c>
      <c r="S24" s="766">
        <v>1855.8229692299515</v>
      </c>
      <c r="T24" s="766">
        <v>1850.7215032948154</v>
      </c>
      <c r="U24" s="766">
        <v>1844.4560730553028</v>
      </c>
      <c r="V24" s="766">
        <v>1836.2139331155149</v>
      </c>
      <c r="W24" s="766">
        <v>1831.4146176139034</v>
      </c>
      <c r="X24" s="766">
        <v>1825.9691182382555</v>
      </c>
      <c r="Y24" s="766">
        <v>1823.4981814463847</v>
      </c>
      <c r="Z24" s="766">
        <v>1821.2265899923891</v>
      </c>
      <c r="AA24" s="766">
        <v>1821.1288878523003</v>
      </c>
      <c r="AB24" s="766">
        <v>1820.1756416312219</v>
      </c>
      <c r="AC24" s="766">
        <v>1818.9361406387086</v>
      </c>
      <c r="AD24" s="766">
        <v>1817.7053681321306</v>
      </c>
      <c r="AE24" s="766">
        <v>1815.1655222422894</v>
      </c>
    </row>
    <row r="25" spans="1:31">
      <c r="A25" s="137" t="str">
        <f t="shared" si="1"/>
        <v>253</v>
      </c>
      <c r="B25" s="757" t="s">
        <v>2563</v>
      </c>
      <c r="C25" s="766">
        <v>5.9889036610000019</v>
      </c>
      <c r="D25" s="766">
        <v>3605.0641225829995</v>
      </c>
      <c r="E25" s="766">
        <v>5199.878020490999</v>
      </c>
      <c r="F25" s="766">
        <v>903.43509062400017</v>
      </c>
      <c r="G25" s="766">
        <v>419.61765767999998</v>
      </c>
      <c r="H25" s="766">
        <v>1213.1145421200001</v>
      </c>
      <c r="I25" s="766">
        <v>26.02947932</v>
      </c>
      <c r="J25" s="766">
        <v>26.063846751748141</v>
      </c>
      <c r="K25" s="766">
        <v>26.035866590293484</v>
      </c>
      <c r="L25" s="766">
        <v>25.985859953226953</v>
      </c>
      <c r="M25" s="766">
        <v>25.93410077421057</v>
      </c>
      <c r="N25" s="766">
        <v>25.898233189754773</v>
      </c>
      <c r="O25" s="766">
        <v>25.865335507513105</v>
      </c>
      <c r="P25" s="766">
        <v>25.847771661947569</v>
      </c>
      <c r="Q25" s="766">
        <v>25.819249169200695</v>
      </c>
      <c r="R25" s="766">
        <v>25.786539674534204</v>
      </c>
      <c r="S25" s="766">
        <v>25.754912579281392</v>
      </c>
      <c r="T25" s="766">
        <v>25.684114980930655</v>
      </c>
      <c r="U25" s="766">
        <v>25.59716401051714</v>
      </c>
      <c r="V25" s="766">
        <v>25.482780474406731</v>
      </c>
      <c r="W25" s="766">
        <v>25.416176087439972</v>
      </c>
      <c r="X25" s="766">
        <v>25.340604029816106</v>
      </c>
      <c r="Y25" s="766">
        <v>25.306312633428245</v>
      </c>
      <c r="Z25" s="766">
        <v>25.274787730307889</v>
      </c>
      <c r="AA25" s="766">
        <v>25.273431830462638</v>
      </c>
      <c r="AB25" s="766">
        <v>25.260202781411376</v>
      </c>
      <c r="AC25" s="766">
        <v>25.243001119273657</v>
      </c>
      <c r="AD25" s="766">
        <v>25.225920590129729</v>
      </c>
      <c r="AE25" s="766">
        <v>25.190672880654052</v>
      </c>
    </row>
    <row r="26" spans="1:31">
      <c r="A26" s="137" t="str">
        <f t="shared" si="1"/>
        <v>253</v>
      </c>
      <c r="B26" s="757" t="s">
        <v>2564</v>
      </c>
      <c r="C26" s="766">
        <v>1714.228126468</v>
      </c>
      <c r="D26" s="766">
        <v>1713.0205456650001</v>
      </c>
      <c r="E26" s="766">
        <v>1708.7810009490001</v>
      </c>
      <c r="F26" s="766">
        <v>1464.8792821740001</v>
      </c>
      <c r="G26" s="766">
        <v>1682.6511615680001</v>
      </c>
      <c r="H26" s="766">
        <v>1678.4982036160002</v>
      </c>
      <c r="I26" s="766">
        <v>1674.3120365920001</v>
      </c>
      <c r="J26" s="766">
        <v>1676.5226764567187</v>
      </c>
      <c r="K26" s="766">
        <v>1674.7228893563549</v>
      </c>
      <c r="L26" s="766">
        <v>1671.50627817022</v>
      </c>
      <c r="M26" s="766">
        <v>1668.1769370272082</v>
      </c>
      <c r="N26" s="766">
        <v>1665.8698018118037</v>
      </c>
      <c r="O26" s="766">
        <v>1663.7537016518254</v>
      </c>
      <c r="P26" s="766">
        <v>1662.6239303768145</v>
      </c>
      <c r="Q26" s="766">
        <v>1660.7892585290761</v>
      </c>
      <c r="R26" s="766">
        <v>1658.6852632874627</v>
      </c>
      <c r="S26" s="766">
        <v>1656.6508919651162</v>
      </c>
      <c r="T26" s="766">
        <v>1652.0969295280204</v>
      </c>
      <c r="U26" s="766">
        <v>1646.5039226696449</v>
      </c>
      <c r="V26" s="766">
        <v>1639.1463520881057</v>
      </c>
      <c r="W26" s="766">
        <v>1634.8621124605156</v>
      </c>
      <c r="X26" s="766">
        <v>1630.0010392076042</v>
      </c>
      <c r="Y26" s="766">
        <v>1627.7952902174725</v>
      </c>
      <c r="Z26" s="766">
        <v>1625.7674922696951</v>
      </c>
      <c r="AA26" s="766">
        <v>1625.680275794736</v>
      </c>
      <c r="AB26" s="766">
        <v>1624.8293346065971</v>
      </c>
      <c r="AC26" s="766">
        <v>1623.7228603044223</v>
      </c>
      <c r="AD26" s="766">
        <v>1622.6241777228208</v>
      </c>
      <c r="AE26" s="766">
        <v>1620.3569151505696</v>
      </c>
    </row>
    <row r="27" spans="1:31">
      <c r="A27" s="137" t="str">
        <f t="shared" si="1"/>
        <v>253</v>
      </c>
      <c r="B27" s="757" t="s">
        <v>2565</v>
      </c>
      <c r="C27" s="766">
        <v>0</v>
      </c>
      <c r="D27" s="766">
        <v>0</v>
      </c>
      <c r="E27" s="766">
        <v>0</v>
      </c>
      <c r="F27" s="766">
        <v>0</v>
      </c>
      <c r="G27" s="766">
        <v>0</v>
      </c>
      <c r="H27" s="766">
        <v>0</v>
      </c>
      <c r="I27" s="766">
        <v>12728.2460968</v>
      </c>
      <c r="J27" s="766">
        <v>12745.051547405736</v>
      </c>
      <c r="K27" s="766">
        <v>12731.369430431947</v>
      </c>
      <c r="L27" s="766">
        <v>1.4919772894531747E-12</v>
      </c>
      <c r="M27" s="766">
        <v>1.4890055379024397E-12</v>
      </c>
      <c r="N27" s="766">
        <v>1.4869462017276156E-12</v>
      </c>
      <c r="O27" s="766">
        <v>1.4850573823901544E-12</v>
      </c>
      <c r="P27" s="766">
        <v>1.4840489547781219E-12</v>
      </c>
      <c r="Q27" s="766">
        <v>1.4824113368007479E-12</v>
      </c>
      <c r="R27" s="766">
        <v>1.480533322246689E-12</v>
      </c>
      <c r="S27" s="766">
        <v>1.4787174536191546E-12</v>
      </c>
      <c r="T27" s="766">
        <v>1.4746526118522379E-12</v>
      </c>
      <c r="U27" s="766">
        <v>1.4696603247627829E-12</v>
      </c>
      <c r="V27" s="766">
        <v>1.4630929978214675E-12</v>
      </c>
      <c r="W27" s="766">
        <v>1.4592689091474262E-12</v>
      </c>
      <c r="X27" s="766">
        <v>1.4549299419593092E-12</v>
      </c>
      <c r="Y27" s="766">
        <v>1.4529611025702563E-12</v>
      </c>
      <c r="Z27" s="766">
        <v>1.4511511013006258E-12</v>
      </c>
      <c r="AA27" s="766">
        <v>1.4510732523558716E-12</v>
      </c>
      <c r="AB27" s="766">
        <v>1.4503137069422862E-12</v>
      </c>
      <c r="AC27" s="766">
        <v>1.4493260740797789E-12</v>
      </c>
      <c r="AD27" s="766">
        <v>1.4483453960641023E-12</v>
      </c>
      <c r="AE27" s="766">
        <v>1.4463216499907528E-12</v>
      </c>
    </row>
    <row r="28" spans="1:31">
      <c r="A28" s="137" t="str">
        <f t="shared" si="1"/>
        <v/>
      </c>
      <c r="C28" s="766"/>
      <c r="D28" s="766"/>
      <c r="E28" s="766"/>
      <c r="F28" s="766"/>
      <c r="G28" s="766"/>
      <c r="H28" s="766"/>
      <c r="I28" s="766"/>
      <c r="J28" s="766"/>
      <c r="K28" s="766"/>
      <c r="L28" s="766"/>
      <c r="M28" s="766"/>
      <c r="N28" s="766"/>
      <c r="O28" s="766"/>
      <c r="P28" s="766"/>
      <c r="Q28" s="766"/>
      <c r="R28" s="766"/>
      <c r="S28" s="766"/>
      <c r="T28" s="766"/>
      <c r="U28" s="766"/>
      <c r="V28" s="766"/>
      <c r="W28" s="766"/>
      <c r="X28" s="766"/>
      <c r="Y28" s="766"/>
      <c r="Z28" s="766"/>
      <c r="AA28" s="766"/>
      <c r="AB28" s="766"/>
      <c r="AC28" s="766"/>
      <c r="AD28" s="766"/>
      <c r="AE28" s="766"/>
    </row>
    <row r="29" spans="1:31">
      <c r="A29" s="137"/>
      <c r="B29" s="756" t="s">
        <v>1414</v>
      </c>
    </row>
    <row r="30" spans="1:31">
      <c r="A30" s="137"/>
      <c r="B30" s="756" t="s">
        <v>2544</v>
      </c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</row>
    <row r="31" spans="1:31">
      <c r="A31" s="137" t="str">
        <f t="shared" si="1"/>
        <v>128</v>
      </c>
      <c r="B31" s="758" t="s">
        <v>2545</v>
      </c>
      <c r="C31" s="766">
        <v>0</v>
      </c>
      <c r="D31" s="766">
        <v>0</v>
      </c>
      <c r="E31" s="766">
        <v>1635.2413600000002</v>
      </c>
      <c r="F31" s="766">
        <v>1635.2413600000002</v>
      </c>
      <c r="G31" s="766">
        <v>1636.15849</v>
      </c>
      <c r="H31" s="766">
        <v>1636.15849</v>
      </c>
      <c r="I31" s="766">
        <v>346.87644</v>
      </c>
      <c r="J31" s="766">
        <v>577.02041479956608</v>
      </c>
      <c r="K31" s="766">
        <v>813.27360931802866</v>
      </c>
      <c r="L31" s="766">
        <v>1055.9236707466482</v>
      </c>
      <c r="M31" s="766">
        <v>1303.1054736857218</v>
      </c>
      <c r="N31" s="766">
        <v>1550.3064974224712</v>
      </c>
      <c r="O31" s="766">
        <v>1799.5540231853934</v>
      </c>
      <c r="P31" s="766">
        <v>2157.1350127495416</v>
      </c>
      <c r="Q31" s="766">
        <v>2401.2097810037885</v>
      </c>
      <c r="R31" s="766">
        <v>2649.4388336085585</v>
      </c>
      <c r="S31" s="766">
        <v>2899.7443336775009</v>
      </c>
      <c r="T31" s="766">
        <v>3173.2954438176766</v>
      </c>
      <c r="U31" s="766">
        <v>3461.6776941114144</v>
      </c>
      <c r="V31" s="766">
        <v>3773.6882131093748</v>
      </c>
      <c r="W31" s="766">
        <v>4063.8211373528879</v>
      </c>
      <c r="X31" s="766">
        <v>4365.434500501844</v>
      </c>
      <c r="Y31" s="766">
        <v>4643.0042223652672</v>
      </c>
      <c r="Z31" s="766">
        <v>4921.1809834586657</v>
      </c>
      <c r="AA31" s="766">
        <v>5177.4937266998613</v>
      </c>
      <c r="AB31" s="766">
        <v>5457.5266805114197</v>
      </c>
      <c r="AC31" s="766">
        <v>5742.2124655257103</v>
      </c>
      <c r="AD31" s="766">
        <v>6028.2282100114489</v>
      </c>
      <c r="AE31" s="766">
        <v>6333.4035709596737</v>
      </c>
    </row>
    <row r="32" spans="1:31">
      <c r="A32" s="137" t="str">
        <f t="shared" si="1"/>
        <v>182</v>
      </c>
      <c r="B32" s="759" t="s">
        <v>2546</v>
      </c>
      <c r="C32" s="766">
        <v>42013.596291000002</v>
      </c>
      <c r="D32" s="766">
        <v>41686.278349000007</v>
      </c>
      <c r="E32" s="766">
        <v>41686.278349000007</v>
      </c>
      <c r="F32" s="766">
        <v>40942.791948099999</v>
      </c>
      <c r="G32" s="766">
        <v>40965.7548188</v>
      </c>
      <c r="H32" s="766">
        <v>40965.7548188</v>
      </c>
      <c r="I32" s="766">
        <v>41109.381621600005</v>
      </c>
      <c r="J32" s="766">
        <v>40595.261898238037</v>
      </c>
      <c r="K32" s="766">
        <v>40531.993533005625</v>
      </c>
      <c r="L32" s="766">
        <v>40715.905922065394</v>
      </c>
      <c r="M32" s="766">
        <v>40815.664846816057</v>
      </c>
      <c r="N32" s="766">
        <v>40798.446858272458</v>
      </c>
      <c r="O32" s="766">
        <v>40851.716291457415</v>
      </c>
      <c r="P32" s="766">
        <v>40754.23057009199</v>
      </c>
      <c r="Q32" s="766">
        <v>40731.557504150558</v>
      </c>
      <c r="R32" s="766">
        <v>40765.556724767157</v>
      </c>
      <c r="S32" s="766">
        <v>40759.90255518358</v>
      </c>
      <c r="T32" s="766">
        <v>41019.766848306877</v>
      </c>
      <c r="U32" s="766">
        <v>41415.00165789223</v>
      </c>
      <c r="V32" s="766">
        <v>41958.9265797521</v>
      </c>
      <c r="W32" s="766">
        <v>42172.58155525192</v>
      </c>
      <c r="X32" s="766">
        <v>42473.377016152015</v>
      </c>
      <c r="Y32" s="766">
        <v>42461.722949156385</v>
      </c>
      <c r="Z32" s="766">
        <v>42429.150919535459</v>
      </c>
      <c r="AA32" s="766">
        <v>42228.03586484577</v>
      </c>
      <c r="AB32" s="766">
        <v>42077.551981847784</v>
      </c>
      <c r="AC32" s="766">
        <v>41951.973793175137</v>
      </c>
      <c r="AD32" s="766">
        <v>41841.678166777216</v>
      </c>
      <c r="AE32" s="766">
        <v>41829.902012173923</v>
      </c>
    </row>
    <row r="33" spans="1:31">
      <c r="A33" s="137" t="str">
        <f t="shared" si="1"/>
        <v>183</v>
      </c>
      <c r="B33" s="760" t="s">
        <v>2547</v>
      </c>
      <c r="C33" s="766">
        <v>718.42984000000001</v>
      </c>
      <c r="D33" s="766">
        <v>723.86172999999997</v>
      </c>
      <c r="E33" s="766">
        <v>725.64649999999995</v>
      </c>
      <c r="F33" s="766">
        <v>725.51050999999995</v>
      </c>
      <c r="G33" s="766">
        <v>727.28438000000006</v>
      </c>
      <c r="H33" s="766">
        <v>725.51049999999998</v>
      </c>
      <c r="I33" s="766">
        <v>725.51049999999998</v>
      </c>
      <c r="J33" s="766">
        <v>725.51049999999736</v>
      </c>
      <c r="K33" s="766">
        <v>725.51049999999736</v>
      </c>
      <c r="L33" s="766">
        <v>725.51049999999736</v>
      </c>
      <c r="M33" s="766">
        <v>725.51049999999736</v>
      </c>
      <c r="N33" s="766">
        <v>725.51049999999736</v>
      </c>
      <c r="O33" s="766">
        <v>725.51049999999736</v>
      </c>
      <c r="P33" s="766">
        <v>725.51049999999736</v>
      </c>
      <c r="Q33" s="766">
        <v>725.51049999999736</v>
      </c>
      <c r="R33" s="766">
        <v>725.51049999999736</v>
      </c>
      <c r="S33" s="766">
        <v>725.51049999999736</v>
      </c>
      <c r="T33" s="766">
        <v>725.51049999999736</v>
      </c>
      <c r="U33" s="766">
        <v>725.51049999999736</v>
      </c>
      <c r="V33" s="766">
        <v>725.51049999999736</v>
      </c>
      <c r="W33" s="766">
        <v>725.51049999999736</v>
      </c>
      <c r="X33" s="766">
        <v>725.51049999999736</v>
      </c>
      <c r="Y33" s="766">
        <v>725.51049999999736</v>
      </c>
      <c r="Z33" s="766">
        <v>725.51049999999736</v>
      </c>
      <c r="AA33" s="766">
        <v>725.51049999999736</v>
      </c>
      <c r="AB33" s="766">
        <v>725.51049999999736</v>
      </c>
      <c r="AC33" s="766">
        <v>725.51049999999736</v>
      </c>
      <c r="AD33" s="766">
        <v>725.51049999999736</v>
      </c>
      <c r="AE33" s="766">
        <v>725.51049999999736</v>
      </c>
    </row>
    <row r="34" spans="1:31">
      <c r="A34" s="137" t="str">
        <f t="shared" si="1"/>
        <v>184</v>
      </c>
      <c r="B34" s="760" t="s">
        <v>2548</v>
      </c>
      <c r="C34" s="766">
        <v>0</v>
      </c>
      <c r="D34" s="766">
        <v>-121.70101070500218</v>
      </c>
      <c r="E34" s="766">
        <v>-233.113853693994</v>
      </c>
      <c r="F34" s="766">
        <v>1286.0495953120014</v>
      </c>
      <c r="G34" s="766">
        <v>1043.5209700180026</v>
      </c>
      <c r="H34" s="766">
        <v>1030.9489384389992</v>
      </c>
      <c r="I34" s="766">
        <v>2457.182206419001</v>
      </c>
      <c r="J34" s="766">
        <v>2457.1822064189996</v>
      </c>
      <c r="K34" s="766">
        <v>2457.1822064189996</v>
      </c>
      <c r="L34" s="766">
        <v>2457.1822064189996</v>
      </c>
      <c r="M34" s="766">
        <v>2457.1822064189996</v>
      </c>
      <c r="N34" s="766">
        <v>2457.1822064189996</v>
      </c>
      <c r="O34" s="766">
        <v>2457.1822064189996</v>
      </c>
      <c r="P34" s="766">
        <v>2457.1822064189996</v>
      </c>
      <c r="Q34" s="766">
        <v>2457.1822064189996</v>
      </c>
      <c r="R34" s="766">
        <v>2457.1822064189996</v>
      </c>
      <c r="S34" s="766">
        <v>2457.1822064189996</v>
      </c>
      <c r="T34" s="766">
        <v>2457.1822064189996</v>
      </c>
      <c r="U34" s="766">
        <v>2457.1822064189996</v>
      </c>
      <c r="V34" s="766">
        <v>2457.1822064189996</v>
      </c>
      <c r="W34" s="766">
        <v>2457.1822064189996</v>
      </c>
      <c r="X34" s="766">
        <v>2457.1822064189996</v>
      </c>
      <c r="Y34" s="766">
        <v>2457.1822064189996</v>
      </c>
      <c r="Z34" s="766">
        <v>2457.1822064189996</v>
      </c>
      <c r="AA34" s="766">
        <v>2457.1822064189996</v>
      </c>
      <c r="AB34" s="766">
        <v>2457.1822064189996</v>
      </c>
      <c r="AC34" s="766">
        <v>2457.1822064189996</v>
      </c>
      <c r="AD34" s="766">
        <v>2457.1822064189996</v>
      </c>
      <c r="AE34" s="766">
        <v>2457.1822064189996</v>
      </c>
    </row>
    <row r="35" spans="1:31">
      <c r="A35" s="137" t="str">
        <f t="shared" si="1"/>
        <v>184</v>
      </c>
      <c r="B35" s="760" t="s">
        <v>2549</v>
      </c>
      <c r="C35" s="766">
        <v>0</v>
      </c>
      <c r="D35" s="766">
        <v>-102.31095588200353</v>
      </c>
      <c r="E35" s="766">
        <v>-195.82352502300367</v>
      </c>
      <c r="F35" s="766">
        <v>-253.51883578000306</v>
      </c>
      <c r="G35" s="766">
        <v>-354.37081789100336</v>
      </c>
      <c r="H35" s="766">
        <v>-450.19386791900411</v>
      </c>
      <c r="I35" s="766">
        <v>-484.99793139800221</v>
      </c>
      <c r="J35" s="766">
        <v>-484.99793139799993</v>
      </c>
      <c r="K35" s="766">
        <v>-484.99793139799993</v>
      </c>
      <c r="L35" s="766">
        <v>-484.99793139799993</v>
      </c>
      <c r="M35" s="766">
        <v>-484.99793139799993</v>
      </c>
      <c r="N35" s="766">
        <v>-484.99793139799993</v>
      </c>
      <c r="O35" s="766">
        <v>-484.99793139799993</v>
      </c>
      <c r="P35" s="766">
        <v>-484.99793139799993</v>
      </c>
      <c r="Q35" s="766">
        <v>-484.99793139799993</v>
      </c>
      <c r="R35" s="766">
        <v>-484.99793139799993</v>
      </c>
      <c r="S35" s="766">
        <v>-484.99793139799993</v>
      </c>
      <c r="T35" s="766">
        <v>-484.99793139799993</v>
      </c>
      <c r="U35" s="766">
        <v>-484.99793139799993</v>
      </c>
      <c r="V35" s="766">
        <v>-484.99793139799993</v>
      </c>
      <c r="W35" s="766">
        <v>-484.99793139799993</v>
      </c>
      <c r="X35" s="766">
        <v>-484.99793139799993</v>
      </c>
      <c r="Y35" s="766">
        <v>-484.99793139799993</v>
      </c>
      <c r="Z35" s="766">
        <v>-484.99793139799993</v>
      </c>
      <c r="AA35" s="766">
        <v>-484.99793139799993</v>
      </c>
      <c r="AB35" s="766">
        <v>-484.99793139799993</v>
      </c>
      <c r="AC35" s="766">
        <v>-484.99793139799993</v>
      </c>
      <c r="AD35" s="766">
        <v>-484.99793139799993</v>
      </c>
      <c r="AE35" s="766">
        <v>-484.99793139799993</v>
      </c>
    </row>
    <row r="36" spans="1:31">
      <c r="A36" s="137" t="str">
        <f t="shared" si="1"/>
        <v>186</v>
      </c>
      <c r="B36" s="757" t="s">
        <v>2550</v>
      </c>
      <c r="C36" s="766">
        <v>2048.3962499999998</v>
      </c>
      <c r="D36" s="766">
        <v>2009.4875</v>
      </c>
      <c r="E36" s="766">
        <v>2053.5315300000002</v>
      </c>
      <c r="F36" s="766">
        <v>2044.2945699999998</v>
      </c>
      <c r="G36" s="766">
        <v>2036.10816</v>
      </c>
      <c r="H36" s="766">
        <v>2062.9939399999998</v>
      </c>
      <c r="I36" s="766">
        <v>2046.4389199999998</v>
      </c>
      <c r="J36" s="766">
        <v>59.630831572609004</v>
      </c>
      <c r="K36" s="766">
        <v>59.927840852428879</v>
      </c>
      <c r="L36" s="766">
        <v>60.458661065364872</v>
      </c>
      <c r="M36" s="766">
        <v>61.008084502704079</v>
      </c>
      <c r="N36" s="766">
        <v>61.388818739901318</v>
      </c>
      <c r="O36" s="766">
        <v>61.738027479321026</v>
      </c>
      <c r="P36" s="766">
        <v>61.924467615870675</v>
      </c>
      <c r="Q36" s="766">
        <v>62.227233739759718</v>
      </c>
      <c r="R36" s="766">
        <v>62.574444868970339</v>
      </c>
      <c r="S36" s="766">
        <v>62.910166333589288</v>
      </c>
      <c r="T36" s="766">
        <v>63.661682500971111</v>
      </c>
      <c r="U36" s="766">
        <v>64.5846666354268</v>
      </c>
      <c r="V36" s="766">
        <v>65.798847323356625</v>
      </c>
      <c r="W36" s="766">
        <v>66.505852571982487</v>
      </c>
      <c r="X36" s="766">
        <v>67.308049601679556</v>
      </c>
      <c r="Y36" s="766">
        <v>67.672052610085402</v>
      </c>
      <c r="Z36" s="766">
        <v>68.006689305707809</v>
      </c>
      <c r="AA36" s="766">
        <v>68.021082176070564</v>
      </c>
      <c r="AB36" s="766">
        <v>68.161508468384312</v>
      </c>
      <c r="AC36" s="766">
        <v>68.344104029582496</v>
      </c>
      <c r="AD36" s="766">
        <v>68.525413764631764</v>
      </c>
      <c r="AE36" s="766">
        <v>68.899568031884172</v>
      </c>
    </row>
    <row r="37" spans="1:31">
      <c r="A37" s="137" t="str">
        <f t="shared" si="1"/>
        <v>186</v>
      </c>
      <c r="B37" s="757" t="s">
        <v>2551</v>
      </c>
      <c r="C37" s="766">
        <v>0</v>
      </c>
      <c r="D37" s="766">
        <v>0</v>
      </c>
      <c r="E37" s="766">
        <v>0</v>
      </c>
      <c r="F37" s="766">
        <v>0</v>
      </c>
      <c r="G37" s="766">
        <v>0</v>
      </c>
      <c r="H37" s="766">
        <v>0</v>
      </c>
      <c r="I37" s="766">
        <v>0</v>
      </c>
      <c r="J37" s="766">
        <v>0</v>
      </c>
      <c r="K37" s="766">
        <v>0</v>
      </c>
      <c r="L37" s="766">
        <v>0</v>
      </c>
      <c r="M37" s="766">
        <v>0</v>
      </c>
      <c r="N37" s="766">
        <v>0</v>
      </c>
      <c r="O37" s="766">
        <v>0</v>
      </c>
      <c r="P37" s="766">
        <v>0</v>
      </c>
      <c r="Q37" s="766">
        <v>0</v>
      </c>
      <c r="R37" s="766">
        <v>0</v>
      </c>
      <c r="S37" s="766">
        <v>0</v>
      </c>
      <c r="T37" s="766">
        <v>0</v>
      </c>
      <c r="U37" s="766">
        <v>0</v>
      </c>
      <c r="V37" s="766">
        <v>0</v>
      </c>
      <c r="W37" s="766">
        <v>0</v>
      </c>
      <c r="X37" s="766">
        <v>0</v>
      </c>
      <c r="Y37" s="766">
        <v>0</v>
      </c>
      <c r="Z37" s="766">
        <v>0</v>
      </c>
      <c r="AA37" s="766">
        <v>0</v>
      </c>
      <c r="AB37" s="766">
        <v>0</v>
      </c>
      <c r="AC37" s="766">
        <v>0</v>
      </c>
      <c r="AD37" s="766">
        <v>0</v>
      </c>
      <c r="AE37" s="766">
        <v>0</v>
      </c>
    </row>
    <row r="38" spans="1:31">
      <c r="A38" s="137" t="str">
        <f t="shared" si="1"/>
        <v>188</v>
      </c>
      <c r="B38" s="757" t="s">
        <v>1799</v>
      </c>
      <c r="C38" s="766">
        <v>0</v>
      </c>
      <c r="D38" s="766">
        <v>0</v>
      </c>
      <c r="E38" s="766">
        <v>0</v>
      </c>
      <c r="F38" s="766">
        <v>0</v>
      </c>
      <c r="G38" s="766">
        <v>0</v>
      </c>
      <c r="H38" s="766">
        <v>0</v>
      </c>
      <c r="I38" s="766">
        <v>0</v>
      </c>
      <c r="J38" s="766">
        <v>0</v>
      </c>
      <c r="K38" s="766">
        <v>0</v>
      </c>
      <c r="L38" s="766">
        <v>0</v>
      </c>
      <c r="M38" s="766">
        <v>0</v>
      </c>
      <c r="N38" s="766">
        <v>0</v>
      </c>
      <c r="O38" s="766">
        <v>0</v>
      </c>
      <c r="P38" s="766">
        <v>0</v>
      </c>
      <c r="Q38" s="766">
        <v>0</v>
      </c>
      <c r="R38" s="766">
        <v>0</v>
      </c>
      <c r="S38" s="766">
        <v>0</v>
      </c>
      <c r="T38" s="766">
        <v>0</v>
      </c>
      <c r="U38" s="766">
        <v>0</v>
      </c>
      <c r="V38" s="766">
        <v>0</v>
      </c>
      <c r="W38" s="766">
        <v>0</v>
      </c>
      <c r="X38" s="766">
        <v>0</v>
      </c>
      <c r="Y38" s="766">
        <v>0</v>
      </c>
      <c r="Z38" s="766">
        <v>0</v>
      </c>
      <c r="AA38" s="766">
        <v>0</v>
      </c>
      <c r="AB38" s="766">
        <v>0</v>
      </c>
      <c r="AC38" s="766">
        <v>0</v>
      </c>
      <c r="AD38" s="766">
        <v>0</v>
      </c>
      <c r="AE38" s="766">
        <v>0</v>
      </c>
    </row>
    <row r="39" spans="1:31">
      <c r="A39" s="137"/>
      <c r="B39" s="756" t="s">
        <v>2552</v>
      </c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6"/>
      <c r="S39" s="766"/>
      <c r="T39" s="766"/>
      <c r="U39" s="766"/>
      <c r="V39" s="766"/>
      <c r="W39" s="766"/>
      <c r="X39" s="766"/>
      <c r="Y39" s="766"/>
      <c r="Z39" s="766"/>
      <c r="AA39" s="766"/>
      <c r="AB39" s="766"/>
      <c r="AC39" s="766"/>
      <c r="AD39" s="766"/>
      <c r="AE39" s="766"/>
    </row>
    <row r="40" spans="1:31">
      <c r="A40" s="448">
        <v>228.2</v>
      </c>
      <c r="B40" s="757" t="s">
        <v>2553</v>
      </c>
      <c r="C40" s="766">
        <v>113.87411999999999</v>
      </c>
      <c r="D40" s="766">
        <v>112.98696000000001</v>
      </c>
      <c r="E40" s="766">
        <v>112.98696000000001</v>
      </c>
      <c r="F40" s="766">
        <v>114.58217</v>
      </c>
      <c r="G40" s="766">
        <v>114.64644</v>
      </c>
      <c r="H40" s="766">
        <v>114.64644</v>
      </c>
      <c r="I40" s="766">
        <v>107.0218</v>
      </c>
      <c r="J40" s="766">
        <v>106.37103999001614</v>
      </c>
      <c r="K40" s="766">
        <v>106.90085292651119</v>
      </c>
      <c r="L40" s="766">
        <v>107.84774393253332</v>
      </c>
      <c r="M40" s="766">
        <v>108.8278198577449</v>
      </c>
      <c r="N40" s="766">
        <v>109.50698356722903</v>
      </c>
      <c r="O40" s="766">
        <v>110.12991126764933</v>
      </c>
      <c r="P40" s="766">
        <v>110.46248806890557</v>
      </c>
      <c r="Q40" s="766">
        <v>111.00257021470976</v>
      </c>
      <c r="R40" s="766">
        <v>111.62193452569159</v>
      </c>
      <c r="S40" s="766">
        <v>112.22080327188716</v>
      </c>
      <c r="T40" s="766">
        <v>113.56137750480522</v>
      </c>
      <c r="U40" s="766">
        <v>115.20782079072167</v>
      </c>
      <c r="V40" s="766">
        <v>117.37370811955466</v>
      </c>
      <c r="W40" s="766">
        <v>118.63488260918359</v>
      </c>
      <c r="X40" s="766">
        <v>120.0658626923957</v>
      </c>
      <c r="Y40" s="766">
        <v>120.71518079751851</v>
      </c>
      <c r="Z40" s="766">
        <v>121.31211450435161</v>
      </c>
      <c r="AA40" s="766">
        <v>121.33778888367104</v>
      </c>
      <c r="AB40" s="766">
        <v>121.58828498378273</v>
      </c>
      <c r="AC40" s="766">
        <v>121.91400373077958</v>
      </c>
      <c r="AD40" s="766">
        <v>122.23742878739684</v>
      </c>
      <c r="AE40" s="766">
        <v>122.90485497406472</v>
      </c>
    </row>
    <row r="41" spans="1:31">
      <c r="A41" s="448">
        <v>228.2</v>
      </c>
      <c r="B41" s="757" t="s">
        <v>2554</v>
      </c>
      <c r="C41" s="766">
        <v>608.05197999999996</v>
      </c>
      <c r="D41" s="766">
        <v>603.31479000000002</v>
      </c>
      <c r="E41" s="766">
        <v>603.31479000000002</v>
      </c>
      <c r="F41" s="766">
        <v>440.89916999999997</v>
      </c>
      <c r="G41" s="766">
        <v>441.14645000000002</v>
      </c>
      <c r="H41" s="766">
        <v>441.14645000000002</v>
      </c>
      <c r="I41" s="766">
        <v>426.33853000000005</v>
      </c>
      <c r="J41" s="766">
        <v>423.74613568709077</v>
      </c>
      <c r="K41" s="766">
        <v>425.85673068078341</v>
      </c>
      <c r="L41" s="766">
        <v>429.62882320480497</v>
      </c>
      <c r="M41" s="766">
        <v>433.53311318850103</v>
      </c>
      <c r="N41" s="766">
        <v>436.2386709927664</v>
      </c>
      <c r="O41" s="766">
        <v>438.72020361565257</v>
      </c>
      <c r="P41" s="766">
        <v>440.0450767612449</v>
      </c>
      <c r="Q41" s="766">
        <v>442.19658080087447</v>
      </c>
      <c r="R41" s="766">
        <v>444.66391808915967</v>
      </c>
      <c r="S41" s="766">
        <v>447.04960800069927</v>
      </c>
      <c r="T41" s="766">
        <v>452.39000093898426</v>
      </c>
      <c r="U41" s="766">
        <v>458.94887241472173</v>
      </c>
      <c r="V41" s="766">
        <v>467.57703272990489</v>
      </c>
      <c r="W41" s="766">
        <v>472.60112402822779</v>
      </c>
      <c r="X41" s="766">
        <v>478.30166320283053</v>
      </c>
      <c r="Y41" s="766">
        <v>480.88832624479454</v>
      </c>
      <c r="Z41" s="766">
        <v>483.26630761599898</v>
      </c>
      <c r="AA41" s="766">
        <v>483.3685856328708</v>
      </c>
      <c r="AB41" s="766">
        <v>484.36647711195172</v>
      </c>
      <c r="AC41" s="766">
        <v>485.66403009605068</v>
      </c>
      <c r="AD41" s="766">
        <v>486.95244579583897</v>
      </c>
      <c r="AE41" s="766">
        <v>489.61124529129779</v>
      </c>
    </row>
    <row r="42" spans="1:31">
      <c r="A42" s="448">
        <v>228.3</v>
      </c>
      <c r="B42" s="757" t="s">
        <v>2555</v>
      </c>
      <c r="C42" s="766">
        <v>708.53930999999989</v>
      </c>
      <c r="D42" s="766">
        <v>703.01925000000006</v>
      </c>
      <c r="E42" s="766">
        <v>703.01925000000006</v>
      </c>
      <c r="F42" s="766">
        <v>706.65425000000005</v>
      </c>
      <c r="G42" s="766">
        <v>707.05057999999997</v>
      </c>
      <c r="H42" s="766">
        <v>707.05057999999997</v>
      </c>
      <c r="I42" s="766">
        <v>707.05057999999997</v>
      </c>
      <c r="J42" s="766">
        <v>707.44935025244308</v>
      </c>
      <c r="K42" s="766">
        <v>715.69448469319468</v>
      </c>
      <c r="L42" s="766">
        <v>726.79715188052967</v>
      </c>
      <c r="M42" s="766">
        <v>738.20856368036254</v>
      </c>
      <c r="N42" s="766">
        <v>747.65208979059003</v>
      </c>
      <c r="O42" s="766">
        <v>756.76917729367722</v>
      </c>
      <c r="P42" s="766">
        <v>759.0545134877832</v>
      </c>
      <c r="Q42" s="766">
        <v>762.76574431006122</v>
      </c>
      <c r="R42" s="766">
        <v>767.02177080342369</v>
      </c>
      <c r="S42" s="766">
        <v>771.13695988465247</v>
      </c>
      <c r="T42" s="766">
        <v>780.34885561460499</v>
      </c>
      <c r="U42" s="766">
        <v>791.66256245956538</v>
      </c>
      <c r="V42" s="766">
        <v>806.54568324923241</v>
      </c>
      <c r="W42" s="766">
        <v>815.21197535783801</v>
      </c>
      <c r="X42" s="766">
        <v>825.04510432190511</v>
      </c>
      <c r="Y42" s="766">
        <v>829.50696143737548</v>
      </c>
      <c r="Z42" s="766">
        <v>833.6088536937043</v>
      </c>
      <c r="AA42" s="766">
        <v>833.78527787031032</v>
      </c>
      <c r="AB42" s="766">
        <v>835.50658796140885</v>
      </c>
      <c r="AC42" s="766">
        <v>837.74479832003601</v>
      </c>
      <c r="AD42" s="766">
        <v>839.96724734587394</v>
      </c>
      <c r="AE42" s="766">
        <v>844.55353603325318</v>
      </c>
    </row>
    <row r="43" spans="1:31">
      <c r="A43" s="448">
        <v>228.3</v>
      </c>
      <c r="B43" s="757" t="s">
        <v>2556</v>
      </c>
      <c r="C43" s="766">
        <v>8146.3361999999997</v>
      </c>
      <c r="D43" s="766">
        <v>-1545.32997</v>
      </c>
      <c r="E43" s="766">
        <v>89.9114</v>
      </c>
      <c r="F43" s="766">
        <v>89.9114</v>
      </c>
      <c r="G43" s="766">
        <v>89.961830000000006</v>
      </c>
      <c r="H43" s="766">
        <v>89.961830000000006</v>
      </c>
      <c r="I43" s="766">
        <v>0</v>
      </c>
      <c r="J43" s="766">
        <v>0</v>
      </c>
      <c r="K43" s="766">
        <v>0</v>
      </c>
      <c r="L43" s="766">
        <v>0</v>
      </c>
      <c r="M43" s="766">
        <v>0</v>
      </c>
      <c r="N43" s="766">
        <v>0</v>
      </c>
      <c r="O43" s="766">
        <v>0</v>
      </c>
      <c r="P43" s="766">
        <v>0</v>
      </c>
      <c r="Q43" s="766">
        <v>0</v>
      </c>
      <c r="R43" s="766">
        <v>0</v>
      </c>
      <c r="S43" s="766">
        <v>0</v>
      </c>
      <c r="T43" s="766">
        <v>0</v>
      </c>
      <c r="U43" s="766">
        <v>0</v>
      </c>
      <c r="V43" s="766">
        <v>0</v>
      </c>
      <c r="W43" s="766">
        <v>0</v>
      </c>
      <c r="X43" s="766">
        <v>0</v>
      </c>
      <c r="Y43" s="766">
        <v>0</v>
      </c>
      <c r="Z43" s="766">
        <v>0</v>
      </c>
      <c r="AA43" s="766">
        <v>0</v>
      </c>
      <c r="AB43" s="766">
        <v>0</v>
      </c>
      <c r="AC43" s="766">
        <v>0</v>
      </c>
      <c r="AD43" s="766">
        <v>0</v>
      </c>
      <c r="AE43" s="766">
        <v>0</v>
      </c>
    </row>
    <row r="44" spans="1:31">
      <c r="A44" s="448">
        <v>228.3</v>
      </c>
      <c r="B44" s="757" t="s">
        <v>2557</v>
      </c>
      <c r="C44" s="766">
        <v>12894.34204</v>
      </c>
      <c r="D44" s="766">
        <v>12784.83281</v>
      </c>
      <c r="E44" s="766">
        <v>12563.512269999999</v>
      </c>
      <c r="F44" s="766">
        <v>12554.18778</v>
      </c>
      <c r="G44" s="766">
        <v>12501.210560000001</v>
      </c>
      <c r="H44" s="766">
        <v>12491.58742</v>
      </c>
      <c r="I44" s="766">
        <v>11744.539119999999</v>
      </c>
      <c r="J44" s="766">
        <v>11670.932117546348</v>
      </c>
      <c r="K44" s="766">
        <v>11773.080912987125</v>
      </c>
      <c r="L44" s="766">
        <v>11636.665262359387</v>
      </c>
      <c r="M44" s="766">
        <v>11787.226159507376</v>
      </c>
      <c r="N44" s="766">
        <v>11905.878239176325</v>
      </c>
      <c r="O44" s="766">
        <v>11727.813567956116</v>
      </c>
      <c r="P44" s="766">
        <v>11809.270297266499</v>
      </c>
      <c r="Q44" s="766">
        <v>11913.27462893851</v>
      </c>
      <c r="R44" s="766">
        <v>11722.933809486238</v>
      </c>
      <c r="S44" s="766">
        <v>11832.6023878253</v>
      </c>
      <c r="T44" s="766">
        <v>12021.285016128606</v>
      </c>
      <c r="U44" s="766">
        <v>11930.508947336904</v>
      </c>
      <c r="V44" s="766">
        <v>12203.721434309702</v>
      </c>
      <c r="W44" s="766">
        <v>12384.296409091232</v>
      </c>
      <c r="X44" s="766">
        <v>12257.43543322627</v>
      </c>
      <c r="Y44" s="766">
        <v>12374.037513416113</v>
      </c>
      <c r="Z44" s="766">
        <v>12485.789308835967</v>
      </c>
      <c r="AA44" s="766">
        <v>12209.264411787372</v>
      </c>
      <c r="AB44" s="766">
        <v>12283.808016889714</v>
      </c>
      <c r="AC44" s="766">
        <v>12366.185024137867</v>
      </c>
      <c r="AD44" s="766">
        <v>12112.038525287287</v>
      </c>
      <c r="AE44" s="766">
        <v>12228.043626489387</v>
      </c>
    </row>
    <row r="45" spans="1:31">
      <c r="A45" s="137" t="str">
        <f t="shared" si="1"/>
        <v>242</v>
      </c>
      <c r="B45" s="757" t="s">
        <v>2558</v>
      </c>
      <c r="C45" s="766">
        <v>789.04002000000003</v>
      </c>
      <c r="D45" s="766">
        <v>145.04390000000009</v>
      </c>
      <c r="E45" s="766">
        <v>187.08864000000008</v>
      </c>
      <c r="F45" s="766">
        <v>263.20467000000002</v>
      </c>
      <c r="G45" s="766">
        <v>367.67916000000008</v>
      </c>
      <c r="H45" s="766">
        <v>351.23692999999997</v>
      </c>
      <c r="I45" s="766">
        <v>381.70395000000002</v>
      </c>
      <c r="J45" s="766">
        <v>910.64705896192345</v>
      </c>
      <c r="K45" s="766">
        <v>909.71467556266464</v>
      </c>
      <c r="L45" s="766">
        <v>932.86354988471362</v>
      </c>
      <c r="M45" s="766">
        <v>935.5353072328287</v>
      </c>
      <c r="N45" s="766">
        <v>935.5317643872371</v>
      </c>
      <c r="O45" s="766">
        <v>934.97832664175144</v>
      </c>
      <c r="P45" s="766">
        <v>931.90890062591382</v>
      </c>
      <c r="Q45" s="766">
        <v>930.54352422763986</v>
      </c>
      <c r="R45" s="766">
        <v>929.78092273598145</v>
      </c>
      <c r="S45" s="766">
        <v>928.78260862860998</v>
      </c>
      <c r="T45" s="766">
        <v>933.81946994134762</v>
      </c>
      <c r="U45" s="766">
        <v>941.21215319940723</v>
      </c>
      <c r="V45" s="766">
        <v>952.64515375138285</v>
      </c>
      <c r="W45" s="766">
        <v>956.55236936683366</v>
      </c>
      <c r="X45" s="766">
        <v>961.68510602230276</v>
      </c>
      <c r="Y45" s="766">
        <v>960.44602732768624</v>
      </c>
      <c r="Z45" s="766">
        <v>958.72367794712204</v>
      </c>
      <c r="AA45" s="766">
        <v>952.45347942060118</v>
      </c>
      <c r="AB45" s="766">
        <v>947.93330908002918</v>
      </c>
      <c r="AC45" s="766">
        <v>943.96885391366186</v>
      </c>
      <c r="AD45" s="766">
        <v>939.95200853286497</v>
      </c>
      <c r="AE45" s="766">
        <v>938.52752066901246</v>
      </c>
    </row>
    <row r="46" spans="1:31">
      <c r="A46" s="137" t="str">
        <f t="shared" si="1"/>
        <v>242</v>
      </c>
      <c r="B46" s="757" t="s">
        <v>2559</v>
      </c>
      <c r="C46" s="766">
        <v>4881.4103999999998</v>
      </c>
      <c r="D46" s="766">
        <v>6909.1672900000003</v>
      </c>
      <c r="E46" s="766">
        <v>7714.7572200000004</v>
      </c>
      <c r="F46" s="766">
        <v>8596.8051400000004</v>
      </c>
      <c r="G46" s="766">
        <v>7731.4983499999998</v>
      </c>
      <c r="H46" s="766">
        <v>4367.5187100000003</v>
      </c>
      <c r="I46" s="766">
        <v>2928.2801800000002</v>
      </c>
      <c r="J46" s="766">
        <v>332.00659967343006</v>
      </c>
      <c r="K46" s="766">
        <v>333.66025833395668</v>
      </c>
      <c r="L46" s="766">
        <v>336.61570620022053</v>
      </c>
      <c r="M46" s="766">
        <v>339.67473124483632</v>
      </c>
      <c r="N46" s="766">
        <v>341.79454537684614</v>
      </c>
      <c r="O46" s="766">
        <v>343.73883498497963</v>
      </c>
      <c r="P46" s="766">
        <v>344.77687779179723</v>
      </c>
      <c r="Q46" s="766">
        <v>346.46258883485569</v>
      </c>
      <c r="R46" s="766">
        <v>348.3957563480007</v>
      </c>
      <c r="S46" s="766">
        <v>350.26495285199042</v>
      </c>
      <c r="T46" s="766">
        <v>354.44916965313024</v>
      </c>
      <c r="U46" s="766">
        <v>359.58806870839538</v>
      </c>
      <c r="V46" s="766">
        <v>366.3482629058866</v>
      </c>
      <c r="W46" s="766">
        <v>370.28465625069055</v>
      </c>
      <c r="X46" s="766">
        <v>374.75104890485886</v>
      </c>
      <c r="Y46" s="766">
        <v>376.7777085690725</v>
      </c>
      <c r="Z46" s="766">
        <v>378.64086540437955</v>
      </c>
      <c r="AA46" s="766">
        <v>378.72100059321821</v>
      </c>
      <c r="AB46" s="766">
        <v>379.5028521050333</v>
      </c>
      <c r="AC46" s="766">
        <v>380.51948946845914</v>
      </c>
      <c r="AD46" s="766">
        <v>381.52896773723194</v>
      </c>
      <c r="AE46" s="766">
        <v>383.61214656851348</v>
      </c>
    </row>
    <row r="47" spans="1:31">
      <c r="A47" s="137" t="str">
        <f t="shared" si="1"/>
        <v>242</v>
      </c>
      <c r="B47" s="757" t="s">
        <v>2560</v>
      </c>
      <c r="C47" s="766">
        <v>1011.0731800000001</v>
      </c>
      <c r="D47" s="766">
        <v>1004.71284</v>
      </c>
      <c r="E47" s="766">
        <v>1005.64102</v>
      </c>
      <c r="F47" s="766">
        <v>627.58003000000008</v>
      </c>
      <c r="G47" s="766">
        <v>629.13423999999998</v>
      </c>
      <c r="H47" s="766">
        <v>628.88543000000004</v>
      </c>
      <c r="I47" s="766">
        <v>728.11833000000013</v>
      </c>
      <c r="J47" s="766">
        <v>659.56968030130156</v>
      </c>
      <c r="K47" s="766">
        <v>688.54000628418407</v>
      </c>
      <c r="L47" s="766">
        <v>716.24866829042298</v>
      </c>
      <c r="M47" s="766">
        <v>748.80719202054001</v>
      </c>
      <c r="N47" s="766">
        <v>776.8265487867817</v>
      </c>
      <c r="O47" s="766">
        <v>802.14239758162887</v>
      </c>
      <c r="P47" s="766">
        <v>832.50511941149921</v>
      </c>
      <c r="Q47" s="766">
        <v>860.84565568256755</v>
      </c>
      <c r="R47" s="766">
        <v>602.19725504873475</v>
      </c>
      <c r="S47" s="766">
        <v>631.58644543673063</v>
      </c>
      <c r="T47" s="766">
        <v>667.9356277661409</v>
      </c>
      <c r="U47" s="766">
        <v>702.15540013855468</v>
      </c>
      <c r="V47" s="766">
        <v>744.64327885843682</v>
      </c>
      <c r="W47" s="766">
        <v>783.10988728094731</v>
      </c>
      <c r="X47" s="766">
        <v>820.50001430278905</v>
      </c>
      <c r="Y47" s="766">
        <v>857.33381583641426</v>
      </c>
      <c r="Z47" s="766">
        <v>888.13741533768962</v>
      </c>
      <c r="AA47" s="766">
        <v>914.70039022794856</v>
      </c>
      <c r="AB47" s="766">
        <v>951.21185974281809</v>
      </c>
      <c r="AC47" s="766">
        <v>983.73654320714934</v>
      </c>
      <c r="AD47" s="766">
        <v>671.82949824363152</v>
      </c>
      <c r="AE47" s="766">
        <v>707.34875537447147</v>
      </c>
    </row>
    <row r="48" spans="1:31">
      <c r="A48" s="137" t="str">
        <f t="shared" si="1"/>
        <v>242</v>
      </c>
      <c r="B48" s="757" t="s">
        <v>2561</v>
      </c>
      <c r="C48" s="766">
        <v>1067.7901200000001</v>
      </c>
      <c r="D48" s="766">
        <v>1059.4712199999999</v>
      </c>
      <c r="E48" s="766">
        <v>1059.4712199999999</v>
      </c>
      <c r="F48" s="766">
        <v>1154.0151599999999</v>
      </c>
      <c r="G48" s="766">
        <v>1154.66239</v>
      </c>
      <c r="H48" s="766">
        <v>1154.66239</v>
      </c>
      <c r="I48" s="766">
        <v>1162.0167900000001</v>
      </c>
      <c r="J48" s="766">
        <v>1154.9510169892233</v>
      </c>
      <c r="K48" s="766">
        <v>1160.7035976716761</v>
      </c>
      <c r="L48" s="766">
        <v>1170.9847111259194</v>
      </c>
      <c r="M48" s="766">
        <v>1181.6261384040208</v>
      </c>
      <c r="N48" s="766">
        <v>1189.0003336459258</v>
      </c>
      <c r="O48" s="766">
        <v>1195.763931907057</v>
      </c>
      <c r="P48" s="766">
        <v>1199.3749703520507</v>
      </c>
      <c r="Q48" s="766">
        <v>1205.239051624668</v>
      </c>
      <c r="R48" s="766">
        <v>1211.9639594653963</v>
      </c>
      <c r="S48" s="766">
        <v>1218.4663314223367</v>
      </c>
      <c r="T48" s="766">
        <v>1233.0219621071883</v>
      </c>
      <c r="U48" s="766">
        <v>1250.8986449680754</v>
      </c>
      <c r="V48" s="766">
        <v>1274.4153255735723</v>
      </c>
      <c r="W48" s="766">
        <v>1288.1088530556249</v>
      </c>
      <c r="X48" s="766">
        <v>1303.6460885903368</v>
      </c>
      <c r="Y48" s="766">
        <v>1310.6962274808798</v>
      </c>
      <c r="Z48" s="766">
        <v>1317.1775892485821</v>
      </c>
      <c r="AA48" s="766">
        <v>1317.4563554476183</v>
      </c>
      <c r="AB48" s="766">
        <v>1320.176181498045</v>
      </c>
      <c r="AC48" s="766">
        <v>1323.712756849116</v>
      </c>
      <c r="AD48" s="766">
        <v>1327.2244278649766</v>
      </c>
      <c r="AE48" s="766">
        <v>1334.4711799238985</v>
      </c>
    </row>
    <row r="49" spans="1:31">
      <c r="A49" s="137" t="str">
        <f t="shared" si="1"/>
        <v>242</v>
      </c>
      <c r="B49" s="757" t="s">
        <v>2562</v>
      </c>
      <c r="C49" s="766">
        <v>348.99096000000003</v>
      </c>
      <c r="D49" s="766">
        <v>347.43545</v>
      </c>
      <c r="E49" s="766">
        <v>347.43545</v>
      </c>
      <c r="F49" s="766">
        <v>444.14019000000002</v>
      </c>
      <c r="G49" s="766">
        <v>347.43545</v>
      </c>
      <c r="H49" s="766">
        <v>347.43545</v>
      </c>
      <c r="I49" s="766">
        <v>713.85400000000004</v>
      </c>
      <c r="J49" s="766">
        <v>404.787906308532</v>
      </c>
      <c r="K49" s="766">
        <v>406.80407414255086</v>
      </c>
      <c r="L49" s="766">
        <v>410.40740478466972</v>
      </c>
      <c r="M49" s="766">
        <v>414.13701842600511</v>
      </c>
      <c r="N49" s="766">
        <v>416.72153067697695</v>
      </c>
      <c r="O49" s="766">
        <v>419.09204054186495</v>
      </c>
      <c r="P49" s="766">
        <v>420.3576394029829</v>
      </c>
      <c r="Q49" s="766">
        <v>422.41288602889932</v>
      </c>
      <c r="R49" s="766">
        <v>424.76983565266994</v>
      </c>
      <c r="S49" s="766">
        <v>427.04879077004847</v>
      </c>
      <c r="T49" s="766">
        <v>432.15025670518457</v>
      </c>
      <c r="U49" s="766">
        <v>438.4156869446972</v>
      </c>
      <c r="V49" s="766">
        <v>446.65782688448513</v>
      </c>
      <c r="W49" s="766">
        <v>451.45714238609668</v>
      </c>
      <c r="X49" s="766">
        <v>456.90264176174441</v>
      </c>
      <c r="Y49" s="766">
        <v>459.37357855361518</v>
      </c>
      <c r="Z49" s="766">
        <v>461.645170007611</v>
      </c>
      <c r="AA49" s="766">
        <v>461.74287214769964</v>
      </c>
      <c r="AB49" s="766">
        <v>462.696118368778</v>
      </c>
      <c r="AC49" s="766">
        <v>463.93561936129129</v>
      </c>
      <c r="AD49" s="766">
        <v>465.16639186786932</v>
      </c>
      <c r="AE49" s="766">
        <v>467.70623775771048</v>
      </c>
    </row>
    <row r="50" spans="1:31">
      <c r="A50" s="137" t="str">
        <f t="shared" si="1"/>
        <v>253</v>
      </c>
      <c r="B50" s="757" t="s">
        <v>2563</v>
      </c>
      <c r="C50" s="766">
        <v>1.3119663390000005</v>
      </c>
      <c r="D50" s="766">
        <v>782.25986741699978</v>
      </c>
      <c r="E50" s="766">
        <v>1128.3172095089997</v>
      </c>
      <c r="F50" s="766">
        <v>196.03562937600003</v>
      </c>
      <c r="G50" s="766">
        <v>91.114642320000002</v>
      </c>
      <c r="H50" s="766">
        <v>263.41240787999999</v>
      </c>
      <c r="I50" s="766">
        <v>5.6519706799999998</v>
      </c>
      <c r="J50" s="766">
        <v>5.6176032482518607</v>
      </c>
      <c r="K50" s="766">
        <v>5.6455834097065178</v>
      </c>
      <c r="L50" s="766">
        <v>5.6955900467730505</v>
      </c>
      <c r="M50" s="766">
        <v>5.7473492257894332</v>
      </c>
      <c r="N50" s="766">
        <v>5.7832168102452295</v>
      </c>
      <c r="O50" s="766">
        <v>5.8161144924868964</v>
      </c>
      <c r="P50" s="766">
        <v>5.8336783380524331</v>
      </c>
      <c r="Q50" s="766">
        <v>5.8622008307993054</v>
      </c>
      <c r="R50" s="766">
        <v>5.8949103254657986</v>
      </c>
      <c r="S50" s="766">
        <v>5.9265374207186099</v>
      </c>
      <c r="T50" s="766">
        <v>5.9973350190693457</v>
      </c>
      <c r="U50" s="766">
        <v>6.0842859894828605</v>
      </c>
      <c r="V50" s="766">
        <v>6.1986695255932691</v>
      </c>
      <c r="W50" s="766">
        <v>6.2652739125600307</v>
      </c>
      <c r="X50" s="766">
        <v>6.3408459701838966</v>
      </c>
      <c r="Y50" s="766">
        <v>6.3751373665717574</v>
      </c>
      <c r="Z50" s="766">
        <v>6.4066622696921129</v>
      </c>
      <c r="AA50" s="766">
        <v>6.408018169537363</v>
      </c>
      <c r="AB50" s="766">
        <v>6.4212472185886273</v>
      </c>
      <c r="AC50" s="766">
        <v>6.4384488807263454</v>
      </c>
      <c r="AD50" s="766">
        <v>6.4555294098702714</v>
      </c>
      <c r="AE50" s="766">
        <v>6.4907771193459496</v>
      </c>
    </row>
    <row r="51" spans="1:31">
      <c r="A51" s="137" t="str">
        <f t="shared" si="1"/>
        <v>253</v>
      </c>
      <c r="B51" s="757" t="s">
        <v>2564</v>
      </c>
      <c r="C51" s="766">
        <v>375.52943353199993</v>
      </c>
      <c r="D51" s="766">
        <v>371.70690433500005</v>
      </c>
      <c r="E51" s="766">
        <v>370.78696905100003</v>
      </c>
      <c r="F51" s="766">
        <v>317.86293782600006</v>
      </c>
      <c r="G51" s="766">
        <v>365.36631843200007</v>
      </c>
      <c r="H51" s="766">
        <v>364.46455638400005</v>
      </c>
      <c r="I51" s="766">
        <v>363.55558340800002</v>
      </c>
      <c r="J51" s="766">
        <v>361.34494354328126</v>
      </c>
      <c r="K51" s="766">
        <v>363.14473064364495</v>
      </c>
      <c r="L51" s="766">
        <v>366.36134182978003</v>
      </c>
      <c r="M51" s="766">
        <v>369.69068297279176</v>
      </c>
      <c r="N51" s="766">
        <v>371.99781818819645</v>
      </c>
      <c r="O51" s="766">
        <v>374.11391834817471</v>
      </c>
      <c r="P51" s="766">
        <v>375.24368962318539</v>
      </c>
      <c r="Q51" s="766">
        <v>377.07836147092394</v>
      </c>
      <c r="R51" s="766">
        <v>379.18235671253723</v>
      </c>
      <c r="S51" s="766">
        <v>381.21672803488389</v>
      </c>
      <c r="T51" s="766">
        <v>385.77069047197972</v>
      </c>
      <c r="U51" s="766">
        <v>391.36369733035519</v>
      </c>
      <c r="V51" s="766">
        <v>398.7212679118943</v>
      </c>
      <c r="W51" s="766">
        <v>403.00550753948437</v>
      </c>
      <c r="X51" s="766">
        <v>407.86658079239578</v>
      </c>
      <c r="Y51" s="766">
        <v>410.07232978252745</v>
      </c>
      <c r="Z51" s="766">
        <v>412.10012773030473</v>
      </c>
      <c r="AA51" s="766">
        <v>412.18734420526403</v>
      </c>
      <c r="AB51" s="766">
        <v>413.03828539340287</v>
      </c>
      <c r="AC51" s="766">
        <v>414.14475969557776</v>
      </c>
      <c r="AD51" s="766">
        <v>415.24344227717904</v>
      </c>
      <c r="AE51" s="766">
        <v>417.51070484943034</v>
      </c>
    </row>
    <row r="52" spans="1:31">
      <c r="A52" s="137" t="str">
        <f t="shared" si="1"/>
        <v>253</v>
      </c>
      <c r="B52" s="757" t="s">
        <v>2565</v>
      </c>
      <c r="C52" s="766">
        <v>0</v>
      </c>
      <c r="D52" s="766">
        <v>0</v>
      </c>
      <c r="E52" s="766">
        <v>0</v>
      </c>
      <c r="F52" s="766">
        <v>0</v>
      </c>
      <c r="G52" s="766">
        <v>0</v>
      </c>
      <c r="H52" s="766">
        <v>0</v>
      </c>
      <c r="I52" s="766">
        <v>2763.7769032000001</v>
      </c>
      <c r="J52" s="766">
        <v>2746.9714525942632</v>
      </c>
      <c r="K52" s="766">
        <v>2760.6535695680527</v>
      </c>
      <c r="L52" s="766">
        <v>3.2701211409267538E-13</v>
      </c>
      <c r="M52" s="766">
        <v>3.2998386564341036E-13</v>
      </c>
      <c r="N52" s="766">
        <v>3.3204320181823441E-13</v>
      </c>
      <c r="O52" s="766">
        <v>3.3393202115569565E-13</v>
      </c>
      <c r="P52" s="766">
        <v>3.3494044876772812E-13</v>
      </c>
      <c r="Q52" s="766">
        <v>3.3657806674510207E-13</v>
      </c>
      <c r="R52" s="766">
        <v>3.3845608129916102E-13</v>
      </c>
      <c r="S52" s="766">
        <v>3.402719499266954E-13</v>
      </c>
      <c r="T52" s="766">
        <v>3.4433679169361213E-13</v>
      </c>
      <c r="U52" s="766">
        <v>3.4932907878306702E-13</v>
      </c>
      <c r="V52" s="766">
        <v>3.5589640572438248E-13</v>
      </c>
      <c r="W52" s="766">
        <v>3.5972049439842381E-13</v>
      </c>
      <c r="X52" s="766">
        <v>3.6405946158654073E-13</v>
      </c>
      <c r="Y52" s="766">
        <v>3.6602830097559363E-13</v>
      </c>
      <c r="Z52" s="766">
        <v>3.6783830224522416E-13</v>
      </c>
      <c r="AA52" s="766">
        <v>3.6791615118997828E-13</v>
      </c>
      <c r="AB52" s="766">
        <v>3.6867569660356373E-13</v>
      </c>
      <c r="AC52" s="766">
        <v>3.6966332946607118E-13</v>
      </c>
      <c r="AD52" s="766">
        <v>3.7064400748174778E-13</v>
      </c>
      <c r="AE52" s="766">
        <v>3.7266775355509735E-13</v>
      </c>
    </row>
    <row r="53" spans="1:31"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6"/>
      <c r="S53" s="766"/>
      <c r="T53" s="766"/>
      <c r="U53" s="766"/>
      <c r="V53" s="766"/>
      <c r="W53" s="766"/>
      <c r="X53" s="766"/>
      <c r="Y53" s="766"/>
      <c r="Z53" s="766"/>
      <c r="AA53" s="766"/>
      <c r="AB53" s="766"/>
      <c r="AC53" s="766"/>
      <c r="AD53" s="766"/>
      <c r="AE53" s="766"/>
    </row>
    <row r="54" spans="1:31">
      <c r="B54" s="756" t="s">
        <v>1399</v>
      </c>
    </row>
    <row r="55" spans="1:31">
      <c r="B55" s="756" t="s">
        <v>2544</v>
      </c>
      <c r="C55" s="765"/>
      <c r="D55" s="765"/>
      <c r="E55" s="765"/>
      <c r="F55" s="765"/>
      <c r="G55" s="765"/>
      <c r="H55" s="765"/>
      <c r="I55" s="765"/>
      <c r="J55" s="765"/>
      <c r="K55" s="765"/>
      <c r="L55" s="765"/>
      <c r="M55" s="765"/>
      <c r="N55" s="765"/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  <c r="Z55" s="765"/>
      <c r="AA55" s="765"/>
      <c r="AB55" s="765"/>
      <c r="AC55" s="765"/>
      <c r="AD55" s="765"/>
      <c r="AE55" s="765"/>
    </row>
    <row r="56" spans="1:31">
      <c r="B56" s="758" t="s">
        <v>2545</v>
      </c>
      <c r="C56" s="766">
        <f t="shared" ref="C56:AE63" si="2">C6+C31</f>
        <v>0</v>
      </c>
      <c r="D56" s="766">
        <f t="shared" si="2"/>
        <v>0</v>
      </c>
      <c r="E56" s="766">
        <f t="shared" si="2"/>
        <v>9171.2919999999995</v>
      </c>
      <c r="F56" s="766">
        <f t="shared" si="2"/>
        <v>9171.2919999999995</v>
      </c>
      <c r="G56" s="766">
        <f t="shared" si="2"/>
        <v>9171.2919999999995</v>
      </c>
      <c r="H56" s="766">
        <f t="shared" si="2"/>
        <v>9171.2919999999995</v>
      </c>
      <c r="I56" s="766">
        <f t="shared" si="2"/>
        <v>1944.5476799999999</v>
      </c>
      <c r="J56" s="766">
        <f t="shared" si="2"/>
        <v>3254.2069299999998</v>
      </c>
      <c r="K56" s="766">
        <f t="shared" si="2"/>
        <v>4563.86618</v>
      </c>
      <c r="L56" s="766">
        <f t="shared" si="2"/>
        <v>5873.5254299999997</v>
      </c>
      <c r="M56" s="766">
        <f t="shared" si="2"/>
        <v>7183.1846800000003</v>
      </c>
      <c r="N56" s="766">
        <f t="shared" si="2"/>
        <v>8492.8439299999991</v>
      </c>
      <c r="O56" s="766">
        <f t="shared" si="2"/>
        <v>9802.5031799999997</v>
      </c>
      <c r="P56" s="766">
        <f t="shared" si="2"/>
        <v>11714.935430000001</v>
      </c>
      <c r="Q56" s="766">
        <f t="shared" si="2"/>
        <v>12977.00468</v>
      </c>
      <c r="R56" s="766">
        <f t="shared" si="2"/>
        <v>14239.073929999999</v>
      </c>
      <c r="S56" s="766">
        <f t="shared" si="2"/>
        <v>15501.143179999999</v>
      </c>
      <c r="T56" s="766">
        <f t="shared" si="2"/>
        <v>16763.21243</v>
      </c>
      <c r="U56" s="766">
        <f t="shared" si="2"/>
        <v>18025.28168</v>
      </c>
      <c r="V56" s="766">
        <f t="shared" si="2"/>
        <v>19287.350930000001</v>
      </c>
      <c r="W56" s="766">
        <f t="shared" si="2"/>
        <v>20549.420180000001</v>
      </c>
      <c r="X56" s="766">
        <f t="shared" si="2"/>
        <v>21811.489430000001</v>
      </c>
      <c r="Y56" s="766">
        <f t="shared" si="2"/>
        <v>23073.558679999998</v>
      </c>
      <c r="Z56" s="766">
        <f t="shared" si="2"/>
        <v>24335.627929999995</v>
      </c>
      <c r="AA56" s="766">
        <f t="shared" si="2"/>
        <v>25597.697179999999</v>
      </c>
      <c r="AB56" s="766">
        <f t="shared" si="2"/>
        <v>26926.600513333298</v>
      </c>
      <c r="AC56" s="766">
        <f t="shared" si="2"/>
        <v>28255.503846666601</v>
      </c>
      <c r="AD56" s="766">
        <f t="shared" si="2"/>
        <v>29584.407179999998</v>
      </c>
      <c r="AE56" s="766">
        <f t="shared" si="2"/>
        <v>30913.310513333301</v>
      </c>
    </row>
    <row r="57" spans="1:31">
      <c r="B57" s="759" t="s">
        <v>2546</v>
      </c>
      <c r="C57" s="766">
        <f t="shared" si="2"/>
        <v>233798.5325</v>
      </c>
      <c r="D57" s="766">
        <f t="shared" si="2"/>
        <v>233798.5325</v>
      </c>
      <c r="E57" s="766">
        <f t="shared" si="2"/>
        <v>233798.5325</v>
      </c>
      <c r="F57" s="766">
        <f t="shared" si="2"/>
        <v>229628.67049999998</v>
      </c>
      <c r="G57" s="766">
        <f t="shared" si="2"/>
        <v>229628.67049999998</v>
      </c>
      <c r="H57" s="766">
        <f t="shared" si="2"/>
        <v>229628.67049999998</v>
      </c>
      <c r="I57" s="766">
        <f t="shared" si="2"/>
        <v>230433.75349999999</v>
      </c>
      <c r="J57" s="766">
        <f t="shared" si="2"/>
        <v>228944.03595806801</v>
      </c>
      <c r="K57" s="766">
        <f t="shared" si="2"/>
        <v>227454.318416136</v>
      </c>
      <c r="L57" s="766">
        <f t="shared" si="2"/>
        <v>226480.299158023</v>
      </c>
      <c r="M57" s="766">
        <f t="shared" si="2"/>
        <v>224990.58161609201</v>
      </c>
      <c r="N57" s="766">
        <f t="shared" si="2"/>
        <v>223500.86407416</v>
      </c>
      <c r="O57" s="766">
        <f t="shared" si="2"/>
        <v>222526.844816047</v>
      </c>
      <c r="P57" s="766">
        <f t="shared" si="2"/>
        <v>221327.44441406601</v>
      </c>
      <c r="Q57" s="766">
        <f t="shared" si="2"/>
        <v>220128.04401208501</v>
      </c>
      <c r="R57" s="766">
        <f t="shared" si="2"/>
        <v>219089.32889421401</v>
      </c>
      <c r="S57" s="766">
        <f t="shared" si="2"/>
        <v>217889.92849223298</v>
      </c>
      <c r="T57" s="766">
        <f t="shared" si="2"/>
        <v>216690.528090251</v>
      </c>
      <c r="U57" s="766">
        <f t="shared" si="2"/>
        <v>215651.81297237999</v>
      </c>
      <c r="V57" s="766">
        <f t="shared" si="2"/>
        <v>214452.412570399</v>
      </c>
      <c r="W57" s="766">
        <f t="shared" si="2"/>
        <v>213253.01216841798</v>
      </c>
      <c r="X57" s="766">
        <f t="shared" si="2"/>
        <v>212214.297050547</v>
      </c>
      <c r="Y57" s="766">
        <f t="shared" si="2"/>
        <v>211014.89664856601</v>
      </c>
      <c r="Z57" s="766">
        <f t="shared" si="2"/>
        <v>209815.49624658399</v>
      </c>
      <c r="AA57" s="766">
        <f t="shared" si="2"/>
        <v>208776.78112871299</v>
      </c>
      <c r="AB57" s="766">
        <f t="shared" si="2"/>
        <v>207604.19492590701</v>
      </c>
      <c r="AC57" s="766">
        <f t="shared" si="2"/>
        <v>206431.608723101</v>
      </c>
      <c r="AD57" s="766">
        <f t="shared" si="2"/>
        <v>205344.12448497899</v>
      </c>
      <c r="AE57" s="766">
        <f t="shared" si="2"/>
        <v>204171.538282172</v>
      </c>
    </row>
    <row r="58" spans="1:31">
      <c r="B58" s="760" t="s">
        <v>2547</v>
      </c>
      <c r="C58" s="766">
        <f t="shared" si="2"/>
        <v>2877.2774499999996</v>
      </c>
      <c r="D58" s="766">
        <f t="shared" si="2"/>
        <v>2860.6218900000003</v>
      </c>
      <c r="E58" s="766">
        <f t="shared" si="2"/>
        <v>2844.30285</v>
      </c>
      <c r="F58" s="766">
        <f t="shared" si="2"/>
        <v>2889.9266900000002</v>
      </c>
      <c r="G58" s="766">
        <f t="shared" si="2"/>
        <v>2902.9491499999999</v>
      </c>
      <c r="H58" s="766">
        <f t="shared" si="2"/>
        <v>2901.1949599999998</v>
      </c>
      <c r="I58" s="766">
        <f t="shared" si="2"/>
        <v>2899.9564899999996</v>
      </c>
      <c r="J58" s="766">
        <f t="shared" si="2"/>
        <v>2899.9564899999896</v>
      </c>
      <c r="K58" s="766">
        <f t="shared" si="2"/>
        <v>2899.9564899999896</v>
      </c>
      <c r="L58" s="766">
        <f t="shared" si="2"/>
        <v>2899.9564899999896</v>
      </c>
      <c r="M58" s="766">
        <f t="shared" si="2"/>
        <v>2899.9564899999896</v>
      </c>
      <c r="N58" s="766">
        <f t="shared" si="2"/>
        <v>2899.9564899999896</v>
      </c>
      <c r="O58" s="766">
        <f t="shared" si="2"/>
        <v>2899.9564899999896</v>
      </c>
      <c r="P58" s="766">
        <f t="shared" si="2"/>
        <v>2899.9564899999896</v>
      </c>
      <c r="Q58" s="766">
        <f t="shared" si="2"/>
        <v>2899.9564899999896</v>
      </c>
      <c r="R58" s="766">
        <f t="shared" si="2"/>
        <v>2899.9564899999896</v>
      </c>
      <c r="S58" s="766">
        <f t="shared" si="2"/>
        <v>2899.9564899999896</v>
      </c>
      <c r="T58" s="766">
        <f t="shared" si="2"/>
        <v>2899.9564899999896</v>
      </c>
      <c r="U58" s="766">
        <f t="shared" si="2"/>
        <v>2899.9564899999896</v>
      </c>
      <c r="V58" s="766">
        <f t="shared" si="2"/>
        <v>2899.9564899999896</v>
      </c>
      <c r="W58" s="766">
        <f t="shared" si="2"/>
        <v>2899.9564899999896</v>
      </c>
      <c r="X58" s="766">
        <f t="shared" si="2"/>
        <v>2899.9564899999896</v>
      </c>
      <c r="Y58" s="766">
        <f t="shared" si="2"/>
        <v>2899.9564899999896</v>
      </c>
      <c r="Z58" s="766">
        <f t="shared" si="2"/>
        <v>2899.9564899999896</v>
      </c>
      <c r="AA58" s="766">
        <f t="shared" si="2"/>
        <v>2899.9564899999896</v>
      </c>
      <c r="AB58" s="766">
        <f t="shared" si="2"/>
        <v>2899.9564899999896</v>
      </c>
      <c r="AC58" s="766">
        <f t="shared" si="2"/>
        <v>2899.9564899999896</v>
      </c>
      <c r="AD58" s="766">
        <f t="shared" si="2"/>
        <v>2899.9564899999896</v>
      </c>
      <c r="AE58" s="766">
        <f t="shared" si="2"/>
        <v>2899.9564899999896</v>
      </c>
    </row>
    <row r="59" spans="1:31">
      <c r="B59" s="760" t="s">
        <v>2548</v>
      </c>
      <c r="C59" s="766">
        <f t="shared" si="2"/>
        <v>0</v>
      </c>
      <c r="D59" s="766">
        <f t="shared" si="2"/>
        <v>-389.19415000000697</v>
      </c>
      <c r="E59" s="766">
        <f t="shared" si="2"/>
        <v>-745.48721999998088</v>
      </c>
      <c r="F59" s="766">
        <f t="shared" si="2"/>
        <v>4112.7265600000046</v>
      </c>
      <c r="G59" s="766">
        <f t="shared" si="2"/>
        <v>3337.1313400000081</v>
      </c>
      <c r="H59" s="766">
        <f t="shared" si="2"/>
        <v>3296.9265699999978</v>
      </c>
      <c r="I59" s="766">
        <f t="shared" si="2"/>
        <v>7857.9539700000032</v>
      </c>
      <c r="J59" s="766">
        <f t="shared" si="2"/>
        <v>7857.9539699999987</v>
      </c>
      <c r="K59" s="766">
        <f t="shared" si="2"/>
        <v>7857.9539699999987</v>
      </c>
      <c r="L59" s="766">
        <f t="shared" si="2"/>
        <v>7857.9539699999987</v>
      </c>
      <c r="M59" s="766">
        <f t="shared" si="2"/>
        <v>7857.9539699999987</v>
      </c>
      <c r="N59" s="766">
        <f t="shared" si="2"/>
        <v>7857.9539699999987</v>
      </c>
      <c r="O59" s="766">
        <f t="shared" si="2"/>
        <v>7857.9539699999987</v>
      </c>
      <c r="P59" s="766">
        <f t="shared" si="2"/>
        <v>7857.9539699999987</v>
      </c>
      <c r="Q59" s="766">
        <f t="shared" si="2"/>
        <v>7857.9539699999987</v>
      </c>
      <c r="R59" s="766">
        <f t="shared" si="2"/>
        <v>7857.9539699999987</v>
      </c>
      <c r="S59" s="766">
        <f t="shared" si="2"/>
        <v>7857.9539699999987</v>
      </c>
      <c r="T59" s="766">
        <f t="shared" si="2"/>
        <v>7857.9539699999987</v>
      </c>
      <c r="U59" s="766">
        <f t="shared" si="2"/>
        <v>7857.9539699999987</v>
      </c>
      <c r="V59" s="766">
        <f t="shared" si="2"/>
        <v>7857.9539699999987</v>
      </c>
      <c r="W59" s="766">
        <f t="shared" si="2"/>
        <v>7857.9539699999987</v>
      </c>
      <c r="X59" s="766">
        <f t="shared" si="2"/>
        <v>7857.9539699999987</v>
      </c>
      <c r="Y59" s="766">
        <f t="shared" si="2"/>
        <v>7857.9539699999987</v>
      </c>
      <c r="Z59" s="766">
        <f t="shared" si="2"/>
        <v>7857.9539699999987</v>
      </c>
      <c r="AA59" s="766">
        <f t="shared" si="2"/>
        <v>7857.9539699999987</v>
      </c>
      <c r="AB59" s="766">
        <f t="shared" si="2"/>
        <v>7857.9539699999987</v>
      </c>
      <c r="AC59" s="766">
        <f t="shared" si="2"/>
        <v>7857.9539699999987</v>
      </c>
      <c r="AD59" s="766">
        <f t="shared" si="2"/>
        <v>7857.9539699999987</v>
      </c>
      <c r="AE59" s="766">
        <f t="shared" si="2"/>
        <v>7857.9539699999987</v>
      </c>
    </row>
    <row r="60" spans="1:31">
      <c r="B60" s="760" t="s">
        <v>2549</v>
      </c>
      <c r="C60" s="766">
        <f t="shared" si="2"/>
        <v>0</v>
      </c>
      <c r="D60" s="766">
        <f t="shared" si="2"/>
        <v>-327.18566000001135</v>
      </c>
      <c r="E60" s="766">
        <f t="shared" si="2"/>
        <v>-626.23449000001176</v>
      </c>
      <c r="F60" s="766">
        <f t="shared" si="2"/>
        <v>-810.74140000000989</v>
      </c>
      <c r="G60" s="766">
        <f t="shared" si="2"/>
        <v>-1133.2613300000107</v>
      </c>
      <c r="H60" s="766">
        <f t="shared" si="2"/>
        <v>-1439.6989700000133</v>
      </c>
      <c r="I60" s="766">
        <f t="shared" si="2"/>
        <v>-1551.0007400000072</v>
      </c>
      <c r="J60" s="766">
        <f t="shared" si="2"/>
        <v>-1551.00074</v>
      </c>
      <c r="K60" s="766">
        <f t="shared" si="2"/>
        <v>-1551.00074</v>
      </c>
      <c r="L60" s="766">
        <f t="shared" si="2"/>
        <v>-1551.00074</v>
      </c>
      <c r="M60" s="766">
        <f t="shared" si="2"/>
        <v>-1551.00074</v>
      </c>
      <c r="N60" s="766">
        <f t="shared" si="2"/>
        <v>-1551.00074</v>
      </c>
      <c r="O60" s="766">
        <f t="shared" si="2"/>
        <v>-1551.00074</v>
      </c>
      <c r="P60" s="766">
        <f t="shared" si="2"/>
        <v>-1551.00074</v>
      </c>
      <c r="Q60" s="766">
        <f t="shared" si="2"/>
        <v>-1551.00074</v>
      </c>
      <c r="R60" s="766">
        <f t="shared" si="2"/>
        <v>-1551.00074</v>
      </c>
      <c r="S60" s="766">
        <f t="shared" si="2"/>
        <v>-1551.00074</v>
      </c>
      <c r="T60" s="766">
        <f t="shared" si="2"/>
        <v>-1551.00074</v>
      </c>
      <c r="U60" s="766">
        <f t="shared" si="2"/>
        <v>-1551.00074</v>
      </c>
      <c r="V60" s="766">
        <f t="shared" si="2"/>
        <v>-1551.00074</v>
      </c>
      <c r="W60" s="766">
        <f t="shared" si="2"/>
        <v>-1551.00074</v>
      </c>
      <c r="X60" s="766">
        <f t="shared" si="2"/>
        <v>-1551.00074</v>
      </c>
      <c r="Y60" s="766">
        <f t="shared" si="2"/>
        <v>-1551.00074</v>
      </c>
      <c r="Z60" s="766">
        <f t="shared" si="2"/>
        <v>-1551.00074</v>
      </c>
      <c r="AA60" s="766">
        <f t="shared" si="2"/>
        <v>-1551.00074</v>
      </c>
      <c r="AB60" s="766">
        <f t="shared" si="2"/>
        <v>-1551.00074</v>
      </c>
      <c r="AC60" s="766">
        <f t="shared" si="2"/>
        <v>-1551.00074</v>
      </c>
      <c r="AD60" s="766">
        <f t="shared" si="2"/>
        <v>-1551.00074</v>
      </c>
      <c r="AE60" s="766">
        <f t="shared" si="2"/>
        <v>-1551.00074</v>
      </c>
    </row>
    <row r="61" spans="1:31">
      <c r="B61" s="757" t="s">
        <v>2550</v>
      </c>
      <c r="C61" s="766">
        <f t="shared" si="2"/>
        <v>264.2057199999997</v>
      </c>
      <c r="D61" s="766">
        <f t="shared" si="2"/>
        <v>135.48901000000001</v>
      </c>
      <c r="E61" s="766">
        <f t="shared" si="2"/>
        <v>382.51108000000022</v>
      </c>
      <c r="F61" s="766">
        <f t="shared" si="2"/>
        <v>330.70532999999978</v>
      </c>
      <c r="G61" s="766">
        <f t="shared" si="2"/>
        <v>278.39055999999982</v>
      </c>
      <c r="H61" s="766">
        <f t="shared" si="2"/>
        <v>429.09561000000008</v>
      </c>
      <c r="I61" s="766">
        <f t="shared" si="2"/>
        <v>336.2984399999998</v>
      </c>
      <c r="J61" s="766">
        <f t="shared" si="2"/>
        <v>336.29844000000003</v>
      </c>
      <c r="K61" s="766">
        <f t="shared" si="2"/>
        <v>336.29844000000003</v>
      </c>
      <c r="L61" s="766">
        <f t="shared" si="2"/>
        <v>336.29844000000003</v>
      </c>
      <c r="M61" s="766">
        <f t="shared" si="2"/>
        <v>336.29844000000003</v>
      </c>
      <c r="N61" s="766">
        <f t="shared" si="2"/>
        <v>336.29844000000003</v>
      </c>
      <c r="O61" s="766">
        <f t="shared" si="2"/>
        <v>336.29844000000003</v>
      </c>
      <c r="P61" s="766">
        <f t="shared" si="2"/>
        <v>336.29844000000003</v>
      </c>
      <c r="Q61" s="766">
        <f t="shared" si="2"/>
        <v>336.29844000000003</v>
      </c>
      <c r="R61" s="766">
        <f t="shared" si="2"/>
        <v>336.29844000000003</v>
      </c>
      <c r="S61" s="766">
        <f t="shared" si="2"/>
        <v>336.29844000000003</v>
      </c>
      <c r="T61" s="766">
        <f t="shared" si="2"/>
        <v>336.29844000000003</v>
      </c>
      <c r="U61" s="766">
        <f t="shared" si="2"/>
        <v>336.29844000000003</v>
      </c>
      <c r="V61" s="766">
        <f t="shared" si="2"/>
        <v>336.29844000000003</v>
      </c>
      <c r="W61" s="766">
        <f t="shared" si="2"/>
        <v>336.29844000000003</v>
      </c>
      <c r="X61" s="766">
        <f t="shared" si="2"/>
        <v>336.29844000000003</v>
      </c>
      <c r="Y61" s="766">
        <f t="shared" si="2"/>
        <v>336.29844000000003</v>
      </c>
      <c r="Z61" s="766">
        <f t="shared" si="2"/>
        <v>336.29844000000003</v>
      </c>
      <c r="AA61" s="766">
        <f t="shared" si="2"/>
        <v>336.29844000000003</v>
      </c>
      <c r="AB61" s="766">
        <f t="shared" si="2"/>
        <v>336.29844000000003</v>
      </c>
      <c r="AC61" s="766">
        <f t="shared" si="2"/>
        <v>336.29844000000003</v>
      </c>
      <c r="AD61" s="766">
        <f t="shared" si="2"/>
        <v>336.29844000000003</v>
      </c>
      <c r="AE61" s="766">
        <f t="shared" si="2"/>
        <v>336.29844000000003</v>
      </c>
    </row>
    <row r="62" spans="1:31">
      <c r="B62" s="757" t="s">
        <v>2551</v>
      </c>
      <c r="C62" s="766">
        <f t="shared" si="2"/>
        <v>4534.0148300000001</v>
      </c>
      <c r="D62" s="766">
        <f t="shared" si="2"/>
        <v>4769.1483200000002</v>
      </c>
      <c r="E62" s="766">
        <f t="shared" si="2"/>
        <v>4916.1280199999992</v>
      </c>
      <c r="F62" s="766">
        <f t="shared" si="2"/>
        <v>5150.3629299999993</v>
      </c>
      <c r="G62" s="766">
        <f t="shared" si="2"/>
        <v>5416.2797799999998</v>
      </c>
      <c r="H62" s="766">
        <f t="shared" si="2"/>
        <v>5620.2104900000004</v>
      </c>
      <c r="I62" s="766">
        <f t="shared" si="2"/>
        <v>5728.5309800000005</v>
      </c>
      <c r="J62" s="766">
        <f t="shared" si="2"/>
        <v>5936.3037460147298</v>
      </c>
      <c r="K62" s="766">
        <f t="shared" si="2"/>
        <v>6142.0070320294699</v>
      </c>
      <c r="L62" s="766">
        <f t="shared" si="2"/>
        <v>6294.9700090081296</v>
      </c>
      <c r="M62" s="766">
        <f t="shared" si="2"/>
        <v>6371.4530236789496</v>
      </c>
      <c r="N62" s="766">
        <f t="shared" si="2"/>
        <v>6510.1160194100303</v>
      </c>
      <c r="O62" s="766">
        <f t="shared" si="2"/>
        <v>6647.6742854247595</v>
      </c>
      <c r="P62" s="766">
        <f t="shared" si="2"/>
        <v>6861.7576953806501</v>
      </c>
      <c r="Q62" s="766">
        <f t="shared" si="2"/>
        <v>10706.1361141708</v>
      </c>
      <c r="R62" s="766">
        <f t="shared" si="2"/>
        <v>9774.0956837434605</v>
      </c>
      <c r="S62" s="766">
        <f t="shared" si="2"/>
        <v>6583.3669797376897</v>
      </c>
      <c r="T62" s="766">
        <f t="shared" si="2"/>
        <v>5900.3877410576897</v>
      </c>
      <c r="U62" s="766">
        <f t="shared" si="2"/>
        <v>6047.92480078876</v>
      </c>
      <c r="V62" s="766">
        <f t="shared" si="2"/>
        <v>6209.8762318510899</v>
      </c>
      <c r="W62" s="766">
        <f t="shared" si="2"/>
        <v>6378.5989192922598</v>
      </c>
      <c r="X62" s="766">
        <f t="shared" si="2"/>
        <v>6506.8674892093604</v>
      </c>
      <c r="Y62" s="766">
        <f t="shared" si="2"/>
        <v>6637.7365391168196</v>
      </c>
      <c r="Z62" s="766">
        <f t="shared" si="2"/>
        <v>6825.1128710478997</v>
      </c>
      <c r="AA62" s="766">
        <f t="shared" si="2"/>
        <v>6968.0420874626298</v>
      </c>
      <c r="AB62" s="766">
        <f t="shared" si="2"/>
        <v>7191.2590965711397</v>
      </c>
      <c r="AC62" s="766">
        <f t="shared" si="2"/>
        <v>7288.3484375198104</v>
      </c>
      <c r="AD62" s="766">
        <f t="shared" si="2"/>
        <v>3208.5855477844202</v>
      </c>
      <c r="AE62" s="766">
        <f t="shared" si="2"/>
        <v>2228.3220499260701</v>
      </c>
    </row>
    <row r="63" spans="1:31">
      <c r="B63" s="757" t="s">
        <v>1799</v>
      </c>
      <c r="C63" s="766">
        <f t="shared" si="2"/>
        <v>753.30594999999994</v>
      </c>
      <c r="D63" s="766">
        <f t="shared" si="2"/>
        <v>737.93236000000002</v>
      </c>
      <c r="E63" s="766">
        <f t="shared" si="2"/>
        <v>722.55876999999998</v>
      </c>
      <c r="F63" s="766">
        <f t="shared" si="2"/>
        <v>707.18517999999995</v>
      </c>
      <c r="G63" s="766">
        <f t="shared" si="2"/>
        <v>691.81159000000002</v>
      </c>
      <c r="H63" s="766">
        <f t="shared" si="2"/>
        <v>676.43799999999999</v>
      </c>
      <c r="I63" s="766">
        <f t="shared" si="2"/>
        <v>661.06440999999995</v>
      </c>
      <c r="J63" s="766">
        <f t="shared" si="2"/>
        <v>645.66972999999996</v>
      </c>
      <c r="K63" s="766">
        <f t="shared" si="2"/>
        <v>630.27504999999996</v>
      </c>
      <c r="L63" s="766">
        <f t="shared" si="2"/>
        <v>614.88036999999997</v>
      </c>
      <c r="M63" s="766">
        <f t="shared" si="2"/>
        <v>599.48568999999998</v>
      </c>
      <c r="N63" s="766">
        <f t="shared" si="2"/>
        <v>584.09100999999998</v>
      </c>
      <c r="O63" s="766">
        <f t="shared" si="2"/>
        <v>568.69632999999999</v>
      </c>
      <c r="P63" s="766">
        <f t="shared" si="2"/>
        <v>553.30165</v>
      </c>
      <c r="Q63" s="766">
        <f t="shared" si="2"/>
        <v>537.90697</v>
      </c>
      <c r="R63" s="766">
        <f t="shared" si="2"/>
        <v>522.51229000000001</v>
      </c>
      <c r="S63" s="766">
        <f t="shared" si="2"/>
        <v>507.11761000000001</v>
      </c>
      <c r="T63" s="766">
        <f t="shared" si="2"/>
        <v>491.72293000000002</v>
      </c>
      <c r="U63" s="766">
        <f t="shared" si="2"/>
        <v>476.32825000000003</v>
      </c>
      <c r="V63" s="766">
        <f t="shared" si="2"/>
        <v>460.93356999999997</v>
      </c>
      <c r="W63" s="766">
        <f t="shared" si="2"/>
        <v>445.53888999999998</v>
      </c>
      <c r="X63" s="766">
        <f t="shared" si="2"/>
        <v>430.14420999999999</v>
      </c>
      <c r="Y63" s="766">
        <f t="shared" si="2"/>
        <v>414.74952999999999</v>
      </c>
      <c r="Z63" s="766">
        <f t="shared" si="2"/>
        <v>399.35485</v>
      </c>
      <c r="AA63" s="766">
        <f t="shared" si="2"/>
        <v>383.96017000000001</v>
      </c>
      <c r="AB63" s="766">
        <f t="shared" si="2"/>
        <v>368.56549000000001</v>
      </c>
      <c r="AC63" s="766">
        <f t="shared" si="2"/>
        <v>353.17081000000002</v>
      </c>
      <c r="AD63" s="766">
        <f t="shared" si="2"/>
        <v>337.77613000000002</v>
      </c>
      <c r="AE63" s="766">
        <f t="shared" si="2"/>
        <v>322.38144999999997</v>
      </c>
    </row>
    <row r="64" spans="1:31">
      <c r="B64" s="756" t="s">
        <v>2552</v>
      </c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6"/>
      <c r="U64" s="766"/>
      <c r="V64" s="766"/>
      <c r="W64" s="766"/>
      <c r="X64" s="766"/>
      <c r="Y64" s="766"/>
      <c r="Z64" s="766"/>
      <c r="AA64" s="766"/>
      <c r="AB64" s="766"/>
      <c r="AC64" s="766"/>
      <c r="AD64" s="766"/>
      <c r="AE64" s="766"/>
    </row>
    <row r="65" spans="2:31">
      <c r="B65" s="757" t="s">
        <v>2553</v>
      </c>
      <c r="C65" s="766">
        <f t="shared" ref="C65:AE73" si="3">C15+C40</f>
        <v>633.69016999999997</v>
      </c>
      <c r="D65" s="766">
        <f t="shared" si="3"/>
        <v>633.69017000000008</v>
      </c>
      <c r="E65" s="766">
        <f t="shared" si="3"/>
        <v>633.69017000000008</v>
      </c>
      <c r="F65" s="766">
        <f t="shared" si="3"/>
        <v>642.63697000000002</v>
      </c>
      <c r="G65" s="766">
        <f t="shared" si="3"/>
        <v>642.63697000000002</v>
      </c>
      <c r="H65" s="766">
        <f t="shared" si="3"/>
        <v>642.63697000000002</v>
      </c>
      <c r="I65" s="766">
        <f t="shared" si="3"/>
        <v>599.89796999999999</v>
      </c>
      <c r="J65" s="766">
        <f t="shared" si="3"/>
        <v>599.89796999999999</v>
      </c>
      <c r="K65" s="766">
        <f t="shared" si="3"/>
        <v>599.89796999999999</v>
      </c>
      <c r="L65" s="766">
        <f t="shared" si="3"/>
        <v>599.89796999999999</v>
      </c>
      <c r="M65" s="766">
        <f t="shared" si="3"/>
        <v>599.89796999999999</v>
      </c>
      <c r="N65" s="766">
        <f t="shared" si="3"/>
        <v>599.89796999999999</v>
      </c>
      <c r="O65" s="766">
        <f t="shared" si="3"/>
        <v>599.89796999999999</v>
      </c>
      <c r="P65" s="766">
        <f t="shared" si="3"/>
        <v>599.89796999999999</v>
      </c>
      <c r="Q65" s="766">
        <f t="shared" si="3"/>
        <v>599.89796999999999</v>
      </c>
      <c r="R65" s="766">
        <f t="shared" si="3"/>
        <v>599.89796999999999</v>
      </c>
      <c r="S65" s="766">
        <f t="shared" si="3"/>
        <v>599.89796999999999</v>
      </c>
      <c r="T65" s="766">
        <f t="shared" si="3"/>
        <v>599.89796999999999</v>
      </c>
      <c r="U65" s="766">
        <f t="shared" si="3"/>
        <v>599.89796999999999</v>
      </c>
      <c r="V65" s="766">
        <f t="shared" si="3"/>
        <v>599.89796999999999</v>
      </c>
      <c r="W65" s="766">
        <f t="shared" si="3"/>
        <v>599.89796999999999</v>
      </c>
      <c r="X65" s="766">
        <f t="shared" si="3"/>
        <v>599.89796999999999</v>
      </c>
      <c r="Y65" s="766">
        <f t="shared" si="3"/>
        <v>599.89796999999999</v>
      </c>
      <c r="Z65" s="766">
        <f t="shared" si="3"/>
        <v>599.89796999999999</v>
      </c>
      <c r="AA65" s="766">
        <f t="shared" si="3"/>
        <v>599.89796999999999</v>
      </c>
      <c r="AB65" s="766">
        <f t="shared" si="3"/>
        <v>599.89796999999999</v>
      </c>
      <c r="AC65" s="766">
        <f t="shared" si="3"/>
        <v>599.89796999999999</v>
      </c>
      <c r="AD65" s="766">
        <f t="shared" si="3"/>
        <v>599.89796999999999</v>
      </c>
      <c r="AE65" s="766">
        <f t="shared" si="3"/>
        <v>599.89796999999999</v>
      </c>
    </row>
    <row r="66" spans="2:31">
      <c r="B66" s="757" t="s">
        <v>2554</v>
      </c>
      <c r="C66" s="766">
        <f t="shared" si="3"/>
        <v>3383.7060600000004</v>
      </c>
      <c r="D66" s="766">
        <f t="shared" si="3"/>
        <v>3383.70606</v>
      </c>
      <c r="E66" s="766">
        <f t="shared" si="3"/>
        <v>3383.70606</v>
      </c>
      <c r="F66" s="766">
        <f t="shared" si="3"/>
        <v>2472.7939900000001</v>
      </c>
      <c r="G66" s="766">
        <f t="shared" si="3"/>
        <v>2472.7939900000001</v>
      </c>
      <c r="H66" s="766">
        <f t="shared" si="3"/>
        <v>2472.7939900000001</v>
      </c>
      <c r="I66" s="766">
        <f t="shared" si="3"/>
        <v>2389.7899900000002</v>
      </c>
      <c r="J66" s="766">
        <f t="shared" si="3"/>
        <v>2389.7899900000002</v>
      </c>
      <c r="K66" s="766">
        <f t="shared" si="3"/>
        <v>2389.7899900000002</v>
      </c>
      <c r="L66" s="766">
        <f t="shared" si="3"/>
        <v>2389.7899900000002</v>
      </c>
      <c r="M66" s="766">
        <f t="shared" si="3"/>
        <v>2389.7899900000002</v>
      </c>
      <c r="N66" s="766">
        <f t="shared" si="3"/>
        <v>2389.7899900000002</v>
      </c>
      <c r="O66" s="766">
        <f t="shared" si="3"/>
        <v>2389.7899900000002</v>
      </c>
      <c r="P66" s="766">
        <f t="shared" si="3"/>
        <v>2389.7899900000002</v>
      </c>
      <c r="Q66" s="766">
        <f t="shared" si="3"/>
        <v>2389.7899900000002</v>
      </c>
      <c r="R66" s="766">
        <f t="shared" si="3"/>
        <v>2389.7899900000002</v>
      </c>
      <c r="S66" s="766">
        <f t="shared" si="3"/>
        <v>2389.7899900000002</v>
      </c>
      <c r="T66" s="766">
        <f t="shared" si="3"/>
        <v>2389.7899900000002</v>
      </c>
      <c r="U66" s="766">
        <f t="shared" si="3"/>
        <v>2389.7899900000002</v>
      </c>
      <c r="V66" s="766">
        <f t="shared" si="3"/>
        <v>2389.7899900000002</v>
      </c>
      <c r="W66" s="766">
        <f t="shared" si="3"/>
        <v>2389.7899900000002</v>
      </c>
      <c r="X66" s="766">
        <f t="shared" si="3"/>
        <v>2389.7899900000002</v>
      </c>
      <c r="Y66" s="766">
        <f t="shared" si="3"/>
        <v>2389.7899900000002</v>
      </c>
      <c r="Z66" s="766">
        <f t="shared" si="3"/>
        <v>2389.7899900000002</v>
      </c>
      <c r="AA66" s="766">
        <f t="shared" si="3"/>
        <v>2389.7899900000002</v>
      </c>
      <c r="AB66" s="766">
        <f t="shared" si="3"/>
        <v>2389.7899900000002</v>
      </c>
      <c r="AC66" s="766">
        <f t="shared" si="3"/>
        <v>2389.7899900000002</v>
      </c>
      <c r="AD66" s="766">
        <f t="shared" si="3"/>
        <v>2389.7899900000002</v>
      </c>
      <c r="AE66" s="766">
        <f t="shared" si="3"/>
        <v>2389.7899900000002</v>
      </c>
    </row>
    <row r="67" spans="2:31">
      <c r="B67" s="757" t="s">
        <v>2555</v>
      </c>
      <c r="C67" s="766">
        <f t="shared" si="3"/>
        <v>3942.9009999999998</v>
      </c>
      <c r="D67" s="766">
        <f t="shared" si="3"/>
        <v>3942.9009999999998</v>
      </c>
      <c r="E67" s="766">
        <f t="shared" si="3"/>
        <v>3942.9009999999998</v>
      </c>
      <c r="F67" s="766">
        <f t="shared" si="3"/>
        <v>3963.288</v>
      </c>
      <c r="G67" s="766">
        <f t="shared" si="3"/>
        <v>3963.288</v>
      </c>
      <c r="H67" s="766">
        <f t="shared" si="3"/>
        <v>3963.288</v>
      </c>
      <c r="I67" s="766">
        <f t="shared" si="3"/>
        <v>3963.288</v>
      </c>
      <c r="J67" s="766">
        <f t="shared" si="3"/>
        <v>3989.7835833333302</v>
      </c>
      <c r="K67" s="766">
        <f t="shared" si="3"/>
        <v>4016.2791666666599</v>
      </c>
      <c r="L67" s="766">
        <f t="shared" si="3"/>
        <v>4042.77475</v>
      </c>
      <c r="M67" s="766">
        <f t="shared" si="3"/>
        <v>4069.2703333333302</v>
      </c>
      <c r="N67" s="766">
        <f t="shared" si="3"/>
        <v>4095.7659166666599</v>
      </c>
      <c r="O67" s="766">
        <f t="shared" si="3"/>
        <v>4122.2614999999996</v>
      </c>
      <c r="P67" s="766">
        <f t="shared" si="3"/>
        <v>4122.2614999999996</v>
      </c>
      <c r="Q67" s="766">
        <f t="shared" si="3"/>
        <v>4122.2614999999996</v>
      </c>
      <c r="R67" s="766">
        <f t="shared" si="3"/>
        <v>4122.2614999999996</v>
      </c>
      <c r="S67" s="766">
        <f t="shared" si="3"/>
        <v>4122.2614999999996</v>
      </c>
      <c r="T67" s="766">
        <f t="shared" si="3"/>
        <v>4122.2614999999996</v>
      </c>
      <c r="U67" s="766">
        <f t="shared" si="3"/>
        <v>4122.2614999999996</v>
      </c>
      <c r="V67" s="766">
        <f t="shared" si="3"/>
        <v>4122.2614999999996</v>
      </c>
      <c r="W67" s="766">
        <f t="shared" si="3"/>
        <v>4122.2614999999996</v>
      </c>
      <c r="X67" s="766">
        <f t="shared" si="3"/>
        <v>4122.2614999999996</v>
      </c>
      <c r="Y67" s="766">
        <f t="shared" si="3"/>
        <v>4122.2614999999996</v>
      </c>
      <c r="Z67" s="766">
        <f t="shared" si="3"/>
        <v>4122.2614999999996</v>
      </c>
      <c r="AA67" s="766">
        <f t="shared" si="3"/>
        <v>4122.2614999999996</v>
      </c>
      <c r="AB67" s="766">
        <f t="shared" si="3"/>
        <v>4122.2614999999996</v>
      </c>
      <c r="AC67" s="766">
        <f t="shared" si="3"/>
        <v>4122.2614999999996</v>
      </c>
      <c r="AD67" s="766">
        <f t="shared" si="3"/>
        <v>4122.2614999999996</v>
      </c>
      <c r="AE67" s="766">
        <f t="shared" si="3"/>
        <v>4122.2614999999996</v>
      </c>
    </row>
    <row r="68" spans="2:31">
      <c r="B68" s="757" t="s">
        <v>2556</v>
      </c>
      <c r="C68" s="766">
        <f t="shared" si="3"/>
        <v>45332.978319999995</v>
      </c>
      <c r="D68" s="766">
        <f t="shared" si="3"/>
        <v>-8667.0216799999998</v>
      </c>
      <c r="E68" s="766">
        <f t="shared" si="3"/>
        <v>504.27032000000003</v>
      </c>
      <c r="F68" s="766">
        <f t="shared" si="3"/>
        <v>504.27032000000003</v>
      </c>
      <c r="G68" s="766">
        <f t="shared" si="3"/>
        <v>504.27032000000003</v>
      </c>
      <c r="H68" s="766">
        <f t="shared" si="3"/>
        <v>504.27032000000003</v>
      </c>
      <c r="I68" s="766">
        <f t="shared" si="3"/>
        <v>0</v>
      </c>
      <c r="J68" s="766">
        <f t="shared" si="3"/>
        <v>0</v>
      </c>
      <c r="K68" s="766">
        <f t="shared" si="3"/>
        <v>0</v>
      </c>
      <c r="L68" s="766">
        <f t="shared" si="3"/>
        <v>0</v>
      </c>
      <c r="M68" s="766">
        <f t="shared" si="3"/>
        <v>0</v>
      </c>
      <c r="N68" s="766">
        <f t="shared" si="3"/>
        <v>0</v>
      </c>
      <c r="O68" s="766">
        <f t="shared" si="3"/>
        <v>0</v>
      </c>
      <c r="P68" s="766">
        <f t="shared" si="3"/>
        <v>0</v>
      </c>
      <c r="Q68" s="766">
        <f t="shared" si="3"/>
        <v>0</v>
      </c>
      <c r="R68" s="766">
        <f t="shared" si="3"/>
        <v>0</v>
      </c>
      <c r="S68" s="766">
        <f t="shared" si="3"/>
        <v>0</v>
      </c>
      <c r="T68" s="766">
        <f t="shared" si="3"/>
        <v>0</v>
      </c>
      <c r="U68" s="766">
        <f t="shared" si="3"/>
        <v>0</v>
      </c>
      <c r="V68" s="766">
        <f t="shared" si="3"/>
        <v>0</v>
      </c>
      <c r="W68" s="766">
        <f t="shared" si="3"/>
        <v>0</v>
      </c>
      <c r="X68" s="766">
        <f t="shared" si="3"/>
        <v>0</v>
      </c>
      <c r="Y68" s="766">
        <f t="shared" si="3"/>
        <v>0</v>
      </c>
      <c r="Z68" s="766">
        <f t="shared" si="3"/>
        <v>0</v>
      </c>
      <c r="AA68" s="766">
        <f t="shared" si="3"/>
        <v>0</v>
      </c>
      <c r="AB68" s="766">
        <f t="shared" si="3"/>
        <v>0</v>
      </c>
      <c r="AC68" s="766">
        <f t="shared" si="3"/>
        <v>0</v>
      </c>
      <c r="AD68" s="766">
        <f t="shared" si="3"/>
        <v>0</v>
      </c>
      <c r="AE68" s="766">
        <f t="shared" si="3"/>
        <v>0</v>
      </c>
    </row>
    <row r="69" spans="2:31">
      <c r="B69" s="757" t="s">
        <v>2557</v>
      </c>
      <c r="C69" s="766">
        <f t="shared" si="3"/>
        <v>71495.438959999999</v>
      </c>
      <c r="D69" s="766">
        <f t="shared" si="3"/>
        <v>71444.6679</v>
      </c>
      <c r="E69" s="766">
        <f t="shared" si="3"/>
        <v>70203.386129999999</v>
      </c>
      <c r="F69" s="766">
        <f t="shared" si="3"/>
        <v>70151.089489999998</v>
      </c>
      <c r="G69" s="766">
        <f t="shared" si="3"/>
        <v>69814.664230000009</v>
      </c>
      <c r="H69" s="766">
        <f t="shared" si="3"/>
        <v>69760.722869999998</v>
      </c>
      <c r="I69" s="766">
        <f t="shared" si="3"/>
        <v>65573.232380000001</v>
      </c>
      <c r="J69" s="766">
        <f t="shared" si="3"/>
        <v>65820.250379999998</v>
      </c>
      <c r="K69" s="766">
        <f t="shared" si="3"/>
        <v>66067.268379999994</v>
      </c>
      <c r="L69" s="766">
        <f t="shared" si="3"/>
        <v>64728.399629999898</v>
      </c>
      <c r="M69" s="766">
        <f t="shared" si="3"/>
        <v>64975.417629999894</v>
      </c>
      <c r="N69" s="766">
        <f t="shared" si="3"/>
        <v>65222.435629999898</v>
      </c>
      <c r="O69" s="766">
        <f t="shared" si="3"/>
        <v>63883.566879999897</v>
      </c>
      <c r="P69" s="766">
        <f t="shared" si="3"/>
        <v>64133.602296666599</v>
      </c>
      <c r="Q69" s="766">
        <f t="shared" si="3"/>
        <v>64383.637713333301</v>
      </c>
      <c r="R69" s="766">
        <f t="shared" si="3"/>
        <v>63003.425129999901</v>
      </c>
      <c r="S69" s="766">
        <f t="shared" si="3"/>
        <v>63253.460546666611</v>
      </c>
      <c r="T69" s="766">
        <f t="shared" si="3"/>
        <v>63503.495963333298</v>
      </c>
      <c r="U69" s="766">
        <f t="shared" si="3"/>
        <v>62123.283379999892</v>
      </c>
      <c r="V69" s="766">
        <f t="shared" si="3"/>
        <v>62373.318796666601</v>
      </c>
      <c r="W69" s="766">
        <f t="shared" si="3"/>
        <v>62623.35421333331</v>
      </c>
      <c r="X69" s="766">
        <f t="shared" si="3"/>
        <v>61243.141629999896</v>
      </c>
      <c r="Y69" s="766">
        <f t="shared" si="3"/>
        <v>61493.177046666598</v>
      </c>
      <c r="Z69" s="766">
        <f t="shared" si="3"/>
        <v>61743.212463333301</v>
      </c>
      <c r="AA69" s="766">
        <f t="shared" si="3"/>
        <v>60362.999879999901</v>
      </c>
      <c r="AB69" s="766">
        <f t="shared" si="3"/>
        <v>60606.426796666601</v>
      </c>
      <c r="AC69" s="766">
        <f t="shared" si="3"/>
        <v>60849.853713333301</v>
      </c>
      <c r="AD69" s="766">
        <f t="shared" si="3"/>
        <v>59441.591629999901</v>
      </c>
      <c r="AE69" s="766">
        <f t="shared" si="3"/>
        <v>59685.018546666601</v>
      </c>
    </row>
    <row r="70" spans="2:31">
      <c r="B70" s="757" t="s">
        <v>2558</v>
      </c>
      <c r="C70" s="766">
        <f t="shared" si="3"/>
        <v>4638.8567300000004</v>
      </c>
      <c r="D70" s="766">
        <f t="shared" si="3"/>
        <v>3799.8557700000001</v>
      </c>
      <c r="E70" s="766">
        <f t="shared" si="3"/>
        <v>3814.9664500000003</v>
      </c>
      <c r="F70" s="766">
        <f t="shared" si="3"/>
        <v>4303.1109799999995</v>
      </c>
      <c r="G70" s="766">
        <f t="shared" si="3"/>
        <v>5436.5006199999998</v>
      </c>
      <c r="H70" s="766">
        <f t="shared" si="3"/>
        <v>5065.75101</v>
      </c>
      <c r="I70" s="766">
        <f t="shared" si="3"/>
        <v>5166.43804</v>
      </c>
      <c r="J70" s="766">
        <f t="shared" si="3"/>
        <v>5135.7523825000007</v>
      </c>
      <c r="K70" s="766">
        <f t="shared" si="3"/>
        <v>5105.0667249999997</v>
      </c>
      <c r="L70" s="766">
        <f t="shared" si="3"/>
        <v>5189.0093335000001</v>
      </c>
      <c r="M70" s="766">
        <f t="shared" si="3"/>
        <v>5157.0061075000003</v>
      </c>
      <c r="N70" s="766">
        <f t="shared" si="3"/>
        <v>5125.0028814999996</v>
      </c>
      <c r="O70" s="766">
        <f t="shared" si="3"/>
        <v>5092.9996554999998</v>
      </c>
      <c r="P70" s="766">
        <f t="shared" si="3"/>
        <v>5060.9964295</v>
      </c>
      <c r="Q70" s="766">
        <f t="shared" si="3"/>
        <v>5028.9932035000002</v>
      </c>
      <c r="R70" s="766">
        <f t="shared" si="3"/>
        <v>4996.9899775000004</v>
      </c>
      <c r="S70" s="766">
        <f t="shared" si="3"/>
        <v>4964.9867514999996</v>
      </c>
      <c r="T70" s="766">
        <f t="shared" si="3"/>
        <v>4932.9835254999998</v>
      </c>
      <c r="U70" s="766">
        <f t="shared" si="3"/>
        <v>4900.9802995</v>
      </c>
      <c r="V70" s="766">
        <f t="shared" si="3"/>
        <v>4868.9770735000002</v>
      </c>
      <c r="W70" s="766">
        <f t="shared" si="3"/>
        <v>4836.9738475000004</v>
      </c>
      <c r="X70" s="766">
        <f t="shared" si="3"/>
        <v>4804.9706214999997</v>
      </c>
      <c r="Y70" s="766">
        <f t="shared" si="3"/>
        <v>4772.9673954999998</v>
      </c>
      <c r="Z70" s="766">
        <f t="shared" si="3"/>
        <v>4740.9641695</v>
      </c>
      <c r="AA70" s="766">
        <f t="shared" si="3"/>
        <v>4708.9609435000002</v>
      </c>
      <c r="AB70" s="766">
        <f t="shared" si="3"/>
        <v>4676.9577175000004</v>
      </c>
      <c r="AC70" s="766">
        <f t="shared" si="3"/>
        <v>4644.9544914999997</v>
      </c>
      <c r="AD70" s="766">
        <f t="shared" si="3"/>
        <v>4612.9512654999999</v>
      </c>
      <c r="AE70" s="766">
        <f t="shared" si="3"/>
        <v>4580.9480395</v>
      </c>
    </row>
    <row r="71" spans="2:31">
      <c r="B71" s="757" t="s">
        <v>2559</v>
      </c>
      <c r="C71" s="766">
        <f t="shared" si="3"/>
        <v>3892.0612299999998</v>
      </c>
      <c r="D71" s="766">
        <f t="shared" si="3"/>
        <v>5906.8708200000001</v>
      </c>
      <c r="E71" s="766">
        <f t="shared" si="3"/>
        <v>6698.3023200000007</v>
      </c>
      <c r="F71" s="766">
        <f t="shared" si="3"/>
        <v>7568.5289300000004</v>
      </c>
      <c r="G71" s="766">
        <f t="shared" si="3"/>
        <v>6693.0474599999998</v>
      </c>
      <c r="H71" s="766">
        <f t="shared" si="3"/>
        <v>3320.1511300000002</v>
      </c>
      <c r="I71" s="766">
        <f t="shared" si="3"/>
        <v>1872.4089300000003</v>
      </c>
      <c r="J71" s="766">
        <f t="shared" si="3"/>
        <v>1872.4089300000001</v>
      </c>
      <c r="K71" s="766">
        <f t="shared" si="3"/>
        <v>1872.4089300000001</v>
      </c>
      <c r="L71" s="766">
        <f t="shared" si="3"/>
        <v>1872.4089300000001</v>
      </c>
      <c r="M71" s="766">
        <f t="shared" si="3"/>
        <v>1872.4089300000001</v>
      </c>
      <c r="N71" s="766">
        <f t="shared" si="3"/>
        <v>1872.4089300000001</v>
      </c>
      <c r="O71" s="766">
        <f t="shared" si="3"/>
        <v>1872.4089300000001</v>
      </c>
      <c r="P71" s="766">
        <f t="shared" si="3"/>
        <v>1872.4089300000001</v>
      </c>
      <c r="Q71" s="766">
        <f t="shared" si="3"/>
        <v>1872.4089300000001</v>
      </c>
      <c r="R71" s="766">
        <f t="shared" si="3"/>
        <v>1872.4089300000001</v>
      </c>
      <c r="S71" s="766">
        <f t="shared" si="3"/>
        <v>1872.4089300000001</v>
      </c>
      <c r="T71" s="766">
        <f t="shared" si="3"/>
        <v>1872.4089300000001</v>
      </c>
      <c r="U71" s="766">
        <f t="shared" si="3"/>
        <v>1872.4089300000001</v>
      </c>
      <c r="V71" s="766">
        <f t="shared" si="3"/>
        <v>1872.4089300000001</v>
      </c>
      <c r="W71" s="766">
        <f t="shared" si="3"/>
        <v>1872.4089300000001</v>
      </c>
      <c r="X71" s="766">
        <f t="shared" si="3"/>
        <v>1872.4089300000001</v>
      </c>
      <c r="Y71" s="766">
        <f t="shared" si="3"/>
        <v>1872.4089300000001</v>
      </c>
      <c r="Z71" s="766">
        <f t="shared" si="3"/>
        <v>1872.4089300000001</v>
      </c>
      <c r="AA71" s="766">
        <f t="shared" si="3"/>
        <v>1872.4089300000001</v>
      </c>
      <c r="AB71" s="766">
        <f t="shared" si="3"/>
        <v>1872.4089300000001</v>
      </c>
      <c r="AC71" s="766">
        <f t="shared" si="3"/>
        <v>1872.4089300000001</v>
      </c>
      <c r="AD71" s="766">
        <f t="shared" si="3"/>
        <v>1872.4089300000001</v>
      </c>
      <c r="AE71" s="766">
        <f t="shared" si="3"/>
        <v>1872.4089300000001</v>
      </c>
    </row>
    <row r="72" spans="2:31">
      <c r="B72" s="757" t="s">
        <v>2560</v>
      </c>
      <c r="C72" s="766">
        <f t="shared" si="3"/>
        <v>4473.4181399999998</v>
      </c>
      <c r="D72" s="766">
        <f t="shared" si="3"/>
        <v>4472.8710099999998</v>
      </c>
      <c r="E72" s="766">
        <f t="shared" si="3"/>
        <v>4478.0767100000003</v>
      </c>
      <c r="F72" s="766">
        <f t="shared" si="3"/>
        <v>3267.6642100000004</v>
      </c>
      <c r="G72" s="766">
        <f t="shared" si="3"/>
        <v>3274.7319899999998</v>
      </c>
      <c r="H72" s="766">
        <f t="shared" si="3"/>
        <v>3273.3373300000003</v>
      </c>
      <c r="I72" s="766">
        <f t="shared" si="3"/>
        <v>3588.2173700000003</v>
      </c>
      <c r="J72" s="766">
        <f t="shared" si="3"/>
        <v>3719.7578619466099</v>
      </c>
      <c r="K72" s="766">
        <f t="shared" si="3"/>
        <v>3863.8957569180702</v>
      </c>
      <c r="L72" s="766">
        <f t="shared" si="3"/>
        <v>3984.0993094062505</v>
      </c>
      <c r="M72" s="766">
        <f t="shared" si="3"/>
        <v>4127.6937735379397</v>
      </c>
      <c r="N72" s="766">
        <f t="shared" si="3"/>
        <v>4255.5885887697495</v>
      </c>
      <c r="O72" s="766">
        <f t="shared" si="3"/>
        <v>4369.4178123024203</v>
      </c>
      <c r="P72" s="766">
        <f t="shared" si="3"/>
        <v>4521.1559134720301</v>
      </c>
      <c r="Q72" s="766">
        <f t="shared" si="3"/>
        <v>4652.3207555319896</v>
      </c>
      <c r="R72" s="766">
        <f t="shared" si="3"/>
        <v>3236.4329858497399</v>
      </c>
      <c r="S72" s="766">
        <f t="shared" si="3"/>
        <v>3376.26728244893</v>
      </c>
      <c r="T72" s="766">
        <f t="shared" si="3"/>
        <v>3528.4287315960801</v>
      </c>
      <c r="U72" s="766">
        <f t="shared" si="3"/>
        <v>3656.18927844159</v>
      </c>
      <c r="V72" s="766">
        <f t="shared" si="3"/>
        <v>3805.8778112923701</v>
      </c>
      <c r="W72" s="766">
        <f t="shared" si="3"/>
        <v>3959.9316940732797</v>
      </c>
      <c r="X72" s="766">
        <f t="shared" si="3"/>
        <v>4099.5523783996296</v>
      </c>
      <c r="Y72" s="766">
        <f t="shared" si="3"/>
        <v>4260.5479471161198</v>
      </c>
      <c r="Z72" s="766">
        <f t="shared" si="3"/>
        <v>4391.9095361495401</v>
      </c>
      <c r="AA72" s="766">
        <f t="shared" si="3"/>
        <v>4522.3084440909797</v>
      </c>
      <c r="AB72" s="766">
        <f t="shared" si="3"/>
        <v>4693.1335841750797</v>
      </c>
      <c r="AC72" s="766">
        <f t="shared" si="3"/>
        <v>4840.6379679563697</v>
      </c>
      <c r="AD72" s="766">
        <f t="shared" si="3"/>
        <v>3297.1010285519601</v>
      </c>
      <c r="AE72" s="766">
        <f t="shared" si="3"/>
        <v>3452.5656656990095</v>
      </c>
    </row>
    <row r="73" spans="2:31">
      <c r="B73" s="757" t="s">
        <v>2561</v>
      </c>
      <c r="C73" s="766">
        <f t="shared" si="3"/>
        <v>5942.0707600000005</v>
      </c>
      <c r="D73" s="766">
        <f t="shared" si="3"/>
        <v>5942.0707600000005</v>
      </c>
      <c r="E73" s="766">
        <f t="shared" si="3"/>
        <v>5942.0707600000005</v>
      </c>
      <c r="F73" s="766">
        <f t="shared" si="3"/>
        <v>6472.3228100000006</v>
      </c>
      <c r="G73" s="766">
        <f t="shared" si="3"/>
        <v>6472.3228099999997</v>
      </c>
      <c r="H73" s="766">
        <f t="shared" si="3"/>
        <v>6472.3228099999997</v>
      </c>
      <c r="I73" s="766">
        <f t="shared" si="3"/>
        <v>6513.54702</v>
      </c>
      <c r="J73" s="766">
        <f t="shared" si="3"/>
        <v>6513.54702</v>
      </c>
      <c r="K73" s="766">
        <f t="shared" si="3"/>
        <v>6513.54702</v>
      </c>
      <c r="L73" s="766">
        <f t="shared" si="3"/>
        <v>6513.54702</v>
      </c>
      <c r="M73" s="766">
        <f t="shared" si="3"/>
        <v>6513.54702</v>
      </c>
      <c r="N73" s="766">
        <f t="shared" si="3"/>
        <v>6513.54702</v>
      </c>
      <c r="O73" s="766">
        <f t="shared" si="3"/>
        <v>6513.54702</v>
      </c>
      <c r="P73" s="766">
        <f t="shared" si="3"/>
        <v>6513.54702</v>
      </c>
      <c r="Q73" s="766">
        <f t="shared" si="3"/>
        <v>6513.54702</v>
      </c>
      <c r="R73" s="766">
        <f t="shared" si="3"/>
        <v>6513.54702</v>
      </c>
      <c r="S73" s="766">
        <f t="shared" si="3"/>
        <v>6513.54702</v>
      </c>
      <c r="T73" s="766">
        <f t="shared" si="3"/>
        <v>6513.54702</v>
      </c>
      <c r="U73" s="766">
        <f t="shared" si="3"/>
        <v>6513.54702</v>
      </c>
      <c r="V73" s="766">
        <f t="shared" si="3"/>
        <v>6513.54702</v>
      </c>
      <c r="W73" s="766">
        <f t="shared" si="3"/>
        <v>6513.54702</v>
      </c>
      <c r="X73" s="766">
        <f t="shared" si="3"/>
        <v>6513.54702</v>
      </c>
      <c r="Y73" s="766">
        <f t="shared" si="3"/>
        <v>6513.54702</v>
      </c>
      <c r="Z73" s="766">
        <f t="shared" ref="Z73:AE73" si="4">Z23+Z48</f>
        <v>6513.54702</v>
      </c>
      <c r="AA73" s="766">
        <f t="shared" si="4"/>
        <v>6513.54702</v>
      </c>
      <c r="AB73" s="766">
        <f t="shared" si="4"/>
        <v>6513.54702</v>
      </c>
      <c r="AC73" s="766">
        <f t="shared" si="4"/>
        <v>6513.54702</v>
      </c>
      <c r="AD73" s="766">
        <f t="shared" si="4"/>
        <v>6513.54702</v>
      </c>
      <c r="AE73" s="766">
        <f t="shared" si="4"/>
        <v>6513.54702</v>
      </c>
    </row>
    <row r="74" spans="2:31">
      <c r="B74" s="757" t="s">
        <v>2562</v>
      </c>
      <c r="C74" s="766">
        <f t="shared" ref="C74:AE77" si="5">C24+C49</f>
        <v>1111.0823399999999</v>
      </c>
      <c r="D74" s="766">
        <f t="shared" si="5"/>
        <v>1111.0823399999999</v>
      </c>
      <c r="E74" s="766">
        <f t="shared" si="5"/>
        <v>1111.0823399999999</v>
      </c>
      <c r="F74" s="766">
        <f t="shared" si="5"/>
        <v>1420.33959</v>
      </c>
      <c r="G74" s="766">
        <f t="shared" si="5"/>
        <v>1111.0823399999999</v>
      </c>
      <c r="H74" s="766">
        <f t="shared" si="5"/>
        <v>1111.0823399999999</v>
      </c>
      <c r="I74" s="766">
        <f t="shared" si="5"/>
        <v>2282.87176</v>
      </c>
      <c r="J74" s="766">
        <f t="shared" si="5"/>
        <v>2282.87176</v>
      </c>
      <c r="K74" s="766">
        <f t="shared" si="5"/>
        <v>2282.87176</v>
      </c>
      <c r="L74" s="766">
        <f t="shared" si="5"/>
        <v>2282.87176</v>
      </c>
      <c r="M74" s="766">
        <f t="shared" si="5"/>
        <v>2282.87176</v>
      </c>
      <c r="N74" s="766">
        <f t="shared" si="5"/>
        <v>2282.87176</v>
      </c>
      <c r="O74" s="766">
        <f t="shared" si="5"/>
        <v>2282.87176</v>
      </c>
      <c r="P74" s="766">
        <f t="shared" si="5"/>
        <v>2282.87176</v>
      </c>
      <c r="Q74" s="766">
        <f t="shared" si="5"/>
        <v>2282.87176</v>
      </c>
      <c r="R74" s="766">
        <f t="shared" si="5"/>
        <v>2282.87176</v>
      </c>
      <c r="S74" s="766">
        <f t="shared" si="5"/>
        <v>2282.87176</v>
      </c>
      <c r="T74" s="766">
        <f t="shared" si="5"/>
        <v>2282.87176</v>
      </c>
      <c r="U74" s="766">
        <f t="shared" si="5"/>
        <v>2282.87176</v>
      </c>
      <c r="V74" s="766">
        <f t="shared" si="5"/>
        <v>2282.87176</v>
      </c>
      <c r="W74" s="766">
        <f t="shared" si="5"/>
        <v>2282.87176</v>
      </c>
      <c r="X74" s="766">
        <f t="shared" si="5"/>
        <v>2282.87176</v>
      </c>
      <c r="Y74" s="766">
        <f t="shared" si="5"/>
        <v>2282.87176</v>
      </c>
      <c r="Z74" s="766">
        <f t="shared" si="5"/>
        <v>2282.87176</v>
      </c>
      <c r="AA74" s="766">
        <f t="shared" si="5"/>
        <v>2282.87176</v>
      </c>
      <c r="AB74" s="766">
        <f t="shared" si="5"/>
        <v>2282.87176</v>
      </c>
      <c r="AC74" s="766">
        <f t="shared" si="5"/>
        <v>2282.87176</v>
      </c>
      <c r="AD74" s="766">
        <f t="shared" si="5"/>
        <v>2282.87176</v>
      </c>
      <c r="AE74" s="766">
        <f t="shared" si="5"/>
        <v>2282.87176</v>
      </c>
    </row>
    <row r="75" spans="2:31">
      <c r="B75" s="757" t="s">
        <v>2563</v>
      </c>
      <c r="C75" s="766">
        <f t="shared" si="5"/>
        <v>7.3008700000000024</v>
      </c>
      <c r="D75" s="766">
        <f t="shared" si="5"/>
        <v>4387.323989999999</v>
      </c>
      <c r="E75" s="766">
        <f t="shared" si="5"/>
        <v>6328.1952299999984</v>
      </c>
      <c r="F75" s="766">
        <f t="shared" si="5"/>
        <v>1099.4707200000003</v>
      </c>
      <c r="G75" s="766">
        <f t="shared" si="5"/>
        <v>510.73230000000001</v>
      </c>
      <c r="H75" s="766">
        <f t="shared" si="5"/>
        <v>1476.5269500000002</v>
      </c>
      <c r="I75" s="766">
        <f t="shared" si="5"/>
        <v>31.681449999999998</v>
      </c>
      <c r="J75" s="766">
        <f t="shared" si="5"/>
        <v>31.681450000000002</v>
      </c>
      <c r="K75" s="766">
        <f t="shared" si="5"/>
        <v>31.681450000000002</v>
      </c>
      <c r="L75" s="766">
        <f t="shared" si="5"/>
        <v>31.681450000000005</v>
      </c>
      <c r="M75" s="766">
        <f t="shared" si="5"/>
        <v>31.681450000000005</v>
      </c>
      <c r="N75" s="766">
        <f t="shared" si="5"/>
        <v>31.681450000000002</v>
      </c>
      <c r="O75" s="766">
        <f t="shared" si="5"/>
        <v>31.681450000000002</v>
      </c>
      <c r="P75" s="766">
        <f t="shared" si="5"/>
        <v>31.681450000000002</v>
      </c>
      <c r="Q75" s="766">
        <f t="shared" si="5"/>
        <v>31.681450000000002</v>
      </c>
      <c r="R75" s="766">
        <f t="shared" si="5"/>
        <v>31.681450000000002</v>
      </c>
      <c r="S75" s="766">
        <f t="shared" si="5"/>
        <v>31.681450000000002</v>
      </c>
      <c r="T75" s="766">
        <f t="shared" si="5"/>
        <v>31.681450000000002</v>
      </c>
      <c r="U75" s="766">
        <f t="shared" si="5"/>
        <v>31.681450000000002</v>
      </c>
      <c r="V75" s="766">
        <f t="shared" si="5"/>
        <v>31.681449999999998</v>
      </c>
      <c r="W75" s="766">
        <f t="shared" si="5"/>
        <v>31.681450000000002</v>
      </c>
      <c r="X75" s="766">
        <f t="shared" si="5"/>
        <v>31.681450000000002</v>
      </c>
      <c r="Y75" s="766">
        <f t="shared" si="5"/>
        <v>31.681450000000002</v>
      </c>
      <c r="Z75" s="766">
        <f t="shared" si="5"/>
        <v>31.681450000000002</v>
      </c>
      <c r="AA75" s="766">
        <f t="shared" si="5"/>
        <v>31.681450000000002</v>
      </c>
      <c r="AB75" s="766">
        <f t="shared" si="5"/>
        <v>31.681450000000005</v>
      </c>
      <c r="AC75" s="766">
        <f t="shared" si="5"/>
        <v>31.681450000000002</v>
      </c>
      <c r="AD75" s="766">
        <f t="shared" si="5"/>
        <v>31.681449999999998</v>
      </c>
      <c r="AE75" s="766">
        <f t="shared" si="5"/>
        <v>31.681450000000002</v>
      </c>
    </row>
    <row r="76" spans="2:31">
      <c r="B76" s="757" t="s">
        <v>2564</v>
      </c>
      <c r="C76" s="766">
        <f t="shared" si="5"/>
        <v>2089.75756</v>
      </c>
      <c r="D76" s="766">
        <f t="shared" si="5"/>
        <v>2084.7274500000003</v>
      </c>
      <c r="E76" s="766">
        <f t="shared" si="5"/>
        <v>2079.5679700000001</v>
      </c>
      <c r="F76" s="766">
        <f t="shared" si="5"/>
        <v>1782.7422200000001</v>
      </c>
      <c r="G76" s="766">
        <f t="shared" si="5"/>
        <v>2048.0174800000004</v>
      </c>
      <c r="H76" s="766">
        <f t="shared" si="5"/>
        <v>2042.9627600000003</v>
      </c>
      <c r="I76" s="766">
        <f t="shared" si="5"/>
        <v>2037.8676200000002</v>
      </c>
      <c r="J76" s="766">
        <f t="shared" si="5"/>
        <v>2037.86762</v>
      </c>
      <c r="K76" s="766">
        <f t="shared" si="5"/>
        <v>2037.86762</v>
      </c>
      <c r="L76" s="766">
        <f t="shared" si="5"/>
        <v>2037.86762</v>
      </c>
      <c r="M76" s="766">
        <f t="shared" si="5"/>
        <v>2037.86762</v>
      </c>
      <c r="N76" s="766">
        <f t="shared" si="5"/>
        <v>2037.86762</v>
      </c>
      <c r="O76" s="766">
        <f t="shared" si="5"/>
        <v>2037.86762</v>
      </c>
      <c r="P76" s="766">
        <f t="shared" si="5"/>
        <v>2037.86762</v>
      </c>
      <c r="Q76" s="766">
        <f t="shared" si="5"/>
        <v>2037.86762</v>
      </c>
      <c r="R76" s="766">
        <f t="shared" si="5"/>
        <v>2037.86762</v>
      </c>
      <c r="S76" s="766">
        <f t="shared" si="5"/>
        <v>2037.86762</v>
      </c>
      <c r="T76" s="766">
        <f t="shared" si="5"/>
        <v>2037.86762</v>
      </c>
      <c r="U76" s="766">
        <f t="shared" si="5"/>
        <v>2037.86762</v>
      </c>
      <c r="V76" s="766">
        <f t="shared" si="5"/>
        <v>2037.86762</v>
      </c>
      <c r="W76" s="766">
        <f t="shared" si="5"/>
        <v>2037.86762</v>
      </c>
      <c r="X76" s="766">
        <f t="shared" si="5"/>
        <v>2037.86762</v>
      </c>
      <c r="Y76" s="766">
        <f t="shared" si="5"/>
        <v>2037.86762</v>
      </c>
      <c r="Z76" s="766">
        <f t="shared" si="5"/>
        <v>2037.86762</v>
      </c>
      <c r="AA76" s="766">
        <f t="shared" si="5"/>
        <v>2037.86762</v>
      </c>
      <c r="AB76" s="766">
        <f t="shared" si="5"/>
        <v>2037.86762</v>
      </c>
      <c r="AC76" s="766">
        <f t="shared" si="5"/>
        <v>2037.86762</v>
      </c>
      <c r="AD76" s="766">
        <f t="shared" si="5"/>
        <v>2037.86762</v>
      </c>
      <c r="AE76" s="766">
        <f t="shared" si="5"/>
        <v>2037.86762</v>
      </c>
    </row>
    <row r="77" spans="2:31">
      <c r="B77" s="757" t="s">
        <v>2565</v>
      </c>
      <c r="C77" s="766">
        <f t="shared" si="5"/>
        <v>0</v>
      </c>
      <c r="D77" s="766">
        <f t="shared" si="5"/>
        <v>0</v>
      </c>
      <c r="E77" s="766">
        <f t="shared" si="5"/>
        <v>0</v>
      </c>
      <c r="F77" s="766">
        <f t="shared" si="5"/>
        <v>0</v>
      </c>
      <c r="G77" s="766">
        <f t="shared" si="5"/>
        <v>0</v>
      </c>
      <c r="H77" s="766">
        <f t="shared" si="5"/>
        <v>0</v>
      </c>
      <c r="I77" s="766">
        <f t="shared" si="5"/>
        <v>15492.022999999999</v>
      </c>
      <c r="J77" s="766">
        <f t="shared" si="5"/>
        <v>15492.022999999999</v>
      </c>
      <c r="K77" s="766">
        <f t="shared" si="5"/>
        <v>15492.022999999999</v>
      </c>
      <c r="L77" s="766">
        <f t="shared" si="5"/>
        <v>1.81898940354585E-12</v>
      </c>
      <c r="M77" s="766">
        <f t="shared" si="5"/>
        <v>1.81898940354585E-12</v>
      </c>
      <c r="N77" s="766">
        <f t="shared" si="5"/>
        <v>1.81898940354585E-12</v>
      </c>
      <c r="O77" s="766">
        <f t="shared" si="5"/>
        <v>1.81898940354585E-12</v>
      </c>
      <c r="P77" s="766">
        <f t="shared" si="5"/>
        <v>1.81898940354585E-12</v>
      </c>
      <c r="Q77" s="766">
        <f t="shared" si="5"/>
        <v>1.81898940354585E-12</v>
      </c>
      <c r="R77" s="766">
        <f t="shared" si="5"/>
        <v>1.81898940354585E-12</v>
      </c>
      <c r="S77" s="766">
        <f t="shared" si="5"/>
        <v>1.81898940354585E-12</v>
      </c>
      <c r="T77" s="766">
        <f t="shared" si="5"/>
        <v>1.81898940354585E-12</v>
      </c>
      <c r="U77" s="766">
        <f t="shared" si="5"/>
        <v>1.81898940354585E-12</v>
      </c>
      <c r="V77" s="766">
        <f t="shared" si="5"/>
        <v>1.81898940354585E-12</v>
      </c>
      <c r="W77" s="766">
        <f t="shared" si="5"/>
        <v>1.81898940354585E-12</v>
      </c>
      <c r="X77" s="766">
        <f t="shared" si="5"/>
        <v>1.81898940354585E-12</v>
      </c>
      <c r="Y77" s="766">
        <f t="shared" si="5"/>
        <v>1.81898940354585E-12</v>
      </c>
      <c r="Z77" s="766">
        <f t="shared" si="5"/>
        <v>1.81898940354585E-12</v>
      </c>
      <c r="AA77" s="766">
        <f t="shared" si="5"/>
        <v>1.81898940354585E-12</v>
      </c>
      <c r="AB77" s="766">
        <f t="shared" si="5"/>
        <v>1.81898940354585E-12</v>
      </c>
      <c r="AC77" s="766">
        <f t="shared" si="5"/>
        <v>1.81898940354585E-12</v>
      </c>
      <c r="AD77" s="766">
        <f t="shared" si="5"/>
        <v>1.81898940354585E-12</v>
      </c>
      <c r="AE77" s="766">
        <f t="shared" si="5"/>
        <v>1.81898940354585E-12</v>
      </c>
    </row>
    <row r="131" spans="1:1">
      <c r="A131" s="711"/>
    </row>
    <row r="216" spans="1:1">
      <c r="A216" s="711"/>
    </row>
    <row r="255" spans="1:1">
      <c r="A255" s="713"/>
    </row>
    <row r="263" spans="1:1">
      <c r="A263" s="712"/>
    </row>
    <row r="264" spans="1:1">
      <c r="A264" s="712"/>
    </row>
    <row r="265" spans="1:1">
      <c r="A265" s="711"/>
    </row>
    <row r="274" spans="1:1">
      <c r="A274" s="712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84"/>
  <sheetViews>
    <sheetView showGridLines="0" zoomScale="85" zoomScaleNormal="85" workbookViewId="0">
      <pane ySplit="8" topLeftCell="A9" activePane="bottomLeft" state="frozen"/>
      <selection pane="bottomLeft" activeCell="J35" sqref="J35"/>
    </sheetView>
  </sheetViews>
  <sheetFormatPr defaultRowHeight="15" outlineLevelRow="1"/>
  <cols>
    <col min="1" max="1" width="2.109375" style="642" customWidth="1"/>
    <col min="2" max="3" width="1.33203125" style="642" customWidth="1"/>
    <col min="4" max="4" width="47.21875" style="642" customWidth="1"/>
    <col min="5" max="6" width="13" style="642" customWidth="1"/>
    <col min="7" max="9" width="1.33203125" style="642" customWidth="1"/>
    <col min="10" max="16384" width="8.88671875" style="642"/>
  </cols>
  <sheetData>
    <row r="1" spans="2:20" s="638" customFormat="1" ht="15.75">
      <c r="E1" s="639"/>
      <c r="F1" s="639"/>
    </row>
    <row r="2" spans="2:20" ht="15.75">
      <c r="B2" s="640" t="s">
        <v>2135</v>
      </c>
      <c r="C2" s="641"/>
      <c r="D2" s="641"/>
      <c r="G2" s="641"/>
      <c r="H2" s="641"/>
    </row>
    <row r="3" spans="2:20">
      <c r="B3" s="641" t="s">
        <v>2513</v>
      </c>
      <c r="C3" s="641"/>
      <c r="D3" s="641"/>
      <c r="G3" s="641"/>
      <c r="H3" s="641"/>
    </row>
    <row r="4" spans="2:20">
      <c r="B4" s="643" t="s">
        <v>2514</v>
      </c>
      <c r="C4" s="643"/>
      <c r="D4" s="643"/>
      <c r="G4" s="641"/>
      <c r="H4" s="641"/>
    </row>
    <row r="5" spans="2:20">
      <c r="B5" s="644" t="s">
        <v>2515</v>
      </c>
      <c r="C5" s="644"/>
      <c r="D5" s="644"/>
      <c r="E5" s="645"/>
      <c r="F5" s="645"/>
      <c r="G5" s="641"/>
      <c r="H5" s="641"/>
    </row>
    <row r="6" spans="2:20">
      <c r="B6" s="641"/>
      <c r="C6" s="641"/>
      <c r="D6" s="641"/>
      <c r="E6" s="641"/>
      <c r="F6" s="641"/>
      <c r="G6" s="641"/>
      <c r="H6" s="641"/>
    </row>
    <row r="7" spans="2:20" ht="15.75">
      <c r="B7" s="646" t="s">
        <v>2496</v>
      </c>
      <c r="C7" s="647"/>
      <c r="D7" s="647"/>
      <c r="E7" s="647"/>
      <c r="F7" s="647"/>
      <c r="G7" s="647"/>
      <c r="H7" s="648"/>
    </row>
    <row r="8" spans="2:20" ht="8.1" customHeight="1">
      <c r="B8" s="649"/>
      <c r="C8" s="650"/>
      <c r="D8" s="650"/>
      <c r="E8" s="650"/>
      <c r="F8" s="650"/>
      <c r="G8" s="650"/>
      <c r="H8" s="651"/>
    </row>
    <row r="9" spans="2:20" ht="8.1" customHeight="1">
      <c r="B9" s="649"/>
      <c r="C9" s="652"/>
      <c r="D9" s="653"/>
      <c r="E9" s="653"/>
      <c r="F9" s="653"/>
      <c r="G9" s="654"/>
      <c r="H9" s="651"/>
      <c r="J9" s="638"/>
      <c r="K9" s="638"/>
      <c r="L9" s="638"/>
      <c r="M9" s="638"/>
      <c r="N9" s="638"/>
      <c r="O9" s="638"/>
    </row>
    <row r="10" spans="2:20" ht="20.25">
      <c r="B10" s="649"/>
      <c r="C10" s="655"/>
      <c r="D10" s="656"/>
      <c r="E10" s="852" t="s">
        <v>2497</v>
      </c>
      <c r="F10" s="852"/>
      <c r="G10" s="657"/>
      <c r="H10" s="651"/>
      <c r="J10" s="638"/>
      <c r="K10" s="638"/>
      <c r="L10" s="638"/>
      <c r="M10" s="638"/>
      <c r="N10" s="638"/>
      <c r="O10" s="638"/>
    </row>
    <row r="11" spans="2:20" ht="20.25">
      <c r="B11" s="649"/>
      <c r="C11" s="655"/>
      <c r="D11" s="656"/>
      <c r="E11" s="658" t="s">
        <v>983</v>
      </c>
      <c r="F11" s="658" t="s">
        <v>984</v>
      </c>
      <c r="G11" s="657"/>
      <c r="H11" s="651"/>
      <c r="J11" s="638"/>
      <c r="K11" s="638"/>
      <c r="L11" s="638"/>
      <c r="M11" s="638"/>
      <c r="N11" s="638"/>
      <c r="O11" s="638"/>
    </row>
    <row r="12" spans="2:20" ht="20.25">
      <c r="B12" s="649"/>
      <c r="C12" s="655"/>
      <c r="D12" s="656" t="s">
        <v>2498</v>
      </c>
      <c r="E12" s="658"/>
      <c r="F12" s="658"/>
      <c r="G12" s="657"/>
      <c r="H12" s="651"/>
      <c r="J12" s="638"/>
      <c r="K12" s="638"/>
      <c r="L12" s="638"/>
      <c r="M12" s="638"/>
      <c r="N12" s="638"/>
      <c r="O12" s="638"/>
    </row>
    <row r="13" spans="2:20">
      <c r="B13" s="649"/>
      <c r="C13" s="655"/>
      <c r="D13" s="659" t="s">
        <v>2499</v>
      </c>
      <c r="E13" s="660">
        <v>15.208333333333334</v>
      </c>
      <c r="F13" s="661">
        <f>E13</f>
        <v>15.208333333333334</v>
      </c>
      <c r="G13" s="657"/>
      <c r="H13" s="651"/>
      <c r="J13" s="638"/>
      <c r="K13" s="638"/>
      <c r="L13" s="638"/>
      <c r="M13" s="638"/>
      <c r="N13" s="638"/>
      <c r="O13" s="638"/>
    </row>
    <row r="14" spans="2:20">
      <c r="B14" s="649"/>
      <c r="C14" s="655"/>
      <c r="D14" s="659" t="s">
        <v>2500</v>
      </c>
      <c r="E14" s="662">
        <v>3.85</v>
      </c>
      <c r="F14" s="663">
        <v>3.95</v>
      </c>
      <c r="G14" s="657"/>
      <c r="H14" s="651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</row>
    <row r="15" spans="2:20">
      <c r="B15" s="649"/>
      <c r="C15" s="655"/>
      <c r="D15" s="659" t="s">
        <v>2501</v>
      </c>
      <c r="E15" s="662">
        <v>23.59</v>
      </c>
      <c r="F15" s="663">
        <f>E15</f>
        <v>23.59</v>
      </c>
      <c r="G15" s="657"/>
      <c r="H15" s="651"/>
      <c r="J15" s="638"/>
      <c r="K15" s="638"/>
      <c r="L15" s="638"/>
      <c r="M15" s="638"/>
      <c r="N15" s="638"/>
      <c r="O15" s="638"/>
    </row>
    <row r="16" spans="2:20" ht="17.25">
      <c r="B16" s="649"/>
      <c r="C16" s="655"/>
      <c r="D16" s="659" t="s">
        <v>2502</v>
      </c>
      <c r="E16" s="664">
        <v>1</v>
      </c>
      <c r="F16" s="665">
        <f>E16</f>
        <v>1</v>
      </c>
      <c r="G16" s="657"/>
      <c r="H16" s="651"/>
      <c r="J16" s="638"/>
      <c r="K16" s="638"/>
      <c r="L16" s="638"/>
      <c r="M16" s="638"/>
      <c r="N16" s="638"/>
      <c r="O16" s="638"/>
    </row>
    <row r="17" spans="2:15" ht="18">
      <c r="B17" s="649"/>
      <c r="C17" s="655"/>
      <c r="D17" s="666" t="s">
        <v>869</v>
      </c>
      <c r="E17" s="667">
        <f>SUM(E13:E16)</f>
        <v>43.648333333333333</v>
      </c>
      <c r="F17" s="668">
        <f>SUM(F13:F16)</f>
        <v>43.748333333333335</v>
      </c>
      <c r="G17" s="657"/>
      <c r="H17" s="651"/>
    </row>
    <row r="18" spans="2:15" ht="8.1" customHeight="1">
      <c r="B18" s="649"/>
      <c r="C18" s="655"/>
      <c r="D18" s="666"/>
      <c r="E18" s="650"/>
      <c r="F18" s="650"/>
      <c r="G18" s="657"/>
      <c r="H18" s="651"/>
    </row>
    <row r="19" spans="2:15" ht="20.25">
      <c r="B19" s="649"/>
      <c r="C19" s="655"/>
      <c r="D19" s="666"/>
      <c r="E19" s="852" t="s">
        <v>2503</v>
      </c>
      <c r="F19" s="852"/>
      <c r="G19" s="657"/>
      <c r="H19" s="651"/>
    </row>
    <row r="20" spans="2:15" ht="20.25">
      <c r="B20" s="649"/>
      <c r="C20" s="655"/>
      <c r="D20" s="666"/>
      <c r="E20" s="658" t="s">
        <v>983</v>
      </c>
      <c r="F20" s="658" t="s">
        <v>984</v>
      </c>
      <c r="G20" s="657"/>
      <c r="H20" s="651"/>
    </row>
    <row r="21" spans="2:15" ht="15.75">
      <c r="B21" s="649"/>
      <c r="C21" s="655"/>
      <c r="D21" s="656" t="s">
        <v>2504</v>
      </c>
      <c r="E21" s="650"/>
      <c r="F21" s="650"/>
      <c r="G21" s="657"/>
      <c r="H21" s="651"/>
      <c r="J21" s="638"/>
      <c r="K21" s="638"/>
      <c r="L21" s="638"/>
      <c r="M21" s="638"/>
      <c r="N21" s="638"/>
      <c r="O21" s="638"/>
    </row>
    <row r="22" spans="2:15">
      <c r="B22" s="649"/>
      <c r="C22" s="655"/>
      <c r="D22" s="659" t="s">
        <v>2079</v>
      </c>
      <c r="E22" s="660">
        <v>24.36</v>
      </c>
      <c r="F22" s="661">
        <v>0</v>
      </c>
      <c r="G22" s="657"/>
      <c r="H22" s="651"/>
      <c r="J22" s="638"/>
      <c r="K22" s="638"/>
      <c r="L22" s="638"/>
      <c r="M22" s="638"/>
      <c r="N22" s="638"/>
      <c r="O22" s="638"/>
    </row>
    <row r="23" spans="2:15">
      <c r="B23" s="649"/>
      <c r="C23" s="655"/>
      <c r="D23" s="659" t="s">
        <v>2080</v>
      </c>
      <c r="E23" s="662">
        <v>38.99</v>
      </c>
      <c r="F23" s="663">
        <v>0</v>
      </c>
      <c r="G23" s="657"/>
      <c r="H23" s="651"/>
      <c r="J23" s="638"/>
      <c r="K23" s="638"/>
      <c r="L23" s="638"/>
      <c r="M23" s="638"/>
      <c r="N23" s="638"/>
      <c r="O23" s="638"/>
    </row>
    <row r="24" spans="2:15">
      <c r="B24" s="649"/>
      <c r="C24" s="655"/>
      <c r="D24" s="659" t="s">
        <v>2081</v>
      </c>
      <c r="E24" s="662">
        <v>8.4</v>
      </c>
      <c r="F24" s="663">
        <v>0</v>
      </c>
      <c r="G24" s="657"/>
      <c r="H24" s="651"/>
      <c r="J24" s="638"/>
      <c r="K24" s="638"/>
      <c r="L24" s="638"/>
      <c r="M24" s="638"/>
      <c r="N24" s="638"/>
      <c r="O24" s="638"/>
    </row>
    <row r="25" spans="2:15">
      <c r="B25" s="649"/>
      <c r="C25" s="655"/>
      <c r="D25" s="659" t="s">
        <v>2082</v>
      </c>
      <c r="E25" s="662">
        <v>26.87</v>
      </c>
      <c r="F25" s="663">
        <v>0</v>
      </c>
      <c r="G25" s="657"/>
      <c r="H25" s="651"/>
      <c r="J25" s="638"/>
      <c r="K25" s="638"/>
      <c r="L25" s="638"/>
      <c r="M25" s="638"/>
      <c r="N25" s="638"/>
      <c r="O25" s="638"/>
    </row>
    <row r="26" spans="2:15">
      <c r="B26" s="649"/>
      <c r="C26" s="655"/>
      <c r="D26" s="659" t="s">
        <v>2505</v>
      </c>
      <c r="E26" s="662">
        <v>0</v>
      </c>
      <c r="F26" s="663">
        <v>39.659631608935626</v>
      </c>
      <c r="G26" s="657"/>
      <c r="H26" s="651"/>
      <c r="J26" s="638"/>
      <c r="K26" s="638"/>
      <c r="L26" s="638"/>
      <c r="M26" s="638"/>
      <c r="N26" s="638"/>
      <c r="O26" s="638"/>
    </row>
    <row r="27" spans="2:15">
      <c r="B27" s="649"/>
      <c r="C27" s="655"/>
      <c r="D27" s="659" t="s">
        <v>2083</v>
      </c>
      <c r="E27" s="662">
        <v>28.368832853281493</v>
      </c>
      <c r="F27" s="663">
        <v>0</v>
      </c>
      <c r="G27" s="657"/>
      <c r="H27" s="651"/>
    </row>
    <row r="28" spans="2:15">
      <c r="B28" s="649"/>
      <c r="C28" s="655"/>
      <c r="D28" s="659" t="s">
        <v>2084</v>
      </c>
      <c r="E28" s="662">
        <v>11.998650359254054</v>
      </c>
      <c r="F28" s="663">
        <v>11.998650359254054</v>
      </c>
      <c r="G28" s="657"/>
      <c r="H28" s="651"/>
    </row>
    <row r="29" spans="2:15">
      <c r="B29" s="649"/>
      <c r="C29" s="655"/>
      <c r="D29" s="659" t="s">
        <v>2085</v>
      </c>
      <c r="E29" s="662">
        <v>0</v>
      </c>
      <c r="F29" s="663">
        <v>0</v>
      </c>
      <c r="G29" s="657"/>
      <c r="H29" s="651"/>
    </row>
    <row r="30" spans="2:15">
      <c r="B30" s="649"/>
      <c r="C30" s="655"/>
      <c r="D30" s="659" t="s">
        <v>2086</v>
      </c>
      <c r="E30" s="662">
        <v>0</v>
      </c>
      <c r="F30" s="663">
        <v>0</v>
      </c>
      <c r="G30" s="657"/>
      <c r="H30" s="651"/>
    </row>
    <row r="31" spans="2:15">
      <c r="B31" s="649"/>
      <c r="C31" s="655"/>
      <c r="D31" s="659" t="s">
        <v>2087</v>
      </c>
      <c r="E31" s="662">
        <v>245.22</v>
      </c>
      <c r="F31" s="663">
        <v>245.22</v>
      </c>
      <c r="G31" s="657"/>
      <c r="H31" s="651"/>
    </row>
    <row r="32" spans="2:15">
      <c r="B32" s="649"/>
      <c r="C32" s="655"/>
      <c r="D32" s="659" t="s">
        <v>2088</v>
      </c>
      <c r="E32" s="662">
        <v>22.987677887868923</v>
      </c>
      <c r="F32" s="663">
        <v>22.987677887868923</v>
      </c>
      <c r="G32" s="657"/>
      <c r="H32" s="651"/>
    </row>
    <row r="33" spans="2:16">
      <c r="B33" s="649"/>
      <c r="C33" s="655"/>
      <c r="D33" s="659" t="s">
        <v>2089</v>
      </c>
      <c r="E33" s="662">
        <v>283.5</v>
      </c>
      <c r="F33" s="663">
        <v>283.5</v>
      </c>
      <c r="G33" s="657"/>
      <c r="H33" s="651"/>
    </row>
    <row r="34" spans="2:16">
      <c r="B34" s="649"/>
      <c r="C34" s="655"/>
      <c r="D34" s="659" t="s">
        <v>2090</v>
      </c>
      <c r="E34" s="662">
        <v>174.19512549656505</v>
      </c>
      <c r="F34" s="663">
        <v>256.34167500785077</v>
      </c>
      <c r="G34" s="657"/>
      <c r="H34" s="651"/>
      <c r="J34" s="638"/>
      <c r="K34" s="638"/>
      <c r="L34" s="638"/>
      <c r="M34" s="638"/>
      <c r="N34" s="638"/>
      <c r="O34" s="638"/>
      <c r="P34" s="638"/>
    </row>
    <row r="35" spans="2:16">
      <c r="B35" s="649"/>
      <c r="C35" s="655"/>
      <c r="D35" s="659" t="s">
        <v>2091</v>
      </c>
      <c r="E35" s="662">
        <v>35.319786065222083</v>
      </c>
      <c r="F35" s="663">
        <v>0</v>
      </c>
      <c r="G35" s="657"/>
      <c r="H35" s="651"/>
      <c r="J35" s="638"/>
      <c r="K35" s="638"/>
    </row>
    <row r="36" spans="2:16">
      <c r="B36" s="649"/>
      <c r="C36" s="655"/>
      <c r="D36" s="659" t="s">
        <v>2092</v>
      </c>
      <c r="E36" s="662">
        <v>25.396703504316847</v>
      </c>
      <c r="F36" s="663">
        <v>25.396703504316847</v>
      </c>
      <c r="G36" s="657"/>
      <c r="H36" s="651"/>
    </row>
    <row r="37" spans="2:16">
      <c r="B37" s="649"/>
      <c r="C37" s="655"/>
      <c r="D37" s="659" t="s">
        <v>2093</v>
      </c>
      <c r="E37" s="662">
        <v>49.192482924426621</v>
      </c>
      <c r="F37" s="663">
        <v>49.192482924426621</v>
      </c>
      <c r="G37" s="657"/>
      <c r="H37" s="651"/>
    </row>
    <row r="38" spans="2:16" ht="8.1" customHeight="1">
      <c r="B38" s="649"/>
      <c r="C38" s="655"/>
      <c r="D38" s="666"/>
      <c r="E38" s="650"/>
      <c r="F38" s="650"/>
      <c r="G38" s="657"/>
      <c r="H38" s="651"/>
    </row>
    <row r="39" spans="2:16" ht="15.75">
      <c r="B39" s="649"/>
      <c r="C39" s="655"/>
      <c r="D39" s="656" t="s">
        <v>2095</v>
      </c>
      <c r="E39" s="650"/>
      <c r="F39" s="650"/>
      <c r="G39" s="657"/>
      <c r="H39" s="651"/>
    </row>
    <row r="40" spans="2:16">
      <c r="B40" s="649"/>
      <c r="C40" s="655"/>
      <c r="D40" s="659" t="s">
        <v>2096</v>
      </c>
      <c r="E40" s="669">
        <v>0</v>
      </c>
      <c r="F40" s="670">
        <v>0</v>
      </c>
      <c r="G40" s="657"/>
      <c r="H40" s="651"/>
    </row>
    <row r="41" spans="2:16">
      <c r="B41" s="649"/>
      <c r="C41" s="655"/>
      <c r="D41" s="659" t="s">
        <v>2097</v>
      </c>
      <c r="E41" s="662">
        <v>0</v>
      </c>
      <c r="F41" s="663">
        <v>0</v>
      </c>
      <c r="G41" s="657"/>
      <c r="H41" s="651"/>
    </row>
    <row r="42" spans="2:16">
      <c r="B42" s="649"/>
      <c r="C42" s="655"/>
      <c r="D42" s="659" t="s">
        <v>2506</v>
      </c>
      <c r="E42" s="662">
        <v>0</v>
      </c>
      <c r="F42" s="663">
        <v>0</v>
      </c>
      <c r="G42" s="657"/>
      <c r="H42" s="651"/>
    </row>
    <row r="43" spans="2:16">
      <c r="B43" s="649"/>
      <c r="C43" s="655"/>
      <c r="D43" s="659" t="s">
        <v>2507</v>
      </c>
      <c r="E43" s="662">
        <v>0</v>
      </c>
      <c r="F43" s="663">
        <v>0</v>
      </c>
      <c r="G43" s="657"/>
      <c r="H43" s="651"/>
    </row>
    <row r="44" spans="2:16" ht="8.1" customHeight="1">
      <c r="B44" s="649"/>
      <c r="C44" s="655"/>
      <c r="D44" s="659"/>
      <c r="E44" s="650"/>
      <c r="F44" s="650"/>
      <c r="G44" s="657"/>
      <c r="H44" s="651"/>
    </row>
    <row r="45" spans="2:16" ht="15.75">
      <c r="B45" s="649"/>
      <c r="C45" s="655"/>
      <c r="D45" s="656" t="s">
        <v>2508</v>
      </c>
      <c r="E45" s="650"/>
      <c r="F45" s="650"/>
      <c r="G45" s="657"/>
      <c r="H45" s="651"/>
    </row>
    <row r="46" spans="2:16">
      <c r="B46" s="649"/>
      <c r="C46" s="655"/>
      <c r="D46" s="659" t="s">
        <v>2100</v>
      </c>
      <c r="E46" s="669">
        <v>37.5</v>
      </c>
      <c r="F46" s="670">
        <f>E46</f>
        <v>37.5</v>
      </c>
      <c r="G46" s="657"/>
      <c r="H46" s="651"/>
    </row>
    <row r="47" spans="2:16">
      <c r="B47" s="649"/>
      <c r="C47" s="655"/>
      <c r="D47" s="659" t="s">
        <v>2101</v>
      </c>
      <c r="E47" s="662">
        <v>37.5</v>
      </c>
      <c r="F47" s="663">
        <f>E47</f>
        <v>37.5</v>
      </c>
      <c r="G47" s="657"/>
      <c r="H47" s="651"/>
    </row>
    <row r="48" spans="2:16">
      <c r="B48" s="649"/>
      <c r="C48" s="655"/>
      <c r="D48" s="659" t="s">
        <v>2102</v>
      </c>
      <c r="E48" s="662">
        <v>0</v>
      </c>
      <c r="F48" s="663">
        <v>0</v>
      </c>
      <c r="G48" s="657"/>
      <c r="H48" s="651"/>
    </row>
    <row r="49" spans="2:8" ht="8.1" customHeight="1">
      <c r="B49" s="649"/>
      <c r="C49" s="655"/>
      <c r="D49" s="666"/>
      <c r="E49" s="650"/>
      <c r="F49" s="650"/>
      <c r="G49" s="657"/>
      <c r="H49" s="651"/>
    </row>
    <row r="50" spans="2:8" ht="15.75">
      <c r="B50" s="649"/>
      <c r="C50" s="655"/>
      <c r="D50" s="656" t="s">
        <v>2104</v>
      </c>
      <c r="E50" s="650"/>
      <c r="F50" s="650"/>
      <c r="G50" s="657"/>
      <c r="H50" s="651"/>
    </row>
    <row r="51" spans="2:8">
      <c r="B51" s="649"/>
      <c r="C51" s="655"/>
      <c r="D51" s="659" t="s">
        <v>2105</v>
      </c>
      <c r="E51" s="669">
        <v>216.26270855137599</v>
      </c>
      <c r="F51" s="671">
        <f>E51</f>
        <v>216.26270855137599</v>
      </c>
      <c r="G51" s="657"/>
      <c r="H51" s="651"/>
    </row>
    <row r="52" spans="2:8">
      <c r="B52" s="649"/>
      <c r="C52" s="655"/>
      <c r="D52" s="659" t="s">
        <v>2106</v>
      </c>
      <c r="E52" s="662">
        <v>35.475330553437587</v>
      </c>
      <c r="F52" s="663">
        <f>E52</f>
        <v>35.475330553437587</v>
      </c>
      <c r="G52" s="657"/>
      <c r="H52" s="651"/>
    </row>
    <row r="53" spans="2:8">
      <c r="B53" s="649"/>
      <c r="C53" s="655"/>
      <c r="D53" s="659" t="s">
        <v>2107</v>
      </c>
      <c r="E53" s="662">
        <v>-148.70225638191206</v>
      </c>
      <c r="F53" s="663">
        <f>E53</f>
        <v>-148.70225638191206</v>
      </c>
      <c r="G53" s="657"/>
      <c r="H53" s="651"/>
    </row>
    <row r="54" spans="2:8" ht="8.1" customHeight="1">
      <c r="B54" s="649"/>
      <c r="C54" s="655"/>
      <c r="D54" s="666"/>
      <c r="E54" s="650"/>
      <c r="F54" s="650"/>
      <c r="G54" s="657"/>
      <c r="H54" s="651"/>
    </row>
    <row r="55" spans="2:8" ht="15.75">
      <c r="B55" s="649"/>
      <c r="C55" s="655"/>
      <c r="D55" s="672" t="s">
        <v>2109</v>
      </c>
      <c r="E55" s="669">
        <f>$E$17</f>
        <v>43.648333333333333</v>
      </c>
      <c r="F55" s="670">
        <f>E55</f>
        <v>43.648333333333333</v>
      </c>
      <c r="G55" s="657"/>
      <c r="H55" s="651"/>
    </row>
    <row r="56" spans="2:8" ht="8.1" customHeight="1">
      <c r="B56" s="649"/>
      <c r="C56" s="655"/>
      <c r="D56" s="666"/>
      <c r="E56" s="650"/>
      <c r="F56" s="650"/>
      <c r="G56" s="657"/>
      <c r="H56" s="651"/>
    </row>
    <row r="57" spans="2:8" ht="15.75">
      <c r="B57" s="649"/>
      <c r="C57" s="655"/>
      <c r="D57" s="672" t="s">
        <v>2110</v>
      </c>
      <c r="E57" s="669">
        <f>$E$17</f>
        <v>43.648333333333333</v>
      </c>
      <c r="F57" s="670">
        <f>E57</f>
        <v>43.648333333333333</v>
      </c>
      <c r="G57" s="657"/>
      <c r="H57" s="651"/>
    </row>
    <row r="58" spans="2:8" ht="8.1" customHeight="1">
      <c r="B58" s="649"/>
      <c r="C58" s="655"/>
      <c r="D58" s="666"/>
      <c r="E58" s="650"/>
      <c r="F58" s="650"/>
      <c r="G58" s="657"/>
      <c r="H58" s="651"/>
    </row>
    <row r="59" spans="2:8" ht="15.75">
      <c r="B59" s="649"/>
      <c r="C59" s="655"/>
      <c r="D59" s="672" t="s">
        <v>2111</v>
      </c>
      <c r="E59" s="669">
        <f>$E$17</f>
        <v>43.648333333333333</v>
      </c>
      <c r="F59" s="670">
        <f>E59</f>
        <v>43.648333333333333</v>
      </c>
      <c r="G59" s="657"/>
      <c r="H59" s="651"/>
    </row>
    <row r="60" spans="2:8" ht="8.1" customHeight="1">
      <c r="B60" s="649"/>
      <c r="C60" s="655"/>
      <c r="D60" s="666"/>
      <c r="E60" s="650"/>
      <c r="F60" s="650"/>
      <c r="G60" s="657"/>
      <c r="H60" s="651"/>
    </row>
    <row r="61" spans="2:8" ht="15.75">
      <c r="B61" s="649"/>
      <c r="C61" s="655"/>
      <c r="D61" s="672" t="s">
        <v>2112</v>
      </c>
      <c r="E61" s="669">
        <f>$E$17</f>
        <v>43.648333333333333</v>
      </c>
      <c r="F61" s="670">
        <f>E61</f>
        <v>43.648333333333333</v>
      </c>
      <c r="G61" s="657"/>
      <c r="H61" s="651"/>
    </row>
    <row r="62" spans="2:8" ht="8.1" customHeight="1" outlineLevel="1">
      <c r="B62" s="649"/>
      <c r="C62" s="655"/>
      <c r="D62" s="666"/>
      <c r="E62" s="650"/>
      <c r="F62" s="650"/>
      <c r="G62" s="657"/>
      <c r="H62" s="651"/>
    </row>
    <row r="63" spans="2:8" ht="15.75" outlineLevel="1">
      <c r="B63" s="649"/>
      <c r="C63" s="655"/>
      <c r="D63" s="672" t="s">
        <v>2113</v>
      </c>
      <c r="E63" s="669">
        <v>0</v>
      </c>
      <c r="F63" s="669">
        <v>0</v>
      </c>
      <c r="G63" s="657"/>
      <c r="H63" s="651"/>
    </row>
    <row r="64" spans="2:8" ht="8.1" customHeight="1">
      <c r="B64" s="649"/>
      <c r="C64" s="655"/>
      <c r="D64" s="666"/>
      <c r="E64" s="650"/>
      <c r="F64" s="650"/>
      <c r="G64" s="657"/>
      <c r="H64" s="651"/>
    </row>
    <row r="65" spans="2:8" ht="15.75">
      <c r="B65" s="649"/>
      <c r="C65" s="655"/>
      <c r="D65" s="672" t="s">
        <v>2114</v>
      </c>
      <c r="E65" s="669">
        <f>$E$17</f>
        <v>43.648333333333333</v>
      </c>
      <c r="F65" s="670">
        <f>E65</f>
        <v>43.648333333333333</v>
      </c>
      <c r="G65" s="657"/>
      <c r="H65" s="651"/>
    </row>
    <row r="66" spans="2:8" ht="8.1" customHeight="1">
      <c r="B66" s="649"/>
      <c r="C66" s="655"/>
      <c r="D66" s="666"/>
      <c r="E66" s="650"/>
      <c r="F66" s="650"/>
      <c r="G66" s="657"/>
      <c r="H66" s="651"/>
    </row>
    <row r="67" spans="2:8" ht="15.75">
      <c r="B67" s="649"/>
      <c r="C67" s="655"/>
      <c r="D67" s="672" t="s">
        <v>2115</v>
      </c>
      <c r="E67" s="669">
        <f>$E$17</f>
        <v>43.648333333333333</v>
      </c>
      <c r="F67" s="670">
        <f>E67</f>
        <v>43.648333333333333</v>
      </c>
      <c r="G67" s="657"/>
      <c r="H67" s="651"/>
    </row>
    <row r="68" spans="2:8" ht="8.1" customHeight="1">
      <c r="B68" s="649"/>
      <c r="C68" s="655"/>
      <c r="D68" s="666"/>
      <c r="E68" s="650"/>
      <c r="F68" s="650"/>
      <c r="G68" s="657"/>
      <c r="H68" s="651"/>
    </row>
    <row r="69" spans="2:8" ht="15.75">
      <c r="B69" s="649"/>
      <c r="C69" s="655"/>
      <c r="D69" s="672" t="s">
        <v>2116</v>
      </c>
      <c r="E69" s="669">
        <v>87.499999999999986</v>
      </c>
      <c r="F69" s="670">
        <f>E69</f>
        <v>87.499999999999986</v>
      </c>
      <c r="G69" s="657"/>
      <c r="H69" s="651"/>
    </row>
    <row r="70" spans="2:8" ht="8.1" customHeight="1">
      <c r="B70" s="649"/>
      <c r="C70" s="655"/>
      <c r="D70" s="666"/>
      <c r="E70" s="650"/>
      <c r="F70" s="650"/>
      <c r="G70" s="657"/>
      <c r="H70" s="651"/>
    </row>
    <row r="71" spans="2:8" ht="15.75">
      <c r="B71" s="649"/>
      <c r="C71" s="655"/>
      <c r="D71" s="672" t="s">
        <v>2117</v>
      </c>
      <c r="E71" s="669">
        <f>$E$17</f>
        <v>43.648333333333333</v>
      </c>
      <c r="F71" s="670">
        <f>E71</f>
        <v>43.648333333333333</v>
      </c>
      <c r="G71" s="657"/>
      <c r="H71" s="651"/>
    </row>
    <row r="72" spans="2:8" ht="8.1" customHeight="1">
      <c r="B72" s="649"/>
      <c r="C72" s="655"/>
      <c r="D72" s="666"/>
      <c r="E72" s="650"/>
      <c r="F72" s="650"/>
      <c r="G72" s="657"/>
      <c r="H72" s="651"/>
    </row>
    <row r="73" spans="2:8" ht="15.75">
      <c r="B73" s="649"/>
      <c r="C73" s="655"/>
      <c r="D73" s="672" t="s">
        <v>2509</v>
      </c>
      <c r="E73" s="669">
        <v>39.830534579791077</v>
      </c>
      <c r="F73" s="670">
        <f>E73</f>
        <v>39.830534579791077</v>
      </c>
      <c r="G73" s="657"/>
      <c r="H73" s="651"/>
    </row>
    <row r="74" spans="2:8" ht="8.1" customHeight="1">
      <c r="B74" s="649"/>
      <c r="C74" s="655"/>
      <c r="D74" s="666"/>
      <c r="E74" s="650"/>
      <c r="F74" s="650"/>
      <c r="G74" s="657"/>
      <c r="H74" s="651"/>
    </row>
    <row r="75" spans="2:8" ht="15.75">
      <c r="B75" s="649"/>
      <c r="C75" s="655"/>
      <c r="D75" s="672" t="s">
        <v>2510</v>
      </c>
      <c r="E75" s="669">
        <v>35.053402125791742</v>
      </c>
      <c r="F75" s="670">
        <f>E75</f>
        <v>35.053402125791742</v>
      </c>
      <c r="G75" s="657"/>
      <c r="H75" s="651"/>
    </row>
    <row r="76" spans="2:8" ht="8.1" customHeight="1">
      <c r="B76" s="649"/>
      <c r="C76" s="655"/>
      <c r="D76" s="666"/>
      <c r="E76" s="650"/>
      <c r="F76" s="650"/>
      <c r="G76" s="657"/>
      <c r="H76" s="651"/>
    </row>
    <row r="77" spans="2:8" ht="15.75">
      <c r="B77" s="649"/>
      <c r="C77" s="655"/>
      <c r="D77" s="672" t="s">
        <v>2120</v>
      </c>
      <c r="E77" s="669">
        <v>100.23615393014543</v>
      </c>
      <c r="F77" s="670">
        <f>E77</f>
        <v>100.23615393014543</v>
      </c>
      <c r="G77" s="657"/>
      <c r="H77" s="651"/>
    </row>
    <row r="78" spans="2:8" ht="8.1" customHeight="1" outlineLevel="1">
      <c r="B78" s="649"/>
      <c r="C78" s="655"/>
      <c r="D78" s="666"/>
      <c r="E78" s="650"/>
      <c r="F78" s="650"/>
      <c r="G78" s="657"/>
      <c r="H78" s="651"/>
    </row>
    <row r="79" spans="2:8" ht="15.75" outlineLevel="1">
      <c r="B79" s="649"/>
      <c r="C79" s="655"/>
      <c r="D79" s="672" t="s">
        <v>2511</v>
      </c>
      <c r="E79" s="669">
        <v>0</v>
      </c>
      <c r="F79" s="669">
        <v>0</v>
      </c>
      <c r="G79" s="657"/>
      <c r="H79" s="651"/>
    </row>
    <row r="80" spans="2:8" ht="8.1" customHeight="1" outlineLevel="1">
      <c r="B80" s="649"/>
      <c r="C80" s="655"/>
      <c r="D80" s="666"/>
      <c r="E80" s="650"/>
      <c r="F80" s="650"/>
      <c r="G80" s="657"/>
      <c r="H80" s="651"/>
    </row>
    <row r="81" spans="2:8" ht="15.75" outlineLevel="1">
      <c r="B81" s="649"/>
      <c r="C81" s="655"/>
      <c r="D81" s="672" t="s">
        <v>2512</v>
      </c>
      <c r="E81" s="669">
        <v>0</v>
      </c>
      <c r="F81" s="669">
        <v>0</v>
      </c>
      <c r="G81" s="657"/>
      <c r="H81" s="651"/>
    </row>
    <row r="82" spans="2:8" ht="8.1" customHeight="1">
      <c r="B82" s="649"/>
      <c r="C82" s="673"/>
      <c r="D82" s="674"/>
      <c r="E82" s="674"/>
      <c r="F82" s="674"/>
      <c r="G82" s="675"/>
      <c r="H82" s="651"/>
    </row>
    <row r="83" spans="2:8" ht="8.1" customHeight="1">
      <c r="B83" s="676"/>
      <c r="C83" s="677"/>
      <c r="D83" s="677"/>
      <c r="E83" s="677"/>
      <c r="F83" s="677"/>
      <c r="G83" s="677"/>
      <c r="H83" s="678"/>
    </row>
    <row r="84" spans="2:8">
      <c r="B84" s="641"/>
      <c r="C84" s="641"/>
      <c r="D84" s="641"/>
      <c r="E84" s="641"/>
      <c r="F84" s="641"/>
      <c r="G84" s="641"/>
      <c r="H84" s="641"/>
    </row>
  </sheetData>
  <mergeCells count="2">
    <mergeCell ref="E10:F10"/>
    <mergeCell ref="E19:F19"/>
  </mergeCells>
  <printOptions horizontalCentered="1"/>
  <pageMargins left="0.7" right="0.7" top="0.75" bottom="0.75" header="0.3" footer="0.3"/>
  <pageSetup scale="77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C50"/>
  <sheetViews>
    <sheetView zoomScale="85" zoomScaleNormal="85" workbookViewId="0">
      <pane xSplit="1" topLeftCell="B1" activePane="topRight" state="frozen"/>
      <selection pane="topRight" activeCell="A18" sqref="A18"/>
    </sheetView>
  </sheetViews>
  <sheetFormatPr defaultColWidth="9" defaultRowHeight="15"/>
  <cols>
    <col min="1" max="1" width="44.109375" style="362" bestFit="1" customWidth="1"/>
    <col min="2" max="4" width="9" style="362"/>
    <col min="5" max="5" width="9.88671875" style="362" customWidth="1"/>
    <col min="6" max="16384" width="9" style="362"/>
  </cols>
  <sheetData>
    <row r="1" spans="1:29">
      <c r="A1" s="224" t="s">
        <v>1911</v>
      </c>
      <c r="B1" s="136" t="s">
        <v>1819</v>
      </c>
      <c r="C1" s="136" t="s">
        <v>1820</v>
      </c>
      <c r="D1" s="136" t="s">
        <v>1821</v>
      </c>
      <c r="E1" s="136" t="s">
        <v>1822</v>
      </c>
      <c r="F1" s="136" t="s">
        <v>1823</v>
      </c>
      <c r="G1" s="136" t="s">
        <v>1824</v>
      </c>
      <c r="H1" s="136" t="s">
        <v>1825</v>
      </c>
      <c r="I1" s="136" t="s">
        <v>1715</v>
      </c>
      <c r="J1" s="136" t="s">
        <v>1716</v>
      </c>
      <c r="K1" s="136" t="s">
        <v>1717</v>
      </c>
      <c r="L1" s="136" t="s">
        <v>1718</v>
      </c>
      <c r="M1" s="136" t="s">
        <v>1719</v>
      </c>
      <c r="N1" s="136" t="s">
        <v>1720</v>
      </c>
      <c r="O1" s="136" t="s">
        <v>1398</v>
      </c>
      <c r="P1" s="136" t="s">
        <v>1831</v>
      </c>
      <c r="Q1" s="136" t="s">
        <v>1832</v>
      </c>
      <c r="R1" s="136" t="s">
        <v>1833</v>
      </c>
      <c r="S1" s="136" t="s">
        <v>1834</v>
      </c>
      <c r="T1" s="136" t="s">
        <v>1835</v>
      </c>
      <c r="U1" s="136" t="s">
        <v>1836</v>
      </c>
      <c r="V1" s="136" t="s">
        <v>1837</v>
      </c>
      <c r="W1" s="136" t="s">
        <v>1838</v>
      </c>
      <c r="X1" s="136" t="s">
        <v>1839</v>
      </c>
      <c r="Y1" s="136" t="s">
        <v>1840</v>
      </c>
      <c r="Z1" s="136" t="s">
        <v>1841</v>
      </c>
      <c r="AA1" s="136" t="s">
        <v>1842</v>
      </c>
      <c r="AB1" s="136" t="s">
        <v>1843</v>
      </c>
      <c r="AC1" s="136" t="s">
        <v>1398</v>
      </c>
    </row>
    <row r="2" spans="1:29">
      <c r="A2" s="224" t="s">
        <v>1035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29">
      <c r="A3" s="370"/>
    </row>
    <row r="4" spans="1:29">
      <c r="A4" s="370" t="s">
        <v>1399</v>
      </c>
    </row>
    <row r="5" spans="1:29">
      <c r="A5" s="362" t="s">
        <v>1400</v>
      </c>
      <c r="B5" s="137">
        <v>44674.354249999997</v>
      </c>
      <c r="C5" s="137">
        <v>36194.706979999901</v>
      </c>
      <c r="D5" s="137">
        <v>32536.419109999999</v>
      </c>
      <c r="E5" s="137">
        <v>36730.374849999898</v>
      </c>
      <c r="F5" s="137">
        <v>43950.165579999899</v>
      </c>
      <c r="G5" s="137">
        <v>46901.064250000003</v>
      </c>
      <c r="H5" s="137">
        <v>41206.230150000003</v>
      </c>
      <c r="I5" s="137">
        <v>37503.155004883301</v>
      </c>
      <c r="J5" s="137">
        <v>30747.461391899302</v>
      </c>
      <c r="K5" s="137">
        <v>39391.619584096799</v>
      </c>
      <c r="L5" s="137">
        <v>40522.766288974497</v>
      </c>
      <c r="M5" s="137">
        <v>41119.755209223898</v>
      </c>
      <c r="N5" s="137">
        <v>38121.0405845653</v>
      </c>
      <c r="O5" s="137"/>
      <c r="P5" s="137">
        <v>38156.313696621102</v>
      </c>
      <c r="Q5" s="137">
        <v>37513.084014191103</v>
      </c>
      <c r="R5" s="137">
        <v>36496.021667492401</v>
      </c>
      <c r="S5" s="137">
        <v>33358.826645398403</v>
      </c>
      <c r="T5" s="137">
        <v>30853.209203817099</v>
      </c>
      <c r="U5" s="137">
        <v>30682.781866276298</v>
      </c>
      <c r="V5" s="137">
        <v>34574.388003396598</v>
      </c>
      <c r="W5" s="137">
        <v>38627.981848324198</v>
      </c>
      <c r="X5" s="137">
        <v>37479.930749208601</v>
      </c>
      <c r="Y5" s="137">
        <v>34507.322255361498</v>
      </c>
      <c r="Z5" s="137">
        <v>33429.674094089998</v>
      </c>
      <c r="AA5" s="137">
        <v>31214.513367185002</v>
      </c>
      <c r="AB5" s="137">
        <v>36661.446817203701</v>
      </c>
      <c r="AC5" s="137"/>
    </row>
    <row r="6" spans="1:29">
      <c r="A6" s="362" t="s">
        <v>1401</v>
      </c>
      <c r="B6" s="137">
        <v>35480.555350000002</v>
      </c>
      <c r="C6" s="137">
        <v>36194.315219999997</v>
      </c>
      <c r="D6" s="137">
        <v>36515.321960000001</v>
      </c>
      <c r="E6" s="137">
        <v>37054.14632</v>
      </c>
      <c r="F6" s="137">
        <v>37141.834369999997</v>
      </c>
      <c r="G6" s="137">
        <v>37449.134079999902</v>
      </c>
      <c r="H6" s="137">
        <v>37341.22421</v>
      </c>
      <c r="I6" s="137">
        <v>37321.22421</v>
      </c>
      <c r="J6" s="137">
        <v>37301.22421</v>
      </c>
      <c r="K6" s="137">
        <v>37281.22421</v>
      </c>
      <c r="L6" s="137">
        <v>36886.22421</v>
      </c>
      <c r="M6" s="137">
        <v>36866.22421</v>
      </c>
      <c r="N6" s="137">
        <v>36846.22421</v>
      </c>
      <c r="O6" s="137"/>
      <c r="P6" s="137">
        <v>36766.224849999999</v>
      </c>
      <c r="Q6" s="137">
        <v>36746.225010000002</v>
      </c>
      <c r="R6" s="137">
        <v>36696.224849999999</v>
      </c>
      <c r="S6" s="137">
        <v>36646.224690000003</v>
      </c>
      <c r="T6" s="137">
        <v>36596.22453</v>
      </c>
      <c r="U6" s="137">
        <v>36476.224370000004</v>
      </c>
      <c r="V6" s="137">
        <v>36456.22453</v>
      </c>
      <c r="W6" s="137">
        <v>36436.224690000003</v>
      </c>
      <c r="X6" s="137">
        <v>36416.224849999999</v>
      </c>
      <c r="Y6" s="137">
        <v>36396.224649999996</v>
      </c>
      <c r="Z6" s="137">
        <v>36376.224450000002</v>
      </c>
      <c r="AA6" s="137">
        <v>36356.224249999999</v>
      </c>
      <c r="AB6" s="137">
        <v>36336.224049999997</v>
      </c>
      <c r="AC6" s="137"/>
    </row>
    <row r="7" spans="1:29">
      <c r="A7" s="362" t="s">
        <v>1402</v>
      </c>
      <c r="B7" s="137">
        <v>0.14692</v>
      </c>
      <c r="C7" s="137">
        <v>0.14646000000000001</v>
      </c>
      <c r="D7" s="137">
        <v>0.14618</v>
      </c>
      <c r="E7" s="137">
        <v>0.14588000000000001</v>
      </c>
      <c r="F7" s="137">
        <v>0.14562</v>
      </c>
      <c r="G7" s="137">
        <v>0.14532</v>
      </c>
      <c r="H7" s="137">
        <v>0.14491999999999999</v>
      </c>
      <c r="I7" s="137">
        <v>0.14491999999999999</v>
      </c>
      <c r="J7" s="137">
        <v>0.14491999999999999</v>
      </c>
      <c r="K7" s="137">
        <v>0.14491999999999999</v>
      </c>
      <c r="L7" s="137">
        <v>0.14491999999999999</v>
      </c>
      <c r="M7" s="137">
        <v>0.14491999999999999</v>
      </c>
      <c r="N7" s="137">
        <v>0.14491999999999999</v>
      </c>
      <c r="O7" s="137"/>
      <c r="P7" s="137">
        <v>0.14491999999999999</v>
      </c>
      <c r="Q7" s="137">
        <v>0.14491999999999999</v>
      </c>
      <c r="R7" s="137">
        <v>0.14491999999999999</v>
      </c>
      <c r="S7" s="137">
        <v>0.14491999999999999</v>
      </c>
      <c r="T7" s="137">
        <v>0.14491999999999999</v>
      </c>
      <c r="U7" s="137">
        <v>0.14491999999999999</v>
      </c>
      <c r="V7" s="137">
        <v>0.14491999999999999</v>
      </c>
      <c r="W7" s="137">
        <v>0.14491999999999999</v>
      </c>
      <c r="X7" s="137">
        <v>0.14491999999999999</v>
      </c>
      <c r="Y7" s="137">
        <v>0.14491999999999999</v>
      </c>
      <c r="Z7" s="137">
        <v>0.14491999999999999</v>
      </c>
      <c r="AA7" s="137">
        <v>0.14491999999999999</v>
      </c>
      <c r="AB7" s="137">
        <v>0.14491999999999999</v>
      </c>
      <c r="AC7" s="137"/>
    </row>
    <row r="8" spans="1:29">
      <c r="A8" s="362" t="s">
        <v>1403</v>
      </c>
      <c r="B8" s="137">
        <v>7654.12014</v>
      </c>
      <c r="C8" s="137">
        <v>7671.0126600000003</v>
      </c>
      <c r="D8" s="137">
        <v>7604.4425499999998</v>
      </c>
      <c r="E8" s="137">
        <v>7744.2675399999898</v>
      </c>
      <c r="F8" s="137">
        <v>7751.8757400000004</v>
      </c>
      <c r="G8" s="137">
        <v>7731.1844199999896</v>
      </c>
      <c r="H8" s="137">
        <v>7888.2731299999996</v>
      </c>
      <c r="I8" s="137">
        <v>7888.2731299999996</v>
      </c>
      <c r="J8" s="137">
        <v>7888.2731299999996</v>
      </c>
      <c r="K8" s="137">
        <v>7888.2731299999996</v>
      </c>
      <c r="L8" s="137">
        <v>7888.2731299999996</v>
      </c>
      <c r="M8" s="137">
        <v>7888.2731299999996</v>
      </c>
      <c r="N8" s="137">
        <v>7888.2731299999996</v>
      </c>
      <c r="O8" s="137"/>
      <c r="P8" s="137">
        <v>7888.2731299999996</v>
      </c>
      <c r="Q8" s="137">
        <v>7888.2731299999996</v>
      </c>
      <c r="R8" s="137">
        <v>7888.2731299999996</v>
      </c>
      <c r="S8" s="137">
        <v>7888.2731299999996</v>
      </c>
      <c r="T8" s="137">
        <v>7888.2731299999996</v>
      </c>
      <c r="U8" s="137">
        <v>7888.2731299999996</v>
      </c>
      <c r="V8" s="137">
        <v>7888.2731299999996</v>
      </c>
      <c r="W8" s="137">
        <v>7888.2731299999996</v>
      </c>
      <c r="X8" s="137">
        <v>7888.2731299999996</v>
      </c>
      <c r="Y8" s="137">
        <v>7888.2731299999996</v>
      </c>
      <c r="Z8" s="137">
        <v>7888.2731299999996</v>
      </c>
      <c r="AA8" s="137">
        <v>7888.2731299999996</v>
      </c>
      <c r="AB8" s="137">
        <v>7888.2731299999996</v>
      </c>
      <c r="AC8" s="137"/>
    </row>
    <row r="9" spans="1:29">
      <c r="A9" s="362" t="s">
        <v>1404</v>
      </c>
      <c r="B9" s="360">
        <v>42560.968240000002</v>
      </c>
      <c r="C9" s="360">
        <v>31655.78328</v>
      </c>
      <c r="D9" s="360">
        <v>22606.021110000001</v>
      </c>
      <c r="E9" s="360">
        <v>13637.12362</v>
      </c>
      <c r="F9" s="360">
        <v>9743.2515899999999</v>
      </c>
      <c r="G9" s="360">
        <v>9546.8440800000008</v>
      </c>
      <c r="H9" s="360">
        <v>14119.38737</v>
      </c>
      <c r="I9" s="360">
        <v>24056.222560744602</v>
      </c>
      <c r="J9" s="360">
        <v>33964.708437621099</v>
      </c>
      <c r="K9" s="360">
        <v>43372.441575286197</v>
      </c>
      <c r="L9" s="360">
        <v>51887.997875812303</v>
      </c>
      <c r="M9" s="360">
        <v>52676.173201116901</v>
      </c>
      <c r="N9" s="360">
        <v>43241.0854028381</v>
      </c>
      <c r="O9" s="360"/>
      <c r="P9" s="360">
        <v>3912.7906924416402</v>
      </c>
      <c r="Q9" s="360">
        <v>3566.2754000780401</v>
      </c>
      <c r="R9" s="360">
        <v>8862.4667504618392</v>
      </c>
      <c r="S9" s="360">
        <v>18638.069244849801</v>
      </c>
      <c r="T9" s="360">
        <v>28227.0410244663</v>
      </c>
      <c r="U9" s="360">
        <v>37309.380204516201</v>
      </c>
      <c r="V9" s="360">
        <v>44946.585988098697</v>
      </c>
      <c r="W9" s="360">
        <v>45962.747840366799</v>
      </c>
      <c r="X9" s="360">
        <v>37636.091311037002</v>
      </c>
      <c r="Y9" s="360">
        <v>24124.358833238799</v>
      </c>
      <c r="Z9" s="360">
        <v>12271.0752623771</v>
      </c>
      <c r="AA9" s="360">
        <v>5376.8254184734396</v>
      </c>
      <c r="AB9" s="360">
        <v>2804.36291167641</v>
      </c>
      <c r="AC9" s="360"/>
    </row>
    <row r="10" spans="1:29">
      <c r="A10" s="362" t="s">
        <v>1405</v>
      </c>
      <c r="B10" s="360">
        <v>9915.0336399999997</v>
      </c>
      <c r="C10" s="360">
        <v>12072.054239999999</v>
      </c>
      <c r="D10" s="360">
        <v>12225.01665</v>
      </c>
      <c r="E10" s="360">
        <v>11331.506890000001</v>
      </c>
      <c r="F10" s="360">
        <v>15065.509980000001</v>
      </c>
      <c r="G10" s="360">
        <v>16135.063700000001</v>
      </c>
      <c r="H10" s="360">
        <v>15249.45342</v>
      </c>
      <c r="I10" s="360">
        <v>14532.0788014471</v>
      </c>
      <c r="J10" s="360">
        <v>13233.3417912943</v>
      </c>
      <c r="K10" s="360">
        <v>12969.831521141399</v>
      </c>
      <c r="L10" s="360">
        <v>12265.2320053327</v>
      </c>
      <c r="M10" s="360">
        <v>11672.319800822401</v>
      </c>
      <c r="N10" s="360">
        <v>11319.4284609025</v>
      </c>
      <c r="O10" s="360"/>
      <c r="P10" s="360">
        <v>15998.5638180931</v>
      </c>
      <c r="Q10" s="360">
        <v>14598.910563331699</v>
      </c>
      <c r="R10" s="360">
        <v>14417.468478570299</v>
      </c>
      <c r="S10" s="360">
        <v>13050.5288838089</v>
      </c>
      <c r="T10" s="360">
        <v>11653.48344256</v>
      </c>
      <c r="U10" s="360">
        <v>11234.109408661199</v>
      </c>
      <c r="V10" s="360">
        <v>10721.251058016</v>
      </c>
      <c r="W10" s="360">
        <v>10047.319463011399</v>
      </c>
      <c r="X10" s="360">
        <v>10260.0166311713</v>
      </c>
      <c r="Y10" s="360">
        <v>14219.2976697213</v>
      </c>
      <c r="Z10" s="360">
        <v>13119.2516693119</v>
      </c>
      <c r="AA10" s="360">
        <v>11504.195808902499</v>
      </c>
      <c r="AB10" s="360">
        <v>16899.138558029201</v>
      </c>
      <c r="AC10" s="360"/>
    </row>
    <row r="11" spans="1:29">
      <c r="A11" s="362" t="s">
        <v>1753</v>
      </c>
      <c r="B11" s="360">
        <v>3633.8854299999998</v>
      </c>
      <c r="C11" s="360">
        <v>4014.4542299999998</v>
      </c>
      <c r="D11" s="360">
        <v>4111.5017099999995</v>
      </c>
      <c r="E11" s="360">
        <v>4037.8407400000001</v>
      </c>
      <c r="F11" s="360">
        <v>3882.0910199999998</v>
      </c>
      <c r="G11" s="360">
        <v>3670.9225099999999</v>
      </c>
      <c r="H11" s="360">
        <v>3474.8056700000002</v>
      </c>
      <c r="I11" s="360">
        <v>3474.8056700000002</v>
      </c>
      <c r="J11" s="360">
        <v>3474.8056700000002</v>
      </c>
      <c r="K11" s="360">
        <v>3474.8056700000002</v>
      </c>
      <c r="L11" s="360">
        <v>3474.8056700000002</v>
      </c>
      <c r="M11" s="360">
        <v>3474.8056700000002</v>
      </c>
      <c r="N11" s="360">
        <v>3474.8056700000002</v>
      </c>
      <c r="O11" s="360"/>
      <c r="P11" s="360">
        <v>3474.8056700000002</v>
      </c>
      <c r="Q11" s="360">
        <v>3474.8056700000002</v>
      </c>
      <c r="R11" s="360">
        <v>3474.8056700000002</v>
      </c>
      <c r="S11" s="360">
        <v>3474.8056700000002</v>
      </c>
      <c r="T11" s="360">
        <v>3474.8056700000002</v>
      </c>
      <c r="U11" s="360">
        <v>3474.8056700000002</v>
      </c>
      <c r="V11" s="360">
        <v>3474.8056700000002</v>
      </c>
      <c r="W11" s="360">
        <v>3474.8056700000002</v>
      </c>
      <c r="X11" s="360">
        <v>3474.8056700000002</v>
      </c>
      <c r="Y11" s="360">
        <v>3474.8056700000002</v>
      </c>
      <c r="Z11" s="360">
        <v>3474.8056700000002</v>
      </c>
      <c r="AA11" s="360">
        <v>3474.8056700000002</v>
      </c>
      <c r="AB11" s="360">
        <v>3474.8056700000002</v>
      </c>
      <c r="AC11" s="360"/>
    </row>
    <row r="12" spans="1:29">
      <c r="A12" s="362" t="s">
        <v>1754</v>
      </c>
      <c r="B12" s="360">
        <v>1398.8645200000001</v>
      </c>
      <c r="C12" s="360">
        <v>1165.7204400000001</v>
      </c>
      <c r="D12" s="360">
        <v>932.57636000000002</v>
      </c>
      <c r="E12" s="360">
        <v>699.43227999999999</v>
      </c>
      <c r="F12" s="360">
        <v>466.28820000000002</v>
      </c>
      <c r="G12" s="360">
        <v>233.14411999999999</v>
      </c>
      <c r="H12" s="360">
        <v>0</v>
      </c>
      <c r="I12" s="360">
        <v>2630.40715</v>
      </c>
      <c r="J12" s="360">
        <v>2391.2792300000001</v>
      </c>
      <c r="K12" s="360">
        <v>2152.1513100000002</v>
      </c>
      <c r="L12" s="360">
        <v>1913.0233900000001</v>
      </c>
      <c r="M12" s="360">
        <v>1673.8954699999999</v>
      </c>
      <c r="N12" s="360">
        <v>1434.76755</v>
      </c>
      <c r="O12" s="360"/>
      <c r="P12" s="360">
        <v>478.25587000000002</v>
      </c>
      <c r="Q12" s="360">
        <v>239.12795</v>
      </c>
      <c r="R12" s="360">
        <v>3.0000000549534801E-5</v>
      </c>
      <c r="S12" s="360">
        <v>2683.01532</v>
      </c>
      <c r="T12" s="360">
        <v>2439.10484</v>
      </c>
      <c r="U12" s="360">
        <v>2195.19436</v>
      </c>
      <c r="V12" s="360">
        <v>1951.28388</v>
      </c>
      <c r="W12" s="360">
        <v>1707.3733999999999</v>
      </c>
      <c r="X12" s="360">
        <v>1463.4629199999999</v>
      </c>
      <c r="Y12" s="360">
        <v>1219.5524399999999</v>
      </c>
      <c r="Z12" s="360">
        <v>975.64196000000004</v>
      </c>
      <c r="AA12" s="360">
        <v>731.73148000000003</v>
      </c>
      <c r="AB12" s="360">
        <v>487.82100000000003</v>
      </c>
      <c r="AC12" s="360"/>
    </row>
    <row r="13" spans="1:29">
      <c r="A13" s="362" t="s">
        <v>1406</v>
      </c>
      <c r="B13" s="137">
        <v>5234.5339899999999</v>
      </c>
      <c r="C13" s="137">
        <v>5781.85376</v>
      </c>
      <c r="D13" s="137">
        <v>5839.1600799999997</v>
      </c>
      <c r="E13" s="137">
        <v>5420.8076499999997</v>
      </c>
      <c r="F13" s="137">
        <v>5941.3627399999996</v>
      </c>
      <c r="G13" s="137">
        <v>6022.6024900000002</v>
      </c>
      <c r="H13" s="137">
        <v>5544.5416400000004</v>
      </c>
      <c r="I13" s="137">
        <v>5544.5416400000004</v>
      </c>
      <c r="J13" s="137">
        <v>5544.5416400000004</v>
      </c>
      <c r="K13" s="137">
        <v>5544.5416400000004</v>
      </c>
      <c r="L13" s="137">
        <v>5544.5416400000004</v>
      </c>
      <c r="M13" s="137">
        <v>5544.5416400000004</v>
      </c>
      <c r="N13" s="137">
        <v>5544.5416400000004</v>
      </c>
      <c r="O13" s="137"/>
      <c r="P13" s="137">
        <v>5544.5416400000004</v>
      </c>
      <c r="Q13" s="137">
        <v>5544.5416400000004</v>
      </c>
      <c r="R13" s="137">
        <v>5544.5416400000004</v>
      </c>
      <c r="S13" s="137">
        <v>5544.5416400000004</v>
      </c>
      <c r="T13" s="137">
        <v>5544.5416400000004</v>
      </c>
      <c r="U13" s="137">
        <v>5544.5416400000004</v>
      </c>
      <c r="V13" s="137">
        <v>5544.5416400000004</v>
      </c>
      <c r="W13" s="137">
        <v>5544.5416400000004</v>
      </c>
      <c r="X13" s="137">
        <v>5544.5416400000004</v>
      </c>
      <c r="Y13" s="137">
        <v>5544.5416400000004</v>
      </c>
      <c r="Z13" s="137">
        <v>5544.5416400000004</v>
      </c>
      <c r="AA13" s="137">
        <v>5544.5416400000004</v>
      </c>
      <c r="AB13" s="137">
        <v>5544.5416400000004</v>
      </c>
      <c r="AC13" s="137"/>
    </row>
    <row r="14" spans="1:29">
      <c r="A14" s="362" t="s">
        <v>1407</v>
      </c>
      <c r="B14" s="137">
        <v>12039.6384</v>
      </c>
      <c r="C14" s="137">
        <v>10857.234839999999</v>
      </c>
      <c r="D14" s="137">
        <v>10234.65244</v>
      </c>
      <c r="E14" s="137">
        <v>10159.93778</v>
      </c>
      <c r="F14" s="137">
        <v>8909.2080399999995</v>
      </c>
      <c r="G14" s="137">
        <v>8202.8112500000007</v>
      </c>
      <c r="H14" s="137">
        <v>8584.8231799999994</v>
      </c>
      <c r="I14" s="137">
        <v>8584.8231799999994</v>
      </c>
      <c r="J14" s="137">
        <v>8584.8231799999994</v>
      </c>
      <c r="K14" s="137">
        <v>8584.8231799999994</v>
      </c>
      <c r="L14" s="137">
        <v>8584.8231799999994</v>
      </c>
      <c r="M14" s="137">
        <v>8584.8231799999994</v>
      </c>
      <c r="N14" s="137">
        <v>8584.8231799999994</v>
      </c>
      <c r="O14" s="137"/>
      <c r="P14" s="137">
        <v>8584.8231799999994</v>
      </c>
      <c r="Q14" s="137">
        <v>8584.8231799999994</v>
      </c>
      <c r="R14" s="137">
        <v>8584.8231799999994</v>
      </c>
      <c r="S14" s="137">
        <v>8584.8231799999994</v>
      </c>
      <c r="T14" s="137">
        <v>8584.8231799999994</v>
      </c>
      <c r="U14" s="137">
        <v>8584.8231799999994</v>
      </c>
      <c r="V14" s="137">
        <v>8584.8231799999994</v>
      </c>
      <c r="W14" s="137">
        <v>8584.8231799999994</v>
      </c>
      <c r="X14" s="137">
        <v>8584.8231799999994</v>
      </c>
      <c r="Y14" s="137">
        <v>8584.8231799999994</v>
      </c>
      <c r="Z14" s="137">
        <v>8584.8231799999994</v>
      </c>
      <c r="AA14" s="137">
        <v>8584.8231799999994</v>
      </c>
      <c r="AB14" s="137">
        <v>8584.8231799999994</v>
      </c>
      <c r="AC14" s="137"/>
    </row>
    <row r="15" spans="1:29" ht="15.75"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</row>
    <row r="16" spans="1:29">
      <c r="A16" s="371" t="s">
        <v>1755</v>
      </c>
      <c r="B16" s="372"/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AC16" s="373"/>
    </row>
    <row r="17" spans="1:29">
      <c r="A17" s="362" t="s">
        <v>1409</v>
      </c>
      <c r="B17" s="362">
        <v>0.98480000000000001</v>
      </c>
      <c r="C17" s="362">
        <v>0.98329999999999995</v>
      </c>
      <c r="D17" s="362">
        <v>0.98329999999999995</v>
      </c>
      <c r="E17" s="362">
        <v>0.98329999999999995</v>
      </c>
      <c r="F17" s="362">
        <v>0.98270000000000002</v>
      </c>
      <c r="G17" s="362">
        <v>0.98270000000000002</v>
      </c>
      <c r="H17" s="362">
        <v>0.98270000000000002</v>
      </c>
      <c r="I17" s="362">
        <v>0.98270000000000002</v>
      </c>
      <c r="J17" s="362">
        <v>0.98270000000000002</v>
      </c>
      <c r="K17" s="362">
        <v>0.98270000000000002</v>
      </c>
      <c r="L17" s="362">
        <v>0.98270000000000002</v>
      </c>
      <c r="M17" s="362">
        <v>0.98270000000000002</v>
      </c>
      <c r="N17" s="362">
        <v>0.98270000000000002</v>
      </c>
      <c r="P17" s="362">
        <v>0.98270000000000002</v>
      </c>
      <c r="Q17" s="362">
        <v>0.98270000000000002</v>
      </c>
      <c r="R17" s="362">
        <v>0.98270000000000002</v>
      </c>
      <c r="S17" s="362">
        <v>0.98270000000000002</v>
      </c>
      <c r="T17" s="362">
        <v>0.98270000000000002</v>
      </c>
      <c r="U17" s="362">
        <v>0.98270000000000002</v>
      </c>
      <c r="V17" s="362">
        <v>0.98270000000000002</v>
      </c>
      <c r="W17" s="362">
        <v>0.98270000000000002</v>
      </c>
      <c r="X17" s="362">
        <v>0.98270000000000002</v>
      </c>
      <c r="Y17" s="362">
        <v>0.98270000000000002</v>
      </c>
      <c r="Z17" s="362">
        <v>0.98270000000000002</v>
      </c>
      <c r="AA17" s="362">
        <v>0.98270000000000002</v>
      </c>
      <c r="AB17" s="362">
        <v>0.98270000000000002</v>
      </c>
    </row>
    <row r="18" spans="1:29">
      <c r="A18" s="362" t="s">
        <v>1410</v>
      </c>
      <c r="B18" s="362">
        <v>0.81969999999999998</v>
      </c>
      <c r="C18" s="362">
        <v>0.81389999999999996</v>
      </c>
      <c r="D18" s="362">
        <v>0.81389999999999996</v>
      </c>
      <c r="E18" s="362">
        <v>0.81389999999999996</v>
      </c>
      <c r="F18" s="362">
        <v>0.80589999999999995</v>
      </c>
      <c r="G18" s="362">
        <v>0.80589999999999995</v>
      </c>
      <c r="H18" s="362">
        <v>0.80589999999999995</v>
      </c>
      <c r="I18" s="362">
        <v>0.80589999999999995</v>
      </c>
      <c r="J18" s="362">
        <v>0.80589999999999995</v>
      </c>
      <c r="K18" s="362">
        <v>0.80589999999999995</v>
      </c>
      <c r="L18" s="362">
        <v>0.80589999999999995</v>
      </c>
      <c r="M18" s="362">
        <v>0.80589999999999995</v>
      </c>
      <c r="N18" s="362">
        <v>0.80589999999999995</v>
      </c>
      <c r="P18" s="362">
        <v>0.80589999999999995</v>
      </c>
      <c r="Q18" s="362">
        <v>0.80589999999999995</v>
      </c>
      <c r="R18" s="362">
        <v>0.80589999999999995</v>
      </c>
      <c r="S18" s="362">
        <v>0.80589999999999995</v>
      </c>
      <c r="T18" s="362">
        <v>0.80589999999999995</v>
      </c>
      <c r="U18" s="362">
        <v>0.80589999999999995</v>
      </c>
      <c r="V18" s="362">
        <v>0.80589999999999995</v>
      </c>
      <c r="W18" s="362">
        <v>0.80589999999999995</v>
      </c>
      <c r="X18" s="362">
        <v>0.80589999999999995</v>
      </c>
      <c r="Y18" s="362">
        <v>0.80589999999999995</v>
      </c>
      <c r="Z18" s="362">
        <v>0.80589999999999995</v>
      </c>
      <c r="AA18" s="362">
        <v>0.80589999999999995</v>
      </c>
      <c r="AB18" s="362">
        <v>0.80589999999999995</v>
      </c>
    </row>
    <row r="19" spans="1:29">
      <c r="A19" s="362" t="s">
        <v>1411</v>
      </c>
      <c r="B19" s="362">
        <v>0.51459867367304202</v>
      </c>
      <c r="C19" s="362">
        <v>0.50311105290879454</v>
      </c>
      <c r="D19" s="362">
        <v>0.50311105290879454</v>
      </c>
      <c r="E19" s="362">
        <v>0.50311105290879454</v>
      </c>
      <c r="F19" s="362">
        <v>0.45737759831443775</v>
      </c>
      <c r="G19" s="362">
        <v>0.45737759831443775</v>
      </c>
      <c r="H19" s="362">
        <v>0.45737759831443775</v>
      </c>
      <c r="I19" s="362">
        <v>0.45737759831443775</v>
      </c>
      <c r="J19" s="362">
        <v>0.45737759831443775</v>
      </c>
      <c r="K19" s="362">
        <v>0.45737759831443775</v>
      </c>
      <c r="L19" s="362">
        <v>0.45737759831443775</v>
      </c>
      <c r="M19" s="362">
        <v>0.45737759831443775</v>
      </c>
      <c r="N19" s="362">
        <v>0.45737759831443775</v>
      </c>
      <c r="P19" s="362">
        <v>0.45737759831443775</v>
      </c>
      <c r="Q19" s="362">
        <v>0.45737759831443775</v>
      </c>
      <c r="R19" s="362">
        <v>0.45737759831443775</v>
      </c>
      <c r="S19" s="362">
        <v>0.45737759831443775</v>
      </c>
      <c r="T19" s="362">
        <v>0.45737759831443775</v>
      </c>
      <c r="U19" s="362">
        <v>0.45737759831443775</v>
      </c>
      <c r="V19" s="362">
        <v>0.45737759831443775</v>
      </c>
      <c r="W19" s="362">
        <v>0.45737759831443775</v>
      </c>
      <c r="X19" s="362">
        <v>0.45737759831443775</v>
      </c>
      <c r="Y19" s="362">
        <v>0.45737759831443775</v>
      </c>
      <c r="Z19" s="362">
        <v>0.45737759831443775</v>
      </c>
      <c r="AA19" s="362">
        <v>0.45737759831443775</v>
      </c>
      <c r="AB19" s="362">
        <v>0.45737759831443775</v>
      </c>
    </row>
    <row r="20" spans="1:29">
      <c r="A20" s="362" t="s">
        <v>1412</v>
      </c>
      <c r="B20" s="362">
        <v>0.51459867367304202</v>
      </c>
      <c r="C20" s="362">
        <v>0.50311105290879454</v>
      </c>
      <c r="D20" s="362">
        <v>0.50311105290879454</v>
      </c>
      <c r="E20" s="362">
        <v>0.50311105290879454</v>
      </c>
      <c r="F20" s="362">
        <v>0.45737759831443775</v>
      </c>
      <c r="G20" s="362">
        <v>0.45737759831443775</v>
      </c>
      <c r="H20" s="362">
        <v>0.45737759831443775</v>
      </c>
      <c r="I20" s="362">
        <v>0.45737759831443775</v>
      </c>
      <c r="J20" s="362">
        <v>0.45737759831443775</v>
      </c>
      <c r="K20" s="362">
        <v>0.45737759831443775</v>
      </c>
      <c r="L20" s="362">
        <v>0.45737759831443775</v>
      </c>
      <c r="M20" s="362">
        <v>0.45737759831443775</v>
      </c>
      <c r="N20" s="362">
        <v>0.45737759831443775</v>
      </c>
      <c r="P20" s="362">
        <v>0.45737759831443775</v>
      </c>
      <c r="Q20" s="362">
        <v>0.45737759831443775</v>
      </c>
      <c r="R20" s="362">
        <v>0.45737759831443775</v>
      </c>
      <c r="S20" s="362">
        <v>0.45737759831443775</v>
      </c>
      <c r="T20" s="362">
        <v>0.45737759831443775</v>
      </c>
      <c r="U20" s="362">
        <v>0.45737759831443775</v>
      </c>
      <c r="V20" s="362">
        <v>0.45737759831443775</v>
      </c>
      <c r="W20" s="362">
        <v>0.45737759831443775</v>
      </c>
      <c r="X20" s="362">
        <v>0.45737759831443775</v>
      </c>
      <c r="Y20" s="362">
        <v>0.45737759831443775</v>
      </c>
      <c r="Z20" s="362">
        <v>0.45737759831443775</v>
      </c>
      <c r="AA20" s="362">
        <v>0.45737759831443775</v>
      </c>
      <c r="AB20" s="362">
        <v>0.45737759831443775</v>
      </c>
    </row>
    <row r="21" spans="1:29"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</row>
    <row r="22" spans="1:29">
      <c r="A22" s="370" t="s">
        <v>1413</v>
      </c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</row>
    <row r="23" spans="1:29">
      <c r="A23" s="362" t="s">
        <v>1400</v>
      </c>
      <c r="B23" s="137">
        <f t="shared" ref="B23:L23" si="0">B5</f>
        <v>44674.354249999997</v>
      </c>
      <c r="C23" s="137">
        <f t="shared" si="0"/>
        <v>36194.706979999901</v>
      </c>
      <c r="D23" s="137">
        <f t="shared" si="0"/>
        <v>32536.419109999999</v>
      </c>
      <c r="E23" s="137">
        <f t="shared" si="0"/>
        <v>36730.374849999898</v>
      </c>
      <c r="F23" s="137">
        <f t="shared" si="0"/>
        <v>43950.165579999899</v>
      </c>
      <c r="G23" s="137">
        <f t="shared" si="0"/>
        <v>46901.064250000003</v>
      </c>
      <c r="H23" s="137">
        <f t="shared" si="0"/>
        <v>41206.230150000003</v>
      </c>
      <c r="I23" s="137">
        <f t="shared" si="0"/>
        <v>37503.155004883301</v>
      </c>
      <c r="J23" s="137">
        <f t="shared" si="0"/>
        <v>30747.461391899302</v>
      </c>
      <c r="K23" s="137">
        <f t="shared" si="0"/>
        <v>39391.619584096799</v>
      </c>
      <c r="L23" s="137">
        <f t="shared" si="0"/>
        <v>40522.766288974497</v>
      </c>
      <c r="M23" s="137">
        <f>M5</f>
        <v>41119.755209223898</v>
      </c>
      <c r="N23" s="137">
        <f>N5</f>
        <v>38121.0405845653</v>
      </c>
      <c r="O23" s="137">
        <f t="shared" ref="O23:O28" si="1">SUM(B23:L23,M23:N23)/13</f>
        <v>39199.931787203292</v>
      </c>
      <c r="P23" s="360">
        <f>P5</f>
        <v>38156.313696621102</v>
      </c>
      <c r="Q23" s="360">
        <f>Q5</f>
        <v>37513.084014191103</v>
      </c>
      <c r="R23" s="360">
        <f>R5</f>
        <v>36496.021667492401</v>
      </c>
      <c r="S23" s="360">
        <f>S5</f>
        <v>33358.826645398403</v>
      </c>
      <c r="T23" s="360">
        <f>T5</f>
        <v>30853.209203817099</v>
      </c>
      <c r="U23" s="360">
        <f t="shared" ref="U23:AB23" si="2">U5</f>
        <v>30682.781866276298</v>
      </c>
      <c r="V23" s="360">
        <f t="shared" si="2"/>
        <v>34574.388003396598</v>
      </c>
      <c r="W23" s="360">
        <f t="shared" si="2"/>
        <v>38627.981848324198</v>
      </c>
      <c r="X23" s="360">
        <f t="shared" si="2"/>
        <v>37479.930749208601</v>
      </c>
      <c r="Y23" s="360">
        <f t="shared" si="2"/>
        <v>34507.322255361498</v>
      </c>
      <c r="Z23" s="360">
        <f t="shared" si="2"/>
        <v>33429.674094089998</v>
      </c>
      <c r="AA23" s="360">
        <f t="shared" si="2"/>
        <v>31214.513367185002</v>
      </c>
      <c r="AB23" s="360">
        <f t="shared" si="2"/>
        <v>36661.446817203701</v>
      </c>
      <c r="AC23" s="137">
        <f t="shared" ref="AC23:AC28" si="3">SUM(P23:V23,W23:AB23)/13</f>
        <v>34888.884171428152</v>
      </c>
    </row>
    <row r="24" spans="1:29">
      <c r="A24" s="362" t="s">
        <v>1401</v>
      </c>
      <c r="B24" s="137">
        <f t="shared" ref="B24:L24" si="4">B6*B$17</f>
        <v>34941.250908680006</v>
      </c>
      <c r="C24" s="137">
        <f t="shared" si="4"/>
        <v>35589.870155825993</v>
      </c>
      <c r="D24" s="137">
        <f t="shared" si="4"/>
        <v>35905.516083267998</v>
      </c>
      <c r="E24" s="137">
        <f t="shared" si="4"/>
        <v>36435.342076456</v>
      </c>
      <c r="F24" s="137">
        <f t="shared" si="4"/>
        <v>36499.280635398994</v>
      </c>
      <c r="G24" s="137">
        <f t="shared" si="4"/>
        <v>36801.264060415902</v>
      </c>
      <c r="H24" s="137">
        <f t="shared" si="4"/>
        <v>36695.221031166999</v>
      </c>
      <c r="I24" s="137">
        <f t="shared" si="4"/>
        <v>36675.567031167004</v>
      </c>
      <c r="J24" s="137">
        <f t="shared" si="4"/>
        <v>36655.913031167001</v>
      </c>
      <c r="K24" s="137">
        <f t="shared" si="4"/>
        <v>36636.259031166999</v>
      </c>
      <c r="L24" s="137">
        <f t="shared" si="4"/>
        <v>36248.092531167</v>
      </c>
      <c r="M24" s="137">
        <f>M6*M$17</f>
        <v>36228.438531166998</v>
      </c>
      <c r="N24" s="137">
        <f>N6*N$17</f>
        <v>36208.784531167003</v>
      </c>
      <c r="O24" s="137">
        <f t="shared" si="1"/>
        <v>36270.830741401071</v>
      </c>
      <c r="P24" s="360">
        <f>P6*P$17</f>
        <v>36130.169160095</v>
      </c>
      <c r="Q24" s="360">
        <f>Q6*Q$17</f>
        <v>36110.515317327001</v>
      </c>
      <c r="R24" s="360">
        <f>R6*R$17</f>
        <v>36061.380160095003</v>
      </c>
      <c r="S24" s="360">
        <f>S6*S$17</f>
        <v>36012.245002863005</v>
      </c>
      <c r="T24" s="360">
        <f>T6*T$17</f>
        <v>35963.109845630999</v>
      </c>
      <c r="U24" s="360">
        <f t="shared" ref="U24:AB24" si="5">U6*U$17</f>
        <v>35845.185688399004</v>
      </c>
      <c r="V24" s="360">
        <f t="shared" si="5"/>
        <v>35825.531845630998</v>
      </c>
      <c r="W24" s="360">
        <f t="shared" si="5"/>
        <v>35805.878002863006</v>
      </c>
      <c r="X24" s="360">
        <f t="shared" si="5"/>
        <v>35786.224160095</v>
      </c>
      <c r="Y24" s="360">
        <f t="shared" si="5"/>
        <v>35766.569963554997</v>
      </c>
      <c r="Z24" s="360">
        <f t="shared" si="5"/>
        <v>35746.915767015002</v>
      </c>
      <c r="AA24" s="360">
        <f t="shared" si="5"/>
        <v>35727.261570474999</v>
      </c>
      <c r="AB24" s="360">
        <f t="shared" si="5"/>
        <v>35707.607373934996</v>
      </c>
      <c r="AC24" s="137">
        <f t="shared" si="3"/>
        <v>35883.737989075307</v>
      </c>
    </row>
    <row r="25" spans="1:29">
      <c r="A25" s="362" t="s">
        <v>1402</v>
      </c>
      <c r="B25" s="335">
        <f t="shared" ref="B25:L25" si="6">B7</f>
        <v>0.14692</v>
      </c>
      <c r="C25" s="335">
        <f t="shared" si="6"/>
        <v>0.14646000000000001</v>
      </c>
      <c r="D25" s="335">
        <f t="shared" si="6"/>
        <v>0.14618</v>
      </c>
      <c r="E25" s="335">
        <f t="shared" si="6"/>
        <v>0.14588000000000001</v>
      </c>
      <c r="F25" s="335">
        <f t="shared" si="6"/>
        <v>0.14562</v>
      </c>
      <c r="G25" s="335">
        <f t="shared" si="6"/>
        <v>0.14532</v>
      </c>
      <c r="H25" s="335">
        <f t="shared" si="6"/>
        <v>0.14491999999999999</v>
      </c>
      <c r="I25" s="335">
        <f t="shared" si="6"/>
        <v>0.14491999999999999</v>
      </c>
      <c r="J25" s="335">
        <f t="shared" si="6"/>
        <v>0.14491999999999999</v>
      </c>
      <c r="K25" s="335">
        <f t="shared" si="6"/>
        <v>0.14491999999999999</v>
      </c>
      <c r="L25" s="335">
        <f t="shared" si="6"/>
        <v>0.14491999999999999</v>
      </c>
      <c r="M25" s="335">
        <f>M7</f>
        <v>0.14491999999999999</v>
      </c>
      <c r="N25" s="335">
        <f>N7</f>
        <v>0.14491999999999999</v>
      </c>
      <c r="O25" s="335">
        <f t="shared" si="1"/>
        <v>0.14544769230769228</v>
      </c>
      <c r="P25" s="335">
        <f>P7</f>
        <v>0.14491999999999999</v>
      </c>
      <c r="Q25" s="335">
        <f>Q7</f>
        <v>0.14491999999999999</v>
      </c>
      <c r="R25" s="335">
        <f>R7</f>
        <v>0.14491999999999999</v>
      </c>
      <c r="S25" s="335">
        <f>S7</f>
        <v>0.14491999999999999</v>
      </c>
      <c r="T25" s="335">
        <f>T7</f>
        <v>0.14491999999999999</v>
      </c>
      <c r="U25" s="335">
        <f t="shared" ref="U25:AB25" si="7">U7</f>
        <v>0.14491999999999999</v>
      </c>
      <c r="V25" s="335">
        <f t="shared" si="7"/>
        <v>0.14491999999999999</v>
      </c>
      <c r="W25" s="335">
        <f t="shared" si="7"/>
        <v>0.14491999999999999</v>
      </c>
      <c r="X25" s="335">
        <f t="shared" si="7"/>
        <v>0.14491999999999999</v>
      </c>
      <c r="Y25" s="335">
        <f t="shared" si="7"/>
        <v>0.14491999999999999</v>
      </c>
      <c r="Z25" s="335">
        <f t="shared" si="7"/>
        <v>0.14491999999999999</v>
      </c>
      <c r="AA25" s="335">
        <f t="shared" si="7"/>
        <v>0.14491999999999999</v>
      </c>
      <c r="AB25" s="335">
        <f t="shared" si="7"/>
        <v>0.14491999999999999</v>
      </c>
      <c r="AC25" s="335">
        <f t="shared" si="3"/>
        <v>0.14491999999999997</v>
      </c>
    </row>
    <row r="26" spans="1:29">
      <c r="A26" s="362" t="s">
        <v>1403</v>
      </c>
      <c r="B26" s="137">
        <f t="shared" ref="B26:L26" si="8">B8*B$17</f>
        <v>7537.7775138719999</v>
      </c>
      <c r="C26" s="137">
        <f t="shared" si="8"/>
        <v>7542.9067485779997</v>
      </c>
      <c r="D26" s="137">
        <f t="shared" si="8"/>
        <v>7477.4483594149997</v>
      </c>
      <c r="E26" s="137">
        <f t="shared" si="8"/>
        <v>7614.9382720819895</v>
      </c>
      <c r="F26" s="137">
        <f t="shared" si="8"/>
        <v>7617.7682896980004</v>
      </c>
      <c r="G26" s="137">
        <f t="shared" si="8"/>
        <v>7597.4349295339898</v>
      </c>
      <c r="H26" s="137">
        <f t="shared" si="8"/>
        <v>7751.8060048509997</v>
      </c>
      <c r="I26" s="137">
        <f t="shared" si="8"/>
        <v>7751.8060048509997</v>
      </c>
      <c r="J26" s="137">
        <f t="shared" si="8"/>
        <v>7751.8060048509997</v>
      </c>
      <c r="K26" s="137">
        <f t="shared" si="8"/>
        <v>7751.8060048509997</v>
      </c>
      <c r="L26" s="137">
        <f t="shared" si="8"/>
        <v>7751.8060048509997</v>
      </c>
      <c r="M26" s="137">
        <f>M8*M$17</f>
        <v>7751.8060048509997</v>
      </c>
      <c r="N26" s="137">
        <f>N8*N$17</f>
        <v>7751.8060048509997</v>
      </c>
      <c r="O26" s="137">
        <f t="shared" si="1"/>
        <v>7665.4550882412277</v>
      </c>
      <c r="P26" s="137">
        <f>P8*P$17</f>
        <v>7751.8060048509997</v>
      </c>
      <c r="Q26" s="137">
        <f>Q8*Q$17</f>
        <v>7751.8060048509997</v>
      </c>
      <c r="R26" s="137">
        <f>R8*R$17</f>
        <v>7751.8060048509997</v>
      </c>
      <c r="S26" s="137">
        <f>S8*S$17</f>
        <v>7751.8060048509997</v>
      </c>
      <c r="T26" s="137">
        <f>T8*T$17</f>
        <v>7751.8060048509997</v>
      </c>
      <c r="U26" s="137">
        <f t="shared" ref="U26:AB26" si="9">U8*U$17</f>
        <v>7751.8060048509997</v>
      </c>
      <c r="V26" s="137">
        <f t="shared" si="9"/>
        <v>7751.8060048509997</v>
      </c>
      <c r="W26" s="137">
        <f t="shared" si="9"/>
        <v>7751.8060048509997</v>
      </c>
      <c r="X26" s="137">
        <f t="shared" si="9"/>
        <v>7751.8060048509997</v>
      </c>
      <c r="Y26" s="137">
        <f t="shared" si="9"/>
        <v>7751.8060048509997</v>
      </c>
      <c r="Z26" s="137">
        <f t="shared" si="9"/>
        <v>7751.8060048509997</v>
      </c>
      <c r="AA26" s="137">
        <f t="shared" si="9"/>
        <v>7751.8060048509997</v>
      </c>
      <c r="AB26" s="137">
        <f t="shared" si="9"/>
        <v>7751.8060048509997</v>
      </c>
      <c r="AC26" s="137">
        <f t="shared" si="3"/>
        <v>7751.8060048509988</v>
      </c>
    </row>
    <row r="27" spans="1:29">
      <c r="A27" s="362" t="s">
        <v>1404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>
        <f t="shared" si="1"/>
        <v>0</v>
      </c>
      <c r="AC27" s="137">
        <f t="shared" si="3"/>
        <v>0</v>
      </c>
    </row>
    <row r="28" spans="1:29">
      <c r="A28" s="362" t="s">
        <v>1405</v>
      </c>
      <c r="B28" s="137">
        <f t="shared" ref="B28:L30" si="10">B10*B$18</f>
        <v>8127.3530747079994</v>
      </c>
      <c r="C28" s="137">
        <f t="shared" si="10"/>
        <v>9825.4449459359985</v>
      </c>
      <c r="D28" s="137">
        <f t="shared" si="10"/>
        <v>9949.9410514349984</v>
      </c>
      <c r="E28" s="137">
        <f t="shared" si="10"/>
        <v>9222.7134577710003</v>
      </c>
      <c r="F28" s="137">
        <f t="shared" si="10"/>
        <v>12141.294492882</v>
      </c>
      <c r="G28" s="137">
        <f t="shared" si="10"/>
        <v>13003.24783583</v>
      </c>
      <c r="H28" s="137">
        <f t="shared" si="10"/>
        <v>12289.534511177999</v>
      </c>
      <c r="I28" s="137">
        <f t="shared" si="10"/>
        <v>11711.402306086216</v>
      </c>
      <c r="J28" s="137">
        <f t="shared" si="10"/>
        <v>10664.750149604077</v>
      </c>
      <c r="K28" s="137">
        <f t="shared" si="10"/>
        <v>10452.387222887854</v>
      </c>
      <c r="L28" s="137">
        <f t="shared" si="10"/>
        <v>9884.5504730976227</v>
      </c>
      <c r="M28" s="137">
        <f t="shared" ref="M28:N30" si="11">M10*M$18</f>
        <v>9406.7225274827724</v>
      </c>
      <c r="N28" s="137">
        <f t="shared" si="11"/>
        <v>9122.3273966413235</v>
      </c>
      <c r="O28" s="137">
        <f t="shared" si="1"/>
        <v>10446.282265041527</v>
      </c>
      <c r="P28" s="137">
        <f t="shared" ref="P28:S30" si="12">P10*P$18</f>
        <v>12893.242581001228</v>
      </c>
      <c r="Q28" s="137">
        <f t="shared" si="12"/>
        <v>11765.262022989016</v>
      </c>
      <c r="R28" s="137">
        <f t="shared" si="12"/>
        <v>11619.037846879804</v>
      </c>
      <c r="S28" s="137">
        <f t="shared" si="12"/>
        <v>10517.421227461591</v>
      </c>
      <c r="T28" s="137">
        <f>T10*T$18</f>
        <v>9391.5423063591043</v>
      </c>
      <c r="U28" s="137">
        <f t="shared" ref="U28:AB30" si="13">U10*U$18</f>
        <v>9053.5687724400595</v>
      </c>
      <c r="V28" s="137">
        <f t="shared" si="13"/>
        <v>8640.2562276550943</v>
      </c>
      <c r="W28" s="137">
        <f t="shared" si="13"/>
        <v>8097.1347552408861</v>
      </c>
      <c r="X28" s="137">
        <f t="shared" si="13"/>
        <v>8268.5474030609494</v>
      </c>
      <c r="Y28" s="137">
        <f t="shared" si="13"/>
        <v>11459.331992028396</v>
      </c>
      <c r="Z28" s="137">
        <f t="shared" si="13"/>
        <v>10572.804920298458</v>
      </c>
      <c r="AA28" s="137">
        <f t="shared" si="13"/>
        <v>9271.2314023945237</v>
      </c>
      <c r="AB28" s="137">
        <f t="shared" si="13"/>
        <v>13619.015763915731</v>
      </c>
      <c r="AC28" s="137">
        <f t="shared" si="3"/>
        <v>10397.569017055757</v>
      </c>
    </row>
    <row r="29" spans="1:29">
      <c r="A29" s="362" t="s">
        <v>1753</v>
      </c>
      <c r="B29" s="137">
        <f t="shared" si="10"/>
        <v>2978.6958869709997</v>
      </c>
      <c r="C29" s="137">
        <f t="shared" si="10"/>
        <v>3267.3642977969998</v>
      </c>
      <c r="D29" s="137">
        <f t="shared" si="10"/>
        <v>3346.3512417689994</v>
      </c>
      <c r="E29" s="137">
        <f t="shared" si="10"/>
        <v>3286.398578286</v>
      </c>
      <c r="F29" s="137">
        <f t="shared" si="10"/>
        <v>3128.5771530179995</v>
      </c>
      <c r="G29" s="137">
        <f t="shared" si="10"/>
        <v>2958.3964508089998</v>
      </c>
      <c r="H29" s="137">
        <f t="shared" si="10"/>
        <v>2800.3458894529999</v>
      </c>
      <c r="I29" s="137">
        <f t="shared" si="10"/>
        <v>2800.3458894529999</v>
      </c>
      <c r="J29" s="137">
        <f t="shared" si="10"/>
        <v>2800.3458894529999</v>
      </c>
      <c r="K29" s="137">
        <f t="shared" si="10"/>
        <v>2800.3458894529999</v>
      </c>
      <c r="L29" s="137">
        <f t="shared" si="10"/>
        <v>2800.3458894529999</v>
      </c>
      <c r="M29" s="137">
        <f t="shared" si="11"/>
        <v>2800.3458894529999</v>
      </c>
      <c r="N29" s="137">
        <f t="shared" si="11"/>
        <v>2800.3458894529999</v>
      </c>
      <c r="O29" s="137">
        <f>SUM(B29:L29,M29:N29)/13</f>
        <v>2966.7849872939232</v>
      </c>
      <c r="P29" s="137">
        <f t="shared" si="12"/>
        <v>2800.3458894529999</v>
      </c>
      <c r="Q29" s="137">
        <f t="shared" si="12"/>
        <v>2800.3458894529999</v>
      </c>
      <c r="R29" s="137">
        <f t="shared" si="12"/>
        <v>2800.3458894529999</v>
      </c>
      <c r="S29" s="137">
        <f t="shared" si="12"/>
        <v>2800.3458894529999</v>
      </c>
      <c r="T29" s="137">
        <f>T11*T$18</f>
        <v>2800.3458894529999</v>
      </c>
      <c r="U29" s="137">
        <f t="shared" si="13"/>
        <v>2800.3458894529999</v>
      </c>
      <c r="V29" s="137">
        <f t="shared" si="13"/>
        <v>2800.3458894529999</v>
      </c>
      <c r="W29" s="137">
        <f t="shared" si="13"/>
        <v>2800.3458894529999</v>
      </c>
      <c r="X29" s="137">
        <f t="shared" si="13"/>
        <v>2800.3458894529999</v>
      </c>
      <c r="Y29" s="137">
        <f t="shared" si="13"/>
        <v>2800.3458894529999</v>
      </c>
      <c r="Z29" s="137">
        <f t="shared" si="13"/>
        <v>2800.3458894529999</v>
      </c>
      <c r="AA29" s="137">
        <f t="shared" si="13"/>
        <v>2800.3458894529999</v>
      </c>
      <c r="AB29" s="137">
        <f t="shared" si="13"/>
        <v>2800.3458894529999</v>
      </c>
      <c r="AC29" s="137">
        <f>SUM(P29:V29,W29:AB29)/13</f>
        <v>2800.3458894530004</v>
      </c>
    </row>
    <row r="30" spans="1:29">
      <c r="A30" s="362" t="s">
        <v>1754</v>
      </c>
      <c r="B30" s="137">
        <f t="shared" si="10"/>
        <v>1146.649247044</v>
      </c>
      <c r="C30" s="137">
        <f t="shared" si="10"/>
        <v>948.77986611599999</v>
      </c>
      <c r="D30" s="137">
        <f t="shared" si="10"/>
        <v>759.02389940399996</v>
      </c>
      <c r="E30" s="137">
        <f t="shared" si="10"/>
        <v>569.26793269199993</v>
      </c>
      <c r="F30" s="137">
        <f t="shared" si="10"/>
        <v>375.78166038000001</v>
      </c>
      <c r="G30" s="137">
        <f t="shared" si="10"/>
        <v>187.89084630799996</v>
      </c>
      <c r="H30" s="137">
        <f t="shared" si="10"/>
        <v>0</v>
      </c>
      <c r="I30" s="137">
        <f t="shared" si="10"/>
        <v>2119.845122185</v>
      </c>
      <c r="J30" s="137">
        <f t="shared" si="10"/>
        <v>1927.1319314570001</v>
      </c>
      <c r="K30" s="137">
        <f t="shared" si="10"/>
        <v>1734.4187407290001</v>
      </c>
      <c r="L30" s="137">
        <f t="shared" si="10"/>
        <v>1541.7055500009999</v>
      </c>
      <c r="M30" s="137">
        <f t="shared" si="11"/>
        <v>1348.9923592729999</v>
      </c>
      <c r="N30" s="137">
        <f t="shared" si="11"/>
        <v>1156.2791685449999</v>
      </c>
      <c r="O30" s="137">
        <f>SUM(B30:L30,M30:N30)/13</f>
        <v>1062.7512557026153</v>
      </c>
      <c r="P30" s="137">
        <f t="shared" si="12"/>
        <v>385.426405633</v>
      </c>
      <c r="Q30" s="137">
        <f t="shared" si="12"/>
        <v>192.71321490499997</v>
      </c>
      <c r="R30" s="137">
        <f t="shared" si="12"/>
        <v>2.4177000442870095E-5</v>
      </c>
      <c r="S30" s="137">
        <f t="shared" si="12"/>
        <v>2162.2420463879998</v>
      </c>
      <c r="T30" s="137">
        <f>T12*T$18</f>
        <v>1965.6745905559999</v>
      </c>
      <c r="U30" s="137">
        <f t="shared" si="13"/>
        <v>1769.1071347239999</v>
      </c>
      <c r="V30" s="137">
        <f t="shared" si="13"/>
        <v>1572.5396788919998</v>
      </c>
      <c r="W30" s="137">
        <f t="shared" si="13"/>
        <v>1375.9722230599998</v>
      </c>
      <c r="X30" s="137">
        <f t="shared" si="13"/>
        <v>1179.4047672279999</v>
      </c>
      <c r="Y30" s="137">
        <f t="shared" si="13"/>
        <v>982.8373113959999</v>
      </c>
      <c r="Z30" s="137">
        <f t="shared" si="13"/>
        <v>786.26985556399995</v>
      </c>
      <c r="AA30" s="137">
        <f t="shared" si="13"/>
        <v>589.702399732</v>
      </c>
      <c r="AB30" s="137">
        <f t="shared" si="13"/>
        <v>393.1349439</v>
      </c>
      <c r="AC30" s="137">
        <f>SUM(P30:V30,W30:AB30)/13</f>
        <v>1027.3095843196154</v>
      </c>
    </row>
    <row r="31" spans="1:29">
      <c r="A31" s="362" t="s">
        <v>1406</v>
      </c>
      <c r="B31" s="137">
        <f t="shared" ref="B31:N31" si="14">B13*B$19</f>
        <v>2693.6842485504567</v>
      </c>
      <c r="C31" s="137">
        <f t="shared" si="14"/>
        <v>2908.9145329582725</v>
      </c>
      <c r="D31" s="137">
        <f t="shared" si="14"/>
        <v>2937.7459759518006</v>
      </c>
      <c r="E31" s="137">
        <f t="shared" si="14"/>
        <v>2727.2682444075481</v>
      </c>
      <c r="F31" s="137">
        <f t="shared" si="14"/>
        <v>2717.4462207360871</v>
      </c>
      <c r="G31" s="137">
        <f t="shared" si="14"/>
        <v>2754.6034624787526</v>
      </c>
      <c r="H31" s="137">
        <f t="shared" si="14"/>
        <v>2535.949139057594</v>
      </c>
      <c r="I31" s="137">
        <f t="shared" si="14"/>
        <v>2535.949139057594</v>
      </c>
      <c r="J31" s="137">
        <f>J13*J$19</f>
        <v>2535.949139057594</v>
      </c>
      <c r="K31" s="137">
        <f t="shared" si="14"/>
        <v>2535.949139057594</v>
      </c>
      <c r="L31" s="137">
        <f t="shared" si="14"/>
        <v>2535.949139057594</v>
      </c>
      <c r="M31" s="137">
        <f t="shared" si="14"/>
        <v>2535.949139057594</v>
      </c>
      <c r="N31" s="137">
        <f t="shared" si="14"/>
        <v>2535.949139057594</v>
      </c>
      <c r="O31" s="137">
        <f>SUM(B31:L31,M31:N31)/13</f>
        <v>2653.1774352681596</v>
      </c>
      <c r="P31" s="137">
        <f t="shared" ref="P31:AB31" si="15">P13*P$19</f>
        <v>2535.949139057594</v>
      </c>
      <c r="Q31" s="137">
        <f t="shared" si="15"/>
        <v>2535.949139057594</v>
      </c>
      <c r="R31" s="137">
        <f t="shared" si="15"/>
        <v>2535.949139057594</v>
      </c>
      <c r="S31" s="137">
        <f t="shared" si="15"/>
        <v>2535.949139057594</v>
      </c>
      <c r="T31" s="137">
        <f t="shared" si="15"/>
        <v>2535.949139057594</v>
      </c>
      <c r="U31" s="137">
        <f t="shared" si="15"/>
        <v>2535.949139057594</v>
      </c>
      <c r="V31" s="137">
        <f t="shared" si="15"/>
        <v>2535.949139057594</v>
      </c>
      <c r="W31" s="137">
        <f t="shared" si="15"/>
        <v>2535.949139057594</v>
      </c>
      <c r="X31" s="137">
        <f t="shared" si="15"/>
        <v>2535.949139057594</v>
      </c>
      <c r="Y31" s="137">
        <f t="shared" si="15"/>
        <v>2535.949139057594</v>
      </c>
      <c r="Z31" s="137">
        <f t="shared" si="15"/>
        <v>2535.949139057594</v>
      </c>
      <c r="AA31" s="137">
        <f t="shared" si="15"/>
        <v>2535.949139057594</v>
      </c>
      <c r="AB31" s="137">
        <f t="shared" si="15"/>
        <v>2535.949139057594</v>
      </c>
      <c r="AC31" s="137">
        <f t="shared" ref="AC31:AC40" si="16">SUM(P31:V31,W31:AB31)/13</f>
        <v>2535.9491390575936</v>
      </c>
    </row>
    <row r="32" spans="1:29">
      <c r="A32" s="362" t="s">
        <v>1407</v>
      </c>
      <c r="B32" s="137">
        <f t="shared" ref="B32:N32" si="17">B14*B$20</f>
        <v>6195.5819521430258</v>
      </c>
      <c r="C32" s="137">
        <f t="shared" si="17"/>
        <v>5462.3948520304466</v>
      </c>
      <c r="D32" s="137">
        <f t="shared" si="17"/>
        <v>5149.1667652439628</v>
      </c>
      <c r="E32" s="137">
        <f t="shared" si="17"/>
        <v>5111.5769939836409</v>
      </c>
      <c r="F32" s="137">
        <f t="shared" si="17"/>
        <v>4074.8721762188788</v>
      </c>
      <c r="G32" s="137">
        <f t="shared" si="17"/>
        <v>3751.7821089516515</v>
      </c>
      <c r="H32" s="137">
        <f t="shared" si="17"/>
        <v>3926.505808022514</v>
      </c>
      <c r="I32" s="137">
        <f t="shared" si="17"/>
        <v>3926.505808022514</v>
      </c>
      <c r="J32" s="137">
        <f t="shared" si="17"/>
        <v>3926.505808022514</v>
      </c>
      <c r="K32" s="137">
        <f t="shared" si="17"/>
        <v>3926.505808022514</v>
      </c>
      <c r="L32" s="137">
        <f t="shared" si="17"/>
        <v>3926.505808022514</v>
      </c>
      <c r="M32" s="137">
        <f t="shared" si="17"/>
        <v>3926.505808022514</v>
      </c>
      <c r="N32" s="137">
        <f t="shared" si="17"/>
        <v>3926.505808022514</v>
      </c>
      <c r="O32" s="137">
        <f>SUM(B32:L32,M32:N32)/13</f>
        <v>4402.3781157484</v>
      </c>
      <c r="P32" s="137">
        <f t="shared" ref="P32:AB32" si="18">P14*P$20</f>
        <v>3926.505808022514</v>
      </c>
      <c r="Q32" s="137">
        <f t="shared" si="18"/>
        <v>3926.505808022514</v>
      </c>
      <c r="R32" s="137">
        <f t="shared" si="18"/>
        <v>3926.505808022514</v>
      </c>
      <c r="S32" s="137">
        <f t="shared" si="18"/>
        <v>3926.505808022514</v>
      </c>
      <c r="T32" s="137">
        <f t="shared" si="18"/>
        <v>3926.505808022514</v>
      </c>
      <c r="U32" s="137">
        <f t="shared" si="18"/>
        <v>3926.505808022514</v>
      </c>
      <c r="V32" s="137">
        <f t="shared" si="18"/>
        <v>3926.505808022514</v>
      </c>
      <c r="W32" s="137">
        <f t="shared" si="18"/>
        <v>3926.505808022514</v>
      </c>
      <c r="X32" s="137">
        <f t="shared" si="18"/>
        <v>3926.505808022514</v>
      </c>
      <c r="Y32" s="137">
        <f t="shared" si="18"/>
        <v>3926.505808022514</v>
      </c>
      <c r="Z32" s="137">
        <f t="shared" si="18"/>
        <v>3926.505808022514</v>
      </c>
      <c r="AA32" s="137">
        <f t="shared" si="18"/>
        <v>3926.505808022514</v>
      </c>
      <c r="AB32" s="137">
        <f t="shared" si="18"/>
        <v>3926.505808022514</v>
      </c>
      <c r="AC32" s="137">
        <f t="shared" si="16"/>
        <v>3926.505808022514</v>
      </c>
    </row>
    <row r="33" spans="1:29">
      <c r="O33" s="137">
        <f t="shared" ref="O33:O40" si="19">SUM(B33:L33,M33:N33)/13</f>
        <v>0</v>
      </c>
      <c r="AC33" s="137">
        <f t="shared" si="16"/>
        <v>0</v>
      </c>
    </row>
    <row r="34" spans="1:29">
      <c r="A34" s="370" t="s">
        <v>1414</v>
      </c>
      <c r="O34" s="137">
        <f t="shared" si="19"/>
        <v>0</v>
      </c>
      <c r="AC34" s="137">
        <f t="shared" si="16"/>
        <v>0</v>
      </c>
    </row>
    <row r="35" spans="1:29">
      <c r="A35" s="362" t="s">
        <v>1400</v>
      </c>
      <c r="B35" s="137">
        <f>B5-B23</f>
        <v>0</v>
      </c>
      <c r="C35" s="137">
        <f t="shared" ref="C35:N37" si="20">C5-C23</f>
        <v>0</v>
      </c>
      <c r="D35" s="137">
        <f t="shared" si="20"/>
        <v>0</v>
      </c>
      <c r="E35" s="137">
        <f t="shared" si="20"/>
        <v>0</v>
      </c>
      <c r="F35" s="137">
        <f t="shared" si="20"/>
        <v>0</v>
      </c>
      <c r="G35" s="137">
        <f t="shared" si="20"/>
        <v>0</v>
      </c>
      <c r="H35" s="137">
        <f t="shared" si="20"/>
        <v>0</v>
      </c>
      <c r="I35" s="137">
        <f t="shared" si="20"/>
        <v>0</v>
      </c>
      <c r="J35" s="137">
        <f t="shared" si="20"/>
        <v>0</v>
      </c>
      <c r="K35" s="137">
        <f t="shared" si="20"/>
        <v>0</v>
      </c>
      <c r="L35" s="137">
        <f t="shared" si="20"/>
        <v>0</v>
      </c>
      <c r="M35" s="137">
        <f t="shared" si="20"/>
        <v>0</v>
      </c>
      <c r="N35" s="137">
        <f t="shared" si="20"/>
        <v>0</v>
      </c>
      <c r="O35" s="137">
        <f t="shared" si="19"/>
        <v>0</v>
      </c>
      <c r="P35" s="137">
        <f t="shared" ref="P35:AB37" si="21">P5-P23</f>
        <v>0</v>
      </c>
      <c r="Q35" s="137">
        <f t="shared" si="21"/>
        <v>0</v>
      </c>
      <c r="R35" s="137">
        <f t="shared" si="21"/>
        <v>0</v>
      </c>
      <c r="S35" s="137">
        <f t="shared" si="21"/>
        <v>0</v>
      </c>
      <c r="T35" s="137">
        <f t="shared" si="21"/>
        <v>0</v>
      </c>
      <c r="U35" s="137">
        <f t="shared" si="21"/>
        <v>0</v>
      </c>
      <c r="V35" s="137">
        <f t="shared" si="21"/>
        <v>0</v>
      </c>
      <c r="W35" s="137">
        <f t="shared" si="21"/>
        <v>0</v>
      </c>
      <c r="X35" s="137">
        <f t="shared" si="21"/>
        <v>0</v>
      </c>
      <c r="Y35" s="137">
        <f t="shared" si="21"/>
        <v>0</v>
      </c>
      <c r="Z35" s="137">
        <f t="shared" si="21"/>
        <v>0</v>
      </c>
      <c r="AA35" s="137">
        <f t="shared" si="21"/>
        <v>0</v>
      </c>
      <c r="AB35" s="137">
        <f t="shared" si="21"/>
        <v>0</v>
      </c>
      <c r="AC35" s="137">
        <f t="shared" si="16"/>
        <v>0</v>
      </c>
    </row>
    <row r="36" spans="1:29">
      <c r="A36" s="362" t="s">
        <v>1401</v>
      </c>
      <c r="B36" s="137">
        <f t="shared" ref="B36:N36" si="22">B6*(1-B$17)</f>
        <v>539.30444131999968</v>
      </c>
      <c r="C36" s="137">
        <f t="shared" si="22"/>
        <v>604.44506417400169</v>
      </c>
      <c r="D36" s="137">
        <f t="shared" si="22"/>
        <v>609.80587673200182</v>
      </c>
      <c r="E36" s="137">
        <f t="shared" si="22"/>
        <v>618.80424354400179</v>
      </c>
      <c r="F36" s="137">
        <f t="shared" si="22"/>
        <v>642.55373460099929</v>
      </c>
      <c r="G36" s="137">
        <f t="shared" si="22"/>
        <v>647.87001958399765</v>
      </c>
      <c r="H36" s="137">
        <f t="shared" si="22"/>
        <v>646.00317883299931</v>
      </c>
      <c r="I36" s="137">
        <f t="shared" si="22"/>
        <v>645.65717883299931</v>
      </c>
      <c r="J36" s="137">
        <f t="shared" si="22"/>
        <v>645.3111788329993</v>
      </c>
      <c r="K36" s="137">
        <f t="shared" si="22"/>
        <v>644.9651788329993</v>
      </c>
      <c r="L36" s="137">
        <f t="shared" si="22"/>
        <v>638.13167883299934</v>
      </c>
      <c r="M36" s="137">
        <f t="shared" si="22"/>
        <v>637.78567883299934</v>
      </c>
      <c r="N36" s="137">
        <f t="shared" si="22"/>
        <v>637.43967883299933</v>
      </c>
      <c r="O36" s="137">
        <f t="shared" si="19"/>
        <v>627.54439475276899</v>
      </c>
      <c r="P36" s="137">
        <f t="shared" ref="P36:AB36" si="23">P6*(1-P$17)</f>
        <v>636.05568990499933</v>
      </c>
      <c r="Q36" s="137">
        <f t="shared" si="23"/>
        <v>635.70969267299938</v>
      </c>
      <c r="R36" s="137">
        <f t="shared" si="23"/>
        <v>634.84468990499931</v>
      </c>
      <c r="S36" s="137">
        <f t="shared" si="23"/>
        <v>633.97968713699936</v>
      </c>
      <c r="T36" s="137">
        <f t="shared" si="23"/>
        <v>633.11468436899929</v>
      </c>
      <c r="U36" s="137">
        <f t="shared" si="23"/>
        <v>631.03868160099944</v>
      </c>
      <c r="V36" s="137">
        <f t="shared" si="23"/>
        <v>630.69268436899938</v>
      </c>
      <c r="W36" s="137">
        <f t="shared" si="23"/>
        <v>630.34668713699944</v>
      </c>
      <c r="X36" s="137">
        <f t="shared" si="23"/>
        <v>630.00068990499938</v>
      </c>
      <c r="Y36" s="137">
        <f t="shared" si="23"/>
        <v>629.65468644499924</v>
      </c>
      <c r="Z36" s="137">
        <f t="shared" si="23"/>
        <v>629.30868298499934</v>
      </c>
      <c r="AA36" s="137">
        <f t="shared" si="23"/>
        <v>628.96267952499932</v>
      </c>
      <c r="AB36" s="137">
        <f t="shared" si="23"/>
        <v>628.6166760649993</v>
      </c>
      <c r="AC36" s="137">
        <f t="shared" si="16"/>
        <v>631.7173778477686</v>
      </c>
    </row>
    <row r="37" spans="1:29">
      <c r="A37" s="362" t="s">
        <v>1402</v>
      </c>
      <c r="B37" s="137">
        <f>B7-B25</f>
        <v>0</v>
      </c>
      <c r="C37" s="137">
        <f t="shared" si="20"/>
        <v>0</v>
      </c>
      <c r="D37" s="137">
        <f t="shared" si="20"/>
        <v>0</v>
      </c>
      <c r="E37" s="137">
        <f t="shared" si="20"/>
        <v>0</v>
      </c>
      <c r="F37" s="137">
        <f t="shared" si="20"/>
        <v>0</v>
      </c>
      <c r="G37" s="137">
        <f t="shared" si="20"/>
        <v>0</v>
      </c>
      <c r="H37" s="137">
        <f t="shared" si="20"/>
        <v>0</v>
      </c>
      <c r="I37" s="137">
        <f t="shared" si="20"/>
        <v>0</v>
      </c>
      <c r="J37" s="137">
        <f t="shared" si="20"/>
        <v>0</v>
      </c>
      <c r="K37" s="137">
        <f t="shared" si="20"/>
        <v>0</v>
      </c>
      <c r="L37" s="137">
        <f t="shared" si="20"/>
        <v>0</v>
      </c>
      <c r="M37" s="137">
        <f t="shared" si="20"/>
        <v>0</v>
      </c>
      <c r="N37" s="137">
        <f t="shared" si="20"/>
        <v>0</v>
      </c>
      <c r="O37" s="137">
        <f t="shared" si="19"/>
        <v>0</v>
      </c>
      <c r="P37" s="335">
        <f t="shared" si="21"/>
        <v>0</v>
      </c>
      <c r="Q37" s="335">
        <f t="shared" si="21"/>
        <v>0</v>
      </c>
      <c r="R37" s="335">
        <f t="shared" si="21"/>
        <v>0</v>
      </c>
      <c r="S37" s="335">
        <f t="shared" si="21"/>
        <v>0</v>
      </c>
      <c r="T37" s="335">
        <f t="shared" si="21"/>
        <v>0</v>
      </c>
      <c r="U37" s="335">
        <f t="shared" si="21"/>
        <v>0</v>
      </c>
      <c r="V37" s="335">
        <f t="shared" si="21"/>
        <v>0</v>
      </c>
      <c r="W37" s="335">
        <f t="shared" si="21"/>
        <v>0</v>
      </c>
      <c r="X37" s="335">
        <f t="shared" si="21"/>
        <v>0</v>
      </c>
      <c r="Y37" s="335">
        <f t="shared" si="21"/>
        <v>0</v>
      </c>
      <c r="Z37" s="335">
        <f t="shared" si="21"/>
        <v>0</v>
      </c>
      <c r="AA37" s="335">
        <f t="shared" si="21"/>
        <v>0</v>
      </c>
      <c r="AB37" s="335">
        <f t="shared" si="21"/>
        <v>0</v>
      </c>
      <c r="AC37" s="137">
        <f t="shared" si="16"/>
        <v>0</v>
      </c>
    </row>
    <row r="38" spans="1:29">
      <c r="A38" s="362" t="s">
        <v>1403</v>
      </c>
      <c r="B38" s="137">
        <f t="shared" ref="B38:N38" si="24">B8*(1-B$17)</f>
        <v>116.34262612799994</v>
      </c>
      <c r="C38" s="137">
        <f t="shared" si="24"/>
        <v>128.10591142200036</v>
      </c>
      <c r="D38" s="137">
        <f t="shared" si="24"/>
        <v>126.99419058500037</v>
      </c>
      <c r="E38" s="137">
        <f t="shared" si="24"/>
        <v>129.3292679180002</v>
      </c>
      <c r="F38" s="137">
        <f t="shared" si="24"/>
        <v>134.10745030199988</v>
      </c>
      <c r="G38" s="137">
        <f t="shared" si="24"/>
        <v>133.74949046599968</v>
      </c>
      <c r="H38" s="137">
        <f t="shared" si="24"/>
        <v>136.46712514899986</v>
      </c>
      <c r="I38" s="137">
        <f t="shared" si="24"/>
        <v>136.46712514899986</v>
      </c>
      <c r="J38" s="137">
        <f t="shared" si="24"/>
        <v>136.46712514899986</v>
      </c>
      <c r="K38" s="137">
        <f t="shared" si="24"/>
        <v>136.46712514899986</v>
      </c>
      <c r="L38" s="137">
        <f t="shared" si="24"/>
        <v>136.46712514899986</v>
      </c>
      <c r="M38" s="137">
        <f t="shared" si="24"/>
        <v>136.46712514899986</v>
      </c>
      <c r="N38" s="137">
        <f t="shared" si="24"/>
        <v>136.46712514899986</v>
      </c>
      <c r="O38" s="137">
        <f t="shared" si="19"/>
        <v>132.60760098953844</v>
      </c>
      <c r="P38" s="137">
        <f t="shared" ref="P38:AB38" si="25">P8*(1-P$17)</f>
        <v>136.46712514899986</v>
      </c>
      <c r="Q38" s="137">
        <f t="shared" si="25"/>
        <v>136.46712514899986</v>
      </c>
      <c r="R38" s="137">
        <f t="shared" si="25"/>
        <v>136.46712514899986</v>
      </c>
      <c r="S38" s="137">
        <f t="shared" si="25"/>
        <v>136.46712514899986</v>
      </c>
      <c r="T38" s="137">
        <f t="shared" si="25"/>
        <v>136.46712514899986</v>
      </c>
      <c r="U38" s="137">
        <f t="shared" si="25"/>
        <v>136.46712514899986</v>
      </c>
      <c r="V38" s="137">
        <f t="shared" si="25"/>
        <v>136.46712514899986</v>
      </c>
      <c r="W38" s="137">
        <f t="shared" si="25"/>
        <v>136.46712514899986</v>
      </c>
      <c r="X38" s="137">
        <f t="shared" si="25"/>
        <v>136.46712514899986</v>
      </c>
      <c r="Y38" s="137">
        <f t="shared" si="25"/>
        <v>136.46712514899986</v>
      </c>
      <c r="Z38" s="137">
        <f t="shared" si="25"/>
        <v>136.46712514899986</v>
      </c>
      <c r="AA38" s="137">
        <f t="shared" si="25"/>
        <v>136.46712514899986</v>
      </c>
      <c r="AB38" s="137">
        <f t="shared" si="25"/>
        <v>136.46712514899986</v>
      </c>
      <c r="AC38" s="137">
        <f t="shared" si="16"/>
        <v>136.46712514899988</v>
      </c>
    </row>
    <row r="39" spans="1:29">
      <c r="A39" s="362" t="s">
        <v>1404</v>
      </c>
      <c r="B39" s="137">
        <f t="shared" ref="B39:N39" si="26">B9</f>
        <v>42560.968240000002</v>
      </c>
      <c r="C39" s="137">
        <f t="shared" si="26"/>
        <v>31655.78328</v>
      </c>
      <c r="D39" s="137">
        <f t="shared" si="26"/>
        <v>22606.021110000001</v>
      </c>
      <c r="E39" s="137">
        <f t="shared" si="26"/>
        <v>13637.12362</v>
      </c>
      <c r="F39" s="137">
        <f t="shared" si="26"/>
        <v>9743.2515899999999</v>
      </c>
      <c r="G39" s="137">
        <f t="shared" si="26"/>
        <v>9546.8440800000008</v>
      </c>
      <c r="H39" s="137">
        <f t="shared" si="26"/>
        <v>14119.38737</v>
      </c>
      <c r="I39" s="137">
        <f t="shared" si="26"/>
        <v>24056.222560744602</v>
      </c>
      <c r="J39" s="137">
        <f t="shared" si="26"/>
        <v>33964.708437621099</v>
      </c>
      <c r="K39" s="137">
        <f t="shared" si="26"/>
        <v>43372.441575286197</v>
      </c>
      <c r="L39" s="137">
        <f t="shared" si="26"/>
        <v>51887.997875812303</v>
      </c>
      <c r="M39" s="137">
        <f t="shared" si="26"/>
        <v>52676.173201116901</v>
      </c>
      <c r="N39" s="137">
        <f t="shared" si="26"/>
        <v>43241.0854028381</v>
      </c>
      <c r="O39" s="137">
        <f t="shared" si="19"/>
        <v>30236.000641801475</v>
      </c>
      <c r="P39" s="137">
        <f t="shared" ref="P39:AB39" si="27">P9</f>
        <v>3912.7906924416402</v>
      </c>
      <c r="Q39" s="137">
        <f t="shared" si="27"/>
        <v>3566.2754000780401</v>
      </c>
      <c r="R39" s="137">
        <f t="shared" si="27"/>
        <v>8862.4667504618392</v>
      </c>
      <c r="S39" s="137">
        <f t="shared" si="27"/>
        <v>18638.069244849801</v>
      </c>
      <c r="T39" s="137">
        <f t="shared" si="27"/>
        <v>28227.0410244663</v>
      </c>
      <c r="U39" s="137">
        <f t="shared" si="27"/>
        <v>37309.380204516201</v>
      </c>
      <c r="V39" s="137">
        <f t="shared" si="27"/>
        <v>44946.585988098697</v>
      </c>
      <c r="W39" s="137">
        <f t="shared" si="27"/>
        <v>45962.747840366799</v>
      </c>
      <c r="X39" s="137">
        <f t="shared" si="27"/>
        <v>37636.091311037002</v>
      </c>
      <c r="Y39" s="137">
        <f t="shared" si="27"/>
        <v>24124.358833238799</v>
      </c>
      <c r="Z39" s="137">
        <f t="shared" si="27"/>
        <v>12271.0752623771</v>
      </c>
      <c r="AA39" s="137">
        <f t="shared" si="27"/>
        <v>5376.8254184734396</v>
      </c>
      <c r="AB39" s="137">
        <f t="shared" si="27"/>
        <v>2804.36291167641</v>
      </c>
      <c r="AC39" s="137">
        <f t="shared" si="16"/>
        <v>21049.082375544778</v>
      </c>
    </row>
    <row r="40" spans="1:29">
      <c r="A40" s="362" t="s">
        <v>1405</v>
      </c>
      <c r="B40" s="137">
        <f t="shared" ref="B40:N42" si="28">B10*(1-B$18)</f>
        <v>1787.680565292</v>
      </c>
      <c r="C40" s="137">
        <f t="shared" si="28"/>
        <v>2246.6092940640006</v>
      </c>
      <c r="D40" s="137">
        <f t="shared" si="28"/>
        <v>2275.0755985650003</v>
      </c>
      <c r="E40" s="137">
        <f t="shared" si="28"/>
        <v>2108.7934322290007</v>
      </c>
      <c r="F40" s="137">
        <f t="shared" si="28"/>
        <v>2924.215487118001</v>
      </c>
      <c r="G40" s="137">
        <f t="shared" si="28"/>
        <v>3131.8158641700011</v>
      </c>
      <c r="H40" s="137">
        <f t="shared" si="28"/>
        <v>2959.918908822001</v>
      </c>
      <c r="I40" s="137">
        <f t="shared" si="28"/>
        <v>2820.6764953608827</v>
      </c>
      <c r="J40" s="137">
        <f t="shared" si="28"/>
        <v>2568.5916416902246</v>
      </c>
      <c r="K40" s="137">
        <f t="shared" si="28"/>
        <v>2517.4442982535461</v>
      </c>
      <c r="L40" s="137">
        <f t="shared" si="28"/>
        <v>2380.6815322350776</v>
      </c>
      <c r="M40" s="137">
        <f t="shared" si="28"/>
        <v>2265.5972733396284</v>
      </c>
      <c r="N40" s="137">
        <f t="shared" si="28"/>
        <v>2197.1010642611759</v>
      </c>
      <c r="O40" s="137">
        <f t="shared" si="19"/>
        <v>2475.7078042615799</v>
      </c>
      <c r="P40" s="137">
        <f t="shared" ref="P40:AB42" si="29">P10*(1-P$18)</f>
        <v>3105.3212370918714</v>
      </c>
      <c r="Q40" s="137">
        <f t="shared" si="29"/>
        <v>2833.6485403426836</v>
      </c>
      <c r="R40" s="137">
        <f t="shared" si="29"/>
        <v>2798.4306316904958</v>
      </c>
      <c r="S40" s="137">
        <f t="shared" si="29"/>
        <v>2533.107656347308</v>
      </c>
      <c r="T40" s="137">
        <f t="shared" si="29"/>
        <v>2261.9411362008968</v>
      </c>
      <c r="U40" s="137">
        <f t="shared" si="29"/>
        <v>2180.5406362211393</v>
      </c>
      <c r="V40" s="137">
        <f t="shared" si="29"/>
        <v>2080.9948303609062</v>
      </c>
      <c r="W40" s="137">
        <f t="shared" si="29"/>
        <v>1950.1847077705131</v>
      </c>
      <c r="X40" s="137">
        <f t="shared" si="29"/>
        <v>1991.4692281103498</v>
      </c>
      <c r="Y40" s="137">
        <f t="shared" si="29"/>
        <v>2759.965677692905</v>
      </c>
      <c r="Z40" s="137">
        <f t="shared" si="29"/>
        <v>2546.4467490134402</v>
      </c>
      <c r="AA40" s="137">
        <f t="shared" si="29"/>
        <v>2232.9644065079756</v>
      </c>
      <c r="AB40" s="137">
        <f t="shared" si="29"/>
        <v>3280.1227941134689</v>
      </c>
      <c r="AC40" s="137">
        <f t="shared" si="16"/>
        <v>2504.241402420304</v>
      </c>
    </row>
    <row r="41" spans="1:29">
      <c r="A41" s="362" t="s">
        <v>1753</v>
      </c>
      <c r="B41" s="137">
        <f t="shared" si="28"/>
        <v>655.18954302899999</v>
      </c>
      <c r="C41" s="137">
        <f t="shared" si="28"/>
        <v>747.0899322030001</v>
      </c>
      <c r="D41" s="137">
        <f t="shared" si="28"/>
        <v>765.1504682310001</v>
      </c>
      <c r="E41" s="137">
        <f t="shared" si="28"/>
        <v>751.44216171400024</v>
      </c>
      <c r="F41" s="137">
        <f t="shared" si="28"/>
        <v>753.5138669820002</v>
      </c>
      <c r="G41" s="137">
        <f t="shared" si="28"/>
        <v>712.52605919100017</v>
      </c>
      <c r="H41" s="137">
        <f t="shared" si="28"/>
        <v>674.45978054700026</v>
      </c>
      <c r="I41" s="137">
        <f t="shared" si="28"/>
        <v>674.45978054700026</v>
      </c>
      <c r="J41" s="137">
        <f t="shared" si="28"/>
        <v>674.45978054700026</v>
      </c>
      <c r="K41" s="137">
        <f t="shared" si="28"/>
        <v>674.45978054700026</v>
      </c>
      <c r="L41" s="137">
        <f t="shared" si="28"/>
        <v>674.45978054700026</v>
      </c>
      <c r="M41" s="137">
        <f t="shared" si="28"/>
        <v>674.45978054700026</v>
      </c>
      <c r="N41" s="137">
        <f t="shared" si="28"/>
        <v>674.45978054700026</v>
      </c>
      <c r="O41" s="137">
        <f>SUM(B41:L41,M41:N41)/13</f>
        <v>700.471576552231</v>
      </c>
      <c r="P41" s="137">
        <f t="shared" si="29"/>
        <v>674.45978054700026</v>
      </c>
      <c r="Q41" s="137">
        <f t="shared" si="29"/>
        <v>674.45978054700026</v>
      </c>
      <c r="R41" s="137">
        <f t="shared" si="29"/>
        <v>674.45978054700026</v>
      </c>
      <c r="S41" s="137">
        <f t="shared" si="29"/>
        <v>674.45978054700026</v>
      </c>
      <c r="T41" s="137">
        <f t="shared" si="29"/>
        <v>674.45978054700026</v>
      </c>
      <c r="U41" s="137">
        <f t="shared" si="29"/>
        <v>674.45978054700026</v>
      </c>
      <c r="V41" s="137">
        <f t="shared" si="29"/>
        <v>674.45978054700026</v>
      </c>
      <c r="W41" s="137">
        <f t="shared" si="29"/>
        <v>674.45978054700026</v>
      </c>
      <c r="X41" s="137">
        <f t="shared" si="29"/>
        <v>674.45978054700026</v>
      </c>
      <c r="Y41" s="137">
        <f t="shared" si="29"/>
        <v>674.45978054700026</v>
      </c>
      <c r="Z41" s="137">
        <f t="shared" si="29"/>
        <v>674.45978054700026</v>
      </c>
      <c r="AA41" s="137">
        <f t="shared" si="29"/>
        <v>674.45978054700026</v>
      </c>
      <c r="AB41" s="137">
        <f t="shared" si="29"/>
        <v>674.45978054700026</v>
      </c>
      <c r="AC41" s="137">
        <f>SUM(P41:V41,W41:AB41)/13</f>
        <v>674.45978054700026</v>
      </c>
    </row>
    <row r="42" spans="1:29">
      <c r="A42" s="362" t="s">
        <v>1754</v>
      </c>
      <c r="B42" s="137">
        <f t="shared" si="28"/>
        <v>252.21527295600004</v>
      </c>
      <c r="C42" s="137">
        <f t="shared" si="28"/>
        <v>216.94057388400006</v>
      </c>
      <c r="D42" s="137">
        <f t="shared" si="28"/>
        <v>173.55246059600003</v>
      </c>
      <c r="E42" s="137">
        <f t="shared" si="28"/>
        <v>130.16434730800003</v>
      </c>
      <c r="F42" s="137">
        <f t="shared" si="28"/>
        <v>90.506539620000027</v>
      </c>
      <c r="G42" s="137">
        <f t="shared" si="28"/>
        <v>45.253273692000008</v>
      </c>
      <c r="H42" s="137">
        <f t="shared" si="28"/>
        <v>0</v>
      </c>
      <c r="I42" s="137">
        <f t="shared" si="28"/>
        <v>510.56202781500014</v>
      </c>
      <c r="J42" s="137">
        <f t="shared" si="28"/>
        <v>464.14729854300015</v>
      </c>
      <c r="K42" s="137">
        <f t="shared" si="28"/>
        <v>417.73256927100016</v>
      </c>
      <c r="L42" s="137">
        <f t="shared" si="28"/>
        <v>371.31783999900011</v>
      </c>
      <c r="M42" s="137">
        <f t="shared" si="28"/>
        <v>324.90311072700007</v>
      </c>
      <c r="N42" s="137">
        <f t="shared" si="28"/>
        <v>278.48838145500008</v>
      </c>
      <c r="O42" s="137">
        <f>SUM(B42:L42,M42:N42)/13</f>
        <v>251.9833612204616</v>
      </c>
      <c r="P42" s="137">
        <f t="shared" si="29"/>
        <v>92.829464367000028</v>
      </c>
      <c r="Q42" s="137">
        <f t="shared" si="29"/>
        <v>46.414735095000012</v>
      </c>
      <c r="R42" s="137">
        <f t="shared" si="29"/>
        <v>5.8230001066647067E-6</v>
      </c>
      <c r="S42" s="137">
        <f t="shared" si="29"/>
        <v>520.77327361200014</v>
      </c>
      <c r="T42" s="137">
        <f t="shared" si="29"/>
        <v>473.43024944400014</v>
      </c>
      <c r="U42" s="137">
        <f t="shared" si="29"/>
        <v>426.08722527600008</v>
      </c>
      <c r="V42" s="137">
        <f t="shared" si="29"/>
        <v>378.74420110800008</v>
      </c>
      <c r="W42" s="137">
        <f t="shared" si="29"/>
        <v>331.40117694000008</v>
      </c>
      <c r="X42" s="137">
        <f t="shared" si="29"/>
        <v>284.05815277200008</v>
      </c>
      <c r="Y42" s="137">
        <f t="shared" si="29"/>
        <v>236.71512860400006</v>
      </c>
      <c r="Z42" s="137">
        <f t="shared" si="29"/>
        <v>189.37210443600006</v>
      </c>
      <c r="AA42" s="137">
        <f t="shared" si="29"/>
        <v>142.02908026800003</v>
      </c>
      <c r="AB42" s="137">
        <f t="shared" si="29"/>
        <v>94.68605610000003</v>
      </c>
      <c r="AC42" s="137">
        <f>SUM(P42:V42,W42:AB42)/13</f>
        <v>247.42621952653852</v>
      </c>
    </row>
    <row r="43" spans="1:29">
      <c r="A43" s="362" t="s">
        <v>1406</v>
      </c>
      <c r="B43" s="137">
        <f t="shared" ref="B43:N43" si="30">B13*(1-B$19)</f>
        <v>2540.8497414495432</v>
      </c>
      <c r="C43" s="137">
        <f t="shared" si="30"/>
        <v>2872.9392270417275</v>
      </c>
      <c r="D43" s="137">
        <f t="shared" si="30"/>
        <v>2901.4141040481991</v>
      </c>
      <c r="E43" s="137">
        <f t="shared" si="30"/>
        <v>2693.5394055924517</v>
      </c>
      <c r="F43" s="137">
        <f t="shared" si="30"/>
        <v>3223.916519263913</v>
      </c>
      <c r="G43" s="137">
        <f t="shared" si="30"/>
        <v>3267.9990275212481</v>
      </c>
      <c r="H43" s="137">
        <f t="shared" si="30"/>
        <v>3008.5925009424068</v>
      </c>
      <c r="I43" s="137">
        <f t="shared" si="30"/>
        <v>3008.5925009424068</v>
      </c>
      <c r="J43" s="137">
        <f t="shared" si="30"/>
        <v>3008.5925009424068</v>
      </c>
      <c r="K43" s="137">
        <f t="shared" si="30"/>
        <v>3008.5925009424068</v>
      </c>
      <c r="L43" s="137">
        <f t="shared" si="30"/>
        <v>3008.5925009424068</v>
      </c>
      <c r="M43" s="137">
        <f t="shared" si="30"/>
        <v>3008.5925009424068</v>
      </c>
      <c r="N43" s="137">
        <f t="shared" si="30"/>
        <v>3008.5925009424068</v>
      </c>
      <c r="O43" s="137">
        <f>SUM(B43:L43,M43:N43)/13</f>
        <v>2966.2158101164559</v>
      </c>
      <c r="P43" s="137">
        <f t="shared" ref="P43:AB43" si="31">P13*(1-P$19)</f>
        <v>3008.5925009424068</v>
      </c>
      <c r="Q43" s="137">
        <f t="shared" si="31"/>
        <v>3008.5925009424068</v>
      </c>
      <c r="R43" s="137">
        <f t="shared" si="31"/>
        <v>3008.5925009424068</v>
      </c>
      <c r="S43" s="137">
        <f t="shared" si="31"/>
        <v>3008.5925009424068</v>
      </c>
      <c r="T43" s="137">
        <f t="shared" si="31"/>
        <v>3008.5925009424068</v>
      </c>
      <c r="U43" s="137">
        <f t="shared" si="31"/>
        <v>3008.5925009424068</v>
      </c>
      <c r="V43" s="137">
        <f t="shared" si="31"/>
        <v>3008.5925009424068</v>
      </c>
      <c r="W43" s="137">
        <f t="shared" si="31"/>
        <v>3008.5925009424068</v>
      </c>
      <c r="X43" s="137">
        <f t="shared" si="31"/>
        <v>3008.5925009424068</v>
      </c>
      <c r="Y43" s="137">
        <f t="shared" si="31"/>
        <v>3008.5925009424068</v>
      </c>
      <c r="Z43" s="137">
        <f t="shared" si="31"/>
        <v>3008.5925009424068</v>
      </c>
      <c r="AA43" s="137">
        <f t="shared" si="31"/>
        <v>3008.5925009424068</v>
      </c>
      <c r="AB43" s="137">
        <f t="shared" si="31"/>
        <v>3008.5925009424068</v>
      </c>
      <c r="AC43" s="137">
        <f>SUM(P43:V43,W43:AB43)/13</f>
        <v>3008.5925009424072</v>
      </c>
    </row>
    <row r="44" spans="1:29">
      <c r="A44" s="362" t="s">
        <v>1407</v>
      </c>
      <c r="B44" s="137">
        <f t="shared" ref="B44:N44" si="32">B14*(1-B$20)</f>
        <v>5844.056447856974</v>
      </c>
      <c r="C44" s="137">
        <f t="shared" si="32"/>
        <v>5394.8399879695526</v>
      </c>
      <c r="D44" s="137">
        <f t="shared" si="32"/>
        <v>5085.485674756037</v>
      </c>
      <c r="E44" s="137">
        <f t="shared" si="32"/>
        <v>5048.3607860163593</v>
      </c>
      <c r="F44" s="137">
        <f t="shared" si="32"/>
        <v>4834.3358637811207</v>
      </c>
      <c r="G44" s="137">
        <f t="shared" si="32"/>
        <v>4451.0291410483496</v>
      </c>
      <c r="H44" s="137">
        <f t="shared" si="32"/>
        <v>4658.3173719774859</v>
      </c>
      <c r="I44" s="137">
        <f t="shared" si="32"/>
        <v>4658.3173719774859</v>
      </c>
      <c r="J44" s="137">
        <f t="shared" si="32"/>
        <v>4658.3173719774859</v>
      </c>
      <c r="K44" s="137">
        <f t="shared" si="32"/>
        <v>4658.3173719774859</v>
      </c>
      <c r="L44" s="137">
        <f t="shared" si="32"/>
        <v>4658.3173719774859</v>
      </c>
      <c r="M44" s="137">
        <f t="shared" si="32"/>
        <v>4658.3173719774859</v>
      </c>
      <c r="N44" s="137">
        <f t="shared" si="32"/>
        <v>4658.3173719774859</v>
      </c>
      <c r="O44" s="137">
        <f>SUM(B44:L44,M44:N44)/13</f>
        <v>4866.6407311746771</v>
      </c>
      <c r="P44" s="137">
        <f t="shared" ref="P44:AB44" si="33">P14*(1-P$20)</f>
        <v>4658.3173719774859</v>
      </c>
      <c r="Q44" s="137">
        <f t="shared" si="33"/>
        <v>4658.3173719774859</v>
      </c>
      <c r="R44" s="137">
        <f t="shared" si="33"/>
        <v>4658.3173719774859</v>
      </c>
      <c r="S44" s="137">
        <f t="shared" si="33"/>
        <v>4658.3173719774859</v>
      </c>
      <c r="T44" s="137">
        <f t="shared" si="33"/>
        <v>4658.3173719774859</v>
      </c>
      <c r="U44" s="137">
        <f t="shared" si="33"/>
        <v>4658.3173719774859</v>
      </c>
      <c r="V44" s="137">
        <f t="shared" si="33"/>
        <v>4658.3173719774859</v>
      </c>
      <c r="W44" s="137">
        <f t="shared" si="33"/>
        <v>4658.3173719774859</v>
      </c>
      <c r="X44" s="137">
        <f t="shared" si="33"/>
        <v>4658.3173719774859</v>
      </c>
      <c r="Y44" s="137">
        <f t="shared" si="33"/>
        <v>4658.3173719774859</v>
      </c>
      <c r="Z44" s="137">
        <f t="shared" si="33"/>
        <v>4658.3173719774859</v>
      </c>
      <c r="AA44" s="137">
        <f t="shared" si="33"/>
        <v>4658.3173719774859</v>
      </c>
      <c r="AB44" s="137">
        <f t="shared" si="33"/>
        <v>4658.3173719774859</v>
      </c>
      <c r="AC44" s="137">
        <f>SUM(P44:V44,W44:AB44)/13</f>
        <v>4658.3173719774859</v>
      </c>
    </row>
    <row r="46" spans="1:29">
      <c r="A46" s="362" t="s">
        <v>1034</v>
      </c>
      <c r="B46" s="374">
        <f>SUM(B5:B14)-SUM(B23:B32)-SUM(B35:B44)</f>
        <v>0</v>
      </c>
      <c r="C46" s="374">
        <f t="shared" ref="C46:N46" si="34">SUM(C5:C14)-SUM(C23:C32)-SUM(C35:C44)</f>
        <v>0</v>
      </c>
      <c r="D46" s="374">
        <f t="shared" si="34"/>
        <v>0</v>
      </c>
      <c r="E46" s="374">
        <f t="shared" si="34"/>
        <v>0</v>
      </c>
      <c r="F46" s="374">
        <f t="shared" si="34"/>
        <v>-3.637978807091713E-11</v>
      </c>
      <c r="G46" s="374">
        <f t="shared" si="34"/>
        <v>0</v>
      </c>
      <c r="H46" s="374">
        <f t="shared" si="34"/>
        <v>0</v>
      </c>
      <c r="I46" s="374">
        <f t="shared" si="34"/>
        <v>0</v>
      </c>
      <c r="J46" s="374">
        <f t="shared" si="34"/>
        <v>0</v>
      </c>
      <c r="K46" s="374">
        <f t="shared" si="34"/>
        <v>0</v>
      </c>
      <c r="L46" s="374">
        <f t="shared" si="34"/>
        <v>0</v>
      </c>
      <c r="M46" s="374">
        <f t="shared" si="34"/>
        <v>0</v>
      </c>
      <c r="N46" s="374">
        <f t="shared" si="34"/>
        <v>0</v>
      </c>
      <c r="O46" s="374"/>
      <c r="P46" s="374">
        <f t="shared" ref="P46:AB46" si="35">SUM(P5:P14)-SUM(P23:P32)-SUM(P35:P44)</f>
        <v>0</v>
      </c>
      <c r="Q46" s="374">
        <f t="shared" si="35"/>
        <v>0</v>
      </c>
      <c r="R46" s="374">
        <f t="shared" si="35"/>
        <v>0</v>
      </c>
      <c r="S46" s="374">
        <f t="shared" si="35"/>
        <v>0</v>
      </c>
      <c r="T46" s="374">
        <f t="shared" si="35"/>
        <v>0</v>
      </c>
      <c r="U46" s="374">
        <f t="shared" si="35"/>
        <v>0</v>
      </c>
      <c r="V46" s="374">
        <f t="shared" si="35"/>
        <v>0</v>
      </c>
      <c r="W46" s="374">
        <f t="shared" si="35"/>
        <v>0</v>
      </c>
      <c r="X46" s="374">
        <f t="shared" si="35"/>
        <v>0</v>
      </c>
      <c r="Y46" s="374">
        <f t="shared" si="35"/>
        <v>0</v>
      </c>
      <c r="Z46" s="374">
        <f t="shared" si="35"/>
        <v>0</v>
      </c>
      <c r="AA46" s="374">
        <f t="shared" si="35"/>
        <v>0</v>
      </c>
      <c r="AB46" s="374">
        <f t="shared" si="35"/>
        <v>-1.6370904631912708E-11</v>
      </c>
      <c r="AC46" s="374"/>
    </row>
    <row r="48" spans="1:29">
      <c r="A48" s="362" t="s">
        <v>1913</v>
      </c>
      <c r="B48" s="336">
        <v>142.10999999999999</v>
      </c>
      <c r="C48" s="336">
        <v>144.33000000000001</v>
      </c>
      <c r="D48" s="336">
        <v>144.08000000000001</v>
      </c>
      <c r="E48" s="336">
        <v>143.80000000000001</v>
      </c>
      <c r="F48" s="336">
        <v>143.57372219999999</v>
      </c>
      <c r="G48" s="336">
        <v>143.29999999999998</v>
      </c>
      <c r="H48" s="336">
        <v>142.95000000000002</v>
      </c>
      <c r="I48" s="336">
        <v>142.95000000000002</v>
      </c>
      <c r="J48" s="336">
        <v>142.95000000000002</v>
      </c>
      <c r="K48" s="336">
        <v>142.95000000000002</v>
      </c>
      <c r="L48" s="336">
        <v>142.95000000000002</v>
      </c>
      <c r="M48" s="336">
        <v>142.95000000000002</v>
      </c>
      <c r="N48" s="336">
        <v>142.95000000000002</v>
      </c>
      <c r="O48" s="336">
        <f>SUM(B48:L48,M48:N48)/13</f>
        <v>143.21874786153847</v>
      </c>
      <c r="P48" s="336">
        <v>142.95000000000002</v>
      </c>
      <c r="Q48" s="336">
        <v>142.95000000000002</v>
      </c>
      <c r="R48" s="336">
        <v>142.95000000000002</v>
      </c>
      <c r="S48" s="336">
        <v>142.95000000000002</v>
      </c>
      <c r="T48" s="336">
        <v>142.95000000000002</v>
      </c>
      <c r="U48" s="336">
        <v>142.95000000000002</v>
      </c>
      <c r="V48" s="336">
        <v>142.95000000000002</v>
      </c>
      <c r="W48" s="336">
        <v>142.95000000000002</v>
      </c>
      <c r="X48" s="336">
        <v>142.95000000000002</v>
      </c>
      <c r="Y48" s="336">
        <v>142.95000000000002</v>
      </c>
      <c r="Z48" s="336">
        <v>142.95000000000002</v>
      </c>
      <c r="AA48" s="336">
        <v>142.95000000000002</v>
      </c>
      <c r="AB48" s="336">
        <v>142.95000000000002</v>
      </c>
      <c r="AC48" s="336">
        <f>SUM(P48:V48,W48:AB48)/13</f>
        <v>142.95000000000002</v>
      </c>
    </row>
    <row r="50" spans="1:8">
      <c r="A50" s="362" t="s">
        <v>1914</v>
      </c>
      <c r="B50" s="362">
        <v>146.90999999999997</v>
      </c>
      <c r="C50" s="362">
        <v>145.6</v>
      </c>
      <c r="D50" s="362">
        <v>145.32000000000002</v>
      </c>
      <c r="E50" s="362">
        <v>145.02000000000001</v>
      </c>
      <c r="F50" s="362">
        <v>145.61954123999999</v>
      </c>
      <c r="G50" s="362">
        <v>145.32</v>
      </c>
      <c r="H50" s="362">
        <v>144.92000000000002</v>
      </c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6" sqref="F36"/>
    </sheetView>
  </sheetViews>
  <sheetFormatPr defaultColWidth="9" defaultRowHeight="15"/>
  <cols>
    <col min="1" max="1" width="9.44140625" style="237" bestFit="1" customWidth="1"/>
    <col min="2" max="2" width="17.33203125" style="237" customWidth="1"/>
    <col min="3" max="3" width="16.44140625" style="237" customWidth="1"/>
    <col min="4" max="4" width="16.109375" style="237" customWidth="1"/>
    <col min="5" max="5" width="15.33203125" style="237" customWidth="1"/>
    <col min="6" max="6" width="13" style="237" bestFit="1" customWidth="1"/>
    <col min="7" max="7" width="12" style="237" customWidth="1"/>
    <col min="8" max="8" width="9.6640625" style="237" customWidth="1"/>
    <col min="9" max="10" width="11.77734375" style="237" bestFit="1" customWidth="1"/>
    <col min="11" max="11" width="11.6640625" style="237" customWidth="1"/>
    <col min="12" max="12" width="11.109375" style="237" customWidth="1"/>
    <col min="13" max="13" width="9.33203125" style="237" bestFit="1" customWidth="1"/>
    <col min="14" max="14" width="11" style="237" customWidth="1"/>
    <col min="15" max="15" width="15" style="237" bestFit="1" customWidth="1"/>
    <col min="16" max="16384" width="9" style="237"/>
  </cols>
  <sheetData>
    <row r="1" spans="1:63">
      <c r="A1" s="375" t="s">
        <v>103</v>
      </c>
    </row>
    <row r="2" spans="1:63">
      <c r="A2" s="375" t="s">
        <v>1427</v>
      </c>
      <c r="B2" s="853" t="s">
        <v>1440</v>
      </c>
      <c r="C2" s="853"/>
      <c r="D2" s="853"/>
      <c r="E2" s="853"/>
      <c r="F2" s="853"/>
      <c r="G2" s="853"/>
      <c r="I2" s="854">
        <v>0.25</v>
      </c>
      <c r="J2" s="854"/>
      <c r="K2" s="854"/>
      <c r="L2" s="854"/>
      <c r="M2" s="854"/>
      <c r="N2" s="854"/>
    </row>
    <row r="3" spans="1:63" ht="30">
      <c r="B3" s="233" t="s">
        <v>1428</v>
      </c>
      <c r="C3" s="233" t="s">
        <v>1429</v>
      </c>
      <c r="D3" s="233" t="s">
        <v>1430</v>
      </c>
      <c r="E3" s="233" t="s">
        <v>1431</v>
      </c>
      <c r="F3" s="233" t="s">
        <v>1432</v>
      </c>
      <c r="G3" s="234" t="s">
        <v>1433</v>
      </c>
      <c r="I3" s="233" t="s">
        <v>1428</v>
      </c>
      <c r="J3" s="233" t="s">
        <v>1429</v>
      </c>
      <c r="K3" s="233" t="s">
        <v>1434</v>
      </c>
      <c r="L3" s="233" t="s">
        <v>1431</v>
      </c>
      <c r="M3" s="233" t="s">
        <v>1432</v>
      </c>
      <c r="N3" s="234" t="s">
        <v>1433</v>
      </c>
      <c r="O3" s="237" t="s">
        <v>1794</v>
      </c>
    </row>
    <row r="4" spans="1:63" ht="15.75">
      <c r="B4" s="235"/>
      <c r="C4" s="236"/>
      <c r="D4" s="236"/>
    </row>
    <row r="5" spans="1:63">
      <c r="A5" s="376">
        <v>43100</v>
      </c>
      <c r="B5" s="377">
        <v>8725078.7200000007</v>
      </c>
      <c r="C5" s="377">
        <v>11743053.57</v>
      </c>
      <c r="D5" s="377">
        <v>2568018.9300000002</v>
      </c>
      <c r="E5" s="377">
        <v>257502.35</v>
      </c>
      <c r="F5" s="377">
        <v>75828.45</v>
      </c>
      <c r="G5" s="377">
        <v>26.74</v>
      </c>
      <c r="I5" s="377">
        <v>2181269.6800000002</v>
      </c>
      <c r="J5" s="377">
        <v>2935763.3925000001</v>
      </c>
      <c r="K5" s="377">
        <v>642004.73250000004</v>
      </c>
      <c r="L5" s="377">
        <v>64375.587500000001</v>
      </c>
      <c r="M5" s="377">
        <v>18957.112499999999</v>
      </c>
      <c r="N5" s="377">
        <v>6.6849999999999996</v>
      </c>
    </row>
    <row r="6" spans="1:63" ht="15.75">
      <c r="A6" s="376">
        <v>43131</v>
      </c>
      <c r="B6" s="377">
        <v>6341145.8700000001</v>
      </c>
      <c r="C6" s="377">
        <v>11960511.66</v>
      </c>
      <c r="D6" s="377">
        <v>2575909.0499999998</v>
      </c>
      <c r="E6" s="377">
        <v>302123.08</v>
      </c>
      <c r="F6" s="377">
        <v>75326.399999999994</v>
      </c>
      <c r="G6" s="377">
        <v>24.97</v>
      </c>
      <c r="H6" s="235"/>
      <c r="I6" s="377">
        <v>1585286.4675</v>
      </c>
      <c r="J6" s="377">
        <v>2990127.915</v>
      </c>
      <c r="K6" s="377">
        <v>643977.26249999995</v>
      </c>
      <c r="L6" s="377">
        <v>75530.77</v>
      </c>
      <c r="M6" s="377">
        <v>18831.599999999999</v>
      </c>
      <c r="N6" s="377">
        <v>6.2424999999999997</v>
      </c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</row>
    <row r="7" spans="1:63">
      <c r="A7" s="376">
        <v>43159</v>
      </c>
      <c r="B7" s="377">
        <v>5589522.2199999997</v>
      </c>
      <c r="C7" s="377">
        <v>11854226.470000001</v>
      </c>
      <c r="D7" s="377">
        <v>2500444.73</v>
      </c>
      <c r="E7" s="377">
        <v>260975.65</v>
      </c>
      <c r="F7" s="377">
        <v>75073.600000000006</v>
      </c>
      <c r="G7" s="377">
        <v>24.86</v>
      </c>
      <c r="I7" s="377">
        <v>1397380.5549999999</v>
      </c>
      <c r="J7" s="377">
        <v>2963556.6175000002</v>
      </c>
      <c r="K7" s="377">
        <v>625111.1825</v>
      </c>
      <c r="L7" s="377">
        <v>65243.912499999999</v>
      </c>
      <c r="M7" s="377">
        <v>18768.400000000001</v>
      </c>
      <c r="N7" s="377">
        <v>6.2149999999999999</v>
      </c>
    </row>
    <row r="8" spans="1:63">
      <c r="A8" s="376">
        <v>43190</v>
      </c>
      <c r="B8" s="377">
        <v>8777959.9000000004</v>
      </c>
      <c r="C8" s="377">
        <v>11996056.6</v>
      </c>
      <c r="D8" s="377">
        <v>2538023.2599999998</v>
      </c>
      <c r="E8" s="377">
        <v>250171.72</v>
      </c>
      <c r="F8" s="377">
        <v>75073.600000000006</v>
      </c>
      <c r="G8" s="377">
        <v>24.77</v>
      </c>
      <c r="I8" s="377">
        <v>2194489.9750000001</v>
      </c>
      <c r="J8" s="377">
        <v>2999014.15</v>
      </c>
      <c r="K8" s="377">
        <v>634505.81499999994</v>
      </c>
      <c r="L8" s="377">
        <v>62542.93</v>
      </c>
      <c r="M8" s="377">
        <v>18768.400000000001</v>
      </c>
      <c r="N8" s="377">
        <v>6.1924999999999999</v>
      </c>
    </row>
    <row r="9" spans="1:63" ht="15.75">
      <c r="A9" s="376">
        <v>43220</v>
      </c>
      <c r="B9" s="377">
        <v>10578481.17</v>
      </c>
      <c r="C9" s="377">
        <v>12147982.529999999</v>
      </c>
      <c r="D9" s="377">
        <v>2561899.86</v>
      </c>
      <c r="E9" s="377">
        <v>244497.71</v>
      </c>
      <c r="F9" s="377">
        <v>75073.600000000006</v>
      </c>
      <c r="G9" s="377">
        <v>24.64</v>
      </c>
      <c r="H9" s="235"/>
      <c r="I9" s="377">
        <v>2644620.2925</v>
      </c>
      <c r="J9" s="377">
        <v>3036995.6324999998</v>
      </c>
      <c r="K9" s="377">
        <v>640474.96499999997</v>
      </c>
      <c r="L9" s="377">
        <v>61124.427499999998</v>
      </c>
      <c r="M9" s="377">
        <v>18768.400000000001</v>
      </c>
      <c r="N9" s="377">
        <v>6.16</v>
      </c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</row>
    <row r="10" spans="1:63">
      <c r="A10" s="376">
        <v>43251</v>
      </c>
      <c r="B10" s="377">
        <v>11591194.75</v>
      </c>
      <c r="C10" s="377">
        <v>12044411.369999999</v>
      </c>
      <c r="D10" s="377">
        <v>2522189.34</v>
      </c>
      <c r="E10" s="377">
        <v>291911.01</v>
      </c>
      <c r="F10" s="377">
        <v>75073.600000000006</v>
      </c>
      <c r="G10" s="377">
        <v>24.51</v>
      </c>
      <c r="I10" s="377">
        <v>2897798.6875</v>
      </c>
      <c r="J10" s="377">
        <v>3011102.8424999998</v>
      </c>
      <c r="K10" s="377">
        <v>630547.33499999996</v>
      </c>
      <c r="L10" s="377">
        <v>72977.752500000002</v>
      </c>
      <c r="M10" s="377">
        <v>18768.400000000001</v>
      </c>
      <c r="N10" s="377">
        <v>6.1275000000000004</v>
      </c>
    </row>
    <row r="11" spans="1:63" ht="15.75">
      <c r="A11" s="376">
        <v>43281</v>
      </c>
      <c r="B11" s="377">
        <v>9791884.2300000004</v>
      </c>
      <c r="C11" s="377">
        <v>12078811.640000001</v>
      </c>
      <c r="D11" s="377">
        <v>2589344.89</v>
      </c>
      <c r="E11" s="377">
        <v>297762.40999999997</v>
      </c>
      <c r="F11" s="377">
        <v>75073.600000000006</v>
      </c>
      <c r="G11" s="377">
        <v>24.29</v>
      </c>
      <c r="I11" s="377">
        <v>2447971.0575000001</v>
      </c>
      <c r="J11" s="377">
        <v>3019702.91</v>
      </c>
      <c r="K11" s="377">
        <v>647336.22250000003</v>
      </c>
      <c r="L11" s="377">
        <v>74440.602499999994</v>
      </c>
      <c r="M11" s="377">
        <v>18768.400000000001</v>
      </c>
      <c r="N11" s="377">
        <v>6.0724999999999998</v>
      </c>
      <c r="O11" s="235"/>
    </row>
    <row r="12" spans="1:63">
      <c r="A12" s="376">
        <v>43312</v>
      </c>
      <c r="B12" s="377">
        <v>8255055.1699999999</v>
      </c>
      <c r="C12" s="377">
        <v>12072490.826507796</v>
      </c>
      <c r="D12" s="377">
        <v>2589687.25</v>
      </c>
      <c r="E12" s="377">
        <v>297762.40999999997</v>
      </c>
      <c r="F12" s="377">
        <v>75073.600000000006</v>
      </c>
      <c r="G12" s="377">
        <v>24.29</v>
      </c>
      <c r="I12" s="377">
        <v>2063763.7925</v>
      </c>
      <c r="J12" s="377">
        <v>3018122.7066269489</v>
      </c>
      <c r="K12" s="377">
        <v>647421.8125</v>
      </c>
      <c r="L12" s="377">
        <v>74440.602499999994</v>
      </c>
      <c r="M12" s="377">
        <v>18768.400000000001</v>
      </c>
      <c r="N12" s="377">
        <v>6.0724999999999998</v>
      </c>
    </row>
    <row r="13" spans="1:63">
      <c r="A13" s="376">
        <v>43343</v>
      </c>
      <c r="B13" s="377">
        <v>5910447.8300000001</v>
      </c>
      <c r="C13" s="377">
        <v>12066169.990892667</v>
      </c>
      <c r="D13" s="377">
        <v>2589687.25</v>
      </c>
      <c r="E13" s="377">
        <v>297762.40999999997</v>
      </c>
      <c r="F13" s="377">
        <v>75073.600000000006</v>
      </c>
      <c r="G13" s="377">
        <v>24.29</v>
      </c>
      <c r="I13" s="377">
        <v>1477611.9575</v>
      </c>
      <c r="J13" s="377">
        <v>3016542.4977231668</v>
      </c>
      <c r="K13" s="377">
        <v>647421.8125</v>
      </c>
      <c r="L13" s="377">
        <v>74440.602499999994</v>
      </c>
      <c r="M13" s="377">
        <v>18768.400000000001</v>
      </c>
      <c r="N13" s="377">
        <v>6.0724999999999998</v>
      </c>
    </row>
    <row r="14" spans="1:63">
      <c r="A14" s="376">
        <v>43373</v>
      </c>
      <c r="B14" s="377">
        <v>8292897.9699999997</v>
      </c>
      <c r="C14" s="377">
        <v>12059849.155277539</v>
      </c>
      <c r="D14" s="377">
        <v>2589687.25</v>
      </c>
      <c r="E14" s="377">
        <v>297762.40999999997</v>
      </c>
      <c r="F14" s="377">
        <v>75073.600000000006</v>
      </c>
      <c r="G14" s="377">
        <v>24.29</v>
      </c>
      <c r="I14" s="377">
        <v>2073224.4924999999</v>
      </c>
      <c r="J14" s="377">
        <v>3014962.2888193848</v>
      </c>
      <c r="K14" s="377">
        <v>647421.8125</v>
      </c>
      <c r="L14" s="377">
        <v>74440.602499999994</v>
      </c>
      <c r="M14" s="377">
        <v>18768.400000000001</v>
      </c>
      <c r="N14" s="377">
        <v>6.0724999999999998</v>
      </c>
    </row>
    <row r="15" spans="1:63">
      <c r="A15" s="376">
        <v>43404</v>
      </c>
      <c r="B15" s="377">
        <v>7866396.7800000003</v>
      </c>
      <c r="C15" s="377">
        <v>11935012.651878756</v>
      </c>
      <c r="D15" s="377">
        <v>2589687.25</v>
      </c>
      <c r="E15" s="377">
        <v>297762.40999999997</v>
      </c>
      <c r="F15" s="377">
        <v>75073.600000000006</v>
      </c>
      <c r="G15" s="377">
        <v>24.29</v>
      </c>
      <c r="I15" s="377">
        <v>1966599.1950000001</v>
      </c>
      <c r="J15" s="377">
        <v>2983753.1629696889</v>
      </c>
      <c r="K15" s="377">
        <v>647421.8125</v>
      </c>
      <c r="L15" s="377">
        <v>74440.602499999994</v>
      </c>
      <c r="M15" s="377">
        <v>18768.400000000001</v>
      </c>
      <c r="N15" s="377">
        <v>6.0724999999999998</v>
      </c>
    </row>
    <row r="16" spans="1:63">
      <c r="A16" s="376">
        <v>43434</v>
      </c>
      <c r="B16" s="377">
        <v>7853884.5999999996</v>
      </c>
      <c r="C16" s="377">
        <v>11928691.816263627</v>
      </c>
      <c r="D16" s="377">
        <v>2589687.25</v>
      </c>
      <c r="E16" s="377">
        <v>297762.40999999997</v>
      </c>
      <c r="F16" s="377">
        <v>75073.600000000006</v>
      </c>
      <c r="G16" s="377">
        <v>24.29</v>
      </c>
      <c r="I16" s="377">
        <v>1963471.15</v>
      </c>
      <c r="J16" s="377">
        <v>2982172.9540659068</v>
      </c>
      <c r="K16" s="377">
        <v>647421.8125</v>
      </c>
      <c r="L16" s="377">
        <v>74440.602499999994</v>
      </c>
      <c r="M16" s="377">
        <v>18768.400000000001</v>
      </c>
      <c r="N16" s="377">
        <v>6.0724999999999998</v>
      </c>
    </row>
    <row r="17" spans="1:15">
      <c r="A17" s="376">
        <v>43465</v>
      </c>
      <c r="B17" s="377">
        <v>7734756.1699999999</v>
      </c>
      <c r="C17" s="377">
        <v>11922370.980648499</v>
      </c>
      <c r="D17" s="377">
        <v>2589687.25</v>
      </c>
      <c r="E17" s="377">
        <v>297762.40999999997</v>
      </c>
      <c r="F17" s="377">
        <v>75073.600000000006</v>
      </c>
      <c r="G17" s="377">
        <v>24.29</v>
      </c>
      <c r="I17" s="377">
        <v>1933689.0425</v>
      </c>
      <c r="J17" s="377">
        <v>2980592.7451621247</v>
      </c>
      <c r="K17" s="377">
        <v>647421.8125</v>
      </c>
      <c r="L17" s="377">
        <v>74440.602499999994</v>
      </c>
      <c r="M17" s="377">
        <v>18768.400000000001</v>
      </c>
      <c r="N17" s="377">
        <v>6.0724999999999998</v>
      </c>
      <c r="O17" s="377">
        <f>SUM(I5:N17)/13</f>
        <v>5791944.2607974792</v>
      </c>
    </row>
    <row r="18" spans="1:15">
      <c r="A18" s="237" t="s">
        <v>1398</v>
      </c>
      <c r="B18" s="377"/>
      <c r="C18" s="377"/>
      <c r="D18" s="377"/>
      <c r="E18" s="377"/>
      <c r="F18" s="377"/>
      <c r="G18" s="377"/>
      <c r="I18" s="618">
        <f t="shared" ref="I18:N18" si="0">SUM(I5:I17)/13</f>
        <v>2063628.9496153845</v>
      </c>
      <c r="J18" s="618">
        <f t="shared" si="0"/>
        <v>2996339.2165667089</v>
      </c>
      <c r="K18" s="618">
        <f t="shared" si="0"/>
        <v>642191.41461538454</v>
      </c>
      <c r="L18" s="618">
        <f t="shared" si="0"/>
        <v>70990.738269230787</v>
      </c>
      <c r="M18" s="618">
        <f t="shared" si="0"/>
        <v>18787.777884615381</v>
      </c>
      <c r="N18" s="618">
        <f t="shared" si="0"/>
        <v>6.1638461538461531</v>
      </c>
      <c r="O18" s="618">
        <f>SUM(I18:N18)</f>
        <v>5791944.2607974773</v>
      </c>
    </row>
    <row r="19" spans="1:15">
      <c r="A19" s="376">
        <v>43496</v>
      </c>
      <c r="B19" s="377">
        <v>6983823.1500000004</v>
      </c>
      <c r="C19" s="377">
        <v>11916050.195600055</v>
      </c>
      <c r="D19" s="377">
        <v>2589687.25</v>
      </c>
      <c r="E19" s="377">
        <v>297762.40999999997</v>
      </c>
      <c r="F19" s="377">
        <v>75073.600000000006</v>
      </c>
      <c r="G19" s="377">
        <v>24.29</v>
      </c>
      <c r="I19" s="377">
        <v>1745955.7875000001</v>
      </c>
      <c r="J19" s="377">
        <v>2979012.5489000138</v>
      </c>
      <c r="K19" s="377">
        <v>647421.8125</v>
      </c>
      <c r="L19" s="377">
        <v>74440.602499999994</v>
      </c>
      <c r="M19" s="377">
        <v>18768.400000000001</v>
      </c>
      <c r="N19" s="377">
        <v>6.0724999999999998</v>
      </c>
    </row>
    <row r="20" spans="1:15">
      <c r="A20" s="376">
        <v>43524</v>
      </c>
      <c r="B20" s="377">
        <v>6673638.75</v>
      </c>
      <c r="C20" s="377">
        <v>11909729.410551613</v>
      </c>
      <c r="D20" s="377">
        <v>2589687.25</v>
      </c>
      <c r="E20" s="377">
        <v>297762.40999999997</v>
      </c>
      <c r="F20" s="377">
        <v>75073.600000000006</v>
      </c>
      <c r="G20" s="377">
        <v>24.29</v>
      </c>
      <c r="I20" s="377">
        <v>1668409.6875</v>
      </c>
      <c r="J20" s="377">
        <v>2977432.3526379033</v>
      </c>
      <c r="K20" s="377">
        <v>647421.8125</v>
      </c>
      <c r="L20" s="377">
        <v>74440.602499999994</v>
      </c>
      <c r="M20" s="377">
        <v>18768.400000000001</v>
      </c>
      <c r="N20" s="377">
        <v>6.0724999999999998</v>
      </c>
    </row>
    <row r="21" spans="1:15">
      <c r="A21" s="376">
        <v>43555</v>
      </c>
      <c r="B21" s="377">
        <v>6794918.2400000002</v>
      </c>
      <c r="C21" s="377">
        <v>11903408.625503168</v>
      </c>
      <c r="D21" s="377">
        <v>2589687.25</v>
      </c>
      <c r="E21" s="377">
        <v>297762.40999999997</v>
      </c>
      <c r="F21" s="377">
        <v>75073.600000000006</v>
      </c>
      <c r="G21" s="377">
        <v>24.29</v>
      </c>
      <c r="I21" s="377">
        <v>1698729.56</v>
      </c>
      <c r="J21" s="377">
        <v>2975852.1563757919</v>
      </c>
      <c r="K21" s="377">
        <v>647421.8125</v>
      </c>
      <c r="L21" s="377">
        <v>74440.602499999994</v>
      </c>
      <c r="M21" s="377">
        <v>18768.400000000001</v>
      </c>
      <c r="N21" s="377">
        <v>6.0724999999999998</v>
      </c>
    </row>
    <row r="22" spans="1:15">
      <c r="A22" s="376">
        <v>43585</v>
      </c>
      <c r="B22" s="377">
        <v>7510128.0499999998</v>
      </c>
      <c r="C22" s="377">
        <v>11897087.840454726</v>
      </c>
      <c r="D22" s="377">
        <v>2589687.25</v>
      </c>
      <c r="E22" s="377">
        <v>297762.40999999997</v>
      </c>
      <c r="F22" s="377">
        <v>75073.600000000006</v>
      </c>
      <c r="G22" s="377">
        <v>24.29</v>
      </c>
      <c r="I22" s="377">
        <v>1877532.0125</v>
      </c>
      <c r="J22" s="377">
        <v>2974271.9601136814</v>
      </c>
      <c r="K22" s="377">
        <v>647421.8125</v>
      </c>
      <c r="L22" s="377">
        <v>74440.602499999994</v>
      </c>
      <c r="M22" s="377">
        <v>18768.400000000001</v>
      </c>
      <c r="N22" s="377">
        <v>6.0724999999999998</v>
      </c>
    </row>
    <row r="23" spans="1:15">
      <c r="A23" s="376">
        <v>43616</v>
      </c>
      <c r="B23" s="377">
        <v>7374249.6799999997</v>
      </c>
      <c r="C23" s="377">
        <v>11890767.055406282</v>
      </c>
      <c r="D23" s="377">
        <v>2589687.25</v>
      </c>
      <c r="E23" s="377">
        <v>297762.40999999997</v>
      </c>
      <c r="F23" s="377">
        <v>75073.600000000006</v>
      </c>
      <c r="G23" s="377">
        <v>24.29</v>
      </c>
      <c r="I23" s="377">
        <v>1843562.42</v>
      </c>
      <c r="J23" s="377">
        <v>2972691.7638515704</v>
      </c>
      <c r="K23" s="377">
        <v>647421.8125</v>
      </c>
      <c r="L23" s="377">
        <v>74440.602499999994</v>
      </c>
      <c r="M23" s="377">
        <v>18768.400000000001</v>
      </c>
      <c r="N23" s="377">
        <v>6.0724999999999998</v>
      </c>
    </row>
    <row r="24" spans="1:15">
      <c r="A24" s="376">
        <v>43646</v>
      </c>
      <c r="B24" s="377">
        <v>7299773.6100000003</v>
      </c>
      <c r="C24" s="377">
        <v>11874964.915801777</v>
      </c>
      <c r="D24" s="377">
        <v>2589687.25</v>
      </c>
      <c r="E24" s="377">
        <v>297762.40999999997</v>
      </c>
      <c r="F24" s="377">
        <v>75073.600000000006</v>
      </c>
      <c r="G24" s="377">
        <v>24.29</v>
      </c>
      <c r="I24" s="377">
        <v>1824943.4025000001</v>
      </c>
      <c r="J24" s="377">
        <v>2968741.2289504441</v>
      </c>
      <c r="K24" s="377">
        <v>647421.8125</v>
      </c>
      <c r="L24" s="377">
        <v>74440.602499999994</v>
      </c>
      <c r="M24" s="377">
        <v>18768.400000000001</v>
      </c>
      <c r="N24" s="377">
        <v>6.0724999999999998</v>
      </c>
    </row>
    <row r="25" spans="1:15">
      <c r="A25" s="376">
        <v>43677</v>
      </c>
      <c r="B25" s="377">
        <v>6645965.4699999997</v>
      </c>
      <c r="C25" s="377">
        <v>11859162.77619727</v>
      </c>
      <c r="D25" s="377">
        <v>2589687.25</v>
      </c>
      <c r="E25" s="377">
        <v>297762.40999999997</v>
      </c>
      <c r="F25" s="377">
        <v>75073.600000000006</v>
      </c>
      <c r="G25" s="377">
        <v>24.29</v>
      </c>
      <c r="I25" s="377">
        <v>1661491.3674999999</v>
      </c>
      <c r="J25" s="377">
        <v>2964790.6940493174</v>
      </c>
      <c r="K25" s="377">
        <v>647421.8125</v>
      </c>
      <c r="L25" s="377">
        <v>74440.602499999994</v>
      </c>
      <c r="M25" s="377">
        <v>18768.400000000001</v>
      </c>
      <c r="N25" s="377">
        <v>6.0724999999999998</v>
      </c>
    </row>
    <row r="26" spans="1:15">
      <c r="A26" s="376">
        <v>43708</v>
      </c>
      <c r="B26" s="377">
        <v>6359592.8600000003</v>
      </c>
      <c r="C26" s="377">
        <v>11843360.636592766</v>
      </c>
      <c r="D26" s="377">
        <v>2589687.25</v>
      </c>
      <c r="E26" s="377">
        <v>297762.40999999997</v>
      </c>
      <c r="F26" s="377">
        <v>75073.600000000006</v>
      </c>
      <c r="G26" s="377">
        <v>24.29</v>
      </c>
      <c r="I26" s="377">
        <v>1589898.2150000001</v>
      </c>
      <c r="J26" s="377">
        <v>2960840.1591481916</v>
      </c>
      <c r="K26" s="377">
        <v>647421.8125</v>
      </c>
      <c r="L26" s="377">
        <v>74440.602499999994</v>
      </c>
      <c r="M26" s="377">
        <v>18768.400000000001</v>
      </c>
      <c r="N26" s="377">
        <v>6.0724999999999998</v>
      </c>
    </row>
    <row r="27" spans="1:15">
      <c r="A27" s="376">
        <v>43738</v>
      </c>
      <c r="B27" s="377">
        <v>6137698.04</v>
      </c>
      <c r="C27" s="377">
        <v>11805435.57233531</v>
      </c>
      <c r="D27" s="377">
        <v>2589687.25</v>
      </c>
      <c r="E27" s="377">
        <v>297762.40999999997</v>
      </c>
      <c r="F27" s="377">
        <v>75073.600000000006</v>
      </c>
      <c r="G27" s="377">
        <v>24.29</v>
      </c>
      <c r="I27" s="377">
        <v>1534424.51</v>
      </c>
      <c r="J27" s="377">
        <v>2951358.8930838276</v>
      </c>
      <c r="K27" s="377">
        <v>647421.8125</v>
      </c>
      <c r="L27" s="377">
        <v>74440.602499999994</v>
      </c>
      <c r="M27" s="377">
        <v>18768.400000000001</v>
      </c>
      <c r="N27" s="377">
        <v>6.0724999999999998</v>
      </c>
    </row>
    <row r="28" spans="1:15">
      <c r="A28" s="376">
        <v>43769</v>
      </c>
      <c r="B28" s="377">
        <v>6892496.6799999997</v>
      </c>
      <c r="C28" s="377">
        <v>11799114.787286868</v>
      </c>
      <c r="D28" s="377">
        <v>2589687.25</v>
      </c>
      <c r="E28" s="377">
        <v>297762.40999999997</v>
      </c>
      <c r="F28" s="377">
        <v>75073.600000000006</v>
      </c>
      <c r="G28" s="377">
        <v>24.29</v>
      </c>
      <c r="I28" s="377">
        <v>1723124.17</v>
      </c>
      <c r="J28" s="377">
        <v>2949778.6968217171</v>
      </c>
      <c r="K28" s="377">
        <v>647421.8125</v>
      </c>
      <c r="L28" s="377">
        <v>74440.602499999994</v>
      </c>
      <c r="M28" s="377">
        <v>18768.400000000001</v>
      </c>
      <c r="N28" s="377">
        <v>6.0724999999999998</v>
      </c>
    </row>
    <row r="29" spans="1:15">
      <c r="A29" s="376">
        <v>43799</v>
      </c>
      <c r="B29" s="377">
        <v>7615546.5899999999</v>
      </c>
      <c r="C29" s="377">
        <v>11792794.002238423</v>
      </c>
      <c r="D29" s="377">
        <v>2589687.25</v>
      </c>
      <c r="E29" s="377">
        <v>297762.40999999997</v>
      </c>
      <c r="F29" s="377">
        <v>75073.600000000006</v>
      </c>
      <c r="G29" s="377">
        <v>24.29</v>
      </c>
      <c r="I29" s="377">
        <v>1903886.6475</v>
      </c>
      <c r="J29" s="377">
        <v>2948198.5005596057</v>
      </c>
      <c r="K29" s="377">
        <v>647421.8125</v>
      </c>
      <c r="L29" s="377">
        <v>74440.602499999994</v>
      </c>
      <c r="M29" s="377">
        <v>18768.400000000001</v>
      </c>
      <c r="N29" s="377">
        <v>6.0724999999999998</v>
      </c>
    </row>
    <row r="30" spans="1:15">
      <c r="A30" s="376">
        <v>43830</v>
      </c>
      <c r="B30" s="377">
        <v>7566363.1200000001</v>
      </c>
      <c r="C30" s="377">
        <v>11786473.217189981</v>
      </c>
      <c r="D30" s="377">
        <v>2589687.25</v>
      </c>
      <c r="E30" s="377">
        <v>297762.40999999997</v>
      </c>
      <c r="F30" s="377">
        <v>75073.600000000006</v>
      </c>
      <c r="G30" s="377">
        <v>24.29</v>
      </c>
      <c r="I30" s="377">
        <v>1891590.78</v>
      </c>
      <c r="J30" s="377">
        <v>2946618.3042974952</v>
      </c>
      <c r="K30" s="377">
        <v>647421.8125</v>
      </c>
      <c r="L30" s="377">
        <v>74440.602499999994</v>
      </c>
      <c r="M30" s="377">
        <v>18768.400000000001</v>
      </c>
      <c r="N30" s="377">
        <v>6.0724999999999998</v>
      </c>
    </row>
    <row r="31" spans="1:15">
      <c r="A31" s="376">
        <v>43861</v>
      </c>
      <c r="B31" s="377">
        <v>6990293.6200000001</v>
      </c>
      <c r="C31" s="377">
        <v>11780152.318366496</v>
      </c>
      <c r="D31" s="377">
        <v>2589687.25</v>
      </c>
      <c r="E31" s="377">
        <v>297762.40999999997</v>
      </c>
      <c r="F31" s="377">
        <v>75073.600000000006</v>
      </c>
      <c r="G31" s="377">
        <v>24.29</v>
      </c>
      <c r="I31" s="377">
        <v>1747573.405</v>
      </c>
      <c r="J31" s="377">
        <v>2945038.079591624</v>
      </c>
      <c r="K31" s="377">
        <v>647421.8125</v>
      </c>
      <c r="L31" s="377">
        <v>74440.602499999994</v>
      </c>
      <c r="M31" s="377">
        <v>18768.400000000001</v>
      </c>
      <c r="N31" s="377">
        <v>6.0724999999999998</v>
      </c>
    </row>
    <row r="32" spans="1:15">
      <c r="A32" s="376">
        <v>43890</v>
      </c>
      <c r="B32" s="377">
        <v>6403071.8099999996</v>
      </c>
      <c r="C32" s="377">
        <v>11773831.419543013</v>
      </c>
      <c r="D32" s="377">
        <v>2589687.25</v>
      </c>
      <c r="E32" s="377">
        <v>297762.40999999997</v>
      </c>
      <c r="F32" s="377">
        <v>75073.600000000006</v>
      </c>
      <c r="G32" s="377">
        <v>24.29</v>
      </c>
      <c r="I32" s="377">
        <v>1600767.9524999999</v>
      </c>
      <c r="J32" s="377">
        <v>2943457.8548857532</v>
      </c>
      <c r="K32" s="377">
        <v>647421.8125</v>
      </c>
      <c r="L32" s="377">
        <v>74440.602499999994</v>
      </c>
      <c r="M32" s="377">
        <v>18768.400000000001</v>
      </c>
      <c r="N32" s="377">
        <v>6.0724999999999998</v>
      </c>
    </row>
    <row r="33" spans="1:15">
      <c r="A33" s="376">
        <v>43921</v>
      </c>
      <c r="B33" s="377">
        <v>6136363.0099999998</v>
      </c>
      <c r="C33" s="377">
        <v>11767510.520719526</v>
      </c>
      <c r="D33" s="377">
        <v>2589687.25</v>
      </c>
      <c r="E33" s="377">
        <v>297762.40999999997</v>
      </c>
      <c r="F33" s="377">
        <v>75073.600000000006</v>
      </c>
      <c r="G33" s="377">
        <v>24.29</v>
      </c>
      <c r="I33" s="377">
        <v>1534090.7524999999</v>
      </c>
      <c r="J33" s="377">
        <v>2941877.6301798816</v>
      </c>
      <c r="K33" s="377">
        <v>647421.8125</v>
      </c>
      <c r="L33" s="377">
        <v>74440.602499999994</v>
      </c>
      <c r="M33" s="377">
        <v>18768.400000000001</v>
      </c>
      <c r="N33" s="377">
        <v>6.0724999999999998</v>
      </c>
    </row>
    <row r="34" spans="1:15">
      <c r="A34" s="376">
        <v>43951</v>
      </c>
      <c r="B34" s="377">
        <v>7308154.25</v>
      </c>
      <c r="C34" s="377">
        <v>11761189.621896042</v>
      </c>
      <c r="D34" s="377">
        <v>2589687.25</v>
      </c>
      <c r="E34" s="377">
        <v>297762.40999999997</v>
      </c>
      <c r="F34" s="377">
        <v>75073.600000000006</v>
      </c>
      <c r="G34" s="377">
        <v>24.29</v>
      </c>
      <c r="I34" s="377">
        <v>1827038.5625</v>
      </c>
      <c r="J34" s="377">
        <v>2940297.4054740104</v>
      </c>
      <c r="K34" s="377">
        <v>647421.8125</v>
      </c>
      <c r="L34" s="377">
        <v>74440.602499999994</v>
      </c>
      <c r="M34" s="377">
        <v>18768.400000000001</v>
      </c>
      <c r="N34" s="377">
        <v>6.0724999999999998</v>
      </c>
      <c r="O34" s="377">
        <f>SUM(I22:N34)/13</f>
        <v>5430474.2235390088</v>
      </c>
    </row>
    <row r="35" spans="1:15">
      <c r="A35" s="237" t="s">
        <v>1398</v>
      </c>
      <c r="I35" s="618">
        <f t="shared" ref="I35:N35" si="1">SUM(I22:I34)/13</f>
        <v>1735378.784423077</v>
      </c>
      <c r="J35" s="618">
        <f t="shared" si="1"/>
        <v>2954458.5516159316</v>
      </c>
      <c r="K35" s="618">
        <f t="shared" si="1"/>
        <v>647421.8125</v>
      </c>
      <c r="L35" s="618">
        <f t="shared" si="1"/>
        <v>74440.602500000008</v>
      </c>
      <c r="M35" s="618">
        <f t="shared" si="1"/>
        <v>18768.399999999998</v>
      </c>
      <c r="N35" s="618">
        <f t="shared" si="1"/>
        <v>6.0724999999999998</v>
      </c>
      <c r="O35" s="618">
        <f>SUM(I35:N35)</f>
        <v>5430474.2235390088</v>
      </c>
    </row>
    <row r="37" spans="1:15">
      <c r="J37" s="618">
        <f>SUM(INV!O24:O26)*1000</f>
        <v>43936431.277334608</v>
      </c>
      <c r="K37" s="377">
        <f>SUM(J18,K18,L18,N18)</f>
        <v>3709527.5332974778</v>
      </c>
      <c r="L37" s="377">
        <f>J37-K37</f>
        <v>40226903.744037129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E22" sqref="E22"/>
    </sheetView>
  </sheetViews>
  <sheetFormatPr defaultColWidth="9" defaultRowHeight="12.75"/>
  <cols>
    <col min="1" max="1" width="38.77734375" style="227" customWidth="1"/>
    <col min="2" max="2" width="17.6640625" style="227" customWidth="1"/>
    <col min="3" max="6" width="11.33203125" style="227" customWidth="1"/>
    <col min="7" max="7" width="12.44140625" style="227" customWidth="1"/>
    <col min="8" max="10" width="11.33203125" style="227" customWidth="1"/>
    <col min="11" max="11" width="11" style="227" customWidth="1"/>
    <col min="12" max="12" width="12.88671875" style="227" customWidth="1"/>
    <col min="13" max="13" width="13.6640625" style="227" bestFit="1" customWidth="1"/>
    <col min="14" max="14" width="14.44140625" style="227" bestFit="1" customWidth="1"/>
    <col min="15" max="16384" width="9" style="227"/>
  </cols>
  <sheetData>
    <row r="1" spans="1:10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0">
      <c r="A2" s="227" t="s">
        <v>1415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>
      <c r="A3" s="227" t="s">
        <v>121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>
      <c r="B4" s="228"/>
      <c r="C4" s="228"/>
      <c r="D4" s="228"/>
      <c r="E4" s="228"/>
      <c r="F4" s="228"/>
      <c r="G4" s="228"/>
      <c r="H4" s="228"/>
      <c r="I4" s="228"/>
      <c r="J4" s="228"/>
    </row>
    <row r="5" spans="1:10">
      <c r="B5" s="229" t="s">
        <v>1720</v>
      </c>
    </row>
    <row r="7" spans="1:10">
      <c r="A7" s="227" t="s">
        <v>1416</v>
      </c>
      <c r="B7" s="491">
        <v>1183486187.0717921</v>
      </c>
    </row>
    <row r="8" spans="1:10">
      <c r="A8" s="227" t="s">
        <v>1417</v>
      </c>
      <c r="B8" s="491">
        <v>954474887.85043621</v>
      </c>
    </row>
    <row r="9" spans="1:10">
      <c r="A9" s="227" t="s">
        <v>1418</v>
      </c>
      <c r="B9" s="491">
        <v>229011299.22135589</v>
      </c>
    </row>
    <row r="10" spans="1:10">
      <c r="B10" s="492"/>
    </row>
    <row r="11" spans="1:10">
      <c r="A11" s="230" t="s">
        <v>1419</v>
      </c>
      <c r="B11" s="491">
        <v>34124295</v>
      </c>
    </row>
    <row r="12" spans="1:10">
      <c r="A12" s="227" t="s">
        <v>1417</v>
      </c>
      <c r="B12" s="491">
        <v>34114131</v>
      </c>
    </row>
    <row r="13" spans="1:10">
      <c r="A13" s="227" t="s">
        <v>1418</v>
      </c>
      <c r="B13" s="491">
        <v>10164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D64" sqref="D64"/>
    </sheetView>
  </sheetViews>
  <sheetFormatPr defaultColWidth="9" defaultRowHeight="12.75"/>
  <cols>
    <col min="1" max="1" width="38.77734375" style="227" customWidth="1"/>
    <col min="2" max="15" width="13.33203125" style="227" customWidth="1"/>
    <col min="16" max="16384" width="9" style="227"/>
  </cols>
  <sheetData>
    <row r="1" spans="1:16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6">
      <c r="A2" s="227" t="s">
        <v>121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6">
      <c r="A3" s="227" t="s">
        <v>1415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6">
      <c r="B4" s="228"/>
      <c r="C4" s="228"/>
      <c r="D4" s="228"/>
      <c r="E4" s="228"/>
      <c r="F4" s="228"/>
      <c r="G4" s="228"/>
      <c r="H4" s="228"/>
      <c r="I4" s="228"/>
      <c r="J4" s="228"/>
    </row>
    <row r="5" spans="1:16">
      <c r="B5" s="229" t="s">
        <v>1831</v>
      </c>
      <c r="C5" s="229" t="s">
        <v>1832</v>
      </c>
      <c r="D5" s="229" t="s">
        <v>1833</v>
      </c>
      <c r="E5" s="229" t="s">
        <v>1834</v>
      </c>
      <c r="F5" s="229" t="s">
        <v>1835</v>
      </c>
      <c r="G5" s="229" t="s">
        <v>1836</v>
      </c>
      <c r="H5" s="229" t="s">
        <v>1837</v>
      </c>
      <c r="I5" s="229" t="s">
        <v>1838</v>
      </c>
      <c r="J5" s="229" t="s">
        <v>1839</v>
      </c>
      <c r="K5" s="229" t="s">
        <v>1840</v>
      </c>
      <c r="L5" s="229" t="s">
        <v>1841</v>
      </c>
      <c r="M5" s="229" t="s">
        <v>1842</v>
      </c>
      <c r="N5" s="229" t="s">
        <v>1843</v>
      </c>
      <c r="O5" s="231" t="s">
        <v>1420</v>
      </c>
    </row>
    <row r="7" spans="1:16" ht="12.75" customHeight="1">
      <c r="A7" s="230" t="s">
        <v>1416</v>
      </c>
      <c r="B7" s="491">
        <v>1194344950.6084592</v>
      </c>
      <c r="C7" s="491">
        <v>1194356136.2075939</v>
      </c>
      <c r="D7" s="491">
        <v>1208638410.6128364</v>
      </c>
      <c r="E7" s="491">
        <v>1208649596.2119713</v>
      </c>
      <c r="F7" s="491">
        <v>1208660781.8111062</v>
      </c>
      <c r="G7" s="491">
        <v>1221015609.8531039</v>
      </c>
      <c r="H7" s="491">
        <v>1221026795.4522386</v>
      </c>
      <c r="I7" s="491">
        <v>1221037981.0513735</v>
      </c>
      <c r="J7" s="491">
        <v>1233983276.1621463</v>
      </c>
      <c r="K7" s="491">
        <v>1233994461.761281</v>
      </c>
      <c r="L7" s="491">
        <v>1234005647.3604159</v>
      </c>
      <c r="M7" s="491">
        <v>1235514831.7897666</v>
      </c>
      <c r="N7" s="491">
        <v>1234934505.922919</v>
      </c>
      <c r="O7" s="487">
        <v>1212980931.6084592</v>
      </c>
      <c r="P7" s="450" t="s">
        <v>1795</v>
      </c>
    </row>
    <row r="8" spans="1:16">
      <c r="A8" s="227" t="s">
        <v>1417</v>
      </c>
      <c r="B8" s="491">
        <v>964044343.48843169</v>
      </c>
      <c r="C8" s="491">
        <v>964055529.08756649</v>
      </c>
      <c r="D8" s="491">
        <v>976723572.95733881</v>
      </c>
      <c r="E8" s="491">
        <v>976734758.55647361</v>
      </c>
      <c r="F8" s="491">
        <v>976745944.15560853</v>
      </c>
      <c r="G8" s="491">
        <v>987651736.23061538</v>
      </c>
      <c r="H8" s="491">
        <v>987662921.82975018</v>
      </c>
      <c r="I8" s="491">
        <v>987674107.42888498</v>
      </c>
      <c r="J8" s="491">
        <v>999170366.57267904</v>
      </c>
      <c r="K8" s="491">
        <v>999181552.17181385</v>
      </c>
      <c r="L8" s="491">
        <v>999192737.77094877</v>
      </c>
      <c r="M8" s="491">
        <v>999699402.29160094</v>
      </c>
      <c r="N8" s="491">
        <v>999295239.64393938</v>
      </c>
      <c r="O8" s="487">
        <v>980229172.48843169</v>
      </c>
      <c r="P8" s="450" t="s">
        <v>1795</v>
      </c>
    </row>
    <row r="9" spans="1:16">
      <c r="A9" s="227" t="s">
        <v>1418</v>
      </c>
      <c r="B9" s="491">
        <v>230300607.12002745</v>
      </c>
      <c r="C9" s="491">
        <v>230300607.12002745</v>
      </c>
      <c r="D9" s="491">
        <v>231914837.65549758</v>
      </c>
      <c r="E9" s="491">
        <v>231914837.65549758</v>
      </c>
      <c r="F9" s="491">
        <v>231914837.65549758</v>
      </c>
      <c r="G9" s="491">
        <v>233363873.62248847</v>
      </c>
      <c r="H9" s="491">
        <v>233363873.62248847</v>
      </c>
      <c r="I9" s="491">
        <v>233363873.62248847</v>
      </c>
      <c r="J9" s="491">
        <v>234812909.58946729</v>
      </c>
      <c r="K9" s="491">
        <v>234812909.58946729</v>
      </c>
      <c r="L9" s="491">
        <v>234812909.58946729</v>
      </c>
      <c r="M9" s="491">
        <v>235815429.4981657</v>
      </c>
      <c r="N9" s="491">
        <v>235639266.27897969</v>
      </c>
      <c r="O9" s="487">
        <v>232751759.12002745</v>
      </c>
      <c r="P9" s="450" t="s">
        <v>1795</v>
      </c>
    </row>
    <row r="10" spans="1:16"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</row>
    <row r="11" spans="1:16">
      <c r="A11" s="230" t="s">
        <v>1419</v>
      </c>
      <c r="B11" s="491">
        <v>33780257.412456609</v>
      </c>
      <c r="C11" s="491">
        <v>33694248.188070767</v>
      </c>
      <c r="D11" s="491">
        <v>33608238.963684916</v>
      </c>
      <c r="E11" s="491">
        <v>33522229.73929907</v>
      </c>
      <c r="F11" s="491">
        <v>33436220.51491322</v>
      </c>
      <c r="G11" s="491">
        <v>33350211.290527374</v>
      </c>
      <c r="H11" s="491">
        <v>33264202.066141527</v>
      </c>
      <c r="I11" s="491">
        <v>33178192.841755677</v>
      </c>
      <c r="J11" s="491">
        <v>33092183.617369831</v>
      </c>
      <c r="K11" s="491">
        <v>33012008.559650648</v>
      </c>
      <c r="L11" s="491">
        <v>32931833.50193147</v>
      </c>
      <c r="M11" s="491">
        <v>32851658.444212288</v>
      </c>
      <c r="N11" s="491">
        <v>32771483.386493105</v>
      </c>
      <c r="O11" s="487">
        <f>SUM(B11:N11)/13</f>
        <v>33268689.886654351</v>
      </c>
    </row>
    <row r="12" spans="1:16">
      <c r="A12" s="227" t="s">
        <v>1417</v>
      </c>
      <c r="B12" s="491">
        <v>33772266.925789945</v>
      </c>
      <c r="C12" s="491">
        <v>33686801.034737431</v>
      </c>
      <c r="D12" s="491">
        <v>33601335.143684916</v>
      </c>
      <c r="E12" s="491">
        <v>33515869.252632402</v>
      </c>
      <c r="F12" s="491">
        <v>33430403.361579888</v>
      </c>
      <c r="G12" s="491">
        <v>33344937.470527373</v>
      </c>
      <c r="H12" s="491">
        <v>33259471.579474859</v>
      </c>
      <c r="I12" s="491">
        <v>33174005.688422345</v>
      </c>
      <c r="J12" s="491">
        <v>33088539.79736983</v>
      </c>
      <c r="K12" s="491">
        <v>33008441.406317316</v>
      </c>
      <c r="L12" s="491">
        <v>32928343.015264802</v>
      </c>
      <c r="M12" s="491">
        <v>32848244.624212287</v>
      </c>
      <c r="N12" s="491">
        <v>32768146.233159773</v>
      </c>
      <c r="O12" s="487">
        <f t="shared" ref="O12:O13" si="0">SUM(B12:N12)/13</f>
        <v>33263600.425628703</v>
      </c>
    </row>
    <row r="13" spans="1:16">
      <c r="A13" s="227" t="s">
        <v>1418</v>
      </c>
      <c r="B13" s="491">
        <v>7990.4866666666539</v>
      </c>
      <c r="C13" s="491">
        <v>7447.1533333333173</v>
      </c>
      <c r="D13" s="491">
        <v>6903.8199999999806</v>
      </c>
      <c r="E13" s="491">
        <v>6360.4866666666439</v>
      </c>
      <c r="F13" s="491">
        <v>5817.1533333333073</v>
      </c>
      <c r="G13" s="491">
        <v>5273.8199999999706</v>
      </c>
      <c r="H13" s="491">
        <v>4730.4866666666339</v>
      </c>
      <c r="I13" s="491">
        <v>4187.1533333332973</v>
      </c>
      <c r="J13" s="491">
        <v>3643.8199999999606</v>
      </c>
      <c r="K13" s="491">
        <v>3567.1533333332927</v>
      </c>
      <c r="L13" s="491">
        <v>3490.4866666666248</v>
      </c>
      <c r="M13" s="491">
        <v>3413.819999999957</v>
      </c>
      <c r="N13" s="491">
        <v>3337.1533333332891</v>
      </c>
      <c r="O13" s="487">
        <f t="shared" si="0"/>
        <v>5089.4610256409951</v>
      </c>
    </row>
  </sheetData>
  <pageMargins left="0.25" right="0.25" top="1" bottom="1" header="0.5" footer="0.5"/>
  <pageSetup scale="58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D4"/>
  <sheetViews>
    <sheetView topLeftCell="L1" workbookViewId="0">
      <selection activeCell="R33" sqref="R33"/>
    </sheetView>
  </sheetViews>
  <sheetFormatPr defaultColWidth="9" defaultRowHeight="15"/>
  <cols>
    <col min="1" max="1" width="9" style="828"/>
    <col min="2" max="7" width="11.77734375" style="828" customWidth="1"/>
    <col min="8" max="8" width="10.77734375" style="828" customWidth="1"/>
    <col min="9" max="9" width="11.109375" style="828" customWidth="1"/>
    <col min="10" max="10" width="11.6640625" style="828" customWidth="1"/>
    <col min="11" max="24" width="10.77734375" style="828" bestFit="1" customWidth="1"/>
    <col min="25" max="30" width="10.6640625" style="828" customWidth="1"/>
    <col min="31" max="16384" width="9" style="828"/>
  </cols>
  <sheetData>
    <row r="1" spans="1:30" s="616" customFormat="1"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</row>
    <row r="2" spans="1:30">
      <c r="A2" s="826" t="s">
        <v>1421</v>
      </c>
      <c r="B2" s="827">
        <v>-254703.95669982961</v>
      </c>
      <c r="C2" s="827">
        <v>-255461.43653841241</v>
      </c>
      <c r="D2" s="827">
        <v>-256870.927084725</v>
      </c>
      <c r="E2" s="827">
        <v>-258103.44392876831</v>
      </c>
      <c r="F2" s="827">
        <v>-259244.28845238889</v>
      </c>
      <c r="G2" s="827">
        <v>-260465.7683444361</v>
      </c>
      <c r="H2" s="827">
        <v>-261819.11509919641</v>
      </c>
      <c r="I2" s="827">
        <v>-264024.68864487385</v>
      </c>
      <c r="J2" s="827">
        <v>-267131.63205297029</v>
      </c>
      <c r="K2" s="827">
        <v>-270307.56834170857</v>
      </c>
      <c r="L2" s="827">
        <v>-273225.26214260986</v>
      </c>
      <c r="M2" s="827">
        <v>-278650.77661775902</v>
      </c>
      <c r="N2" s="827">
        <v>-281168.31340300478</v>
      </c>
      <c r="O2" s="827">
        <v>-283726.47485351644</v>
      </c>
      <c r="P2" s="827">
        <v>-286355.50966260239</v>
      </c>
      <c r="Q2" s="827">
        <v>-289553.79481828783</v>
      </c>
      <c r="R2" s="827">
        <v>-292507.45087738684</v>
      </c>
      <c r="S2" s="827">
        <v>-294938.36603416892</v>
      </c>
      <c r="T2" s="827">
        <v>-297631.01709695224</v>
      </c>
      <c r="U2" s="827">
        <v>-300649.0994425735</v>
      </c>
      <c r="V2" s="827">
        <v>-303614.67268363526</v>
      </c>
      <c r="W2" s="827">
        <v>-306432.38851188467</v>
      </c>
      <c r="X2" s="827">
        <v>-310165.84574728436</v>
      </c>
      <c r="Y2" s="827">
        <v>-317694.23916654685</v>
      </c>
      <c r="Z2" s="827">
        <v>-318230.95850966481</v>
      </c>
      <c r="AA2" s="827">
        <v>-318766.34109350678</v>
      </c>
      <c r="AB2" s="827">
        <v>-319350.06707537523</v>
      </c>
      <c r="AC2" s="827">
        <v>-320075.57533751143</v>
      </c>
      <c r="AD2" s="827">
        <f>SUM(Q2:W2,X2:AC2)/13</f>
        <v>-306893.06279959838</v>
      </c>
    </row>
    <row r="3" spans="1:30">
      <c r="R3" s="827"/>
    </row>
    <row r="4" spans="1:30">
      <c r="R4" s="82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Q11"/>
  <sheetViews>
    <sheetView zoomScale="85" zoomScaleNormal="85" workbookViewId="0">
      <pane xSplit="1" ySplit="1" topLeftCell="B2" activePane="bottomRight" state="frozen"/>
      <selection activeCell="B18" sqref="B18"/>
      <selection pane="topRight" activeCell="B18" sqref="B18"/>
      <selection pane="bottomLeft" activeCell="B18" sqref="B18"/>
      <selection pane="bottomRight" activeCell="D38" sqref="D38"/>
    </sheetView>
  </sheetViews>
  <sheetFormatPr defaultColWidth="9" defaultRowHeight="15"/>
  <cols>
    <col min="1" max="1" width="28.88671875" style="378" bestFit="1" customWidth="1"/>
    <col min="2" max="7" width="12.88671875" style="378" bestFit="1" customWidth="1"/>
    <col min="8" max="8" width="11.77734375" style="378" bestFit="1" customWidth="1"/>
    <col min="9" max="11" width="8.44140625" style="378" bestFit="1" customWidth="1"/>
    <col min="12" max="12" width="8.44140625" style="378" customWidth="1"/>
    <col min="13" max="13" width="13.109375" style="378" bestFit="1" customWidth="1"/>
    <col min="14" max="29" width="8.44140625" style="378" bestFit="1" customWidth="1"/>
    <col min="30" max="30" width="15.77734375" style="378" customWidth="1"/>
    <col min="31" max="16384" width="9" style="378"/>
  </cols>
  <sheetData>
    <row r="1" spans="1:43">
      <c r="A1" s="616"/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</row>
    <row r="2" spans="1:43">
      <c r="A2" s="616" t="s">
        <v>1422</v>
      </c>
      <c r="B2" s="830">
        <v>-1907.4482977470934</v>
      </c>
      <c r="C2" s="830">
        <v>-1894.9961763438632</v>
      </c>
      <c r="D2" s="830">
        <v>-1883.8899007456862</v>
      </c>
      <c r="E2" s="830">
        <v>-1871.5941277921002</v>
      </c>
      <c r="F2" s="830">
        <v>-1859.3804758813578</v>
      </c>
      <c r="G2" s="830">
        <v>-1847.2414821632908</v>
      </c>
      <c r="H2" s="830">
        <v>-1836.1785436249208</v>
      </c>
      <c r="I2" s="830">
        <v>-1825.1019848141859</v>
      </c>
      <c r="J2" s="830">
        <v>-1813.8590117763961</v>
      </c>
      <c r="K2" s="830">
        <v>-1802.448973381421</v>
      </c>
      <c r="L2" s="830">
        <v>-1791.025029520611</v>
      </c>
      <c r="M2" s="830">
        <v>-1782749.3012646399</v>
      </c>
      <c r="N2" s="830">
        <v>-1768.0010676831989</v>
      </c>
      <c r="O2" s="830">
        <v>-1753.1918452214622</v>
      </c>
      <c r="P2" s="830">
        <v>-1738.3216338819254</v>
      </c>
      <c r="Q2" s="830">
        <v>-1723.3904336620938</v>
      </c>
      <c r="R2" s="830">
        <v>-1708.3982445644619</v>
      </c>
      <c r="S2" s="830">
        <v>-1693.3450665865353</v>
      </c>
      <c r="T2" s="830">
        <v>-1678.2308997283135</v>
      </c>
      <c r="U2" s="830">
        <v>-1663.0557439922916</v>
      </c>
      <c r="V2" s="830">
        <v>-1647.8195993759748</v>
      </c>
      <c r="W2" s="830">
        <v>-1632.5224658818579</v>
      </c>
      <c r="X2" s="830">
        <v>-1617.1643435074461</v>
      </c>
      <c r="Y2" s="830">
        <v>-1601.7452322552342</v>
      </c>
      <c r="Z2" s="830">
        <v>-1582.8789959982435</v>
      </c>
      <c r="AA2" s="830">
        <v>-1564.0053191023528</v>
      </c>
      <c r="AB2" s="830">
        <v>-1545.1242015525922</v>
      </c>
      <c r="AC2" s="830">
        <v>-1526.2356433489617</v>
      </c>
      <c r="AD2" s="830">
        <f>SUM(Q2:AC2)/13*1000</f>
        <v>-1629532.0145812586</v>
      </c>
    </row>
    <row r="3" spans="1:43" ht="15.75">
      <c r="A3" s="616" t="s">
        <v>1423</v>
      </c>
      <c r="B3" s="232"/>
      <c r="C3" s="232"/>
      <c r="D3" s="232"/>
      <c r="E3" s="232"/>
      <c r="F3" s="232"/>
      <c r="G3" s="232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0"/>
    </row>
    <row r="4" spans="1:43" ht="15.75">
      <c r="A4" s="616"/>
      <c r="B4" s="232"/>
      <c r="C4" s="232"/>
      <c r="D4" s="232"/>
      <c r="E4" s="232"/>
      <c r="F4" s="232"/>
      <c r="G4" s="232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</row>
    <row r="5" spans="1:43" ht="15.75">
      <c r="A5" s="616"/>
      <c r="B5" s="232"/>
      <c r="C5" s="232"/>
      <c r="D5" s="232"/>
      <c r="E5" s="232"/>
      <c r="F5" s="232"/>
      <c r="G5" s="232"/>
      <c r="H5" s="830"/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0"/>
      <c r="T5" s="830"/>
      <c r="U5" s="830"/>
      <c r="V5" s="830"/>
      <c r="W5" s="830"/>
      <c r="X5" s="830"/>
      <c r="Y5" s="830"/>
      <c r="Z5" s="830"/>
      <c r="AA5" s="830"/>
      <c r="AB5" s="830"/>
      <c r="AC5" s="830"/>
      <c r="AD5" s="830"/>
    </row>
    <row r="6" spans="1:43" ht="15.75">
      <c r="A6" s="616"/>
      <c r="B6" s="232"/>
      <c r="C6" s="232"/>
      <c r="D6" s="232"/>
      <c r="E6" s="232"/>
      <c r="F6" s="232"/>
      <c r="G6" s="232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830"/>
      <c r="V6" s="830"/>
      <c r="W6" s="830"/>
      <c r="X6" s="830"/>
      <c r="Y6" s="830"/>
      <c r="Z6" s="830"/>
      <c r="AA6" s="830"/>
      <c r="AB6" s="830"/>
      <c r="AC6" s="830"/>
      <c r="AD6" s="830"/>
    </row>
    <row r="7" spans="1:43" ht="15.75">
      <c r="A7" s="616"/>
      <c r="B7" s="232"/>
      <c r="C7" s="232"/>
      <c r="D7" s="232"/>
      <c r="E7" s="232"/>
      <c r="F7" s="232"/>
      <c r="G7" s="232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</row>
    <row r="8" spans="1:43" ht="15.75">
      <c r="A8" s="616"/>
      <c r="B8" s="232"/>
      <c r="C8" s="232"/>
      <c r="D8" s="232"/>
      <c r="E8" s="232"/>
      <c r="F8" s="232"/>
      <c r="G8" s="232"/>
      <c r="H8" s="830"/>
      <c r="I8" s="830"/>
      <c r="J8" s="830"/>
      <c r="K8" s="830"/>
      <c r="L8" s="830"/>
      <c r="M8" s="830"/>
      <c r="N8" s="830"/>
      <c r="O8" s="830"/>
      <c r="P8" s="830"/>
      <c r="Q8" s="830"/>
      <c r="R8" s="830"/>
      <c r="S8" s="830"/>
      <c r="T8" s="830"/>
      <c r="U8" s="830"/>
      <c r="V8" s="830"/>
      <c r="W8" s="830"/>
      <c r="X8" s="830"/>
      <c r="Y8" s="830"/>
      <c r="Z8" s="830"/>
      <c r="AA8" s="830"/>
      <c r="AB8" s="830"/>
      <c r="AC8" s="830"/>
      <c r="AD8" s="830"/>
    </row>
    <row r="9" spans="1:43" ht="15.75">
      <c r="A9" s="616"/>
      <c r="B9" s="232"/>
      <c r="C9" s="232"/>
      <c r="D9" s="232"/>
      <c r="E9" s="232"/>
      <c r="F9" s="232"/>
      <c r="G9" s="232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</row>
    <row r="10" spans="1:43">
      <c r="A10" s="616" t="s">
        <v>1424</v>
      </c>
      <c r="B10" s="830">
        <v>-1463.583751096786</v>
      </c>
      <c r="C10" s="830">
        <v>-1453.5470501114096</v>
      </c>
      <c r="D10" s="830">
        <v>-1426.6919449397615</v>
      </c>
      <c r="E10" s="830">
        <v>-1416.4026638825651</v>
      </c>
      <c r="F10" s="830">
        <v>-1406.565394374398</v>
      </c>
      <c r="G10" s="830">
        <v>-1396.5879887188091</v>
      </c>
      <c r="H10" s="830">
        <v>-1387.7274336402691</v>
      </c>
      <c r="I10" s="830">
        <v>-1378.8544361364491</v>
      </c>
      <c r="J10" s="830">
        <v>-1369.838470511889</v>
      </c>
      <c r="K10" s="830">
        <v>-1360.6795322606188</v>
      </c>
      <c r="L10" s="830">
        <v>-1351.5084662310137</v>
      </c>
      <c r="M10" s="830">
        <v>-1345010.40723335</v>
      </c>
      <c r="N10" s="830">
        <v>-1332.1703042076342</v>
      </c>
      <c r="O10" s="830">
        <v>-1319.2770092015758</v>
      </c>
      <c r="P10" s="830">
        <v>-1306.3305221652724</v>
      </c>
      <c r="Q10" s="830">
        <v>-1293.330843098724</v>
      </c>
      <c r="R10" s="830">
        <v>-1280.2779719994355</v>
      </c>
      <c r="S10" s="830">
        <v>-1267.1719088699022</v>
      </c>
      <c r="T10" s="830">
        <v>-1254.0126537101237</v>
      </c>
      <c r="U10" s="830">
        <v>-1240.8002065176054</v>
      </c>
      <c r="V10" s="830">
        <v>-1227.534567294842</v>
      </c>
      <c r="W10" s="830">
        <v>-1214.2157360418335</v>
      </c>
      <c r="X10" s="830">
        <v>-1200.8437127585801</v>
      </c>
      <c r="Y10" s="830">
        <v>-1187.4184974425866</v>
      </c>
      <c r="Z10" s="830">
        <v>-1170.9544960909661</v>
      </c>
      <c r="AA10" s="830">
        <v>-1154.4840053815708</v>
      </c>
      <c r="AB10" s="830">
        <v>-1138.0070252370556</v>
      </c>
      <c r="AC10" s="830">
        <v>-1121.5235556574203</v>
      </c>
      <c r="AD10" s="830">
        <f>SUM(Q10:AC10)/13*1000</f>
        <v>-1211582.706161588</v>
      </c>
    </row>
    <row r="11" spans="1:43">
      <c r="A11" s="616" t="s">
        <v>1425</v>
      </c>
      <c r="B11" s="830"/>
      <c r="C11" s="830"/>
      <c r="D11" s="830"/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  <c r="AC11" s="830"/>
      <c r="AD11" s="830">
        <f>SUM(Q11:AC11)/13*1000</f>
        <v>0</v>
      </c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400"/>
  <sheetViews>
    <sheetView zoomScale="70" zoomScaleNormal="70" workbookViewId="0">
      <selection activeCell="D10" sqref="D10"/>
    </sheetView>
  </sheetViews>
  <sheetFormatPr defaultColWidth="9" defaultRowHeight="15.75"/>
  <cols>
    <col min="1" max="2" width="9" style="511"/>
    <col min="3" max="3" width="1.6640625" style="511" customWidth="1"/>
    <col min="4" max="4" width="68.6640625" style="511" bestFit="1" customWidth="1"/>
    <col min="5" max="5" width="1.6640625" style="511" customWidth="1"/>
    <col min="6" max="6" width="15" style="564" bestFit="1" customWidth="1"/>
    <col min="7" max="7" width="2.77734375" style="564" customWidth="1"/>
    <col min="8" max="8" width="14.33203125" style="535" bestFit="1" customWidth="1"/>
    <col min="9" max="9" width="1.6640625" style="535" customWidth="1"/>
    <col min="10" max="10" width="11.88671875" style="535" bestFit="1" customWidth="1"/>
    <col min="11" max="11" width="1.6640625" style="535" customWidth="1"/>
    <col min="12" max="12" width="11.109375" style="535" bestFit="1" customWidth="1"/>
    <col min="13" max="13" width="1.6640625" style="535" customWidth="1"/>
    <col min="14" max="14" width="10.44140625" style="535" bestFit="1" customWidth="1"/>
    <col min="15" max="15" width="1.6640625" style="564" customWidth="1"/>
    <col min="16" max="16" width="23" style="564" customWidth="1"/>
    <col min="17" max="17" width="1.6640625" style="564" customWidth="1"/>
    <col min="18" max="18" width="13.109375" style="534" bestFit="1" customWidth="1"/>
    <col min="19" max="16384" width="9" style="182"/>
  </cols>
  <sheetData>
    <row r="1" spans="1:18">
      <c r="B1" s="855" t="s">
        <v>784</v>
      </c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5"/>
      <c r="R1" s="855"/>
    </row>
    <row r="2" spans="1:18">
      <c r="B2" s="855" t="s">
        <v>1285</v>
      </c>
      <c r="C2" s="855"/>
      <c r="D2" s="855"/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855"/>
      <c r="P2" s="855"/>
      <c r="Q2" s="855"/>
      <c r="R2" s="855"/>
    </row>
    <row r="3" spans="1:18">
      <c r="A3" s="512"/>
      <c r="B3" s="512"/>
      <c r="C3" s="512"/>
      <c r="D3" s="512"/>
      <c r="E3" s="512"/>
      <c r="F3" s="513"/>
      <c r="G3" s="513"/>
      <c r="H3" s="514"/>
      <c r="I3" s="514"/>
      <c r="J3" s="514"/>
      <c r="K3" s="514"/>
      <c r="L3" s="514"/>
      <c r="M3" s="514"/>
      <c r="N3" s="514"/>
      <c r="O3" s="513"/>
      <c r="P3" s="515"/>
      <c r="Q3" s="515"/>
      <c r="R3" s="516"/>
    </row>
    <row r="4" spans="1:18">
      <c r="B4" s="855"/>
      <c r="C4" s="855"/>
      <c r="D4" s="855"/>
      <c r="E4" s="855"/>
      <c r="F4" s="855"/>
      <c r="G4" s="855"/>
      <c r="H4" s="855"/>
      <c r="I4" s="855"/>
      <c r="J4" s="855"/>
      <c r="K4" s="855"/>
      <c r="L4" s="855"/>
      <c r="M4" s="855"/>
      <c r="N4" s="855"/>
      <c r="O4" s="855"/>
      <c r="P4" s="855"/>
      <c r="Q4" s="855"/>
      <c r="R4" s="855"/>
    </row>
    <row r="5" spans="1:18">
      <c r="B5" s="855" t="s">
        <v>1876</v>
      </c>
      <c r="C5" s="855"/>
      <c r="D5" s="855"/>
      <c r="E5" s="855"/>
      <c r="F5" s="855"/>
      <c r="G5" s="855"/>
      <c r="H5" s="855"/>
      <c r="I5" s="855"/>
      <c r="J5" s="855"/>
      <c r="K5" s="855"/>
      <c r="L5" s="855"/>
      <c r="M5" s="855"/>
      <c r="N5" s="855"/>
      <c r="O5" s="855"/>
      <c r="P5" s="855"/>
      <c r="Q5" s="855"/>
      <c r="R5" s="855"/>
    </row>
    <row r="6" spans="1:18">
      <c r="A6" s="512"/>
      <c r="B6" s="512"/>
      <c r="C6" s="512"/>
      <c r="D6" s="512"/>
      <c r="E6" s="512"/>
      <c r="F6" s="513"/>
      <c r="G6" s="513"/>
      <c r="H6" s="514"/>
      <c r="I6" s="514"/>
      <c r="J6" s="514"/>
      <c r="K6" s="514"/>
      <c r="L6" s="514"/>
      <c r="M6" s="514"/>
      <c r="N6" s="514"/>
      <c r="O6" s="513"/>
      <c r="P6" s="515"/>
      <c r="Q6" s="515"/>
      <c r="R6" s="516"/>
    </row>
    <row r="7" spans="1:18">
      <c r="A7" s="513"/>
      <c r="C7" s="517"/>
      <c r="D7" s="518"/>
      <c r="E7" s="519"/>
      <c r="F7" s="518" t="s">
        <v>289</v>
      </c>
      <c r="G7" s="518"/>
      <c r="H7" s="520"/>
      <c r="I7" s="521"/>
      <c r="J7" s="522"/>
      <c r="K7" s="522"/>
      <c r="L7" s="522" t="s">
        <v>287</v>
      </c>
      <c r="M7" s="522"/>
      <c r="N7" s="522" t="s">
        <v>1605</v>
      </c>
      <c r="O7" s="523"/>
      <c r="P7" s="518"/>
      <c r="Q7" s="523"/>
      <c r="R7" s="518" t="s">
        <v>294</v>
      </c>
    </row>
    <row r="8" spans="1:18">
      <c r="A8" s="524"/>
      <c r="C8" s="517"/>
      <c r="D8" s="519"/>
      <c r="E8" s="519"/>
      <c r="F8" s="518" t="s">
        <v>293</v>
      </c>
      <c r="G8" s="518"/>
      <c r="H8" s="525" t="s">
        <v>295</v>
      </c>
      <c r="I8" s="521"/>
      <c r="J8" s="522" t="s">
        <v>1606</v>
      </c>
      <c r="K8" s="522"/>
      <c r="L8" s="522" t="s">
        <v>1607</v>
      </c>
      <c r="M8" s="522"/>
      <c r="N8" s="522" t="s">
        <v>1608</v>
      </c>
      <c r="O8" s="523"/>
      <c r="P8" s="518" t="s">
        <v>296</v>
      </c>
      <c r="Q8" s="523"/>
      <c r="R8" s="518" t="s">
        <v>297</v>
      </c>
    </row>
    <row r="9" spans="1:18">
      <c r="A9" s="524"/>
      <c r="C9" s="517"/>
      <c r="D9" s="519" t="s">
        <v>298</v>
      </c>
      <c r="E9" s="519"/>
      <c r="F9" s="518" t="s">
        <v>299</v>
      </c>
      <c r="G9" s="518"/>
      <c r="H9" s="522" t="s">
        <v>300</v>
      </c>
      <c r="I9" s="521"/>
      <c r="J9" s="526" t="s">
        <v>300</v>
      </c>
      <c r="K9" s="522"/>
      <c r="L9" s="526" t="s">
        <v>300</v>
      </c>
      <c r="M9" s="522"/>
      <c r="N9" s="526" t="s">
        <v>300</v>
      </c>
      <c r="O9" s="523"/>
      <c r="P9" s="518" t="s">
        <v>301</v>
      </c>
      <c r="Q9" s="523"/>
      <c r="R9" s="518" t="s">
        <v>302</v>
      </c>
    </row>
    <row r="10" spans="1:18">
      <c r="A10" s="527"/>
      <c r="C10" s="517"/>
      <c r="D10" s="528"/>
      <c r="E10" s="529"/>
      <c r="F10" s="530"/>
      <c r="G10" s="518"/>
      <c r="H10" s="531"/>
      <c r="I10" s="521"/>
      <c r="J10" s="522"/>
      <c r="K10" s="522"/>
      <c r="L10" s="522"/>
      <c r="M10" s="522"/>
      <c r="N10" s="522"/>
      <c r="O10" s="523"/>
      <c r="P10" s="530"/>
      <c r="Q10" s="523"/>
      <c r="R10" s="530"/>
    </row>
    <row r="11" spans="1:18">
      <c r="A11" s="524"/>
      <c r="C11" s="517"/>
      <c r="D11" s="529"/>
      <c r="E11" s="529"/>
      <c r="F11" s="518"/>
      <c r="G11" s="518"/>
      <c r="H11" s="522"/>
      <c r="I11" s="521"/>
      <c r="J11" s="521"/>
      <c r="K11" s="521"/>
      <c r="L11" s="521"/>
      <c r="M11" s="521"/>
      <c r="N11" s="521"/>
      <c r="O11" s="523"/>
      <c r="P11" s="518"/>
      <c r="Q11" s="523"/>
      <c r="R11" s="518"/>
    </row>
    <row r="12" spans="1:18">
      <c r="A12" s="524"/>
      <c r="C12" s="532"/>
      <c r="D12" s="533" t="s">
        <v>303</v>
      </c>
      <c r="E12" s="527"/>
      <c r="F12" s="523"/>
      <c r="G12" s="523"/>
      <c r="H12" s="521"/>
      <c r="I12" s="521"/>
      <c r="J12" s="521"/>
      <c r="K12" s="521"/>
      <c r="L12" s="521"/>
      <c r="M12" s="521"/>
      <c r="N12" s="521"/>
      <c r="O12" s="523"/>
      <c r="P12" s="523"/>
      <c r="Q12" s="523"/>
    </row>
    <row r="13" spans="1:18">
      <c r="A13" s="524"/>
      <c r="C13" s="532"/>
      <c r="D13" s="527"/>
      <c r="E13" s="527"/>
      <c r="F13" s="523"/>
      <c r="G13" s="523"/>
      <c r="H13" s="521"/>
      <c r="I13" s="521"/>
      <c r="J13" s="521"/>
      <c r="K13" s="521"/>
      <c r="L13" s="521"/>
      <c r="M13" s="521"/>
      <c r="N13" s="521"/>
      <c r="O13" s="523"/>
      <c r="P13" s="523"/>
      <c r="Q13" s="523"/>
    </row>
    <row r="14" spans="1:18">
      <c r="A14" s="524"/>
      <c r="C14" s="532"/>
      <c r="D14" s="518" t="s">
        <v>309</v>
      </c>
      <c r="E14" s="527"/>
      <c r="F14" s="523"/>
      <c r="G14" s="523"/>
      <c r="I14" s="521"/>
      <c r="J14" s="521"/>
      <c r="K14" s="521"/>
      <c r="L14" s="521"/>
      <c r="M14" s="521"/>
      <c r="N14" s="521"/>
      <c r="O14" s="523"/>
      <c r="P14" s="523"/>
      <c r="Q14" s="523"/>
    </row>
    <row r="15" spans="1:18">
      <c r="A15" s="524"/>
      <c r="C15" s="532"/>
      <c r="D15" s="530"/>
      <c r="E15" s="527"/>
      <c r="F15" s="523"/>
      <c r="G15" s="523"/>
      <c r="I15" s="521"/>
      <c r="J15" s="521"/>
      <c r="K15" s="521"/>
      <c r="L15" s="521"/>
      <c r="M15" s="521"/>
      <c r="N15" s="521"/>
      <c r="O15" s="523"/>
      <c r="P15" s="523"/>
      <c r="Q15" s="523"/>
    </row>
    <row r="16" spans="1:18">
      <c r="A16" s="536"/>
      <c r="B16" s="537">
        <v>311</v>
      </c>
      <c r="C16" s="532"/>
      <c r="D16" s="527" t="s">
        <v>310</v>
      </c>
      <c r="E16" s="527"/>
      <c r="F16" s="523"/>
      <c r="G16" s="523"/>
      <c r="H16" s="521"/>
      <c r="I16" s="521"/>
      <c r="J16" s="521"/>
      <c r="K16" s="521"/>
      <c r="L16" s="521"/>
      <c r="M16" s="521"/>
      <c r="N16" s="521"/>
      <c r="O16" s="523"/>
      <c r="P16" s="523"/>
      <c r="Q16" s="523"/>
    </row>
    <row r="17" spans="1:18">
      <c r="A17" s="536"/>
      <c r="B17" s="537"/>
      <c r="C17" s="532"/>
      <c r="D17" s="538" t="s">
        <v>1297</v>
      </c>
      <c r="E17" s="539"/>
      <c r="F17" s="539">
        <v>-10</v>
      </c>
      <c r="G17" s="540"/>
      <c r="H17" s="541">
        <v>1.08</v>
      </c>
      <c r="I17" s="542"/>
      <c r="J17" s="542">
        <v>1.03</v>
      </c>
      <c r="K17" s="542"/>
      <c r="L17" s="542">
        <v>0.05</v>
      </c>
      <c r="M17" s="542"/>
      <c r="N17" s="542">
        <v>0</v>
      </c>
      <c r="O17" s="523"/>
      <c r="P17" s="539" t="s">
        <v>1610</v>
      </c>
      <c r="Q17" s="523"/>
      <c r="R17" s="534">
        <v>16.2</v>
      </c>
    </row>
    <row r="18" spans="1:18">
      <c r="A18" s="536"/>
      <c r="B18" s="537"/>
      <c r="C18" s="532"/>
      <c r="D18" s="538" t="s">
        <v>1298</v>
      </c>
      <c r="E18" s="539"/>
      <c r="F18" s="539">
        <v>0</v>
      </c>
      <c r="G18" s="540"/>
      <c r="H18" s="541">
        <v>0</v>
      </c>
      <c r="I18" s="542"/>
      <c r="J18" s="542">
        <v>0</v>
      </c>
      <c r="K18" s="542"/>
      <c r="L18" s="542">
        <v>0</v>
      </c>
      <c r="M18" s="542"/>
      <c r="N18" s="542">
        <v>0</v>
      </c>
      <c r="O18" s="523"/>
      <c r="P18" s="539" t="s">
        <v>312</v>
      </c>
      <c r="Q18" s="523"/>
      <c r="R18" s="534" t="s">
        <v>1288</v>
      </c>
    </row>
    <row r="19" spans="1:18">
      <c r="A19" s="536"/>
      <c r="B19" s="537"/>
      <c r="C19" s="532"/>
      <c r="D19" s="538" t="s">
        <v>1299</v>
      </c>
      <c r="E19" s="539"/>
      <c r="F19" s="539">
        <v>-10</v>
      </c>
      <c r="G19" s="540"/>
      <c r="H19" s="541">
        <v>1.1000000000000001</v>
      </c>
      <c r="I19" s="542"/>
      <c r="J19" s="542">
        <v>1.05</v>
      </c>
      <c r="K19" s="542"/>
      <c r="L19" s="542">
        <v>0.05</v>
      </c>
      <c r="M19" s="542"/>
      <c r="N19" s="542">
        <v>0</v>
      </c>
      <c r="O19" s="523"/>
      <c r="P19" s="539" t="s">
        <v>1610</v>
      </c>
      <c r="Q19" s="523"/>
      <c r="R19" s="534">
        <v>18.2</v>
      </c>
    </row>
    <row r="20" spans="1:18">
      <c r="A20" s="536"/>
      <c r="B20" s="537"/>
      <c r="C20" s="532"/>
      <c r="D20" s="538" t="s">
        <v>1300</v>
      </c>
      <c r="E20" s="539"/>
      <c r="F20" s="539">
        <v>-10</v>
      </c>
      <c r="G20" s="540"/>
      <c r="H20" s="541">
        <v>0</v>
      </c>
      <c r="I20" s="542"/>
      <c r="J20" s="542">
        <v>0</v>
      </c>
      <c r="K20" s="542"/>
      <c r="L20" s="542">
        <v>0</v>
      </c>
      <c r="M20" s="542"/>
      <c r="N20" s="542">
        <v>0</v>
      </c>
      <c r="O20" s="523"/>
      <c r="P20" s="539" t="s">
        <v>1610</v>
      </c>
      <c r="Q20" s="523"/>
      <c r="R20" s="534">
        <v>18.399999999999999</v>
      </c>
    </row>
    <row r="21" spans="1:18">
      <c r="A21" s="536"/>
      <c r="B21" s="537"/>
      <c r="C21" s="532"/>
      <c r="D21" s="538" t="s">
        <v>1301</v>
      </c>
      <c r="E21" s="539"/>
      <c r="F21" s="539">
        <v>-10</v>
      </c>
      <c r="G21" s="540"/>
      <c r="H21" s="541">
        <v>1.06</v>
      </c>
      <c r="I21" s="542"/>
      <c r="J21" s="542">
        <v>1.01</v>
      </c>
      <c r="K21" s="542"/>
      <c r="L21" s="542">
        <v>0.05</v>
      </c>
      <c r="M21" s="542"/>
      <c r="N21" s="542">
        <v>0</v>
      </c>
      <c r="O21" s="523"/>
      <c r="P21" s="539" t="s">
        <v>1610</v>
      </c>
      <c r="Q21" s="523"/>
      <c r="R21" s="534">
        <v>21.8</v>
      </c>
    </row>
    <row r="22" spans="1:18">
      <c r="A22" s="536"/>
      <c r="B22" s="537"/>
      <c r="C22" s="532"/>
      <c r="D22" s="538" t="s">
        <v>1302</v>
      </c>
      <c r="E22" s="539"/>
      <c r="F22" s="539">
        <v>-10</v>
      </c>
      <c r="G22" s="540"/>
      <c r="H22" s="541">
        <v>0</v>
      </c>
      <c r="I22" s="542"/>
      <c r="J22" s="542">
        <v>0</v>
      </c>
      <c r="K22" s="542"/>
      <c r="L22" s="542">
        <v>0</v>
      </c>
      <c r="M22" s="542"/>
      <c r="N22" s="542">
        <v>0</v>
      </c>
      <c r="O22" s="523"/>
      <c r="P22" s="539" t="s">
        <v>1610</v>
      </c>
      <c r="Q22" s="523"/>
      <c r="R22" s="534">
        <v>21.7</v>
      </c>
    </row>
    <row r="23" spans="1:18">
      <c r="A23" s="536"/>
      <c r="B23" s="537"/>
      <c r="C23" s="532"/>
      <c r="D23" s="538" t="s">
        <v>1303</v>
      </c>
      <c r="E23" s="539"/>
      <c r="F23" s="539">
        <v>-10</v>
      </c>
      <c r="G23" s="540"/>
      <c r="H23" s="541">
        <v>1.8400000000000003</v>
      </c>
      <c r="I23" s="542"/>
      <c r="J23" s="542">
        <v>1.7500000000000002</v>
      </c>
      <c r="K23" s="542"/>
      <c r="L23" s="542">
        <v>0.09</v>
      </c>
      <c r="M23" s="542"/>
      <c r="N23" s="542">
        <v>0</v>
      </c>
      <c r="O23" s="523"/>
      <c r="P23" s="539" t="s">
        <v>1610</v>
      </c>
      <c r="Q23" s="523"/>
      <c r="R23" s="534">
        <v>25.8</v>
      </c>
    </row>
    <row r="24" spans="1:18">
      <c r="A24" s="536"/>
      <c r="B24" s="537"/>
      <c r="C24" s="532"/>
      <c r="D24" s="538" t="s">
        <v>1304</v>
      </c>
      <c r="E24" s="539"/>
      <c r="F24" s="539">
        <v>-10</v>
      </c>
      <c r="G24" s="540"/>
      <c r="H24" s="541">
        <v>0.55999999999999994</v>
      </c>
      <c r="I24" s="542"/>
      <c r="J24" s="542">
        <v>0.53</v>
      </c>
      <c r="K24" s="542"/>
      <c r="L24" s="542">
        <v>0.03</v>
      </c>
      <c r="M24" s="542"/>
      <c r="N24" s="542">
        <v>0</v>
      </c>
      <c r="O24" s="523"/>
      <c r="P24" s="539" t="s">
        <v>1610</v>
      </c>
      <c r="Q24" s="523"/>
      <c r="R24" s="534">
        <v>26.1</v>
      </c>
    </row>
    <row r="25" spans="1:18">
      <c r="A25" s="536"/>
      <c r="B25" s="537"/>
      <c r="C25" s="532"/>
      <c r="D25" s="538" t="s">
        <v>1609</v>
      </c>
      <c r="E25" s="539"/>
      <c r="F25" s="539">
        <v>-25</v>
      </c>
      <c r="G25" s="540"/>
      <c r="H25" s="541">
        <v>1.8399999999999999</v>
      </c>
      <c r="I25" s="542"/>
      <c r="J25" s="542">
        <v>1.47</v>
      </c>
      <c r="K25" s="542"/>
      <c r="L25" s="542">
        <v>0.37</v>
      </c>
      <c r="M25" s="542"/>
      <c r="N25" s="542">
        <v>0</v>
      </c>
      <c r="O25" s="523"/>
      <c r="P25" s="539" t="s">
        <v>1610</v>
      </c>
      <c r="Q25" s="523"/>
      <c r="R25" s="534">
        <v>46</v>
      </c>
    </row>
    <row r="26" spans="1:18">
      <c r="A26" s="536"/>
      <c r="B26" s="537"/>
      <c r="C26" s="532"/>
      <c r="D26" s="538" t="s">
        <v>1305</v>
      </c>
      <c r="E26" s="539"/>
      <c r="F26" s="539">
        <v>-16</v>
      </c>
      <c r="G26" s="540"/>
      <c r="H26" s="541">
        <v>1.77</v>
      </c>
      <c r="I26" s="542"/>
      <c r="J26" s="542">
        <v>1.6400000000000001</v>
      </c>
      <c r="K26" s="542"/>
      <c r="L26" s="542">
        <v>0.13</v>
      </c>
      <c r="M26" s="542"/>
      <c r="N26" s="542">
        <v>0</v>
      </c>
      <c r="O26" s="523"/>
      <c r="P26" s="539" t="s">
        <v>1610</v>
      </c>
      <c r="Q26" s="523"/>
      <c r="R26" s="534">
        <v>32.9</v>
      </c>
    </row>
    <row r="27" spans="1:18">
      <c r="A27" s="536"/>
      <c r="B27" s="537"/>
      <c r="C27" s="532"/>
      <c r="D27" s="538" t="s">
        <v>1306</v>
      </c>
      <c r="E27" s="539"/>
      <c r="F27" s="539">
        <v>-16</v>
      </c>
      <c r="G27" s="540"/>
      <c r="H27" s="541">
        <v>1.1300000000000001</v>
      </c>
      <c r="I27" s="542"/>
      <c r="J27" s="542">
        <v>1.05</v>
      </c>
      <c r="K27" s="542"/>
      <c r="L27" s="542">
        <v>0.08</v>
      </c>
      <c r="M27" s="542"/>
      <c r="N27" s="542">
        <v>0</v>
      </c>
      <c r="O27" s="523"/>
      <c r="P27" s="539" t="s">
        <v>1610</v>
      </c>
      <c r="Q27" s="523"/>
      <c r="R27" s="534">
        <v>33.700000000000003</v>
      </c>
    </row>
    <row r="28" spans="1:18">
      <c r="A28" s="536"/>
      <c r="B28" s="537"/>
      <c r="C28" s="532"/>
      <c r="D28" s="538" t="s">
        <v>311</v>
      </c>
      <c r="E28" s="539"/>
      <c r="F28" s="539">
        <v>-16</v>
      </c>
      <c r="G28" s="540"/>
      <c r="H28" s="541">
        <v>2.34</v>
      </c>
      <c r="I28" s="542"/>
      <c r="J28" s="542">
        <v>2.17</v>
      </c>
      <c r="K28" s="542"/>
      <c r="L28" s="542">
        <v>0.16999999999999998</v>
      </c>
      <c r="M28" s="542"/>
      <c r="N28" s="542">
        <v>0</v>
      </c>
      <c r="O28" s="523"/>
      <c r="P28" s="539" t="s">
        <v>1610</v>
      </c>
      <c r="Q28" s="523"/>
      <c r="R28" s="534">
        <v>48.5</v>
      </c>
    </row>
    <row r="29" spans="1:18">
      <c r="A29" s="536"/>
      <c r="B29" s="537"/>
      <c r="C29" s="532"/>
      <c r="D29" s="538" t="s">
        <v>1308</v>
      </c>
      <c r="E29" s="539"/>
      <c r="F29" s="539">
        <v>-16</v>
      </c>
      <c r="G29" s="540"/>
      <c r="H29" s="541">
        <v>2.34</v>
      </c>
      <c r="I29" s="542"/>
      <c r="J29" s="542">
        <v>2.17</v>
      </c>
      <c r="K29" s="542"/>
      <c r="L29" s="542">
        <v>0.16999999999999998</v>
      </c>
      <c r="M29" s="542"/>
      <c r="N29" s="542">
        <v>0</v>
      </c>
      <c r="O29" s="523"/>
      <c r="P29" s="539" t="s">
        <v>1610</v>
      </c>
      <c r="Q29" s="523"/>
      <c r="R29" s="534">
        <v>48.5</v>
      </c>
    </row>
    <row r="30" spans="1:18">
      <c r="A30" s="536"/>
      <c r="B30" s="537"/>
      <c r="C30" s="532"/>
      <c r="D30" s="527"/>
      <c r="E30" s="539"/>
      <c r="F30" s="539"/>
      <c r="G30" s="540"/>
      <c r="H30" s="543"/>
      <c r="I30" s="542"/>
      <c r="J30" s="542"/>
      <c r="K30" s="542"/>
      <c r="L30" s="542"/>
      <c r="M30" s="542"/>
      <c r="N30" s="542"/>
      <c r="O30" s="523"/>
      <c r="P30" s="539"/>
      <c r="Q30" s="523"/>
    </row>
    <row r="31" spans="1:18">
      <c r="A31" s="544">
        <v>311</v>
      </c>
      <c r="B31" s="537"/>
      <c r="C31" s="532"/>
      <c r="D31" s="545" t="s">
        <v>315</v>
      </c>
      <c r="E31" s="539"/>
      <c r="F31" s="546" t="s">
        <v>1877</v>
      </c>
      <c r="G31" s="540"/>
      <c r="H31" s="541">
        <v>1.61</v>
      </c>
      <c r="I31" s="542"/>
      <c r="J31" s="542"/>
      <c r="K31" s="542"/>
      <c r="L31" s="542"/>
      <c r="M31" s="542"/>
      <c r="N31" s="542"/>
      <c r="O31" s="523"/>
      <c r="P31" s="539" t="str">
        <f>P29</f>
        <v>95-R2.5</v>
      </c>
      <c r="Q31" s="523"/>
      <c r="R31" s="547">
        <v>28.7</v>
      </c>
    </row>
    <row r="32" spans="1:18">
      <c r="A32" s="536"/>
      <c r="B32" s="527"/>
      <c r="C32" s="532"/>
      <c r="D32" s="527"/>
      <c r="E32" s="527"/>
      <c r="F32" s="523"/>
      <c r="G32" s="540"/>
      <c r="H32" s="542"/>
      <c r="I32" s="542"/>
      <c r="J32" s="542"/>
      <c r="K32" s="542"/>
      <c r="L32" s="542"/>
      <c r="M32" s="542"/>
      <c r="N32" s="542"/>
      <c r="O32" s="523"/>
      <c r="P32" s="523"/>
      <c r="Q32" s="523"/>
    </row>
    <row r="33" spans="1:18">
      <c r="A33" s="536"/>
      <c r="B33" s="537">
        <v>311.10000000000002</v>
      </c>
      <c r="C33" s="532"/>
      <c r="D33" s="527" t="s">
        <v>1613</v>
      </c>
      <c r="E33" s="539"/>
      <c r="F33" s="539"/>
      <c r="G33" s="540"/>
      <c r="H33" s="541"/>
      <c r="I33" s="542"/>
      <c r="J33" s="542"/>
      <c r="K33" s="542"/>
      <c r="L33" s="542"/>
      <c r="M33" s="542"/>
      <c r="N33" s="542"/>
      <c r="O33" s="523"/>
      <c r="P33" s="539"/>
      <c r="Q33" s="523"/>
    </row>
    <row r="34" spans="1:18">
      <c r="A34" s="536"/>
      <c r="B34" s="537"/>
      <c r="C34" s="532"/>
      <c r="D34" s="538" t="s">
        <v>1614</v>
      </c>
      <c r="E34" s="539"/>
      <c r="F34" s="539">
        <v>0</v>
      </c>
      <c r="G34" s="540"/>
      <c r="H34" s="541">
        <v>0</v>
      </c>
      <c r="I34" s="542"/>
      <c r="J34" s="542">
        <v>0</v>
      </c>
      <c r="K34" s="542"/>
      <c r="L34" s="542">
        <v>0</v>
      </c>
      <c r="M34" s="542"/>
      <c r="N34" s="542">
        <v>0</v>
      </c>
      <c r="O34" s="523"/>
      <c r="P34" s="539" t="s">
        <v>1615</v>
      </c>
      <c r="Q34" s="523"/>
      <c r="R34" s="534">
        <v>16.399999999999999</v>
      </c>
    </row>
    <row r="35" spans="1:18">
      <c r="A35" s="536"/>
      <c r="B35" s="537"/>
      <c r="C35" s="532"/>
      <c r="D35" s="538" t="s">
        <v>1616</v>
      </c>
      <c r="E35" s="539"/>
      <c r="F35" s="539">
        <v>0</v>
      </c>
      <c r="G35" s="540"/>
      <c r="H35" s="541">
        <v>0</v>
      </c>
      <c r="I35" s="542"/>
      <c r="J35" s="542">
        <v>0</v>
      </c>
      <c r="K35" s="542"/>
      <c r="L35" s="542">
        <v>0</v>
      </c>
      <c r="M35" s="542"/>
      <c r="N35" s="542">
        <v>0</v>
      </c>
      <c r="O35" s="523"/>
      <c r="P35" s="539" t="s">
        <v>1615</v>
      </c>
      <c r="Q35" s="523"/>
      <c r="R35" s="534">
        <v>20.399999999999999</v>
      </c>
    </row>
    <row r="36" spans="1:18">
      <c r="A36" s="536"/>
      <c r="B36" s="537"/>
      <c r="C36" s="532"/>
      <c r="D36" s="538" t="s">
        <v>1617</v>
      </c>
      <c r="E36" s="539"/>
      <c r="F36" s="539">
        <v>0</v>
      </c>
      <c r="G36" s="540"/>
      <c r="H36" s="541">
        <v>0</v>
      </c>
      <c r="I36" s="542"/>
      <c r="J36" s="542">
        <v>0</v>
      </c>
      <c r="K36" s="542"/>
      <c r="L36" s="542">
        <v>0</v>
      </c>
      <c r="M36" s="542"/>
      <c r="N36" s="542">
        <v>0</v>
      </c>
      <c r="O36" s="523"/>
      <c r="P36" s="539" t="s">
        <v>1615</v>
      </c>
      <c r="Q36" s="523"/>
      <c r="R36" s="534">
        <v>34.5</v>
      </c>
    </row>
    <row r="37" spans="1:18">
      <c r="A37" s="536"/>
      <c r="B37" s="537"/>
      <c r="C37" s="532"/>
      <c r="D37" s="545"/>
      <c r="E37" s="539"/>
      <c r="F37" s="539"/>
      <c r="G37" s="540"/>
      <c r="H37" s="541"/>
      <c r="I37" s="542"/>
      <c r="J37" s="542"/>
      <c r="K37" s="542"/>
      <c r="L37" s="542"/>
      <c r="M37" s="542"/>
      <c r="N37" s="542"/>
      <c r="O37" s="523"/>
      <c r="P37" s="539"/>
      <c r="Q37" s="523"/>
    </row>
    <row r="38" spans="1:18">
      <c r="A38" s="536"/>
      <c r="B38" s="537"/>
      <c r="C38" s="532"/>
      <c r="D38" s="545" t="s">
        <v>1618</v>
      </c>
      <c r="E38" s="539"/>
      <c r="F38" s="539"/>
      <c r="G38" s="540"/>
      <c r="H38" s="541"/>
      <c r="I38" s="542"/>
      <c r="J38" s="542"/>
      <c r="K38" s="542"/>
      <c r="L38" s="542"/>
      <c r="M38" s="542"/>
      <c r="N38" s="542"/>
      <c r="O38" s="523"/>
      <c r="P38" s="539"/>
      <c r="Q38" s="523"/>
      <c r="R38" s="534">
        <v>33.4</v>
      </c>
    </row>
    <row r="39" spans="1:18">
      <c r="A39" s="527"/>
      <c r="B39" s="537"/>
      <c r="C39" s="532"/>
      <c r="D39" s="545"/>
      <c r="E39" s="539"/>
      <c r="F39" s="539"/>
      <c r="G39" s="540"/>
      <c r="H39" s="541"/>
      <c r="I39" s="542"/>
      <c r="J39" s="542"/>
      <c r="K39" s="542"/>
      <c r="L39" s="542"/>
      <c r="M39" s="542"/>
      <c r="N39" s="542"/>
      <c r="O39" s="523"/>
      <c r="P39" s="539"/>
      <c r="Q39" s="523"/>
    </row>
    <row r="40" spans="1:18">
      <c r="A40" s="536"/>
      <c r="B40" s="537">
        <v>311.2</v>
      </c>
      <c r="C40" s="532"/>
      <c r="D40" s="527" t="s">
        <v>1619</v>
      </c>
      <c r="E40" s="539"/>
      <c r="F40" s="539"/>
      <c r="G40" s="540"/>
      <c r="H40" s="541"/>
      <c r="I40" s="542"/>
      <c r="J40" s="542"/>
      <c r="K40" s="542"/>
      <c r="L40" s="542"/>
      <c r="M40" s="542"/>
      <c r="N40" s="542"/>
      <c r="O40" s="523"/>
      <c r="P40" s="539"/>
      <c r="Q40" s="523"/>
    </row>
    <row r="41" spans="1:18">
      <c r="A41" s="536"/>
      <c r="B41" s="537"/>
      <c r="C41" s="532"/>
      <c r="D41" s="538" t="s">
        <v>1287</v>
      </c>
      <c r="E41" s="539"/>
      <c r="F41" s="539">
        <v>-10</v>
      </c>
      <c r="G41" s="540"/>
      <c r="H41" s="541">
        <v>0</v>
      </c>
      <c r="I41" s="542"/>
      <c r="J41" s="542">
        <v>0</v>
      </c>
      <c r="K41" s="542"/>
      <c r="L41" s="542">
        <v>0</v>
      </c>
      <c r="M41" s="542"/>
      <c r="N41" s="542">
        <v>0</v>
      </c>
      <c r="O41" s="523"/>
      <c r="P41" s="539" t="s">
        <v>1610</v>
      </c>
      <c r="Q41" s="523"/>
      <c r="R41" s="534" t="s">
        <v>1288</v>
      </c>
    </row>
    <row r="42" spans="1:18">
      <c r="A42" s="536"/>
      <c r="B42" s="537"/>
      <c r="C42" s="532"/>
      <c r="D42" s="538" t="s">
        <v>1289</v>
      </c>
      <c r="E42" s="539"/>
      <c r="F42" s="539">
        <v>-10</v>
      </c>
      <c r="G42" s="540"/>
      <c r="H42" s="541">
        <v>0</v>
      </c>
      <c r="I42" s="542"/>
      <c r="J42" s="542">
        <v>0</v>
      </c>
      <c r="K42" s="542"/>
      <c r="L42" s="542">
        <v>0</v>
      </c>
      <c r="M42" s="542"/>
      <c r="N42" s="542">
        <v>0</v>
      </c>
      <c r="O42" s="523"/>
      <c r="P42" s="539" t="s">
        <v>1610</v>
      </c>
      <c r="Q42" s="523"/>
      <c r="R42" s="534" t="s">
        <v>1288</v>
      </c>
    </row>
    <row r="43" spans="1:18">
      <c r="A43" s="536"/>
      <c r="B43" s="537"/>
      <c r="C43" s="532"/>
      <c r="D43" s="538" t="s">
        <v>1290</v>
      </c>
      <c r="E43" s="539"/>
      <c r="F43" s="539">
        <v>-10</v>
      </c>
      <c r="G43" s="540"/>
      <c r="H43" s="541">
        <v>0</v>
      </c>
      <c r="I43" s="542"/>
      <c r="J43" s="542">
        <v>0</v>
      </c>
      <c r="K43" s="542"/>
      <c r="L43" s="542">
        <v>0</v>
      </c>
      <c r="M43" s="542"/>
      <c r="N43" s="542">
        <v>0</v>
      </c>
      <c r="O43" s="523"/>
      <c r="P43" s="539" t="s">
        <v>1610</v>
      </c>
      <c r="Q43" s="523"/>
      <c r="R43" s="534" t="s">
        <v>1288</v>
      </c>
    </row>
    <row r="44" spans="1:18">
      <c r="A44" s="536"/>
      <c r="B44" s="537"/>
      <c r="C44" s="532"/>
      <c r="D44" s="538" t="s">
        <v>1291</v>
      </c>
      <c r="E44" s="539"/>
      <c r="F44" s="539">
        <v>-10</v>
      </c>
      <c r="G44" s="540"/>
      <c r="H44" s="541">
        <v>0</v>
      </c>
      <c r="I44" s="542"/>
      <c r="J44" s="542">
        <v>0</v>
      </c>
      <c r="K44" s="542"/>
      <c r="L44" s="542">
        <v>0</v>
      </c>
      <c r="M44" s="542"/>
      <c r="N44" s="542">
        <v>0</v>
      </c>
      <c r="O44" s="523"/>
      <c r="P44" s="539" t="s">
        <v>1610</v>
      </c>
      <c r="Q44" s="523"/>
      <c r="R44" s="534" t="s">
        <v>1288</v>
      </c>
    </row>
    <row r="45" spans="1:18">
      <c r="A45" s="536"/>
      <c r="B45" s="537"/>
      <c r="C45" s="532"/>
      <c r="D45" s="538" t="s">
        <v>1292</v>
      </c>
      <c r="E45" s="539"/>
      <c r="F45" s="539">
        <v>-10</v>
      </c>
      <c r="G45" s="540"/>
      <c r="H45" s="541">
        <v>0</v>
      </c>
      <c r="I45" s="542"/>
      <c r="J45" s="542">
        <v>0</v>
      </c>
      <c r="K45" s="542"/>
      <c r="L45" s="542">
        <v>0</v>
      </c>
      <c r="M45" s="542"/>
      <c r="N45" s="542">
        <v>0</v>
      </c>
      <c r="O45" s="523"/>
      <c r="P45" s="539" t="s">
        <v>1610</v>
      </c>
      <c r="Q45" s="523"/>
      <c r="R45" s="534" t="s">
        <v>1288</v>
      </c>
    </row>
    <row r="46" spans="1:18">
      <c r="A46" s="536"/>
      <c r="B46" s="537"/>
      <c r="C46" s="532"/>
      <c r="D46" s="538" t="s">
        <v>1293</v>
      </c>
      <c r="E46" s="539"/>
      <c r="F46" s="539">
        <v>-10</v>
      </c>
      <c r="G46" s="540"/>
      <c r="H46" s="541">
        <v>0</v>
      </c>
      <c r="I46" s="542"/>
      <c r="J46" s="542">
        <v>0</v>
      </c>
      <c r="K46" s="542"/>
      <c r="L46" s="542">
        <v>0</v>
      </c>
      <c r="M46" s="542"/>
      <c r="N46" s="542">
        <v>0</v>
      </c>
      <c r="O46" s="523"/>
      <c r="P46" s="539" t="s">
        <v>312</v>
      </c>
      <c r="Q46" s="523"/>
      <c r="R46" s="534" t="s">
        <v>1288</v>
      </c>
    </row>
    <row r="47" spans="1:18">
      <c r="A47" s="536"/>
      <c r="B47" s="537"/>
      <c r="C47" s="532"/>
      <c r="D47" s="538" t="s">
        <v>1294</v>
      </c>
      <c r="E47" s="539"/>
      <c r="F47" s="539">
        <v>0</v>
      </c>
      <c r="G47" s="540"/>
      <c r="H47" s="541">
        <v>0</v>
      </c>
      <c r="I47" s="542"/>
      <c r="J47" s="542">
        <v>0</v>
      </c>
      <c r="K47" s="542"/>
      <c r="L47" s="542">
        <v>0</v>
      </c>
      <c r="M47" s="542"/>
      <c r="N47" s="542">
        <v>0</v>
      </c>
      <c r="O47" s="523"/>
      <c r="P47" s="539">
        <v>0</v>
      </c>
      <c r="Q47" s="523"/>
      <c r="R47" s="534" t="s">
        <v>1288</v>
      </c>
    </row>
    <row r="48" spans="1:18">
      <c r="A48" s="536"/>
      <c r="B48" s="537"/>
      <c r="C48" s="532"/>
      <c r="D48" s="538" t="s">
        <v>1295</v>
      </c>
      <c r="E48" s="539"/>
      <c r="F48" s="539">
        <v>-10</v>
      </c>
      <c r="G48" s="540"/>
      <c r="H48" s="541">
        <v>0</v>
      </c>
      <c r="I48" s="542"/>
      <c r="J48" s="542">
        <v>0</v>
      </c>
      <c r="K48" s="542"/>
      <c r="L48" s="542">
        <v>0</v>
      </c>
      <c r="M48" s="542"/>
      <c r="N48" s="542">
        <v>0</v>
      </c>
      <c r="O48" s="523"/>
      <c r="P48" s="539" t="s">
        <v>312</v>
      </c>
      <c r="Q48" s="523"/>
      <c r="R48" s="534" t="s">
        <v>1288</v>
      </c>
    </row>
    <row r="49" spans="1:18">
      <c r="A49" s="536"/>
      <c r="B49" s="537"/>
      <c r="C49" s="532"/>
      <c r="D49" s="538" t="s">
        <v>1296</v>
      </c>
      <c r="E49" s="539"/>
      <c r="F49" s="539">
        <v>0</v>
      </c>
      <c r="G49" s="540"/>
      <c r="H49" s="541">
        <v>0</v>
      </c>
      <c r="I49" s="542"/>
      <c r="J49" s="542">
        <v>0</v>
      </c>
      <c r="K49" s="542"/>
      <c r="L49" s="542">
        <v>0</v>
      </c>
      <c r="M49" s="542"/>
      <c r="N49" s="542">
        <v>0</v>
      </c>
      <c r="O49" s="523"/>
      <c r="P49" s="539" t="s">
        <v>312</v>
      </c>
      <c r="Q49" s="523"/>
      <c r="R49" s="534" t="s">
        <v>1288</v>
      </c>
    </row>
    <row r="50" spans="1:18">
      <c r="A50" s="536"/>
      <c r="B50" s="537"/>
      <c r="C50" s="532"/>
      <c r="D50" s="545"/>
      <c r="E50" s="539"/>
      <c r="F50" s="539"/>
      <c r="G50" s="540"/>
      <c r="H50" s="541"/>
      <c r="I50" s="542"/>
      <c r="J50" s="542"/>
      <c r="K50" s="542"/>
      <c r="L50" s="542"/>
      <c r="M50" s="542"/>
      <c r="N50" s="542"/>
      <c r="O50" s="523"/>
      <c r="P50" s="539"/>
      <c r="Q50" s="523"/>
    </row>
    <row r="51" spans="1:18">
      <c r="A51" s="536"/>
      <c r="B51" s="537"/>
      <c r="C51" s="532"/>
      <c r="D51" s="545" t="s">
        <v>1620</v>
      </c>
      <c r="E51" s="539"/>
      <c r="F51" s="548">
        <v>-0.1</v>
      </c>
      <c r="G51" s="540"/>
      <c r="H51" s="541"/>
      <c r="I51" s="542"/>
      <c r="J51" s="542"/>
      <c r="K51" s="542"/>
      <c r="L51" s="542"/>
      <c r="M51" s="542"/>
      <c r="N51" s="542"/>
      <c r="O51" s="523"/>
      <c r="P51" s="539"/>
      <c r="Q51" s="523"/>
    </row>
    <row r="52" spans="1:18">
      <c r="A52" s="536"/>
      <c r="B52" s="537"/>
      <c r="C52" s="532"/>
      <c r="D52" s="545"/>
      <c r="E52" s="539"/>
      <c r="F52" s="539"/>
      <c r="G52" s="540"/>
      <c r="H52" s="541"/>
      <c r="I52" s="542"/>
      <c r="J52" s="542"/>
      <c r="K52" s="542"/>
      <c r="L52" s="542"/>
      <c r="M52" s="542"/>
      <c r="N52" s="542"/>
      <c r="O52" s="523"/>
      <c r="P52" s="539"/>
      <c r="Q52" s="523"/>
    </row>
    <row r="53" spans="1:18">
      <c r="A53" s="536"/>
      <c r="B53" s="537">
        <v>312</v>
      </c>
      <c r="C53" s="532"/>
      <c r="D53" s="527" t="s">
        <v>316</v>
      </c>
      <c r="E53" s="527"/>
      <c r="F53" s="523"/>
      <c r="G53" s="540"/>
      <c r="H53" s="542"/>
      <c r="I53" s="542"/>
      <c r="J53" s="542"/>
      <c r="K53" s="542"/>
      <c r="L53" s="542"/>
      <c r="M53" s="542"/>
      <c r="N53" s="542"/>
      <c r="O53" s="523"/>
      <c r="P53" s="523"/>
      <c r="Q53" s="523"/>
    </row>
    <row r="54" spans="1:18">
      <c r="A54" s="536"/>
      <c r="B54" s="537"/>
      <c r="C54" s="532"/>
      <c r="D54" s="538" t="s">
        <v>1297</v>
      </c>
      <c r="E54" s="539"/>
      <c r="F54" s="539">
        <v>-10</v>
      </c>
      <c r="G54" s="540"/>
      <c r="H54" s="541">
        <v>2.82</v>
      </c>
      <c r="I54" s="542"/>
      <c r="J54" s="542">
        <v>2.7199999999999998</v>
      </c>
      <c r="K54" s="542"/>
      <c r="L54" s="542">
        <v>0.16</v>
      </c>
      <c r="M54" s="542"/>
      <c r="N54" s="542">
        <v>-0.06</v>
      </c>
      <c r="O54" s="523"/>
      <c r="P54" s="539" t="s">
        <v>1621</v>
      </c>
      <c r="Q54" s="523"/>
      <c r="R54" s="534">
        <v>15.8</v>
      </c>
    </row>
    <row r="55" spans="1:18">
      <c r="A55" s="536"/>
      <c r="B55" s="537"/>
      <c r="C55" s="532"/>
      <c r="D55" s="538" t="s">
        <v>1298</v>
      </c>
      <c r="E55" s="539"/>
      <c r="F55" s="539">
        <v>-10</v>
      </c>
      <c r="G55" s="540"/>
      <c r="H55" s="541">
        <v>1.96</v>
      </c>
      <c r="I55" s="542"/>
      <c r="J55" s="542">
        <v>1.9</v>
      </c>
      <c r="K55" s="542"/>
      <c r="L55" s="542">
        <v>0.1</v>
      </c>
      <c r="M55" s="542"/>
      <c r="N55" s="542">
        <v>-0.04</v>
      </c>
      <c r="O55" s="523"/>
      <c r="P55" s="539" t="s">
        <v>1621</v>
      </c>
      <c r="Q55" s="523"/>
      <c r="R55" s="534">
        <v>15.5</v>
      </c>
    </row>
    <row r="56" spans="1:18">
      <c r="A56" s="536"/>
      <c r="B56" s="537"/>
      <c r="C56" s="532"/>
      <c r="D56" s="538" t="s">
        <v>1299</v>
      </c>
      <c r="E56" s="539"/>
      <c r="F56" s="539">
        <v>-10</v>
      </c>
      <c r="G56" s="540"/>
      <c r="H56" s="541">
        <v>3.1599999999999997</v>
      </c>
      <c r="I56" s="542"/>
      <c r="J56" s="542">
        <v>3.06</v>
      </c>
      <c r="K56" s="542"/>
      <c r="L56" s="542">
        <v>0.16</v>
      </c>
      <c r="M56" s="542"/>
      <c r="N56" s="542">
        <v>-0.06</v>
      </c>
      <c r="O56" s="523"/>
      <c r="P56" s="539" t="s">
        <v>1621</v>
      </c>
      <c r="Q56" s="523"/>
      <c r="R56" s="534">
        <v>17.600000000000001</v>
      </c>
    </row>
    <row r="57" spans="1:18">
      <c r="A57" s="536"/>
      <c r="B57" s="537"/>
      <c r="C57" s="532"/>
      <c r="D57" s="538" t="s">
        <v>1300</v>
      </c>
      <c r="E57" s="539"/>
      <c r="F57" s="539">
        <v>-10</v>
      </c>
      <c r="G57" s="540"/>
      <c r="H57" s="541">
        <v>1.5600000000000003</v>
      </c>
      <c r="I57" s="542"/>
      <c r="J57" s="542">
        <v>1.4500000000000002</v>
      </c>
      <c r="K57" s="542"/>
      <c r="L57" s="542">
        <v>0.18</v>
      </c>
      <c r="M57" s="542"/>
      <c r="N57" s="542">
        <v>-6.9999999999999993E-2</v>
      </c>
      <c r="O57" s="523"/>
      <c r="P57" s="539" t="s">
        <v>1621</v>
      </c>
      <c r="Q57" s="523"/>
      <c r="R57" s="534">
        <v>17.8</v>
      </c>
    </row>
    <row r="58" spans="1:18">
      <c r="A58" s="536"/>
      <c r="B58" s="537"/>
      <c r="C58" s="532"/>
      <c r="D58" s="538" t="s">
        <v>1301</v>
      </c>
      <c r="E58" s="539"/>
      <c r="F58" s="539">
        <v>-10</v>
      </c>
      <c r="G58" s="540"/>
      <c r="H58" s="541">
        <v>2.94</v>
      </c>
      <c r="I58" s="542"/>
      <c r="J58" s="542">
        <v>2.88</v>
      </c>
      <c r="K58" s="542"/>
      <c r="L58" s="542">
        <v>0.09</v>
      </c>
      <c r="M58" s="542"/>
      <c r="N58" s="542">
        <v>-0.03</v>
      </c>
      <c r="O58" s="523"/>
      <c r="P58" s="539" t="s">
        <v>1621</v>
      </c>
      <c r="Q58" s="523"/>
      <c r="R58" s="534">
        <v>20.399999999999999</v>
      </c>
    </row>
    <row r="59" spans="1:18">
      <c r="A59" s="536"/>
      <c r="B59" s="537"/>
      <c r="C59" s="532"/>
      <c r="D59" s="538" t="s">
        <v>1302</v>
      </c>
      <c r="E59" s="539"/>
      <c r="F59" s="539">
        <v>-10</v>
      </c>
      <c r="G59" s="540"/>
      <c r="H59" s="541">
        <v>2.4199999999999995</v>
      </c>
      <c r="I59" s="542"/>
      <c r="J59" s="542">
        <v>2.37</v>
      </c>
      <c r="K59" s="542"/>
      <c r="L59" s="542">
        <v>0.08</v>
      </c>
      <c r="M59" s="542"/>
      <c r="N59" s="542">
        <v>-0.03</v>
      </c>
      <c r="O59" s="523"/>
      <c r="P59" s="539" t="s">
        <v>1621</v>
      </c>
      <c r="Q59" s="523"/>
      <c r="R59" s="534">
        <v>20.399999999999999</v>
      </c>
    </row>
    <row r="60" spans="1:18">
      <c r="A60" s="536"/>
      <c r="B60" s="537"/>
      <c r="C60" s="532"/>
      <c r="D60" s="538" t="s">
        <v>1303</v>
      </c>
      <c r="E60" s="539"/>
      <c r="F60" s="539">
        <v>-10</v>
      </c>
      <c r="G60" s="540"/>
      <c r="H60" s="541">
        <v>2.83</v>
      </c>
      <c r="I60" s="542"/>
      <c r="J60" s="542">
        <v>2.77</v>
      </c>
      <c r="K60" s="542"/>
      <c r="L60" s="542">
        <v>0.1</v>
      </c>
      <c r="M60" s="542"/>
      <c r="N60" s="542">
        <v>-0.04</v>
      </c>
      <c r="O60" s="523"/>
      <c r="P60" s="539" t="s">
        <v>1621</v>
      </c>
      <c r="Q60" s="523"/>
      <c r="R60" s="534">
        <v>24.2</v>
      </c>
    </row>
    <row r="61" spans="1:18">
      <c r="A61" s="536"/>
      <c r="B61" s="537"/>
      <c r="C61" s="532"/>
      <c r="D61" s="538" t="s">
        <v>1304</v>
      </c>
      <c r="E61" s="539"/>
      <c r="F61" s="539">
        <v>-10</v>
      </c>
      <c r="G61" s="540"/>
      <c r="H61" s="541">
        <v>1.7399999999999998</v>
      </c>
      <c r="I61" s="542"/>
      <c r="J61" s="542">
        <v>1.67</v>
      </c>
      <c r="K61" s="542"/>
      <c r="L61" s="542">
        <v>0.12</v>
      </c>
      <c r="M61" s="542"/>
      <c r="N61" s="542">
        <v>-0.05</v>
      </c>
      <c r="O61" s="523"/>
      <c r="P61" s="539" t="s">
        <v>1621</v>
      </c>
      <c r="Q61" s="523"/>
      <c r="R61" s="534">
        <v>24.6</v>
      </c>
    </row>
    <row r="62" spans="1:18">
      <c r="A62" s="536"/>
      <c r="B62" s="537"/>
      <c r="C62" s="532"/>
      <c r="D62" s="538" t="s">
        <v>1305</v>
      </c>
      <c r="E62" s="539"/>
      <c r="F62" s="539">
        <v>-16</v>
      </c>
      <c r="G62" s="540"/>
      <c r="H62" s="541">
        <v>2.83</v>
      </c>
      <c r="I62" s="542"/>
      <c r="J62" s="542">
        <v>2.74</v>
      </c>
      <c r="K62" s="542"/>
      <c r="L62" s="542">
        <v>0.12</v>
      </c>
      <c r="M62" s="542"/>
      <c r="N62" s="542">
        <v>-0.03</v>
      </c>
      <c r="O62" s="523"/>
      <c r="P62" s="539" t="s">
        <v>1621</v>
      </c>
      <c r="Q62" s="523"/>
      <c r="R62" s="534">
        <v>29.6</v>
      </c>
    </row>
    <row r="63" spans="1:18">
      <c r="A63" s="536"/>
      <c r="B63" s="537"/>
      <c r="C63" s="532"/>
      <c r="D63" s="538" t="s">
        <v>1306</v>
      </c>
      <c r="E63" s="539"/>
      <c r="F63" s="539">
        <v>-16</v>
      </c>
      <c r="G63" s="540"/>
      <c r="H63" s="541">
        <v>1.3900000000000001</v>
      </c>
      <c r="I63" s="542"/>
      <c r="J63" s="542">
        <v>1.35</v>
      </c>
      <c r="K63" s="542"/>
      <c r="L63" s="542">
        <v>0.05</v>
      </c>
      <c r="M63" s="542"/>
      <c r="N63" s="542">
        <v>-0.01</v>
      </c>
      <c r="O63" s="523"/>
      <c r="P63" s="539" t="s">
        <v>1621</v>
      </c>
      <c r="Q63" s="523"/>
      <c r="R63" s="534">
        <v>28.1</v>
      </c>
    </row>
    <row r="64" spans="1:18">
      <c r="A64" s="536"/>
      <c r="B64" s="537"/>
      <c r="C64" s="532"/>
      <c r="D64" s="538" t="s">
        <v>311</v>
      </c>
      <c r="E64" s="539"/>
      <c r="F64" s="539">
        <v>-16</v>
      </c>
      <c r="G64" s="540"/>
      <c r="H64" s="541">
        <v>2.74</v>
      </c>
      <c r="I64" s="542"/>
      <c r="J64" s="542">
        <v>2.68</v>
      </c>
      <c r="K64" s="542"/>
      <c r="L64" s="542">
        <v>0.09</v>
      </c>
      <c r="M64" s="542"/>
      <c r="N64" s="542">
        <v>-0.03</v>
      </c>
      <c r="O64" s="523"/>
      <c r="P64" s="539" t="s">
        <v>1621</v>
      </c>
      <c r="Q64" s="523"/>
      <c r="R64" s="534">
        <v>41.5</v>
      </c>
    </row>
    <row r="65" spans="1:18">
      <c r="A65" s="536"/>
      <c r="B65" s="537"/>
      <c r="C65" s="532"/>
      <c r="D65" s="538" t="s">
        <v>1308</v>
      </c>
      <c r="E65" s="539"/>
      <c r="F65" s="539">
        <v>-16</v>
      </c>
      <c r="G65" s="540"/>
      <c r="H65" s="541">
        <v>2.7500000000000004</v>
      </c>
      <c r="I65" s="542"/>
      <c r="J65" s="542">
        <v>2.68</v>
      </c>
      <c r="K65" s="542"/>
      <c r="L65" s="542">
        <v>0.09</v>
      </c>
      <c r="M65" s="542"/>
      <c r="N65" s="542">
        <v>-0.02</v>
      </c>
      <c r="O65" s="523"/>
      <c r="P65" s="539" t="s">
        <v>1621</v>
      </c>
      <c r="Q65" s="523"/>
      <c r="R65" s="534">
        <v>41.5</v>
      </c>
    </row>
    <row r="66" spans="1:18">
      <c r="A66" s="527"/>
      <c r="B66" s="537"/>
      <c r="C66" s="532"/>
      <c r="D66" s="527"/>
      <c r="E66" s="539"/>
      <c r="F66" s="539"/>
      <c r="G66" s="540"/>
      <c r="H66" s="543"/>
      <c r="I66" s="542"/>
      <c r="J66" s="542"/>
      <c r="K66" s="542"/>
      <c r="L66" s="542"/>
      <c r="M66" s="542"/>
      <c r="N66" s="542"/>
      <c r="O66" s="523"/>
      <c r="P66" s="539"/>
      <c r="Q66" s="523"/>
    </row>
    <row r="67" spans="1:18">
      <c r="A67" s="544">
        <v>312</v>
      </c>
      <c r="B67" s="537"/>
      <c r="C67" s="532"/>
      <c r="D67" s="545" t="s">
        <v>317</v>
      </c>
      <c r="E67" s="539"/>
      <c r="F67" s="546" t="s">
        <v>1878</v>
      </c>
      <c r="G67" s="540"/>
      <c r="H67" s="541">
        <v>2.61</v>
      </c>
      <c r="I67" s="542"/>
      <c r="J67" s="542"/>
      <c r="K67" s="542"/>
      <c r="L67" s="542"/>
      <c r="M67" s="542"/>
      <c r="N67" s="542"/>
      <c r="O67" s="523"/>
      <c r="P67" s="539" t="str">
        <f>P65</f>
        <v>54-R1.5</v>
      </c>
      <c r="Q67" s="523"/>
      <c r="R67" s="534">
        <v>22.8</v>
      </c>
    </row>
    <row r="68" spans="1:18">
      <c r="A68" s="536"/>
      <c r="B68" s="537"/>
      <c r="C68" s="532"/>
      <c r="D68" s="545"/>
      <c r="E68" s="539"/>
      <c r="F68" s="539"/>
      <c r="G68" s="540"/>
      <c r="H68" s="541"/>
      <c r="I68" s="542"/>
      <c r="J68" s="542"/>
      <c r="K68" s="542"/>
      <c r="L68" s="542"/>
      <c r="M68" s="542"/>
      <c r="N68" s="542"/>
      <c r="O68" s="523"/>
      <c r="P68" s="539"/>
      <c r="Q68" s="523"/>
    </row>
    <row r="69" spans="1:18">
      <c r="A69" s="536"/>
      <c r="B69" s="527"/>
      <c r="C69" s="532"/>
      <c r="D69" s="527"/>
      <c r="E69" s="527"/>
      <c r="F69" s="523"/>
      <c r="G69" s="540"/>
      <c r="H69" s="542"/>
      <c r="I69" s="542"/>
      <c r="J69" s="542"/>
      <c r="K69" s="542"/>
      <c r="L69" s="542"/>
      <c r="M69" s="542"/>
      <c r="N69" s="542"/>
      <c r="O69" s="523"/>
      <c r="P69" s="523"/>
      <c r="Q69" s="523"/>
    </row>
    <row r="70" spans="1:18">
      <c r="A70" s="536"/>
      <c r="B70" s="537">
        <v>312.10000000000002</v>
      </c>
      <c r="C70" s="532"/>
      <c r="D70" s="527" t="s">
        <v>1622</v>
      </c>
      <c r="E70" s="539"/>
      <c r="F70" s="539"/>
      <c r="G70" s="540"/>
      <c r="H70" s="541"/>
      <c r="I70" s="542"/>
      <c r="J70" s="542"/>
      <c r="K70" s="542"/>
      <c r="L70" s="542"/>
      <c r="M70" s="542"/>
      <c r="N70" s="542"/>
      <c r="O70" s="523"/>
      <c r="P70" s="539"/>
      <c r="Q70" s="523"/>
    </row>
    <row r="71" spans="1:18">
      <c r="A71" s="536"/>
      <c r="B71" s="537"/>
      <c r="C71" s="532"/>
      <c r="D71" s="538" t="s">
        <v>1623</v>
      </c>
      <c r="E71" s="539"/>
      <c r="F71" s="539">
        <v>0</v>
      </c>
      <c r="G71" s="540"/>
      <c r="H71" s="541">
        <v>0</v>
      </c>
      <c r="I71" s="542"/>
      <c r="J71" s="542">
        <v>0</v>
      </c>
      <c r="K71" s="542"/>
      <c r="L71" s="542">
        <v>0</v>
      </c>
      <c r="M71" s="542"/>
      <c r="N71" s="542">
        <v>0</v>
      </c>
      <c r="O71" s="523"/>
      <c r="P71" s="539" t="s">
        <v>1615</v>
      </c>
      <c r="Q71" s="523"/>
      <c r="R71" s="534">
        <v>34.5</v>
      </c>
    </row>
    <row r="72" spans="1:18">
      <c r="A72" s="536"/>
      <c r="B72" s="537"/>
      <c r="C72" s="532"/>
      <c r="D72" s="545"/>
      <c r="E72" s="539"/>
      <c r="F72" s="539"/>
      <c r="G72" s="540"/>
      <c r="H72" s="541"/>
      <c r="I72" s="542"/>
      <c r="J72" s="542"/>
      <c r="K72" s="542"/>
      <c r="L72" s="542"/>
      <c r="M72" s="542"/>
      <c r="N72" s="542"/>
      <c r="O72" s="523"/>
      <c r="P72" s="539"/>
      <c r="Q72" s="523"/>
    </row>
    <row r="73" spans="1:18">
      <c r="A73" s="536"/>
      <c r="B73" s="537"/>
      <c r="C73" s="532"/>
      <c r="D73" s="545" t="s">
        <v>1624</v>
      </c>
      <c r="E73" s="539"/>
      <c r="F73" s="539"/>
      <c r="G73" s="540"/>
      <c r="H73" s="541"/>
      <c r="I73" s="542"/>
      <c r="J73" s="542"/>
      <c r="K73" s="542"/>
      <c r="L73" s="542"/>
      <c r="M73" s="542"/>
      <c r="N73" s="542"/>
      <c r="O73" s="523"/>
      <c r="P73" s="539"/>
      <c r="Q73" s="523"/>
      <c r="R73" s="534">
        <v>34.5</v>
      </c>
    </row>
    <row r="74" spans="1:18">
      <c r="A74" s="536"/>
      <c r="B74" s="537"/>
      <c r="C74" s="532"/>
      <c r="D74" s="545"/>
      <c r="E74" s="539"/>
      <c r="F74" s="539"/>
      <c r="G74" s="540"/>
      <c r="H74" s="541"/>
      <c r="I74" s="542"/>
      <c r="J74" s="542"/>
      <c r="K74" s="542"/>
      <c r="L74" s="542"/>
      <c r="M74" s="542"/>
      <c r="N74" s="542"/>
      <c r="O74" s="523"/>
      <c r="P74" s="539"/>
      <c r="Q74" s="523"/>
    </row>
    <row r="75" spans="1:18">
      <c r="A75" s="536"/>
      <c r="B75" s="537">
        <v>312.2</v>
      </c>
      <c r="C75" s="532"/>
      <c r="D75" s="527" t="s">
        <v>1625</v>
      </c>
      <c r="E75" s="539"/>
      <c r="F75" s="539"/>
      <c r="G75" s="540"/>
      <c r="H75" s="541"/>
      <c r="I75" s="542"/>
      <c r="J75" s="542"/>
      <c r="K75" s="542"/>
      <c r="L75" s="542"/>
      <c r="M75" s="542"/>
      <c r="N75" s="542"/>
      <c r="O75" s="523"/>
      <c r="P75" s="539"/>
      <c r="Q75" s="523"/>
    </row>
    <row r="76" spans="1:18">
      <c r="A76" s="536"/>
      <c r="B76" s="537"/>
      <c r="C76" s="532"/>
      <c r="D76" s="538" t="s">
        <v>1287</v>
      </c>
      <c r="E76" s="539"/>
      <c r="F76" s="539">
        <v>0</v>
      </c>
      <c r="G76" s="540"/>
      <c r="H76" s="541">
        <v>0</v>
      </c>
      <c r="I76" s="542"/>
      <c r="J76" s="542">
        <v>0</v>
      </c>
      <c r="K76" s="542"/>
      <c r="L76" s="542">
        <v>0</v>
      </c>
      <c r="M76" s="542"/>
      <c r="N76" s="542">
        <v>0</v>
      </c>
      <c r="O76" s="523"/>
      <c r="P76" s="539" t="s">
        <v>314</v>
      </c>
      <c r="Q76" s="523"/>
      <c r="R76" s="534" t="s">
        <v>1288</v>
      </c>
    </row>
    <row r="77" spans="1:18">
      <c r="A77" s="536"/>
      <c r="B77" s="537"/>
      <c r="C77" s="532"/>
      <c r="D77" s="538" t="s">
        <v>1289</v>
      </c>
      <c r="E77" s="539"/>
      <c r="F77" s="539">
        <v>0</v>
      </c>
      <c r="G77" s="540"/>
      <c r="H77" s="541">
        <v>0</v>
      </c>
      <c r="I77" s="542"/>
      <c r="J77" s="542">
        <v>0</v>
      </c>
      <c r="K77" s="542"/>
      <c r="L77" s="542">
        <v>0</v>
      </c>
      <c r="M77" s="542"/>
      <c r="N77" s="542">
        <v>0</v>
      </c>
      <c r="O77" s="523"/>
      <c r="P77" s="539" t="s">
        <v>314</v>
      </c>
      <c r="Q77" s="523"/>
      <c r="R77" s="534" t="s">
        <v>1288</v>
      </c>
    </row>
    <row r="78" spans="1:18">
      <c r="A78" s="536"/>
      <c r="B78" s="537"/>
      <c r="C78" s="532"/>
      <c r="D78" s="538" t="s">
        <v>1290</v>
      </c>
      <c r="E78" s="539"/>
      <c r="F78" s="539">
        <v>0</v>
      </c>
      <c r="G78" s="540"/>
      <c r="H78" s="541">
        <v>0</v>
      </c>
      <c r="I78" s="542"/>
      <c r="J78" s="542">
        <v>0</v>
      </c>
      <c r="K78" s="542"/>
      <c r="L78" s="542">
        <v>0</v>
      </c>
      <c r="M78" s="542"/>
      <c r="N78" s="542">
        <v>0</v>
      </c>
      <c r="O78" s="523"/>
      <c r="P78" s="539" t="s">
        <v>314</v>
      </c>
      <c r="Q78" s="523"/>
      <c r="R78" s="534" t="s">
        <v>1288</v>
      </c>
    </row>
    <row r="79" spans="1:18">
      <c r="A79" s="536"/>
      <c r="B79" s="537"/>
      <c r="C79" s="532"/>
      <c r="D79" s="538" t="s">
        <v>1291</v>
      </c>
      <c r="E79" s="539"/>
      <c r="F79" s="539">
        <v>-10</v>
      </c>
      <c r="G79" s="540"/>
      <c r="H79" s="541">
        <v>0</v>
      </c>
      <c r="I79" s="542"/>
      <c r="J79" s="542">
        <v>0</v>
      </c>
      <c r="K79" s="542"/>
      <c r="L79" s="542">
        <v>0</v>
      </c>
      <c r="M79" s="542"/>
      <c r="N79" s="542">
        <v>0</v>
      </c>
      <c r="O79" s="523"/>
      <c r="P79" s="539" t="s">
        <v>1621</v>
      </c>
      <c r="Q79" s="523"/>
      <c r="R79" s="534">
        <v>0</v>
      </c>
    </row>
    <row r="80" spans="1:18">
      <c r="A80" s="536"/>
      <c r="B80" s="537"/>
      <c r="C80" s="532"/>
      <c r="D80" s="538" t="s">
        <v>1292</v>
      </c>
      <c r="E80" s="539"/>
      <c r="F80" s="539">
        <v>0</v>
      </c>
      <c r="G80" s="540"/>
      <c r="H80" s="541">
        <v>0</v>
      </c>
      <c r="I80" s="542"/>
      <c r="J80" s="542">
        <v>0</v>
      </c>
      <c r="K80" s="542"/>
      <c r="L80" s="542">
        <v>0</v>
      </c>
      <c r="M80" s="542"/>
      <c r="N80" s="542">
        <v>0</v>
      </c>
      <c r="O80" s="523"/>
      <c r="P80" s="539" t="s">
        <v>1307</v>
      </c>
      <c r="Q80" s="523"/>
      <c r="R80" s="534" t="s">
        <v>1288</v>
      </c>
    </row>
    <row r="81" spans="1:18">
      <c r="A81" s="536"/>
      <c r="B81" s="537"/>
      <c r="C81" s="532"/>
      <c r="D81" s="538" t="s">
        <v>1293</v>
      </c>
      <c r="E81" s="539"/>
      <c r="F81" s="539">
        <v>-10</v>
      </c>
      <c r="G81" s="540"/>
      <c r="H81" s="541">
        <v>0</v>
      </c>
      <c r="I81" s="542"/>
      <c r="J81" s="542">
        <v>0</v>
      </c>
      <c r="K81" s="542"/>
      <c r="L81" s="542">
        <v>0</v>
      </c>
      <c r="M81" s="542"/>
      <c r="N81" s="542">
        <v>0</v>
      </c>
      <c r="O81" s="523"/>
      <c r="P81" s="539" t="s">
        <v>1621</v>
      </c>
      <c r="Q81" s="523"/>
      <c r="R81" s="534">
        <v>0</v>
      </c>
    </row>
    <row r="82" spans="1:18">
      <c r="A82" s="536"/>
      <c r="B82" s="537"/>
      <c r="C82" s="532"/>
      <c r="D82" s="538" t="s">
        <v>1294</v>
      </c>
      <c r="E82" s="539"/>
      <c r="F82" s="539">
        <v>-10</v>
      </c>
      <c r="G82" s="540"/>
      <c r="H82" s="541">
        <v>0</v>
      </c>
      <c r="I82" s="542"/>
      <c r="J82" s="542">
        <v>0</v>
      </c>
      <c r="K82" s="542"/>
      <c r="L82" s="542">
        <v>0</v>
      </c>
      <c r="M82" s="542"/>
      <c r="N82" s="542">
        <v>0</v>
      </c>
      <c r="O82" s="523"/>
      <c r="P82" s="539" t="s">
        <v>1621</v>
      </c>
      <c r="Q82" s="523"/>
      <c r="R82" s="534">
        <v>0</v>
      </c>
    </row>
    <row r="83" spans="1:18">
      <c r="A83" s="536"/>
      <c r="B83" s="537"/>
      <c r="C83" s="532"/>
      <c r="D83" s="538" t="s">
        <v>1295</v>
      </c>
      <c r="E83" s="539"/>
      <c r="F83" s="539">
        <v>-10</v>
      </c>
      <c r="G83" s="540"/>
      <c r="H83" s="541">
        <v>0</v>
      </c>
      <c r="I83" s="542"/>
      <c r="J83" s="542">
        <v>0</v>
      </c>
      <c r="K83" s="542"/>
      <c r="L83" s="542">
        <v>0</v>
      </c>
      <c r="M83" s="542"/>
      <c r="N83" s="542">
        <v>0</v>
      </c>
      <c r="O83" s="523"/>
      <c r="P83" s="539" t="s">
        <v>1621</v>
      </c>
      <c r="Q83" s="523"/>
      <c r="R83" s="534">
        <v>0</v>
      </c>
    </row>
    <row r="84" spans="1:18">
      <c r="A84" s="536"/>
      <c r="B84" s="537"/>
      <c r="C84" s="532"/>
      <c r="D84" s="538" t="s">
        <v>1296</v>
      </c>
      <c r="E84" s="539"/>
      <c r="F84" s="539">
        <v>-10</v>
      </c>
      <c r="G84" s="540"/>
      <c r="H84" s="541">
        <v>0</v>
      </c>
      <c r="I84" s="542"/>
      <c r="J84" s="542">
        <v>0</v>
      </c>
      <c r="K84" s="542"/>
      <c r="L84" s="542">
        <v>0</v>
      </c>
      <c r="M84" s="542"/>
      <c r="N84" s="542">
        <v>0</v>
      </c>
      <c r="O84" s="523"/>
      <c r="P84" s="539" t="s">
        <v>1621</v>
      </c>
      <c r="Q84" s="523"/>
      <c r="R84" s="534">
        <v>0</v>
      </c>
    </row>
    <row r="85" spans="1:18">
      <c r="A85" s="536"/>
      <c r="B85" s="537"/>
      <c r="C85" s="532"/>
      <c r="D85" s="545"/>
      <c r="E85" s="539"/>
      <c r="F85" s="539"/>
      <c r="G85" s="540"/>
      <c r="H85" s="541"/>
      <c r="I85" s="542"/>
      <c r="J85" s="542"/>
      <c r="K85" s="542"/>
      <c r="L85" s="542"/>
      <c r="M85" s="542"/>
      <c r="N85" s="542"/>
      <c r="O85" s="523"/>
      <c r="P85" s="539"/>
      <c r="Q85" s="523"/>
    </row>
    <row r="86" spans="1:18">
      <c r="A86" s="536"/>
      <c r="B86" s="537"/>
      <c r="C86" s="532"/>
      <c r="D86" s="545" t="s">
        <v>1626</v>
      </c>
      <c r="E86" s="539"/>
      <c r="F86" s="548">
        <v>-0.1</v>
      </c>
      <c r="G86" s="540"/>
      <c r="H86" s="541"/>
      <c r="I86" s="542"/>
      <c r="J86" s="542"/>
      <c r="K86" s="542"/>
      <c r="L86" s="542"/>
      <c r="M86" s="542"/>
      <c r="N86" s="542"/>
      <c r="O86" s="523"/>
      <c r="P86" s="539"/>
      <c r="Q86" s="523"/>
    </row>
    <row r="87" spans="1:18">
      <c r="A87" s="536"/>
      <c r="B87" s="537"/>
      <c r="C87" s="532"/>
      <c r="D87" s="545"/>
      <c r="E87" s="539"/>
      <c r="F87" s="539"/>
      <c r="G87" s="540"/>
      <c r="H87" s="541"/>
      <c r="I87" s="542"/>
      <c r="J87" s="542"/>
      <c r="K87" s="542"/>
      <c r="L87" s="542"/>
      <c r="M87" s="542"/>
      <c r="N87" s="542"/>
      <c r="O87" s="523"/>
      <c r="P87" s="539"/>
      <c r="Q87" s="523"/>
    </row>
    <row r="88" spans="1:18">
      <c r="A88" s="536"/>
      <c r="B88" s="537">
        <v>312.02</v>
      </c>
      <c r="C88" s="532"/>
      <c r="D88" s="527" t="s">
        <v>1310</v>
      </c>
      <c r="E88" s="527"/>
      <c r="F88" s="523"/>
      <c r="G88" s="540"/>
      <c r="H88" s="542"/>
      <c r="I88" s="542"/>
      <c r="J88" s="542"/>
      <c r="K88" s="542"/>
      <c r="L88" s="542"/>
      <c r="M88" s="542"/>
      <c r="N88" s="542"/>
      <c r="O88" s="523"/>
      <c r="P88" s="523"/>
      <c r="Q88" s="523"/>
    </row>
    <row r="89" spans="1:18">
      <c r="A89" s="536"/>
      <c r="B89" s="537"/>
      <c r="C89" s="532"/>
      <c r="D89" s="538" t="s">
        <v>1311</v>
      </c>
      <c r="E89" s="539"/>
      <c r="F89" s="539">
        <v>0</v>
      </c>
      <c r="G89" s="540"/>
      <c r="H89" s="541">
        <v>7.68</v>
      </c>
      <c r="I89" s="542"/>
      <c r="J89" s="542">
        <v>7.68</v>
      </c>
      <c r="K89" s="542"/>
      <c r="L89" s="542">
        <v>0</v>
      </c>
      <c r="M89" s="542"/>
      <c r="N89" s="542">
        <v>0</v>
      </c>
      <c r="O89" s="523"/>
      <c r="P89" s="539" t="s">
        <v>1309</v>
      </c>
      <c r="Q89" s="523"/>
      <c r="R89" s="534">
        <v>1</v>
      </c>
    </row>
    <row r="90" spans="1:18">
      <c r="A90" s="536"/>
      <c r="B90" s="537"/>
      <c r="C90" s="532"/>
      <c r="D90" s="527"/>
      <c r="E90" s="539"/>
      <c r="F90" s="539"/>
      <c r="G90" s="540"/>
      <c r="H90" s="543"/>
      <c r="I90" s="542"/>
      <c r="J90" s="542"/>
      <c r="K90" s="542"/>
      <c r="L90" s="542"/>
      <c r="M90" s="542"/>
      <c r="N90" s="542"/>
      <c r="O90" s="523"/>
      <c r="P90" s="539"/>
      <c r="Q90" s="523"/>
    </row>
    <row r="91" spans="1:18">
      <c r="A91" s="536"/>
      <c r="B91" s="537"/>
      <c r="C91" s="532"/>
      <c r="D91" s="545" t="s">
        <v>1312</v>
      </c>
      <c r="E91" s="539"/>
      <c r="F91" s="539"/>
      <c r="G91" s="540"/>
      <c r="H91" s="541">
        <v>7.68</v>
      </c>
      <c r="I91" s="542"/>
      <c r="J91" s="542"/>
      <c r="K91" s="542"/>
      <c r="L91" s="542"/>
      <c r="M91" s="542"/>
      <c r="N91" s="542"/>
      <c r="O91" s="523"/>
      <c r="P91" s="539"/>
      <c r="Q91" s="523"/>
      <c r="R91" s="534">
        <f>R89</f>
        <v>1</v>
      </c>
    </row>
    <row r="92" spans="1:18">
      <c r="A92" s="536"/>
      <c r="B92" s="537"/>
      <c r="C92" s="532"/>
      <c r="D92" s="545"/>
      <c r="E92" s="539"/>
      <c r="F92" s="539"/>
      <c r="G92" s="540"/>
      <c r="H92" s="543"/>
      <c r="I92" s="542"/>
      <c r="J92" s="542"/>
      <c r="K92" s="542"/>
      <c r="L92" s="542"/>
      <c r="M92" s="542"/>
      <c r="N92" s="542"/>
      <c r="O92" s="523"/>
      <c r="P92" s="539"/>
      <c r="Q92" s="523"/>
    </row>
    <row r="93" spans="1:18">
      <c r="A93" s="536"/>
      <c r="B93" s="537">
        <v>314</v>
      </c>
      <c r="C93" s="532"/>
      <c r="D93" s="527" t="s">
        <v>318</v>
      </c>
      <c r="E93" s="527"/>
      <c r="F93" s="523"/>
      <c r="G93" s="540"/>
      <c r="H93" s="542"/>
      <c r="I93" s="542"/>
      <c r="J93" s="542"/>
      <c r="K93" s="542"/>
      <c r="L93" s="542"/>
      <c r="M93" s="542"/>
      <c r="N93" s="542"/>
      <c r="O93" s="523"/>
      <c r="P93" s="523"/>
      <c r="Q93" s="523"/>
    </row>
    <row r="94" spans="1:18">
      <c r="A94" s="536"/>
      <c r="B94" s="537"/>
      <c r="C94" s="532"/>
      <c r="D94" s="538" t="s">
        <v>1297</v>
      </c>
      <c r="E94" s="539"/>
      <c r="F94" s="539">
        <v>-10</v>
      </c>
      <c r="G94" s="540"/>
      <c r="H94" s="541">
        <v>1.1500000000000001</v>
      </c>
      <c r="I94" s="542"/>
      <c r="J94" s="542">
        <v>1.1400000000000001</v>
      </c>
      <c r="K94" s="542"/>
      <c r="L94" s="542">
        <v>0.08</v>
      </c>
      <c r="M94" s="542"/>
      <c r="N94" s="542">
        <v>-6.9999999999999993E-2</v>
      </c>
      <c r="O94" s="523"/>
      <c r="P94" s="539" t="s">
        <v>1627</v>
      </c>
      <c r="Q94" s="523"/>
      <c r="R94" s="534">
        <v>15.9</v>
      </c>
    </row>
    <row r="95" spans="1:18">
      <c r="A95" s="527"/>
      <c r="B95" s="537"/>
      <c r="C95" s="532"/>
      <c r="D95" s="538" t="s">
        <v>1299</v>
      </c>
      <c r="E95" s="539"/>
      <c r="F95" s="539">
        <v>-10</v>
      </c>
      <c r="G95" s="540"/>
      <c r="H95" s="541">
        <v>1.66</v>
      </c>
      <c r="I95" s="542"/>
      <c r="J95" s="542">
        <v>1.6199999999999999</v>
      </c>
      <c r="K95" s="542"/>
      <c r="L95" s="542">
        <v>0.11</v>
      </c>
      <c r="M95" s="542"/>
      <c r="N95" s="542">
        <v>-6.9999999999999993E-2</v>
      </c>
      <c r="O95" s="523"/>
      <c r="P95" s="539" t="s">
        <v>1627</v>
      </c>
      <c r="Q95" s="523"/>
      <c r="R95" s="534">
        <v>17.8</v>
      </c>
    </row>
    <row r="96" spans="1:18">
      <c r="A96" s="536"/>
      <c r="B96" s="537"/>
      <c r="C96" s="532"/>
      <c r="D96" s="538" t="s">
        <v>1301</v>
      </c>
      <c r="E96" s="539"/>
      <c r="F96" s="539">
        <v>-10</v>
      </c>
      <c r="G96" s="540"/>
      <c r="H96" s="541">
        <v>2.1299999999999994</v>
      </c>
      <c r="I96" s="542"/>
      <c r="J96" s="542">
        <v>2.0299999999999998</v>
      </c>
      <c r="K96" s="542"/>
      <c r="L96" s="542">
        <v>0.13999999999999999</v>
      </c>
      <c r="M96" s="542"/>
      <c r="N96" s="542">
        <v>-0.04</v>
      </c>
      <c r="O96" s="523"/>
      <c r="P96" s="539" t="s">
        <v>1627</v>
      </c>
      <c r="Q96" s="523"/>
      <c r="R96" s="534">
        <v>20.9</v>
      </c>
    </row>
    <row r="97" spans="1:18">
      <c r="A97" s="536"/>
      <c r="B97" s="537"/>
      <c r="C97" s="549"/>
      <c r="D97" s="538" t="s">
        <v>1303</v>
      </c>
      <c r="E97" s="539"/>
      <c r="F97" s="539">
        <v>-10</v>
      </c>
      <c r="G97" s="540"/>
      <c r="H97" s="541">
        <v>1.7499999999999998</v>
      </c>
      <c r="I97" s="542"/>
      <c r="J97" s="542">
        <v>1.68</v>
      </c>
      <c r="K97" s="542"/>
      <c r="L97" s="542">
        <v>0.12</v>
      </c>
      <c r="M97" s="542"/>
      <c r="N97" s="542">
        <v>-0.05</v>
      </c>
      <c r="O97" s="523"/>
      <c r="P97" s="539" t="s">
        <v>1627</v>
      </c>
      <c r="Q97" s="523"/>
      <c r="R97" s="534">
        <v>24.5</v>
      </c>
    </row>
    <row r="98" spans="1:18">
      <c r="A98" s="536"/>
      <c r="B98" s="537"/>
      <c r="C98" s="532"/>
      <c r="D98" s="538" t="s">
        <v>1611</v>
      </c>
      <c r="E98" s="539"/>
      <c r="F98" s="539">
        <v>-16</v>
      </c>
      <c r="G98" s="540"/>
      <c r="H98" s="541">
        <v>2.4299999999999997</v>
      </c>
      <c r="I98" s="542"/>
      <c r="J98" s="542">
        <v>2.2399999999999998</v>
      </c>
      <c r="K98" s="542"/>
      <c r="L98" s="542">
        <v>0.22999999999999998</v>
      </c>
      <c r="M98" s="542"/>
      <c r="N98" s="542">
        <v>-0.04</v>
      </c>
      <c r="O98" s="523"/>
      <c r="P98" s="539" t="s">
        <v>1627</v>
      </c>
      <c r="Q98" s="523"/>
      <c r="R98" s="534">
        <v>30.3</v>
      </c>
    </row>
    <row r="99" spans="1:18">
      <c r="A99" s="536"/>
      <c r="B99" s="537"/>
      <c r="C99" s="532"/>
      <c r="D99" s="538" t="s">
        <v>1612</v>
      </c>
      <c r="E99" s="539"/>
      <c r="F99" s="539">
        <v>-16</v>
      </c>
      <c r="G99" s="540"/>
      <c r="H99" s="541">
        <v>2.35</v>
      </c>
      <c r="I99" s="542"/>
      <c r="J99" s="542">
        <v>2.17</v>
      </c>
      <c r="K99" s="542"/>
      <c r="L99" s="542">
        <v>0.22</v>
      </c>
      <c r="M99" s="542"/>
      <c r="N99" s="542">
        <v>-0.04</v>
      </c>
      <c r="O99" s="523"/>
      <c r="P99" s="539" t="s">
        <v>1627</v>
      </c>
      <c r="Q99" s="523"/>
      <c r="R99" s="534">
        <v>43.6</v>
      </c>
    </row>
    <row r="100" spans="1:18">
      <c r="A100" s="536"/>
      <c r="B100" s="537"/>
      <c r="C100" s="532"/>
      <c r="D100" s="527"/>
      <c r="E100" s="539"/>
      <c r="F100" s="539"/>
      <c r="G100" s="540"/>
      <c r="H100" s="543"/>
      <c r="I100" s="542"/>
      <c r="J100" s="542"/>
      <c r="K100" s="542"/>
      <c r="L100" s="542"/>
      <c r="M100" s="542"/>
      <c r="N100" s="542"/>
      <c r="O100" s="523"/>
      <c r="P100" s="539"/>
      <c r="Q100" s="523"/>
    </row>
    <row r="101" spans="1:18">
      <c r="A101" s="536">
        <v>314</v>
      </c>
      <c r="B101" s="537"/>
      <c r="C101" s="532"/>
      <c r="D101" s="545" t="s">
        <v>319</v>
      </c>
      <c r="E101" s="539"/>
      <c r="F101" s="546" t="s">
        <v>1878</v>
      </c>
      <c r="G101" s="540"/>
      <c r="H101" s="541">
        <v>1.96</v>
      </c>
      <c r="I101" s="542"/>
      <c r="J101" s="542"/>
      <c r="K101" s="542"/>
      <c r="L101" s="542"/>
      <c r="M101" s="542"/>
      <c r="N101" s="542"/>
      <c r="O101" s="523"/>
      <c r="P101" s="539" t="str">
        <f>P99</f>
        <v>60-R2.5</v>
      </c>
      <c r="Q101" s="523"/>
      <c r="R101" s="534">
        <v>24</v>
      </c>
    </row>
    <row r="102" spans="1:18">
      <c r="A102" s="536"/>
      <c r="B102" s="537"/>
      <c r="C102" s="532"/>
      <c r="D102" s="545"/>
      <c r="E102" s="539"/>
      <c r="F102" s="539"/>
      <c r="G102" s="540"/>
      <c r="H102" s="541"/>
      <c r="I102" s="542"/>
      <c r="J102" s="542"/>
      <c r="K102" s="542"/>
      <c r="L102" s="542"/>
      <c r="M102" s="542"/>
      <c r="N102" s="542"/>
      <c r="O102" s="523"/>
      <c r="P102" s="539"/>
      <c r="Q102" s="523"/>
    </row>
    <row r="103" spans="1:18">
      <c r="A103" s="536"/>
      <c r="B103" s="537">
        <v>314.10000000000002</v>
      </c>
      <c r="C103" s="532"/>
      <c r="D103" s="527" t="s">
        <v>1628</v>
      </c>
      <c r="E103" s="539"/>
      <c r="F103" s="539"/>
      <c r="G103" s="540"/>
      <c r="H103" s="541"/>
      <c r="I103" s="542"/>
      <c r="J103" s="542"/>
      <c r="K103" s="542"/>
      <c r="L103" s="542"/>
      <c r="M103" s="542"/>
      <c r="N103" s="542"/>
      <c r="O103" s="523"/>
      <c r="P103" s="539"/>
      <c r="Q103" s="523"/>
    </row>
    <row r="104" spans="1:18">
      <c r="A104" s="536"/>
      <c r="B104" s="537"/>
      <c r="C104" s="532"/>
      <c r="D104" s="538" t="s">
        <v>1287</v>
      </c>
      <c r="E104" s="539"/>
      <c r="F104" s="539">
        <v>0</v>
      </c>
      <c r="G104" s="540"/>
      <c r="H104" s="541">
        <v>0</v>
      </c>
      <c r="I104" s="542"/>
      <c r="J104" s="542">
        <v>0</v>
      </c>
      <c r="K104" s="542"/>
      <c r="L104" s="542">
        <v>0</v>
      </c>
      <c r="M104" s="542"/>
      <c r="N104" s="542">
        <v>0</v>
      </c>
      <c r="O104" s="523"/>
      <c r="P104" s="539" t="s">
        <v>314</v>
      </c>
      <c r="Q104" s="523"/>
      <c r="R104" s="534" t="s">
        <v>1288</v>
      </c>
    </row>
    <row r="105" spans="1:18">
      <c r="A105" s="536"/>
      <c r="B105" s="537"/>
      <c r="C105" s="532"/>
      <c r="D105" s="538" t="s">
        <v>1289</v>
      </c>
      <c r="E105" s="539"/>
      <c r="F105" s="539">
        <v>0</v>
      </c>
      <c r="G105" s="540"/>
      <c r="H105" s="541">
        <v>0</v>
      </c>
      <c r="I105" s="542"/>
      <c r="J105" s="542">
        <v>0</v>
      </c>
      <c r="K105" s="542"/>
      <c r="L105" s="542">
        <v>0</v>
      </c>
      <c r="M105" s="542"/>
      <c r="N105" s="542">
        <v>0</v>
      </c>
      <c r="O105" s="523"/>
      <c r="P105" s="539" t="s">
        <v>314</v>
      </c>
      <c r="Q105" s="523"/>
      <c r="R105" s="534" t="s">
        <v>1288</v>
      </c>
    </row>
    <row r="106" spans="1:18">
      <c r="A106" s="536"/>
      <c r="B106" s="537"/>
      <c r="C106" s="532"/>
      <c r="D106" s="538" t="s">
        <v>1290</v>
      </c>
      <c r="E106" s="539"/>
      <c r="F106" s="539">
        <v>0</v>
      </c>
      <c r="G106" s="540"/>
      <c r="H106" s="541">
        <v>0</v>
      </c>
      <c r="I106" s="542"/>
      <c r="J106" s="542">
        <v>0</v>
      </c>
      <c r="K106" s="542"/>
      <c r="L106" s="542">
        <v>0</v>
      </c>
      <c r="M106" s="542"/>
      <c r="N106" s="542">
        <v>0</v>
      </c>
      <c r="O106" s="523"/>
      <c r="P106" s="539" t="s">
        <v>314</v>
      </c>
      <c r="Q106" s="523"/>
      <c r="R106" s="534" t="s">
        <v>1288</v>
      </c>
    </row>
    <row r="107" spans="1:18">
      <c r="A107" s="536"/>
      <c r="B107" s="537"/>
      <c r="C107" s="532"/>
      <c r="D107" s="538" t="s">
        <v>1291</v>
      </c>
      <c r="E107" s="539"/>
      <c r="F107" s="539">
        <v>-10</v>
      </c>
      <c r="G107" s="540"/>
      <c r="H107" s="541">
        <v>0</v>
      </c>
      <c r="I107" s="542"/>
      <c r="J107" s="542">
        <v>0</v>
      </c>
      <c r="K107" s="542"/>
      <c r="L107" s="542">
        <v>0</v>
      </c>
      <c r="M107" s="542"/>
      <c r="N107" s="542">
        <v>0</v>
      </c>
      <c r="O107" s="523"/>
      <c r="P107" s="539" t="s">
        <v>1627</v>
      </c>
      <c r="Q107" s="523"/>
      <c r="R107" s="534">
        <v>0</v>
      </c>
    </row>
    <row r="108" spans="1:18">
      <c r="A108" s="536"/>
      <c r="B108" s="537"/>
      <c r="C108" s="532"/>
      <c r="D108" s="538" t="s">
        <v>1293</v>
      </c>
      <c r="E108" s="539"/>
      <c r="F108" s="539">
        <v>-10</v>
      </c>
      <c r="G108" s="540"/>
      <c r="H108" s="541">
        <v>0</v>
      </c>
      <c r="I108" s="542"/>
      <c r="J108" s="542">
        <v>0</v>
      </c>
      <c r="K108" s="542"/>
      <c r="L108" s="542">
        <v>0</v>
      </c>
      <c r="M108" s="542"/>
      <c r="N108" s="542">
        <v>0</v>
      </c>
      <c r="O108" s="523"/>
      <c r="P108" s="539" t="s">
        <v>1627</v>
      </c>
      <c r="Q108" s="523"/>
      <c r="R108" s="534">
        <v>0</v>
      </c>
    </row>
    <row r="109" spans="1:18">
      <c r="A109" s="536"/>
      <c r="B109" s="537"/>
      <c r="C109" s="532"/>
      <c r="D109" s="538" t="s">
        <v>1295</v>
      </c>
      <c r="E109" s="539"/>
      <c r="F109" s="539">
        <v>0</v>
      </c>
      <c r="G109" s="540"/>
      <c r="H109" s="541">
        <v>0</v>
      </c>
      <c r="I109" s="542"/>
      <c r="J109" s="542">
        <v>0</v>
      </c>
      <c r="K109" s="542"/>
      <c r="L109" s="542">
        <v>0</v>
      </c>
      <c r="M109" s="542"/>
      <c r="N109" s="542">
        <v>0</v>
      </c>
      <c r="O109" s="523"/>
      <c r="P109" s="539" t="s">
        <v>1313</v>
      </c>
      <c r="Q109" s="523"/>
      <c r="R109" s="534">
        <v>4</v>
      </c>
    </row>
    <row r="110" spans="1:18">
      <c r="A110" s="536"/>
      <c r="B110" s="537"/>
      <c r="C110" s="532"/>
      <c r="D110" s="545"/>
      <c r="E110" s="539"/>
      <c r="F110" s="539"/>
      <c r="G110" s="540"/>
      <c r="H110" s="541">
        <v>0</v>
      </c>
      <c r="I110" s="542"/>
      <c r="J110" s="542">
        <v>0</v>
      </c>
      <c r="K110" s="542"/>
      <c r="L110" s="542">
        <v>0</v>
      </c>
      <c r="M110" s="542"/>
      <c r="N110" s="542">
        <v>0</v>
      </c>
      <c r="O110" s="523"/>
      <c r="P110" s="539"/>
      <c r="Q110" s="523"/>
    </row>
    <row r="111" spans="1:18">
      <c r="A111" s="536"/>
      <c r="B111" s="537"/>
      <c r="C111" s="532"/>
      <c r="D111" s="545" t="s">
        <v>1629</v>
      </c>
      <c r="E111" s="539"/>
      <c r="F111" s="548">
        <v>-0.1</v>
      </c>
      <c r="G111" s="540"/>
      <c r="H111" s="541"/>
      <c r="I111" s="542"/>
      <c r="J111" s="542"/>
      <c r="K111" s="542"/>
      <c r="L111" s="542"/>
      <c r="M111" s="542"/>
      <c r="N111" s="542"/>
      <c r="O111" s="523"/>
      <c r="P111" s="539"/>
      <c r="Q111" s="523"/>
    </row>
    <row r="112" spans="1:18">
      <c r="A112" s="536"/>
      <c r="B112" s="537"/>
      <c r="C112" s="532"/>
      <c r="D112" s="527"/>
      <c r="E112" s="539"/>
      <c r="F112" s="539"/>
      <c r="G112" s="540"/>
      <c r="H112" s="543"/>
      <c r="I112" s="542"/>
      <c r="J112" s="542"/>
      <c r="K112" s="542"/>
      <c r="L112" s="542"/>
      <c r="M112" s="542"/>
      <c r="N112" s="542"/>
      <c r="O112" s="523"/>
      <c r="P112" s="539"/>
      <c r="Q112" s="523"/>
    </row>
    <row r="113" spans="1:18">
      <c r="A113" s="536"/>
      <c r="B113" s="537">
        <v>315</v>
      </c>
      <c r="C113" s="532"/>
      <c r="D113" s="527" t="s">
        <v>320</v>
      </c>
      <c r="E113" s="527"/>
      <c r="F113" s="523"/>
      <c r="G113" s="540"/>
      <c r="H113" s="542"/>
      <c r="I113" s="542"/>
      <c r="J113" s="542"/>
      <c r="K113" s="542"/>
      <c r="L113" s="542"/>
      <c r="M113" s="542"/>
      <c r="N113" s="542"/>
      <c r="O113" s="523"/>
      <c r="P113" s="523"/>
      <c r="Q113" s="523"/>
    </row>
    <row r="114" spans="1:18">
      <c r="A114" s="536"/>
      <c r="B114" s="537"/>
      <c r="C114" s="532"/>
      <c r="D114" s="538" t="s">
        <v>1297</v>
      </c>
      <c r="E114" s="539"/>
      <c r="F114" s="539">
        <v>-10</v>
      </c>
      <c r="G114" s="540"/>
      <c r="H114" s="541">
        <v>3.06</v>
      </c>
      <c r="I114" s="542"/>
      <c r="J114" s="542">
        <v>2.91</v>
      </c>
      <c r="K114" s="542"/>
      <c r="L114" s="542">
        <v>0.2</v>
      </c>
      <c r="M114" s="542"/>
      <c r="N114" s="542">
        <v>-0.05</v>
      </c>
      <c r="O114" s="523"/>
      <c r="P114" s="539" t="s">
        <v>351</v>
      </c>
      <c r="Q114" s="523"/>
      <c r="R114" s="534">
        <v>15.9</v>
      </c>
    </row>
    <row r="115" spans="1:18">
      <c r="A115" s="536"/>
      <c r="B115" s="537"/>
      <c r="C115" s="532"/>
      <c r="D115" s="538" t="s">
        <v>1298</v>
      </c>
      <c r="E115" s="539"/>
      <c r="F115" s="539">
        <v>-10</v>
      </c>
      <c r="G115" s="540"/>
      <c r="H115" s="541">
        <v>0</v>
      </c>
      <c r="I115" s="542"/>
      <c r="J115" s="542">
        <v>0</v>
      </c>
      <c r="K115" s="542"/>
      <c r="L115" s="542">
        <v>0</v>
      </c>
      <c r="M115" s="542"/>
      <c r="N115" s="542">
        <v>0</v>
      </c>
      <c r="O115" s="523"/>
      <c r="P115" s="539" t="s">
        <v>1314</v>
      </c>
      <c r="Q115" s="523"/>
      <c r="R115" s="534" t="s">
        <v>1288</v>
      </c>
    </row>
    <row r="116" spans="1:18">
      <c r="A116" s="536"/>
      <c r="B116" s="537"/>
      <c r="C116" s="532"/>
      <c r="D116" s="538" t="s">
        <v>1299</v>
      </c>
      <c r="E116" s="539"/>
      <c r="F116" s="539">
        <v>-10</v>
      </c>
      <c r="G116" s="540"/>
      <c r="H116" s="541">
        <v>1.9799999999999998</v>
      </c>
      <c r="I116" s="542"/>
      <c r="J116" s="542">
        <v>1.8900000000000001</v>
      </c>
      <c r="K116" s="542"/>
      <c r="L116" s="542">
        <v>0.13</v>
      </c>
      <c r="M116" s="542"/>
      <c r="N116" s="542">
        <v>-0.04</v>
      </c>
      <c r="O116" s="523"/>
      <c r="P116" s="539" t="s">
        <v>351</v>
      </c>
      <c r="Q116" s="523"/>
      <c r="R116" s="534">
        <v>17.399999999999999</v>
      </c>
    </row>
    <row r="117" spans="1:18">
      <c r="A117" s="536"/>
      <c r="B117" s="537"/>
      <c r="C117" s="532"/>
      <c r="D117" s="538" t="s">
        <v>1300</v>
      </c>
      <c r="E117" s="539"/>
      <c r="F117" s="539">
        <v>-10</v>
      </c>
      <c r="G117" s="540"/>
      <c r="H117" s="541">
        <v>0</v>
      </c>
      <c r="I117" s="542"/>
      <c r="J117" s="542">
        <v>0</v>
      </c>
      <c r="K117" s="542"/>
      <c r="L117" s="542">
        <v>0</v>
      </c>
      <c r="M117" s="542"/>
      <c r="N117" s="542">
        <v>0</v>
      </c>
      <c r="O117" s="523"/>
      <c r="P117" s="539" t="s">
        <v>351</v>
      </c>
      <c r="Q117" s="523"/>
      <c r="R117" s="534">
        <v>18.399999999999999</v>
      </c>
    </row>
    <row r="118" spans="1:18">
      <c r="A118" s="536"/>
      <c r="B118" s="537"/>
      <c r="C118" s="532"/>
      <c r="D118" s="538" t="s">
        <v>1301</v>
      </c>
      <c r="E118" s="539"/>
      <c r="F118" s="539">
        <v>-10</v>
      </c>
      <c r="G118" s="540"/>
      <c r="H118" s="541">
        <v>1.0199999999999998</v>
      </c>
      <c r="I118" s="542"/>
      <c r="J118" s="542">
        <v>0.96</v>
      </c>
      <c r="K118" s="542"/>
      <c r="L118" s="542">
        <v>6.9999999999999993E-2</v>
      </c>
      <c r="M118" s="542"/>
      <c r="N118" s="542">
        <v>-0.01</v>
      </c>
      <c r="O118" s="523"/>
      <c r="P118" s="539" t="s">
        <v>351</v>
      </c>
      <c r="Q118" s="523"/>
      <c r="R118" s="534">
        <v>20.100000000000001</v>
      </c>
    </row>
    <row r="119" spans="1:18">
      <c r="A119" s="536"/>
      <c r="B119" s="537"/>
      <c r="C119" s="532"/>
      <c r="D119" s="538" t="s">
        <v>1302</v>
      </c>
      <c r="E119" s="539"/>
      <c r="F119" s="539">
        <v>-10</v>
      </c>
      <c r="G119" s="540"/>
      <c r="H119" s="541">
        <v>0</v>
      </c>
      <c r="I119" s="542"/>
      <c r="J119" s="542">
        <v>0</v>
      </c>
      <c r="K119" s="542"/>
      <c r="L119" s="542">
        <v>0</v>
      </c>
      <c r="M119" s="542"/>
      <c r="N119" s="542">
        <v>0</v>
      </c>
      <c r="O119" s="523"/>
      <c r="P119" s="539" t="s">
        <v>351</v>
      </c>
      <c r="Q119" s="523"/>
      <c r="R119" s="534">
        <v>20.3</v>
      </c>
    </row>
    <row r="120" spans="1:18">
      <c r="A120" s="527"/>
      <c r="B120" s="537"/>
      <c r="C120" s="532"/>
      <c r="D120" s="538" t="s">
        <v>1303</v>
      </c>
      <c r="E120" s="539"/>
      <c r="F120" s="539">
        <v>-10</v>
      </c>
      <c r="G120" s="540"/>
      <c r="H120" s="541">
        <v>1.66</v>
      </c>
      <c r="I120" s="542"/>
      <c r="J120" s="542">
        <v>1.59</v>
      </c>
      <c r="K120" s="542"/>
      <c r="L120" s="542">
        <v>0.11</v>
      </c>
      <c r="M120" s="542"/>
      <c r="N120" s="542">
        <v>-0.04</v>
      </c>
      <c r="O120" s="523"/>
      <c r="P120" s="539" t="s">
        <v>351</v>
      </c>
      <c r="Q120" s="523"/>
      <c r="R120" s="534">
        <v>24.2</v>
      </c>
    </row>
    <row r="121" spans="1:18">
      <c r="A121" s="536"/>
      <c r="B121" s="537"/>
      <c r="C121" s="532"/>
      <c r="D121" s="538" t="s">
        <v>1304</v>
      </c>
      <c r="E121" s="539"/>
      <c r="F121" s="539">
        <v>-10</v>
      </c>
      <c r="G121" s="540"/>
      <c r="H121" s="541">
        <v>0.42000000000000004</v>
      </c>
      <c r="I121" s="542"/>
      <c r="J121" s="542">
        <v>0.44</v>
      </c>
      <c r="K121" s="542"/>
      <c r="L121" s="542">
        <v>0.03</v>
      </c>
      <c r="M121" s="542"/>
      <c r="N121" s="542">
        <v>-0.05</v>
      </c>
      <c r="O121" s="523"/>
      <c r="P121" s="539" t="s">
        <v>351</v>
      </c>
      <c r="Q121" s="523"/>
      <c r="R121" s="534">
        <v>26.1</v>
      </c>
    </row>
    <row r="122" spans="1:18">
      <c r="A122" s="536"/>
      <c r="B122" s="537"/>
      <c r="C122" s="532"/>
      <c r="D122" s="538" t="s">
        <v>1305</v>
      </c>
      <c r="E122" s="539"/>
      <c r="F122" s="539">
        <v>-16</v>
      </c>
      <c r="G122" s="540"/>
      <c r="H122" s="541">
        <v>2.23</v>
      </c>
      <c r="I122" s="542"/>
      <c r="J122" s="542">
        <v>2.0500000000000003</v>
      </c>
      <c r="K122" s="542"/>
      <c r="L122" s="542">
        <v>0.21</v>
      </c>
      <c r="M122" s="542"/>
      <c r="N122" s="542">
        <v>-0.03</v>
      </c>
      <c r="O122" s="523"/>
      <c r="P122" s="539" t="s">
        <v>351</v>
      </c>
      <c r="Q122" s="523"/>
      <c r="R122" s="534">
        <v>29.5</v>
      </c>
    </row>
    <row r="123" spans="1:18">
      <c r="A123" s="536"/>
      <c r="B123" s="537"/>
      <c r="C123" s="532"/>
      <c r="D123" s="538" t="s">
        <v>1306</v>
      </c>
      <c r="E123" s="539"/>
      <c r="F123" s="539">
        <v>-16</v>
      </c>
      <c r="G123" s="540"/>
      <c r="H123" s="541">
        <v>0.98</v>
      </c>
      <c r="I123" s="542"/>
      <c r="J123" s="542">
        <v>0.89999999999999991</v>
      </c>
      <c r="K123" s="542"/>
      <c r="L123" s="542">
        <v>0.09</v>
      </c>
      <c r="M123" s="542"/>
      <c r="N123" s="542">
        <v>-0.01</v>
      </c>
      <c r="O123" s="523"/>
      <c r="P123" s="539" t="s">
        <v>351</v>
      </c>
      <c r="Q123" s="523"/>
      <c r="R123" s="534">
        <v>29.2</v>
      </c>
    </row>
    <row r="124" spans="1:18">
      <c r="A124" s="536"/>
      <c r="B124" s="537"/>
      <c r="C124" s="532"/>
      <c r="D124" s="538" t="s">
        <v>311</v>
      </c>
      <c r="E124" s="539"/>
      <c r="F124" s="539">
        <v>-16</v>
      </c>
      <c r="G124" s="540"/>
      <c r="H124" s="541">
        <v>2.5499999999999998</v>
      </c>
      <c r="I124" s="542"/>
      <c r="J124" s="542">
        <v>2.35</v>
      </c>
      <c r="K124" s="542"/>
      <c r="L124" s="542">
        <v>0.24</v>
      </c>
      <c r="M124" s="542"/>
      <c r="N124" s="542">
        <v>-0.04</v>
      </c>
      <c r="O124" s="523"/>
      <c r="P124" s="539" t="s">
        <v>351</v>
      </c>
      <c r="Q124" s="523"/>
      <c r="R124" s="534">
        <v>46</v>
      </c>
    </row>
    <row r="125" spans="1:18">
      <c r="A125" s="536"/>
      <c r="B125" s="537"/>
      <c r="C125" s="532"/>
      <c r="D125" s="527"/>
      <c r="E125" s="539"/>
      <c r="F125" s="539"/>
      <c r="G125" s="540"/>
      <c r="H125" s="543"/>
      <c r="I125" s="542"/>
      <c r="J125" s="542"/>
      <c r="K125" s="542"/>
      <c r="L125" s="542"/>
      <c r="M125" s="542"/>
      <c r="N125" s="542"/>
      <c r="O125" s="523"/>
      <c r="P125" s="539"/>
      <c r="Q125" s="523"/>
    </row>
    <row r="126" spans="1:18">
      <c r="A126" s="536">
        <v>315</v>
      </c>
      <c r="B126" s="537"/>
      <c r="C126" s="532"/>
      <c r="D126" s="545" t="s">
        <v>321</v>
      </c>
      <c r="E126" s="539"/>
      <c r="F126" s="546" t="s">
        <v>1878</v>
      </c>
      <c r="G126" s="540"/>
      <c r="H126" s="541">
        <v>1.96</v>
      </c>
      <c r="I126" s="542"/>
      <c r="J126" s="542"/>
      <c r="K126" s="542"/>
      <c r="L126" s="542"/>
      <c r="M126" s="542"/>
      <c r="N126" s="542"/>
      <c r="O126" s="523"/>
      <c r="P126" s="539" t="str">
        <f>P124</f>
        <v>60-R3</v>
      </c>
      <c r="Q126" s="523"/>
      <c r="R126" s="534">
        <v>25.4</v>
      </c>
    </row>
    <row r="127" spans="1:18">
      <c r="A127" s="536"/>
      <c r="B127" s="537"/>
      <c r="C127" s="532"/>
      <c r="D127" s="545"/>
      <c r="E127" s="539"/>
      <c r="F127" s="539"/>
      <c r="G127" s="540"/>
      <c r="H127" s="541"/>
      <c r="I127" s="542"/>
      <c r="J127" s="542"/>
      <c r="K127" s="542"/>
      <c r="L127" s="542"/>
      <c r="M127" s="542"/>
      <c r="N127" s="542"/>
      <c r="O127" s="523"/>
      <c r="P127" s="539"/>
      <c r="Q127" s="523"/>
    </row>
    <row r="128" spans="1:18">
      <c r="A128" s="536"/>
      <c r="B128" s="537">
        <v>315.10000000000002</v>
      </c>
      <c r="C128" s="532"/>
      <c r="D128" s="527" t="s">
        <v>1630</v>
      </c>
      <c r="E128" s="539"/>
      <c r="F128" s="539"/>
      <c r="G128" s="540"/>
      <c r="H128" s="541"/>
      <c r="I128" s="542"/>
      <c r="J128" s="542"/>
      <c r="K128" s="542"/>
      <c r="L128" s="542"/>
      <c r="M128" s="542"/>
      <c r="N128" s="542"/>
      <c r="O128" s="523"/>
      <c r="P128" s="539"/>
      <c r="Q128" s="523"/>
    </row>
    <row r="129" spans="1:18">
      <c r="A129" s="536"/>
      <c r="B129" s="537"/>
      <c r="C129" s="532"/>
      <c r="D129" s="538" t="s">
        <v>1287</v>
      </c>
      <c r="E129" s="539"/>
      <c r="F129" s="539">
        <v>0</v>
      </c>
      <c r="G129" s="540"/>
      <c r="H129" s="541">
        <v>0</v>
      </c>
      <c r="I129" s="542"/>
      <c r="J129" s="542">
        <v>0</v>
      </c>
      <c r="K129" s="542"/>
      <c r="L129" s="542">
        <v>0</v>
      </c>
      <c r="M129" s="542"/>
      <c r="N129" s="542">
        <v>0</v>
      </c>
      <c r="O129" s="523"/>
      <c r="P129" s="539" t="s">
        <v>314</v>
      </c>
      <c r="Q129" s="523"/>
      <c r="R129" s="534" t="s">
        <v>1288</v>
      </c>
    </row>
    <row r="130" spans="1:18">
      <c r="A130" s="536"/>
      <c r="B130" s="537"/>
      <c r="C130" s="532"/>
      <c r="D130" s="538" t="s">
        <v>1289</v>
      </c>
      <c r="E130" s="539"/>
      <c r="F130" s="539">
        <v>0</v>
      </c>
      <c r="G130" s="540"/>
      <c r="H130" s="541">
        <v>0</v>
      </c>
      <c r="I130" s="542"/>
      <c r="J130" s="542">
        <v>0</v>
      </c>
      <c r="K130" s="542"/>
      <c r="L130" s="542">
        <v>0</v>
      </c>
      <c r="M130" s="542"/>
      <c r="N130" s="542">
        <v>0</v>
      </c>
      <c r="O130" s="523"/>
      <c r="P130" s="539" t="s">
        <v>314</v>
      </c>
      <c r="Q130" s="523"/>
      <c r="R130" s="534" t="s">
        <v>1288</v>
      </c>
    </row>
    <row r="131" spans="1:18">
      <c r="A131" s="536"/>
      <c r="B131" s="537"/>
      <c r="C131" s="532"/>
      <c r="D131" s="538" t="s">
        <v>1290</v>
      </c>
      <c r="E131" s="539"/>
      <c r="F131" s="539">
        <v>0</v>
      </c>
      <c r="G131" s="540"/>
      <c r="H131" s="541">
        <v>0</v>
      </c>
      <c r="I131" s="542"/>
      <c r="J131" s="542">
        <v>0</v>
      </c>
      <c r="K131" s="542"/>
      <c r="L131" s="542">
        <v>0</v>
      </c>
      <c r="M131" s="542"/>
      <c r="N131" s="542">
        <v>0</v>
      </c>
      <c r="O131" s="523"/>
      <c r="P131" s="539" t="s">
        <v>314</v>
      </c>
      <c r="Q131" s="523"/>
      <c r="R131" s="534" t="s">
        <v>1288</v>
      </c>
    </row>
    <row r="132" spans="1:18">
      <c r="A132" s="536"/>
      <c r="B132" s="537"/>
      <c r="C132" s="532"/>
      <c r="D132" s="538" t="s">
        <v>1291</v>
      </c>
      <c r="E132" s="539"/>
      <c r="F132" s="539">
        <v>0</v>
      </c>
      <c r="G132" s="540"/>
      <c r="H132" s="541">
        <v>0</v>
      </c>
      <c r="I132" s="542"/>
      <c r="J132" s="542">
        <v>0</v>
      </c>
      <c r="K132" s="542"/>
      <c r="L132" s="542">
        <v>0</v>
      </c>
      <c r="M132" s="542"/>
      <c r="N132" s="542">
        <v>0</v>
      </c>
      <c r="O132" s="523"/>
      <c r="P132" s="539" t="s">
        <v>314</v>
      </c>
      <c r="Q132" s="523"/>
      <c r="R132" s="534">
        <v>0</v>
      </c>
    </row>
    <row r="133" spans="1:18">
      <c r="A133" s="536"/>
      <c r="B133" s="537"/>
      <c r="C133" s="532"/>
      <c r="D133" s="538" t="s">
        <v>1292</v>
      </c>
      <c r="E133" s="539"/>
      <c r="F133" s="539">
        <v>0</v>
      </c>
      <c r="G133" s="540"/>
      <c r="H133" s="541">
        <v>0</v>
      </c>
      <c r="I133" s="542"/>
      <c r="J133" s="542">
        <v>0</v>
      </c>
      <c r="K133" s="542"/>
      <c r="L133" s="542">
        <v>0</v>
      </c>
      <c r="M133" s="542"/>
      <c r="N133" s="542">
        <v>0</v>
      </c>
      <c r="O133" s="523"/>
      <c r="P133" s="539" t="s">
        <v>314</v>
      </c>
      <c r="Q133" s="523"/>
      <c r="R133" s="534" t="s">
        <v>1288</v>
      </c>
    </row>
    <row r="134" spans="1:18">
      <c r="A134" s="536"/>
      <c r="B134" s="537"/>
      <c r="C134" s="532"/>
      <c r="D134" s="538" t="s">
        <v>1293</v>
      </c>
      <c r="E134" s="539"/>
      <c r="F134" s="539">
        <v>0</v>
      </c>
      <c r="G134" s="540"/>
      <c r="H134" s="541">
        <v>0</v>
      </c>
      <c r="I134" s="542"/>
      <c r="J134" s="542">
        <v>0</v>
      </c>
      <c r="K134" s="542"/>
      <c r="L134" s="542">
        <v>0</v>
      </c>
      <c r="M134" s="542"/>
      <c r="N134" s="542">
        <v>0</v>
      </c>
      <c r="O134" s="523"/>
      <c r="P134" s="539" t="s">
        <v>1314</v>
      </c>
      <c r="Q134" s="523"/>
      <c r="R134" s="534">
        <v>4</v>
      </c>
    </row>
    <row r="135" spans="1:18">
      <c r="A135" s="536"/>
      <c r="B135" s="537"/>
      <c r="C135" s="532"/>
      <c r="D135" s="538" t="s">
        <v>1294</v>
      </c>
      <c r="E135" s="539"/>
      <c r="F135" s="539">
        <v>0</v>
      </c>
      <c r="G135" s="540"/>
      <c r="H135" s="541">
        <v>0</v>
      </c>
      <c r="I135" s="542"/>
      <c r="J135" s="542">
        <v>0</v>
      </c>
      <c r="K135" s="542"/>
      <c r="L135" s="542">
        <v>0</v>
      </c>
      <c r="M135" s="542"/>
      <c r="N135" s="542">
        <v>0</v>
      </c>
      <c r="O135" s="523"/>
      <c r="P135" s="539" t="s">
        <v>314</v>
      </c>
      <c r="Q135" s="523"/>
      <c r="R135" s="534" t="s">
        <v>1288</v>
      </c>
    </row>
    <row r="136" spans="1:18">
      <c r="A136" s="536"/>
      <c r="B136" s="537"/>
      <c r="C136" s="532"/>
      <c r="D136" s="538" t="s">
        <v>1295</v>
      </c>
      <c r="E136" s="539"/>
      <c r="F136" s="539">
        <v>0</v>
      </c>
      <c r="G136" s="540"/>
      <c r="H136" s="541">
        <v>0</v>
      </c>
      <c r="I136" s="542"/>
      <c r="J136" s="542">
        <v>0</v>
      </c>
      <c r="K136" s="542"/>
      <c r="L136" s="542">
        <v>0</v>
      </c>
      <c r="M136" s="542"/>
      <c r="N136" s="542">
        <v>0</v>
      </c>
      <c r="O136" s="523"/>
      <c r="P136" s="539" t="s">
        <v>1314</v>
      </c>
      <c r="Q136" s="523"/>
      <c r="R136" s="534">
        <v>4</v>
      </c>
    </row>
    <row r="137" spans="1:18">
      <c r="A137" s="536"/>
      <c r="B137" s="537"/>
      <c r="C137" s="532"/>
      <c r="D137" s="538" t="s">
        <v>1296</v>
      </c>
      <c r="E137" s="539"/>
      <c r="F137" s="539">
        <v>0</v>
      </c>
      <c r="G137" s="540"/>
      <c r="H137" s="541">
        <v>0</v>
      </c>
      <c r="I137" s="542"/>
      <c r="J137" s="542">
        <v>0</v>
      </c>
      <c r="K137" s="542"/>
      <c r="L137" s="542">
        <v>0</v>
      </c>
      <c r="M137" s="542"/>
      <c r="N137" s="542">
        <v>0</v>
      </c>
      <c r="O137" s="523"/>
      <c r="P137" s="539">
        <v>0</v>
      </c>
      <c r="Q137" s="523"/>
      <c r="R137" s="534" t="s">
        <v>1288</v>
      </c>
    </row>
    <row r="138" spans="1:18">
      <c r="A138" s="536"/>
      <c r="B138" s="537"/>
      <c r="C138" s="532"/>
      <c r="D138" s="545"/>
      <c r="E138" s="539"/>
      <c r="F138" s="539"/>
      <c r="G138" s="540"/>
      <c r="H138" s="541"/>
      <c r="I138" s="542"/>
      <c r="J138" s="542"/>
      <c r="K138" s="542"/>
      <c r="L138" s="542"/>
      <c r="M138" s="542"/>
      <c r="N138" s="542"/>
      <c r="O138" s="523"/>
      <c r="P138" s="539"/>
      <c r="Q138" s="523"/>
    </row>
    <row r="139" spans="1:18">
      <c r="A139" s="536"/>
      <c r="B139" s="537"/>
      <c r="C139" s="532"/>
      <c r="D139" s="545" t="s">
        <v>1631</v>
      </c>
      <c r="E139" s="539"/>
      <c r="F139" s="539"/>
      <c r="G139" s="540"/>
      <c r="H139" s="541"/>
      <c r="I139" s="542"/>
      <c r="J139" s="542"/>
      <c r="K139" s="542"/>
      <c r="L139" s="542"/>
      <c r="M139" s="542"/>
      <c r="N139" s="542"/>
      <c r="O139" s="523"/>
      <c r="P139" s="539"/>
      <c r="Q139" s="523"/>
    </row>
    <row r="140" spans="1:18">
      <c r="A140" s="536"/>
      <c r="B140" s="537"/>
      <c r="C140" s="532"/>
      <c r="D140" s="545"/>
      <c r="E140" s="539"/>
      <c r="F140" s="539"/>
      <c r="G140" s="540"/>
      <c r="H140" s="541"/>
      <c r="I140" s="542"/>
      <c r="J140" s="542"/>
      <c r="K140" s="542"/>
      <c r="L140" s="542"/>
      <c r="M140" s="542"/>
      <c r="N140" s="542"/>
      <c r="O140" s="523"/>
      <c r="P140" s="539"/>
      <c r="Q140" s="523"/>
    </row>
    <row r="141" spans="1:18">
      <c r="A141" s="536"/>
      <c r="B141" s="537">
        <v>316</v>
      </c>
      <c r="C141" s="532" t="s">
        <v>121</v>
      </c>
      <c r="D141" s="527" t="s">
        <v>1632</v>
      </c>
      <c r="E141" s="527"/>
      <c r="F141" s="523"/>
      <c r="G141" s="540"/>
      <c r="H141" s="542"/>
      <c r="I141" s="542"/>
      <c r="J141" s="542"/>
      <c r="K141" s="542"/>
      <c r="L141" s="542"/>
      <c r="M141" s="542"/>
      <c r="N141" s="542"/>
      <c r="O141" s="523"/>
      <c r="P141" s="523"/>
      <c r="Q141" s="523"/>
    </row>
    <row r="142" spans="1:18">
      <c r="A142" s="527"/>
      <c r="B142" s="537"/>
      <c r="C142" s="532"/>
      <c r="D142" s="538" t="s">
        <v>1318</v>
      </c>
      <c r="E142" s="539"/>
      <c r="F142" s="539">
        <v>-10</v>
      </c>
      <c r="G142" s="540"/>
      <c r="H142" s="541">
        <v>2.8000000000000003</v>
      </c>
      <c r="I142" s="542"/>
      <c r="J142" s="542">
        <v>2.6599999999999997</v>
      </c>
      <c r="K142" s="542"/>
      <c r="L142" s="542">
        <v>0.16</v>
      </c>
      <c r="M142" s="542"/>
      <c r="N142" s="542">
        <v>-0.02</v>
      </c>
      <c r="O142" s="523"/>
      <c r="P142" s="539" t="s">
        <v>1355</v>
      </c>
      <c r="Q142" s="523"/>
      <c r="R142" s="534">
        <v>14.5</v>
      </c>
    </row>
    <row r="143" spans="1:18">
      <c r="A143" s="536"/>
      <c r="B143" s="537"/>
      <c r="C143" s="532"/>
      <c r="D143" s="538" t="s">
        <v>1319</v>
      </c>
      <c r="E143" s="539"/>
      <c r="F143" s="539">
        <v>-10</v>
      </c>
      <c r="G143" s="540"/>
      <c r="H143" s="541">
        <v>1.9600000000000002</v>
      </c>
      <c r="I143" s="542"/>
      <c r="J143" s="542">
        <v>1.87</v>
      </c>
      <c r="K143" s="542"/>
      <c r="L143" s="542">
        <v>0.11</v>
      </c>
      <c r="M143" s="542"/>
      <c r="N143" s="542">
        <v>-0.02</v>
      </c>
      <c r="O143" s="523"/>
      <c r="P143" s="539" t="s">
        <v>1355</v>
      </c>
      <c r="Q143" s="523"/>
      <c r="R143" s="534">
        <v>16.8</v>
      </c>
    </row>
    <row r="144" spans="1:18">
      <c r="A144" s="536"/>
      <c r="B144" s="537"/>
      <c r="C144" s="532"/>
      <c r="D144" s="538" t="s">
        <v>1320</v>
      </c>
      <c r="E144" s="539"/>
      <c r="F144" s="539">
        <v>-10</v>
      </c>
      <c r="G144" s="540"/>
      <c r="H144" s="541">
        <v>1.36</v>
      </c>
      <c r="I144" s="542"/>
      <c r="J144" s="542">
        <v>1.28</v>
      </c>
      <c r="K144" s="542"/>
      <c r="L144" s="542">
        <v>0.08</v>
      </c>
      <c r="M144" s="542"/>
      <c r="N144" s="542">
        <v>0</v>
      </c>
      <c r="O144" s="523"/>
      <c r="P144" s="539" t="s">
        <v>1355</v>
      </c>
      <c r="Q144" s="523"/>
      <c r="R144" s="534">
        <v>20.100000000000001</v>
      </c>
    </row>
    <row r="145" spans="1:18">
      <c r="A145" s="536"/>
      <c r="B145" s="537"/>
      <c r="C145" s="532"/>
      <c r="D145" s="538" t="s">
        <v>1321</v>
      </c>
      <c r="E145" s="539"/>
      <c r="F145" s="539">
        <v>-10</v>
      </c>
      <c r="G145" s="540"/>
      <c r="H145" s="541">
        <v>3.0199999999999996</v>
      </c>
      <c r="I145" s="542"/>
      <c r="J145" s="542">
        <v>2.88</v>
      </c>
      <c r="K145" s="542"/>
      <c r="L145" s="542">
        <v>0.16999999999999998</v>
      </c>
      <c r="M145" s="542"/>
      <c r="N145" s="542">
        <v>-0.03</v>
      </c>
      <c r="O145" s="523"/>
      <c r="P145" s="539" t="s">
        <v>1355</v>
      </c>
      <c r="Q145" s="523"/>
      <c r="R145" s="534">
        <v>24.3</v>
      </c>
    </row>
    <row r="146" spans="1:18">
      <c r="A146" s="536"/>
      <c r="B146" s="537"/>
      <c r="C146" s="532"/>
      <c r="D146" s="538" t="s">
        <v>1304</v>
      </c>
      <c r="E146" s="539"/>
      <c r="F146" s="539">
        <v>-10</v>
      </c>
      <c r="G146" s="540"/>
      <c r="H146" s="541">
        <v>2.2800000000000002</v>
      </c>
      <c r="I146" s="542"/>
      <c r="J146" s="542">
        <v>2.17</v>
      </c>
      <c r="K146" s="542"/>
      <c r="L146" s="542">
        <v>0.13</v>
      </c>
      <c r="M146" s="542"/>
      <c r="N146" s="542">
        <v>-0.02</v>
      </c>
      <c r="O146" s="523"/>
      <c r="P146" s="539" t="s">
        <v>1355</v>
      </c>
      <c r="Q146" s="523"/>
      <c r="R146" s="534">
        <v>25</v>
      </c>
    </row>
    <row r="147" spans="1:18">
      <c r="A147" s="536"/>
      <c r="B147" s="537"/>
      <c r="C147" s="532"/>
      <c r="D147" s="538" t="s">
        <v>1609</v>
      </c>
      <c r="E147" s="539"/>
      <c r="F147" s="539">
        <v>-5</v>
      </c>
      <c r="G147" s="540"/>
      <c r="H147" s="541">
        <v>3.02</v>
      </c>
      <c r="I147" s="542"/>
      <c r="J147" s="542">
        <v>2.87</v>
      </c>
      <c r="K147" s="542"/>
      <c r="L147" s="542">
        <v>0.16999999999999998</v>
      </c>
      <c r="M147" s="542"/>
      <c r="N147" s="542">
        <v>-0.02</v>
      </c>
      <c r="O147" s="523"/>
      <c r="P147" s="539" t="s">
        <v>1355</v>
      </c>
      <c r="Q147" s="523"/>
      <c r="R147" s="534">
        <v>41.1</v>
      </c>
    </row>
    <row r="148" spans="1:18">
      <c r="A148" s="536"/>
      <c r="B148" s="537"/>
      <c r="C148" s="532"/>
      <c r="D148" s="538" t="s">
        <v>1305</v>
      </c>
      <c r="E148" s="539"/>
      <c r="F148" s="539">
        <v>-16</v>
      </c>
      <c r="G148" s="540"/>
      <c r="H148" s="541">
        <v>2.75</v>
      </c>
      <c r="I148" s="542"/>
      <c r="J148" s="542">
        <v>2.54</v>
      </c>
      <c r="K148" s="542"/>
      <c r="L148" s="542">
        <v>0.22999999999999998</v>
      </c>
      <c r="M148" s="542"/>
      <c r="N148" s="542">
        <v>-0.02</v>
      </c>
      <c r="O148" s="523"/>
      <c r="P148" s="539" t="s">
        <v>1355</v>
      </c>
      <c r="Q148" s="523"/>
      <c r="R148" s="534">
        <v>27.2</v>
      </c>
    </row>
    <row r="149" spans="1:18">
      <c r="A149" s="536"/>
      <c r="B149" s="537"/>
      <c r="C149" s="532"/>
      <c r="D149" s="538" t="s">
        <v>311</v>
      </c>
      <c r="E149" s="539"/>
      <c r="F149" s="539">
        <v>-16</v>
      </c>
      <c r="G149" s="540"/>
      <c r="H149" s="541">
        <v>2.83</v>
      </c>
      <c r="I149" s="542"/>
      <c r="J149" s="542">
        <v>2.6100000000000003</v>
      </c>
      <c r="K149" s="542"/>
      <c r="L149" s="542">
        <v>0.24</v>
      </c>
      <c r="M149" s="542"/>
      <c r="N149" s="542">
        <v>-0.02</v>
      </c>
      <c r="O149" s="523"/>
      <c r="P149" s="539" t="s">
        <v>1355</v>
      </c>
      <c r="Q149" s="523"/>
      <c r="R149" s="534">
        <v>42</v>
      </c>
    </row>
    <row r="150" spans="1:18">
      <c r="A150" s="536"/>
      <c r="B150" s="537"/>
      <c r="C150" s="532"/>
      <c r="D150" s="527"/>
      <c r="E150" s="539"/>
      <c r="F150" s="539"/>
      <c r="G150" s="540"/>
      <c r="H150" s="543"/>
      <c r="I150" s="542"/>
      <c r="J150" s="542"/>
      <c r="K150" s="542"/>
      <c r="L150" s="542"/>
      <c r="M150" s="542"/>
      <c r="N150" s="542"/>
      <c r="O150" s="523"/>
      <c r="P150" s="539"/>
      <c r="Q150" s="523"/>
    </row>
    <row r="151" spans="1:18">
      <c r="A151" s="536">
        <v>316</v>
      </c>
      <c r="B151" s="537"/>
      <c r="C151" s="532"/>
      <c r="D151" s="545" t="s">
        <v>1633</v>
      </c>
      <c r="E151" s="539"/>
      <c r="F151" s="546" t="s">
        <v>1879</v>
      </c>
      <c r="G151" s="540"/>
      <c r="H151" s="541">
        <v>2.89</v>
      </c>
      <c r="I151" s="542"/>
      <c r="J151" s="542"/>
      <c r="K151" s="542"/>
      <c r="L151" s="542"/>
      <c r="M151" s="542"/>
      <c r="N151" s="542"/>
      <c r="O151" s="523"/>
      <c r="P151" s="539" t="str">
        <f>P149</f>
        <v>50-R2.5</v>
      </c>
      <c r="Q151" s="523"/>
      <c r="R151" s="534">
        <v>27.5</v>
      </c>
    </row>
    <row r="152" spans="1:18">
      <c r="A152" s="536"/>
      <c r="B152" s="537"/>
      <c r="C152" s="532"/>
      <c r="D152" s="545"/>
      <c r="E152" s="539"/>
      <c r="F152" s="539"/>
      <c r="G152" s="540"/>
      <c r="H152" s="541"/>
      <c r="I152" s="542"/>
      <c r="J152" s="542"/>
      <c r="K152" s="542"/>
      <c r="L152" s="542"/>
      <c r="M152" s="542"/>
      <c r="N152" s="542"/>
      <c r="O152" s="523"/>
      <c r="P152" s="539"/>
      <c r="Q152" s="523"/>
    </row>
    <row r="153" spans="1:18">
      <c r="A153" s="527"/>
      <c r="B153" s="537">
        <v>316.10000000000002</v>
      </c>
      <c r="C153" s="532"/>
      <c r="D153" s="527" t="s">
        <v>1634</v>
      </c>
      <c r="E153" s="539"/>
      <c r="F153" s="539"/>
      <c r="G153" s="540"/>
      <c r="H153" s="541"/>
      <c r="I153" s="542"/>
      <c r="J153" s="542"/>
      <c r="K153" s="542"/>
      <c r="L153" s="542"/>
      <c r="M153" s="542"/>
      <c r="N153" s="542"/>
      <c r="O153" s="523"/>
      <c r="P153" s="539"/>
      <c r="Q153" s="523"/>
    </row>
    <row r="154" spans="1:18">
      <c r="A154" s="527"/>
      <c r="B154" s="537"/>
      <c r="C154" s="532"/>
      <c r="D154" s="538" t="s">
        <v>1315</v>
      </c>
      <c r="E154" s="539"/>
      <c r="F154" s="539">
        <v>-10</v>
      </c>
      <c r="G154" s="540"/>
      <c r="H154" s="541">
        <v>0</v>
      </c>
      <c r="I154" s="542"/>
      <c r="J154" s="542">
        <v>0</v>
      </c>
      <c r="K154" s="542"/>
      <c r="L154" s="542">
        <v>0</v>
      </c>
      <c r="M154" s="542"/>
      <c r="N154" s="542">
        <v>0</v>
      </c>
      <c r="O154" s="523"/>
      <c r="P154" s="539" t="s">
        <v>1355</v>
      </c>
      <c r="Q154" s="523"/>
      <c r="R154" s="534" t="s">
        <v>1288</v>
      </c>
    </row>
    <row r="155" spans="1:18">
      <c r="A155" s="527"/>
      <c r="B155" s="537"/>
      <c r="C155" s="532"/>
      <c r="D155" s="538" t="s">
        <v>1316</v>
      </c>
      <c r="E155" s="539"/>
      <c r="F155" s="539">
        <v>-10</v>
      </c>
      <c r="G155" s="540"/>
      <c r="H155" s="541">
        <v>0</v>
      </c>
      <c r="I155" s="542"/>
      <c r="J155" s="542">
        <v>0</v>
      </c>
      <c r="K155" s="542"/>
      <c r="L155" s="542">
        <v>0</v>
      </c>
      <c r="M155" s="542"/>
      <c r="N155" s="542">
        <v>0</v>
      </c>
      <c r="O155" s="523"/>
      <c r="P155" s="539" t="s">
        <v>1355</v>
      </c>
      <c r="Q155" s="523"/>
      <c r="R155" s="534" t="s">
        <v>1288</v>
      </c>
    </row>
    <row r="156" spans="1:18">
      <c r="A156" s="527"/>
      <c r="B156" s="537"/>
      <c r="C156" s="532"/>
      <c r="D156" s="538" t="s">
        <v>1317</v>
      </c>
      <c r="E156" s="539"/>
      <c r="F156" s="539">
        <v>0</v>
      </c>
      <c r="G156" s="540"/>
      <c r="H156" s="541">
        <v>0</v>
      </c>
      <c r="I156" s="542"/>
      <c r="J156" s="542">
        <v>0</v>
      </c>
      <c r="K156" s="542"/>
      <c r="L156" s="542">
        <v>0</v>
      </c>
      <c r="M156" s="542"/>
      <c r="N156" s="542">
        <v>0</v>
      </c>
      <c r="O156" s="523"/>
      <c r="P156" s="539" t="s">
        <v>314</v>
      </c>
      <c r="Q156" s="523"/>
      <c r="R156" s="534" t="s">
        <v>1288</v>
      </c>
    </row>
    <row r="157" spans="1:18">
      <c r="A157" s="527"/>
      <c r="B157" s="537"/>
      <c r="C157" s="532"/>
      <c r="D157" s="538" t="s">
        <v>1292</v>
      </c>
      <c r="E157" s="539"/>
      <c r="F157" s="539">
        <v>0</v>
      </c>
      <c r="G157" s="540"/>
      <c r="H157" s="541">
        <v>0</v>
      </c>
      <c r="I157" s="542"/>
      <c r="J157" s="542">
        <v>0</v>
      </c>
      <c r="K157" s="542"/>
      <c r="L157" s="542">
        <v>0</v>
      </c>
      <c r="M157" s="542"/>
      <c r="N157" s="542">
        <v>0</v>
      </c>
      <c r="O157" s="523"/>
      <c r="P157" s="539" t="s">
        <v>342</v>
      </c>
      <c r="Q157" s="523"/>
      <c r="R157" s="534" t="s">
        <v>1288</v>
      </c>
    </row>
    <row r="158" spans="1:18">
      <c r="A158" s="527"/>
      <c r="B158" s="537"/>
      <c r="C158" s="532"/>
      <c r="D158" s="538" t="s">
        <v>1293</v>
      </c>
      <c r="E158" s="539"/>
      <c r="F158" s="539">
        <v>-10</v>
      </c>
      <c r="G158" s="540"/>
      <c r="H158" s="541">
        <v>0</v>
      </c>
      <c r="I158" s="542"/>
      <c r="J158" s="542">
        <v>0</v>
      </c>
      <c r="K158" s="542"/>
      <c r="L158" s="542">
        <v>0</v>
      </c>
      <c r="M158" s="542"/>
      <c r="N158" s="542">
        <v>0</v>
      </c>
      <c r="O158" s="523"/>
      <c r="P158" s="539" t="s">
        <v>1355</v>
      </c>
      <c r="Q158" s="523"/>
      <c r="R158" s="534" t="s">
        <v>1288</v>
      </c>
    </row>
    <row r="159" spans="1:18">
      <c r="A159" s="527"/>
      <c r="B159" s="537"/>
      <c r="C159" s="532"/>
      <c r="D159" s="538" t="s">
        <v>1294</v>
      </c>
      <c r="E159" s="539"/>
      <c r="F159" s="539">
        <v>-10</v>
      </c>
      <c r="G159" s="540"/>
      <c r="H159" s="541">
        <v>0</v>
      </c>
      <c r="I159" s="542"/>
      <c r="J159" s="542">
        <v>0</v>
      </c>
      <c r="K159" s="542"/>
      <c r="L159" s="542">
        <v>0</v>
      </c>
      <c r="M159" s="542"/>
      <c r="N159" s="542">
        <v>0</v>
      </c>
      <c r="O159" s="523"/>
      <c r="P159" s="539" t="s">
        <v>1355</v>
      </c>
      <c r="Q159" s="523"/>
      <c r="R159" s="534" t="s">
        <v>1288</v>
      </c>
    </row>
    <row r="160" spans="1:18">
      <c r="A160" s="527"/>
      <c r="B160" s="537"/>
      <c r="C160" s="532"/>
      <c r="D160" s="538" t="s">
        <v>1295</v>
      </c>
      <c r="E160" s="539"/>
      <c r="F160" s="539">
        <v>-10</v>
      </c>
      <c r="G160" s="540"/>
      <c r="H160" s="541">
        <v>0</v>
      </c>
      <c r="I160" s="542"/>
      <c r="J160" s="542">
        <v>0</v>
      </c>
      <c r="K160" s="542"/>
      <c r="L160" s="542">
        <v>0</v>
      </c>
      <c r="M160" s="542"/>
      <c r="N160" s="542">
        <v>0</v>
      </c>
      <c r="O160" s="523"/>
      <c r="P160" s="539" t="s">
        <v>342</v>
      </c>
      <c r="Q160" s="523"/>
      <c r="R160" s="534" t="s">
        <v>1288</v>
      </c>
    </row>
    <row r="161" spans="1:18">
      <c r="A161" s="527"/>
      <c r="B161" s="537"/>
      <c r="C161" s="532"/>
      <c r="D161" s="538" t="s">
        <v>1296</v>
      </c>
      <c r="E161" s="539"/>
      <c r="F161" s="539">
        <v>0</v>
      </c>
      <c r="G161" s="540"/>
      <c r="H161" s="541">
        <v>0</v>
      </c>
      <c r="I161" s="542"/>
      <c r="J161" s="542">
        <v>0</v>
      </c>
      <c r="K161" s="542"/>
      <c r="L161" s="542">
        <v>0</v>
      </c>
      <c r="M161" s="542"/>
      <c r="N161" s="542">
        <v>0</v>
      </c>
      <c r="O161" s="523"/>
      <c r="P161" s="539" t="s">
        <v>342</v>
      </c>
      <c r="Q161" s="523"/>
      <c r="R161" s="534" t="s">
        <v>1288</v>
      </c>
    </row>
    <row r="162" spans="1:18">
      <c r="A162" s="527"/>
      <c r="B162" s="537"/>
      <c r="C162" s="532"/>
      <c r="D162" s="545"/>
      <c r="E162" s="539"/>
      <c r="F162" s="539"/>
      <c r="G162" s="540"/>
      <c r="H162" s="541"/>
      <c r="I162" s="542"/>
      <c r="J162" s="542"/>
      <c r="K162" s="542"/>
      <c r="L162" s="542"/>
      <c r="M162" s="542"/>
      <c r="N162" s="542"/>
      <c r="O162" s="523"/>
      <c r="P162" s="539"/>
      <c r="Q162" s="523"/>
    </row>
    <row r="163" spans="1:18">
      <c r="A163" s="527"/>
      <c r="B163" s="537"/>
      <c r="C163" s="532"/>
      <c r="D163" s="545" t="s">
        <v>1635</v>
      </c>
      <c r="E163" s="539"/>
      <c r="F163" s="539"/>
      <c r="G163" s="540"/>
      <c r="H163" s="541" t="s">
        <v>313</v>
      </c>
      <c r="I163" s="542"/>
      <c r="J163" s="542"/>
      <c r="K163" s="542"/>
      <c r="L163" s="542"/>
      <c r="M163" s="542"/>
      <c r="N163" s="542"/>
      <c r="O163" s="523"/>
      <c r="P163" s="539"/>
      <c r="Q163" s="523"/>
      <c r="R163" s="534" t="s">
        <v>313</v>
      </c>
    </row>
    <row r="164" spans="1:18">
      <c r="A164" s="527"/>
      <c r="B164" s="537"/>
      <c r="C164" s="532"/>
      <c r="D164" s="545"/>
      <c r="E164" s="539"/>
      <c r="F164" s="539"/>
      <c r="G164" s="540"/>
      <c r="H164" s="541"/>
      <c r="I164" s="542"/>
      <c r="J164" s="542"/>
      <c r="K164" s="542"/>
      <c r="L164" s="542"/>
      <c r="M164" s="542"/>
      <c r="N164" s="542"/>
      <c r="O164" s="523"/>
      <c r="P164" s="539"/>
      <c r="Q164" s="523"/>
    </row>
    <row r="165" spans="1:18">
      <c r="A165" s="527"/>
      <c r="B165" s="537"/>
      <c r="C165" s="532"/>
      <c r="D165" s="533" t="s">
        <v>322</v>
      </c>
      <c r="E165" s="539"/>
      <c r="F165" s="539"/>
      <c r="G165" s="540"/>
      <c r="H165" s="543"/>
      <c r="I165" s="542"/>
      <c r="J165" s="542"/>
      <c r="K165" s="542"/>
      <c r="L165" s="542"/>
      <c r="M165" s="542"/>
      <c r="N165" s="542"/>
      <c r="O165" s="523"/>
      <c r="P165" s="523"/>
      <c r="Q165" s="523"/>
    </row>
    <row r="166" spans="1:18">
      <c r="A166" s="527"/>
      <c r="B166" s="537"/>
      <c r="C166" s="532"/>
      <c r="D166" s="533"/>
      <c r="E166" s="539"/>
      <c r="F166" s="539"/>
      <c r="G166" s="540"/>
      <c r="H166" s="543"/>
      <c r="I166" s="542"/>
      <c r="J166" s="542"/>
      <c r="K166" s="542"/>
      <c r="L166" s="542"/>
      <c r="M166" s="542"/>
      <c r="N166" s="542"/>
      <c r="O166" s="523"/>
      <c r="P166" s="523"/>
      <c r="Q166" s="523"/>
    </row>
    <row r="167" spans="1:18">
      <c r="A167" s="527"/>
      <c r="B167" s="537"/>
      <c r="C167" s="532"/>
      <c r="D167" s="533"/>
      <c r="E167" s="539"/>
      <c r="F167" s="539"/>
      <c r="G167" s="540"/>
      <c r="H167" s="543"/>
      <c r="I167" s="542"/>
      <c r="J167" s="542"/>
      <c r="K167" s="542"/>
      <c r="L167" s="542"/>
      <c r="M167" s="542"/>
      <c r="N167" s="542"/>
      <c r="O167" s="523"/>
      <c r="P167" s="523"/>
      <c r="Q167" s="523"/>
    </row>
    <row r="168" spans="1:18">
      <c r="A168" s="527"/>
      <c r="B168" s="537"/>
      <c r="C168" s="532"/>
      <c r="D168" s="550" t="s">
        <v>1636</v>
      </c>
      <c r="E168" s="539"/>
      <c r="F168" s="539"/>
      <c r="G168" s="540"/>
      <c r="H168" s="543"/>
      <c r="I168" s="542"/>
      <c r="J168" s="542"/>
      <c r="K168" s="542"/>
      <c r="L168" s="542"/>
      <c r="M168" s="542"/>
      <c r="N168" s="542"/>
      <c r="O168" s="523"/>
      <c r="P168" s="539"/>
      <c r="Q168" s="523"/>
    </row>
    <row r="169" spans="1:18">
      <c r="A169" s="527"/>
      <c r="B169" s="537"/>
      <c r="C169" s="532"/>
      <c r="D169" s="533"/>
      <c r="E169" s="539"/>
      <c r="F169" s="539"/>
      <c r="G169" s="540"/>
      <c r="H169" s="543"/>
      <c r="I169" s="542"/>
      <c r="J169" s="542"/>
      <c r="K169" s="542"/>
      <c r="L169" s="542"/>
      <c r="M169" s="542"/>
      <c r="N169" s="542"/>
      <c r="O169" s="523"/>
      <c r="P169" s="539"/>
      <c r="Q169" s="523"/>
    </row>
    <row r="170" spans="1:18">
      <c r="A170" s="527"/>
      <c r="B170" s="537">
        <v>331</v>
      </c>
      <c r="C170" s="532"/>
      <c r="D170" s="551" t="s">
        <v>323</v>
      </c>
      <c r="E170" s="539"/>
      <c r="F170" s="539"/>
      <c r="G170" s="540"/>
      <c r="H170" s="543"/>
      <c r="I170" s="542"/>
      <c r="J170" s="542"/>
      <c r="K170" s="542"/>
      <c r="L170" s="542"/>
      <c r="M170" s="542"/>
      <c r="N170" s="542"/>
      <c r="O170" s="523"/>
      <c r="P170" s="539"/>
      <c r="Q170" s="523"/>
    </row>
    <row r="171" spans="1:18">
      <c r="A171" s="527"/>
      <c r="B171" s="537"/>
      <c r="C171" s="532"/>
      <c r="D171" s="551" t="s">
        <v>1322</v>
      </c>
      <c r="E171" s="539"/>
      <c r="F171" s="539">
        <v>-2</v>
      </c>
      <c r="G171" s="540"/>
      <c r="H171" s="541">
        <v>1.4300000000000002</v>
      </c>
      <c r="I171" s="542"/>
      <c r="J171" s="542">
        <v>1.4000000000000001</v>
      </c>
      <c r="K171" s="542"/>
      <c r="L171" s="542">
        <v>0.03</v>
      </c>
      <c r="M171" s="542"/>
      <c r="N171" s="542">
        <v>0</v>
      </c>
      <c r="O171" s="523"/>
      <c r="P171" s="539" t="s">
        <v>1323</v>
      </c>
      <c r="Q171" s="523"/>
      <c r="R171" s="534">
        <v>26.6</v>
      </c>
    </row>
    <row r="172" spans="1:18">
      <c r="A172" s="527"/>
      <c r="B172" s="537"/>
      <c r="C172" s="532"/>
      <c r="D172" s="551" t="s">
        <v>1324</v>
      </c>
      <c r="E172" s="539"/>
      <c r="F172" s="539">
        <v>-2</v>
      </c>
      <c r="G172" s="540"/>
      <c r="H172" s="541">
        <v>1.5899999999999999</v>
      </c>
      <c r="I172" s="542"/>
      <c r="J172" s="542">
        <v>1.5599999999999998</v>
      </c>
      <c r="K172" s="542"/>
      <c r="L172" s="542">
        <v>0.03</v>
      </c>
      <c r="M172" s="542"/>
      <c r="N172" s="542">
        <v>0</v>
      </c>
      <c r="O172" s="523"/>
      <c r="P172" s="539" t="s">
        <v>1323</v>
      </c>
      <c r="Q172" s="523"/>
      <c r="R172" s="534">
        <v>29.7</v>
      </c>
    </row>
    <row r="173" spans="1:18">
      <c r="A173" s="527"/>
      <c r="B173" s="537"/>
      <c r="C173" s="532"/>
      <c r="D173" s="551"/>
      <c r="E173" s="539"/>
      <c r="F173" s="539"/>
      <c r="G173" s="540"/>
      <c r="H173" s="552"/>
      <c r="I173" s="542"/>
      <c r="J173" s="542"/>
      <c r="K173" s="542"/>
      <c r="L173" s="542"/>
      <c r="M173" s="542"/>
      <c r="N173" s="542"/>
      <c r="O173" s="523"/>
      <c r="P173" s="539"/>
      <c r="Q173" s="523"/>
      <c r="R173" s="539"/>
    </row>
    <row r="174" spans="1:18">
      <c r="A174" s="536">
        <v>331</v>
      </c>
      <c r="B174" s="537"/>
      <c r="C174" s="532"/>
      <c r="D174" s="553" t="s">
        <v>324</v>
      </c>
      <c r="E174" s="539"/>
      <c r="F174" s="539"/>
      <c r="G174" s="540"/>
      <c r="H174" s="541">
        <v>1.58866268146245</v>
      </c>
      <c r="I174" s="542"/>
      <c r="J174" s="542"/>
      <c r="K174" s="542"/>
      <c r="L174" s="542"/>
      <c r="M174" s="542"/>
      <c r="N174" s="542"/>
      <c r="O174" s="523"/>
      <c r="P174" s="539" t="str">
        <f>P172</f>
        <v>100-S2</v>
      </c>
      <c r="Q174" s="523"/>
      <c r="R174" s="534">
        <v>29.7</v>
      </c>
    </row>
    <row r="175" spans="1:18">
      <c r="A175" s="536"/>
      <c r="B175" s="537"/>
      <c r="C175" s="532"/>
      <c r="D175" s="551"/>
      <c r="E175" s="539"/>
      <c r="F175" s="539"/>
      <c r="G175" s="540"/>
      <c r="H175" s="552"/>
      <c r="I175" s="542"/>
      <c r="J175" s="542"/>
      <c r="K175" s="542"/>
      <c r="L175" s="542"/>
      <c r="M175" s="542"/>
      <c r="N175" s="542"/>
      <c r="O175" s="523"/>
      <c r="P175" s="539"/>
      <c r="Q175" s="523"/>
      <c r="R175" s="539"/>
    </row>
    <row r="176" spans="1:18">
      <c r="A176" s="536"/>
      <c r="B176" s="537">
        <v>332</v>
      </c>
      <c r="C176" s="532"/>
      <c r="D176" s="551" t="s">
        <v>325</v>
      </c>
      <c r="E176" s="539"/>
      <c r="F176" s="539"/>
      <c r="G176" s="540"/>
      <c r="H176" s="552"/>
      <c r="I176" s="542"/>
      <c r="J176" s="542"/>
      <c r="K176" s="542"/>
      <c r="L176" s="542"/>
      <c r="M176" s="542"/>
      <c r="N176" s="542"/>
      <c r="O176" s="523"/>
      <c r="P176" s="539"/>
      <c r="Q176" s="523"/>
      <c r="R176" s="539"/>
    </row>
    <row r="177" spans="1:18">
      <c r="A177" s="527"/>
      <c r="B177" s="537"/>
      <c r="C177" s="532"/>
      <c r="D177" s="551" t="s">
        <v>1324</v>
      </c>
      <c r="E177" s="539"/>
      <c r="F177" s="539">
        <v>-2</v>
      </c>
      <c r="G177" s="540"/>
      <c r="H177" s="541">
        <v>0.91</v>
      </c>
      <c r="I177" s="542"/>
      <c r="J177" s="542">
        <v>0.89</v>
      </c>
      <c r="K177" s="542"/>
      <c r="L177" s="542">
        <v>0.02</v>
      </c>
      <c r="M177" s="542"/>
      <c r="N177" s="542">
        <v>0</v>
      </c>
      <c r="O177" s="523"/>
      <c r="P177" s="539" t="s">
        <v>326</v>
      </c>
      <c r="Q177" s="523"/>
      <c r="R177" s="534">
        <v>93.3</v>
      </c>
    </row>
    <row r="178" spans="1:18">
      <c r="A178" s="536"/>
      <c r="B178" s="537"/>
      <c r="C178" s="532"/>
      <c r="D178" s="551"/>
      <c r="E178" s="539"/>
      <c r="F178" s="539"/>
      <c r="G178" s="540"/>
      <c r="H178" s="552"/>
      <c r="I178" s="542"/>
      <c r="J178" s="542"/>
      <c r="K178" s="542"/>
      <c r="L178" s="542"/>
      <c r="M178" s="542"/>
      <c r="N178" s="542"/>
      <c r="O178" s="523"/>
      <c r="P178" s="539"/>
      <c r="Q178" s="523"/>
      <c r="R178" s="539"/>
    </row>
    <row r="179" spans="1:18">
      <c r="A179" s="536">
        <v>332</v>
      </c>
      <c r="B179" s="537"/>
      <c r="C179" s="532"/>
      <c r="D179" s="553" t="s">
        <v>1325</v>
      </c>
      <c r="E179" s="539"/>
      <c r="F179" s="539"/>
      <c r="G179" s="540"/>
      <c r="H179" s="541">
        <v>0.91</v>
      </c>
      <c r="I179" s="542"/>
      <c r="J179" s="542"/>
      <c r="K179" s="542"/>
      <c r="L179" s="542"/>
      <c r="M179" s="542"/>
      <c r="N179" s="542"/>
      <c r="O179" s="523"/>
      <c r="P179" s="539" t="str">
        <f>P177</f>
        <v>100-S2.5</v>
      </c>
      <c r="Q179" s="523"/>
      <c r="R179" s="534">
        <v>93.3</v>
      </c>
    </row>
    <row r="180" spans="1:18">
      <c r="A180" s="536"/>
      <c r="B180" s="537"/>
      <c r="C180" s="532"/>
      <c r="D180" s="551"/>
      <c r="E180" s="539"/>
      <c r="F180" s="539"/>
      <c r="G180" s="540"/>
      <c r="H180" s="552"/>
      <c r="I180" s="542"/>
      <c r="J180" s="542"/>
      <c r="K180" s="542"/>
      <c r="L180" s="542"/>
      <c r="M180" s="542"/>
      <c r="N180" s="542"/>
      <c r="O180" s="523"/>
      <c r="P180" s="539"/>
      <c r="Q180" s="523"/>
      <c r="R180" s="539"/>
    </row>
    <row r="181" spans="1:18">
      <c r="A181" s="536"/>
      <c r="B181" s="537">
        <v>333</v>
      </c>
      <c r="C181" s="532"/>
      <c r="D181" s="551" t="s">
        <v>327</v>
      </c>
      <c r="E181" s="539"/>
      <c r="F181" s="539"/>
      <c r="G181" s="540"/>
      <c r="H181" s="552"/>
      <c r="I181" s="542"/>
      <c r="J181" s="542"/>
      <c r="K181" s="542"/>
      <c r="L181" s="542"/>
      <c r="M181" s="542"/>
      <c r="N181" s="542"/>
      <c r="O181" s="523"/>
      <c r="P181" s="539"/>
      <c r="Q181" s="523"/>
      <c r="R181" s="539"/>
    </row>
    <row r="182" spans="1:18">
      <c r="A182" s="527"/>
      <c r="B182" s="537"/>
      <c r="C182" s="532"/>
      <c r="D182" s="551" t="s">
        <v>1326</v>
      </c>
      <c r="E182" s="539"/>
      <c r="F182" s="539">
        <v>-2</v>
      </c>
      <c r="G182" s="540"/>
      <c r="H182" s="541">
        <v>3.24</v>
      </c>
      <c r="I182" s="542"/>
      <c r="J182" s="542">
        <v>3.17</v>
      </c>
      <c r="K182" s="542"/>
      <c r="L182" s="542">
        <v>0.1</v>
      </c>
      <c r="M182" s="542"/>
      <c r="N182" s="542">
        <v>-0.03</v>
      </c>
      <c r="O182" s="523"/>
      <c r="P182" s="539" t="s">
        <v>1637</v>
      </c>
      <c r="Q182" s="523"/>
      <c r="R182" s="534">
        <v>29.6</v>
      </c>
    </row>
    <row r="183" spans="1:18">
      <c r="A183" s="536"/>
      <c r="B183" s="537"/>
      <c r="C183" s="532"/>
      <c r="D183" s="551"/>
      <c r="E183" s="539"/>
      <c r="F183" s="539"/>
      <c r="G183" s="540"/>
      <c r="H183" s="552"/>
      <c r="I183" s="542"/>
      <c r="J183" s="542"/>
      <c r="K183" s="542"/>
      <c r="L183" s="542"/>
      <c r="M183" s="542"/>
      <c r="N183" s="542"/>
      <c r="O183" s="523"/>
      <c r="P183" s="539"/>
      <c r="Q183" s="523"/>
      <c r="R183" s="539"/>
    </row>
    <row r="184" spans="1:18">
      <c r="A184" s="536">
        <v>333</v>
      </c>
      <c r="B184" s="537"/>
      <c r="C184" s="532"/>
      <c r="D184" s="553" t="s">
        <v>328</v>
      </c>
      <c r="E184" s="539"/>
      <c r="F184" s="539"/>
      <c r="G184" s="540"/>
      <c r="H184" s="541">
        <v>3.24</v>
      </c>
      <c r="I184" s="542"/>
      <c r="J184" s="542"/>
      <c r="K184" s="542"/>
      <c r="L184" s="542"/>
      <c r="M184" s="542"/>
      <c r="N184" s="542"/>
      <c r="O184" s="523"/>
      <c r="P184" s="539" t="str">
        <f>P182</f>
        <v>100-R3</v>
      </c>
      <c r="Q184" s="523"/>
      <c r="R184" s="534">
        <v>29.6</v>
      </c>
    </row>
    <row r="185" spans="1:18">
      <c r="A185" s="536"/>
      <c r="B185" s="537"/>
      <c r="C185" s="532"/>
      <c r="D185" s="551"/>
      <c r="E185" s="539"/>
      <c r="F185" s="539"/>
      <c r="G185" s="540"/>
      <c r="H185" s="552"/>
      <c r="I185" s="542"/>
      <c r="J185" s="542"/>
      <c r="K185" s="542"/>
      <c r="L185" s="542"/>
      <c r="M185" s="542"/>
      <c r="N185" s="542"/>
      <c r="O185" s="523"/>
      <c r="P185" s="539"/>
      <c r="Q185" s="523"/>
      <c r="R185" s="539"/>
    </row>
    <row r="186" spans="1:18">
      <c r="A186" s="536"/>
      <c r="B186" s="537">
        <v>334</v>
      </c>
      <c r="C186" s="532"/>
      <c r="D186" s="551" t="s">
        <v>329</v>
      </c>
      <c r="E186" s="539"/>
      <c r="F186" s="539"/>
      <c r="G186" s="540"/>
      <c r="H186" s="552"/>
      <c r="I186" s="542"/>
      <c r="J186" s="542"/>
      <c r="K186" s="542"/>
      <c r="L186" s="542"/>
      <c r="M186" s="542"/>
      <c r="N186" s="542"/>
      <c r="O186" s="523"/>
      <c r="P186" s="539"/>
      <c r="Q186" s="523"/>
      <c r="R186" s="539"/>
    </row>
    <row r="187" spans="1:18">
      <c r="A187" s="527"/>
      <c r="B187" s="537"/>
      <c r="C187" s="532"/>
      <c r="D187" s="551" t="s">
        <v>1327</v>
      </c>
      <c r="E187" s="539"/>
      <c r="F187" s="539">
        <v>-2</v>
      </c>
      <c r="G187" s="540"/>
      <c r="H187" s="541">
        <v>2.3899999999999997</v>
      </c>
      <c r="I187" s="542"/>
      <c r="J187" s="542">
        <v>2.34</v>
      </c>
      <c r="K187" s="542"/>
      <c r="L187" s="542">
        <v>0.05</v>
      </c>
      <c r="M187" s="542"/>
      <c r="N187" s="542">
        <v>0</v>
      </c>
      <c r="O187" s="523"/>
      <c r="P187" s="539" t="s">
        <v>1638</v>
      </c>
      <c r="Q187" s="523"/>
      <c r="R187" s="534">
        <v>29.6</v>
      </c>
    </row>
    <row r="188" spans="1:18">
      <c r="A188" s="536"/>
      <c r="B188" s="537"/>
      <c r="C188" s="532"/>
      <c r="D188" s="551"/>
      <c r="E188" s="539"/>
      <c r="F188" s="539"/>
      <c r="G188" s="540"/>
      <c r="H188" s="552"/>
      <c r="I188" s="542"/>
      <c r="J188" s="542"/>
      <c r="K188" s="542"/>
      <c r="L188" s="542"/>
      <c r="M188" s="542"/>
      <c r="N188" s="542"/>
      <c r="O188" s="523"/>
      <c r="P188" s="539"/>
      <c r="Q188" s="523"/>
      <c r="R188" s="539"/>
    </row>
    <row r="189" spans="1:18">
      <c r="A189" s="536">
        <v>334</v>
      </c>
      <c r="B189" s="537"/>
      <c r="C189" s="532"/>
      <c r="D189" s="553" t="s">
        <v>330</v>
      </c>
      <c r="E189" s="539"/>
      <c r="F189" s="539"/>
      <c r="G189" s="540"/>
      <c r="H189" s="541">
        <v>2.3899999999999997</v>
      </c>
      <c r="I189" s="542"/>
      <c r="J189" s="542"/>
      <c r="K189" s="542"/>
      <c r="L189" s="542"/>
      <c r="M189" s="542"/>
      <c r="N189" s="542"/>
      <c r="O189" s="523"/>
      <c r="P189" s="539" t="str">
        <f>P187</f>
        <v>80-R4</v>
      </c>
      <c r="Q189" s="523"/>
      <c r="R189" s="534">
        <v>29.6</v>
      </c>
    </row>
    <row r="190" spans="1:18">
      <c r="A190" s="536"/>
      <c r="B190" s="537"/>
      <c r="C190" s="532"/>
      <c r="D190" s="551"/>
      <c r="E190" s="539"/>
      <c r="F190" s="539"/>
      <c r="G190" s="540"/>
      <c r="H190" s="552"/>
      <c r="I190" s="542"/>
      <c r="J190" s="542"/>
      <c r="K190" s="542"/>
      <c r="L190" s="542"/>
      <c r="M190" s="542"/>
      <c r="N190" s="542"/>
      <c r="O190" s="523"/>
      <c r="P190" s="539"/>
      <c r="Q190" s="523"/>
      <c r="R190" s="539"/>
    </row>
    <row r="191" spans="1:18">
      <c r="A191" s="536"/>
      <c r="B191" s="537">
        <v>335</v>
      </c>
      <c r="C191" s="532"/>
      <c r="D191" s="551" t="s">
        <v>331</v>
      </c>
      <c r="E191" s="539"/>
      <c r="F191" s="539"/>
      <c r="G191" s="540"/>
      <c r="H191" s="552"/>
      <c r="I191" s="542"/>
      <c r="J191" s="542"/>
      <c r="K191" s="542"/>
      <c r="L191" s="542"/>
      <c r="M191" s="542"/>
      <c r="N191" s="542"/>
      <c r="O191" s="523"/>
      <c r="P191" s="539"/>
      <c r="Q191" s="523"/>
      <c r="R191" s="539"/>
    </row>
    <row r="192" spans="1:18">
      <c r="A192" s="536"/>
      <c r="B192" s="537"/>
      <c r="C192" s="532"/>
      <c r="D192" s="551" t="s">
        <v>1329</v>
      </c>
      <c r="E192" s="539"/>
      <c r="F192" s="539">
        <v>-2</v>
      </c>
      <c r="G192" s="540"/>
      <c r="H192" s="541">
        <v>2.7699999999999996</v>
      </c>
      <c r="I192" s="542"/>
      <c r="J192" s="542">
        <v>2.7199999999999998</v>
      </c>
      <c r="K192" s="542"/>
      <c r="L192" s="542">
        <v>0.05</v>
      </c>
      <c r="M192" s="542"/>
      <c r="N192" s="542">
        <v>0</v>
      </c>
      <c r="O192" s="523"/>
      <c r="P192" s="539" t="s">
        <v>1639</v>
      </c>
      <c r="Q192" s="523"/>
      <c r="R192" s="534">
        <v>28</v>
      </c>
    </row>
    <row r="193" spans="1:18">
      <c r="A193" s="536"/>
      <c r="B193" s="537"/>
      <c r="C193" s="532"/>
      <c r="D193" s="551" t="s">
        <v>1326</v>
      </c>
      <c r="E193" s="539"/>
      <c r="F193" s="539">
        <v>-2</v>
      </c>
      <c r="G193" s="540"/>
      <c r="H193" s="541">
        <v>3.1</v>
      </c>
      <c r="I193" s="542"/>
      <c r="J193" s="542">
        <v>3.04</v>
      </c>
      <c r="K193" s="542"/>
      <c r="L193" s="542">
        <v>0.06</v>
      </c>
      <c r="M193" s="542"/>
      <c r="N193" s="542">
        <v>0</v>
      </c>
      <c r="O193" s="523"/>
      <c r="P193" s="539" t="s">
        <v>1639</v>
      </c>
      <c r="Q193" s="523"/>
      <c r="R193" s="534">
        <v>29.1</v>
      </c>
    </row>
    <row r="194" spans="1:18">
      <c r="A194" s="536"/>
      <c r="B194" s="537"/>
      <c r="C194" s="532"/>
      <c r="D194" s="551"/>
      <c r="E194" s="539"/>
      <c r="F194" s="539"/>
      <c r="G194" s="540"/>
      <c r="H194" s="552"/>
      <c r="I194" s="542"/>
      <c r="J194" s="542"/>
      <c r="K194" s="542"/>
      <c r="L194" s="542"/>
      <c r="M194" s="542"/>
      <c r="N194" s="542"/>
      <c r="O194" s="523"/>
      <c r="P194" s="539"/>
      <c r="Q194" s="523"/>
      <c r="R194" s="539"/>
    </row>
    <row r="195" spans="1:18">
      <c r="A195" s="536">
        <v>335</v>
      </c>
      <c r="B195" s="537"/>
      <c r="C195" s="532"/>
      <c r="D195" s="553" t="s">
        <v>332</v>
      </c>
      <c r="E195" s="539"/>
      <c r="F195" s="539"/>
      <c r="G195" s="540"/>
      <c r="H195" s="541">
        <v>3.09</v>
      </c>
      <c r="I195" s="542"/>
      <c r="J195" s="542"/>
      <c r="K195" s="542"/>
      <c r="L195" s="542"/>
      <c r="M195" s="542"/>
      <c r="N195" s="542"/>
      <c r="O195" s="523"/>
      <c r="P195" s="539" t="str">
        <f>P193</f>
        <v>80-R2.5</v>
      </c>
      <c r="Q195" s="523"/>
      <c r="R195" s="534">
        <v>29.1</v>
      </c>
    </row>
    <row r="196" spans="1:18">
      <c r="A196" s="536"/>
      <c r="B196" s="537"/>
      <c r="C196" s="532"/>
      <c r="D196" s="551"/>
      <c r="E196" s="539"/>
      <c r="F196" s="539"/>
      <c r="G196" s="540"/>
      <c r="H196" s="552"/>
      <c r="I196" s="542"/>
      <c r="J196" s="542"/>
      <c r="K196" s="542"/>
      <c r="L196" s="542"/>
      <c r="M196" s="542"/>
      <c r="N196" s="542"/>
      <c r="O196" s="523"/>
      <c r="P196" s="539"/>
      <c r="Q196" s="523"/>
      <c r="R196" s="539"/>
    </row>
    <row r="197" spans="1:18">
      <c r="A197" s="536"/>
      <c r="B197" s="537">
        <v>336</v>
      </c>
      <c r="C197" s="532"/>
      <c r="D197" s="551" t="s">
        <v>333</v>
      </c>
      <c r="E197" s="539"/>
      <c r="F197" s="539"/>
      <c r="G197" s="540"/>
      <c r="H197" s="552"/>
      <c r="I197" s="542"/>
      <c r="J197" s="542"/>
      <c r="K197" s="542"/>
      <c r="L197" s="542"/>
      <c r="M197" s="542"/>
      <c r="N197" s="542"/>
      <c r="O197" s="523"/>
      <c r="P197" s="539"/>
      <c r="Q197" s="523"/>
      <c r="R197" s="539"/>
    </row>
    <row r="198" spans="1:18">
      <c r="A198" s="536"/>
      <c r="B198" s="537"/>
      <c r="C198" s="532"/>
      <c r="D198" s="551" t="s">
        <v>1324</v>
      </c>
      <c r="E198" s="539"/>
      <c r="F198" s="539">
        <v>-2</v>
      </c>
      <c r="G198" s="540"/>
      <c r="H198" s="552">
        <v>2.3199999999999998</v>
      </c>
      <c r="I198" s="542"/>
      <c r="J198" s="542">
        <v>2.27</v>
      </c>
      <c r="K198" s="542"/>
      <c r="L198" s="542">
        <v>0.05</v>
      </c>
      <c r="M198" s="542"/>
      <c r="N198" s="542">
        <v>0</v>
      </c>
      <c r="O198" s="523"/>
      <c r="P198" s="539" t="s">
        <v>1328</v>
      </c>
      <c r="Q198" s="523"/>
      <c r="R198" s="539">
        <v>16.8</v>
      </c>
    </row>
    <row r="199" spans="1:18">
      <c r="A199" s="536">
        <v>336</v>
      </c>
      <c r="B199" s="537"/>
      <c r="C199" s="532"/>
      <c r="D199" s="553" t="s">
        <v>1640</v>
      </c>
      <c r="E199" s="539"/>
      <c r="F199" s="539">
        <v>-2</v>
      </c>
      <c r="G199" s="540"/>
      <c r="H199" s="541">
        <v>2.3153554170797053</v>
      </c>
      <c r="I199" s="542"/>
      <c r="J199" s="542"/>
      <c r="K199" s="542"/>
      <c r="L199" s="542"/>
      <c r="M199" s="542"/>
      <c r="N199" s="542"/>
      <c r="O199" s="523"/>
      <c r="P199" s="539" t="s">
        <v>1328</v>
      </c>
      <c r="Q199" s="523"/>
      <c r="R199" s="534">
        <v>16.8</v>
      </c>
    </row>
    <row r="200" spans="1:18">
      <c r="A200" s="536"/>
      <c r="B200" s="537"/>
      <c r="C200" s="532"/>
      <c r="D200" s="551"/>
      <c r="E200" s="539"/>
      <c r="F200" s="539"/>
      <c r="G200" s="540"/>
      <c r="H200" s="543"/>
      <c r="I200" s="542"/>
      <c r="J200" s="542"/>
      <c r="K200" s="542"/>
      <c r="L200" s="542"/>
      <c r="M200" s="542"/>
      <c r="N200" s="542"/>
      <c r="O200" s="523"/>
      <c r="P200" s="539"/>
      <c r="Q200" s="523"/>
    </row>
    <row r="201" spans="1:18">
      <c r="A201" s="536"/>
      <c r="B201" s="537"/>
      <c r="C201" s="532"/>
      <c r="D201" s="554" t="s">
        <v>1641</v>
      </c>
      <c r="E201" s="539"/>
      <c r="F201" s="539"/>
      <c r="G201" s="540"/>
      <c r="H201" s="543"/>
      <c r="I201" s="542"/>
      <c r="J201" s="542"/>
      <c r="K201" s="542"/>
      <c r="L201" s="542"/>
      <c r="M201" s="542"/>
      <c r="N201" s="542"/>
      <c r="O201" s="523"/>
      <c r="P201" s="539"/>
      <c r="Q201" s="523"/>
    </row>
    <row r="202" spans="1:18">
      <c r="A202" s="536"/>
      <c r="B202" s="537"/>
      <c r="C202" s="532"/>
      <c r="D202" s="551"/>
      <c r="E202" s="539"/>
      <c r="F202" s="539"/>
      <c r="G202" s="540"/>
      <c r="H202" s="543"/>
      <c r="I202" s="542"/>
      <c r="J202" s="542"/>
      <c r="K202" s="542"/>
      <c r="L202" s="542"/>
      <c r="M202" s="542"/>
      <c r="N202" s="542"/>
      <c r="O202" s="523"/>
      <c r="P202" s="539"/>
      <c r="Q202" s="523"/>
    </row>
    <row r="203" spans="1:18">
      <c r="A203" s="536"/>
      <c r="B203" s="537"/>
      <c r="C203" s="532"/>
      <c r="D203" s="518" t="s">
        <v>192</v>
      </c>
      <c r="E203" s="539"/>
      <c r="F203" s="539"/>
      <c r="G203" s="540"/>
      <c r="H203" s="543"/>
      <c r="I203" s="542"/>
      <c r="J203" s="542"/>
      <c r="K203" s="542"/>
      <c r="L203" s="542"/>
      <c r="M203" s="542"/>
      <c r="N203" s="542"/>
      <c r="O203" s="523"/>
      <c r="P203" s="539"/>
      <c r="Q203" s="523"/>
    </row>
    <row r="204" spans="1:18">
      <c r="A204" s="536"/>
      <c r="B204" s="537"/>
      <c r="C204" s="532"/>
      <c r="D204" s="555"/>
      <c r="E204" s="539"/>
      <c r="F204" s="539"/>
      <c r="G204" s="540"/>
      <c r="H204" s="543"/>
      <c r="I204" s="542"/>
      <c r="J204" s="542"/>
      <c r="K204" s="542"/>
      <c r="L204" s="542"/>
      <c r="M204" s="542"/>
      <c r="N204" s="542"/>
      <c r="O204" s="523"/>
      <c r="P204" s="539"/>
      <c r="Q204" s="523"/>
    </row>
    <row r="205" spans="1:18">
      <c r="A205" s="536"/>
      <c r="B205" s="537">
        <v>341</v>
      </c>
      <c r="C205" s="532"/>
      <c r="D205" s="538" t="s">
        <v>323</v>
      </c>
      <c r="E205" s="527"/>
      <c r="F205" s="523"/>
      <c r="G205" s="540"/>
      <c r="H205" s="542"/>
      <c r="I205" s="542"/>
      <c r="J205" s="542"/>
      <c r="K205" s="542"/>
      <c r="L205" s="542"/>
      <c r="M205" s="542"/>
      <c r="N205" s="542"/>
      <c r="O205" s="523"/>
      <c r="P205" s="523"/>
      <c r="Q205" s="523"/>
    </row>
    <row r="206" spans="1:18">
      <c r="A206" s="536"/>
      <c r="B206" s="537"/>
      <c r="C206" s="532"/>
      <c r="D206" s="538" t="s">
        <v>1335</v>
      </c>
      <c r="E206" s="539"/>
      <c r="F206" s="539">
        <v>-4</v>
      </c>
      <c r="G206" s="540"/>
      <c r="H206" s="541">
        <v>3.9699999999999998</v>
      </c>
      <c r="I206" s="542"/>
      <c r="J206" s="542">
        <v>3.64</v>
      </c>
      <c r="K206" s="542"/>
      <c r="L206" s="542">
        <v>0.33</v>
      </c>
      <c r="M206" s="542"/>
      <c r="N206" s="542">
        <v>0</v>
      </c>
      <c r="O206" s="523"/>
      <c r="P206" s="539" t="s">
        <v>1642</v>
      </c>
      <c r="Q206" s="523"/>
      <c r="R206" s="534">
        <v>15.4</v>
      </c>
    </row>
    <row r="207" spans="1:18">
      <c r="A207" s="536"/>
      <c r="B207" s="537"/>
      <c r="C207" s="532"/>
      <c r="D207" s="538" t="s">
        <v>339</v>
      </c>
      <c r="E207" s="539"/>
      <c r="F207" s="539">
        <v>-7</v>
      </c>
      <c r="G207" s="540"/>
      <c r="H207" s="541">
        <v>4.54</v>
      </c>
      <c r="I207" s="542"/>
      <c r="J207" s="542">
        <v>4.17</v>
      </c>
      <c r="K207" s="542"/>
      <c r="L207" s="542">
        <v>0.37</v>
      </c>
      <c r="M207" s="542"/>
      <c r="N207" s="542">
        <v>0</v>
      </c>
      <c r="O207" s="523"/>
      <c r="P207" s="539" t="s">
        <v>1642</v>
      </c>
      <c r="Q207" s="523"/>
      <c r="R207" s="534">
        <v>13.4</v>
      </c>
    </row>
    <row r="208" spans="1:18">
      <c r="A208" s="536"/>
      <c r="B208" s="537"/>
      <c r="C208" s="532"/>
      <c r="D208" s="538" t="s">
        <v>340</v>
      </c>
      <c r="E208" s="539"/>
      <c r="F208" s="539">
        <v>-5</v>
      </c>
      <c r="G208" s="540"/>
      <c r="H208" s="541">
        <v>4.53</v>
      </c>
      <c r="I208" s="542"/>
      <c r="J208" s="542">
        <v>4.16</v>
      </c>
      <c r="K208" s="542"/>
      <c r="L208" s="542">
        <v>0.37</v>
      </c>
      <c r="M208" s="542"/>
      <c r="N208" s="542">
        <v>0</v>
      </c>
      <c r="O208" s="523"/>
      <c r="P208" s="539" t="s">
        <v>1642</v>
      </c>
      <c r="Q208" s="523"/>
      <c r="R208" s="534">
        <v>13.4</v>
      </c>
    </row>
    <row r="209" spans="1:18">
      <c r="A209" s="536"/>
      <c r="B209" s="537"/>
      <c r="C209" s="532"/>
      <c r="D209" s="538" t="s">
        <v>1880</v>
      </c>
      <c r="E209" s="539"/>
      <c r="F209" s="539">
        <v>-9</v>
      </c>
      <c r="G209" s="540"/>
      <c r="H209" s="541">
        <v>4.24</v>
      </c>
      <c r="I209" s="542"/>
      <c r="J209" s="542">
        <v>4.04</v>
      </c>
      <c r="K209" s="542"/>
      <c r="L209" s="542">
        <v>0.2</v>
      </c>
      <c r="M209" s="542"/>
      <c r="N209" s="542">
        <v>0</v>
      </c>
      <c r="O209" s="523"/>
      <c r="P209" s="539" t="s">
        <v>1881</v>
      </c>
      <c r="Q209" s="523"/>
      <c r="R209" s="534">
        <v>40</v>
      </c>
    </row>
    <row r="210" spans="1:18">
      <c r="A210" s="536"/>
      <c r="B210" s="537"/>
      <c r="C210" s="532"/>
      <c r="D210" s="538" t="s">
        <v>1643</v>
      </c>
      <c r="E210" s="539"/>
      <c r="F210" s="539">
        <v>-9</v>
      </c>
      <c r="G210" s="540"/>
      <c r="H210" s="541">
        <v>2.1599999999999997</v>
      </c>
      <c r="I210" s="542"/>
      <c r="J210" s="542">
        <v>2.02</v>
      </c>
      <c r="K210" s="542"/>
      <c r="L210" s="542">
        <v>0.13999999999999999</v>
      </c>
      <c r="M210" s="542"/>
      <c r="N210" s="542">
        <v>0</v>
      </c>
      <c r="O210" s="523"/>
      <c r="P210" s="539" t="s">
        <v>1642</v>
      </c>
      <c r="Q210" s="523"/>
      <c r="R210" s="534">
        <v>38.4</v>
      </c>
    </row>
    <row r="211" spans="1:18">
      <c r="A211" s="536"/>
      <c r="B211" s="537"/>
      <c r="C211" s="532"/>
      <c r="D211" s="538" t="s">
        <v>1330</v>
      </c>
      <c r="E211" s="539"/>
      <c r="F211" s="539">
        <v>-9</v>
      </c>
      <c r="G211" s="540"/>
      <c r="H211" s="541">
        <v>19.669999999999998</v>
      </c>
      <c r="I211" s="542"/>
      <c r="J211" s="542">
        <v>18.91</v>
      </c>
      <c r="K211" s="542"/>
      <c r="L211" s="542">
        <v>0.76</v>
      </c>
      <c r="M211" s="542"/>
      <c r="N211" s="542">
        <v>0</v>
      </c>
      <c r="O211" s="523"/>
      <c r="P211" s="539" t="s">
        <v>1642</v>
      </c>
      <c r="Q211" s="523"/>
      <c r="R211" s="534">
        <v>2.5</v>
      </c>
    </row>
    <row r="212" spans="1:18">
      <c r="A212" s="536"/>
      <c r="B212" s="537"/>
      <c r="C212" s="532"/>
      <c r="D212" s="538" t="s">
        <v>1333</v>
      </c>
      <c r="E212" s="539"/>
      <c r="F212" s="539">
        <v>-9</v>
      </c>
      <c r="G212" s="540"/>
      <c r="H212" s="541">
        <v>6.7499999999999991</v>
      </c>
      <c r="I212" s="542"/>
      <c r="J212" s="542">
        <v>6.1899999999999995</v>
      </c>
      <c r="K212" s="542"/>
      <c r="L212" s="542">
        <v>0.55999999999999994</v>
      </c>
      <c r="M212" s="542"/>
      <c r="N212" s="542">
        <v>0</v>
      </c>
      <c r="O212" s="523"/>
      <c r="P212" s="539" t="s">
        <v>1642</v>
      </c>
      <c r="Q212" s="523"/>
      <c r="R212" s="534">
        <v>2.5</v>
      </c>
    </row>
    <row r="213" spans="1:18">
      <c r="A213" s="536"/>
      <c r="B213" s="537"/>
      <c r="C213" s="532"/>
      <c r="D213" s="538" t="s">
        <v>1334</v>
      </c>
      <c r="E213" s="539"/>
      <c r="F213" s="539">
        <v>-9</v>
      </c>
      <c r="G213" s="540"/>
      <c r="H213" s="541">
        <v>4.25</v>
      </c>
      <c r="I213" s="542"/>
      <c r="J213" s="542">
        <v>3.9</v>
      </c>
      <c r="K213" s="542"/>
      <c r="L213" s="542">
        <v>0.35000000000000003</v>
      </c>
      <c r="M213" s="542"/>
      <c r="N213" s="542">
        <v>0</v>
      </c>
      <c r="O213" s="523"/>
      <c r="P213" s="539" t="s">
        <v>1642</v>
      </c>
      <c r="Q213" s="523"/>
      <c r="R213" s="534">
        <v>15.4</v>
      </c>
    </row>
    <row r="214" spans="1:18">
      <c r="A214" s="536"/>
      <c r="B214" s="537"/>
      <c r="C214" s="532"/>
      <c r="D214" s="538" t="s">
        <v>338</v>
      </c>
      <c r="E214" s="539"/>
      <c r="F214" s="539">
        <v>-6</v>
      </c>
      <c r="G214" s="540"/>
      <c r="H214" s="541">
        <v>3.6399999999999997</v>
      </c>
      <c r="I214" s="542"/>
      <c r="J214" s="542">
        <v>3.4299999999999997</v>
      </c>
      <c r="K214" s="542"/>
      <c r="L214" s="542">
        <v>0.21</v>
      </c>
      <c r="M214" s="542"/>
      <c r="N214" s="542">
        <v>0</v>
      </c>
      <c r="O214" s="523"/>
      <c r="P214" s="539" t="s">
        <v>1642</v>
      </c>
      <c r="Q214" s="523"/>
      <c r="R214" s="534">
        <v>18.3</v>
      </c>
    </row>
    <row r="215" spans="1:18">
      <c r="A215" s="536"/>
      <c r="B215" s="537"/>
      <c r="C215" s="532"/>
      <c r="D215" s="538" t="s">
        <v>1336</v>
      </c>
      <c r="E215" s="539"/>
      <c r="F215" s="539">
        <v>-6</v>
      </c>
      <c r="G215" s="540"/>
      <c r="H215" s="541">
        <v>3.7199999999999998</v>
      </c>
      <c r="I215" s="542"/>
      <c r="J215" s="542">
        <v>3.51</v>
      </c>
      <c r="K215" s="542"/>
      <c r="L215" s="542">
        <v>0.21</v>
      </c>
      <c r="M215" s="542"/>
      <c r="N215" s="542">
        <v>0</v>
      </c>
      <c r="O215" s="523"/>
      <c r="P215" s="539" t="s">
        <v>1642</v>
      </c>
      <c r="Q215" s="523"/>
      <c r="R215" s="534">
        <v>16.399999999999999</v>
      </c>
    </row>
    <row r="216" spans="1:18">
      <c r="A216" s="536"/>
      <c r="B216" s="537"/>
      <c r="C216" s="532"/>
      <c r="D216" s="538" t="s">
        <v>334</v>
      </c>
      <c r="E216" s="539"/>
      <c r="F216" s="539">
        <v>-6</v>
      </c>
      <c r="G216" s="540"/>
      <c r="H216" s="541">
        <v>3.6999999999999997</v>
      </c>
      <c r="I216" s="542"/>
      <c r="J216" s="542">
        <v>3.49</v>
      </c>
      <c r="K216" s="542"/>
      <c r="L216" s="542">
        <v>0.21</v>
      </c>
      <c r="M216" s="542"/>
      <c r="N216" s="542">
        <v>0</v>
      </c>
      <c r="O216" s="523"/>
      <c r="P216" s="539" t="s">
        <v>1642</v>
      </c>
      <c r="Q216" s="523"/>
      <c r="R216" s="534">
        <v>16.399999999999999</v>
      </c>
    </row>
    <row r="217" spans="1:18">
      <c r="A217" s="536"/>
      <c r="B217" s="537"/>
      <c r="C217" s="532"/>
      <c r="D217" s="538" t="s">
        <v>335</v>
      </c>
      <c r="E217" s="539"/>
      <c r="F217" s="539">
        <v>-6</v>
      </c>
      <c r="G217" s="540"/>
      <c r="H217" s="541">
        <v>3.6199999999999997</v>
      </c>
      <c r="I217" s="542"/>
      <c r="J217" s="542">
        <v>3.4099999999999997</v>
      </c>
      <c r="K217" s="542"/>
      <c r="L217" s="542">
        <v>0.21</v>
      </c>
      <c r="M217" s="542"/>
      <c r="N217" s="542">
        <v>0</v>
      </c>
      <c r="O217" s="523"/>
      <c r="P217" s="539" t="s">
        <v>1642</v>
      </c>
      <c r="Q217" s="523"/>
      <c r="R217" s="534">
        <v>18.3</v>
      </c>
    </row>
    <row r="218" spans="1:18">
      <c r="A218" s="536"/>
      <c r="B218" s="537"/>
      <c r="C218" s="532"/>
      <c r="D218" s="538" t="s">
        <v>336</v>
      </c>
      <c r="E218" s="539"/>
      <c r="F218" s="539">
        <v>-6</v>
      </c>
      <c r="G218" s="540"/>
      <c r="H218" s="541">
        <v>3.6199999999999997</v>
      </c>
      <c r="I218" s="542"/>
      <c r="J218" s="542">
        <v>3.4099999999999997</v>
      </c>
      <c r="K218" s="542"/>
      <c r="L218" s="542">
        <v>0.21</v>
      </c>
      <c r="M218" s="542"/>
      <c r="N218" s="542">
        <v>0</v>
      </c>
      <c r="O218" s="523"/>
      <c r="P218" s="539" t="s">
        <v>1642</v>
      </c>
      <c r="Q218" s="523"/>
      <c r="R218" s="534">
        <v>18.3</v>
      </c>
    </row>
    <row r="219" spans="1:18">
      <c r="A219" s="536"/>
      <c r="B219" s="537"/>
      <c r="C219" s="532"/>
      <c r="D219" s="538" t="s">
        <v>337</v>
      </c>
      <c r="E219" s="539"/>
      <c r="F219" s="539">
        <v>-6</v>
      </c>
      <c r="G219" s="540"/>
      <c r="H219" s="541">
        <v>3.6399999999999997</v>
      </c>
      <c r="I219" s="542"/>
      <c r="J219" s="542">
        <v>3.4299999999999997</v>
      </c>
      <c r="K219" s="542"/>
      <c r="L219" s="542">
        <v>0.21</v>
      </c>
      <c r="M219" s="542"/>
      <c r="N219" s="542">
        <v>0</v>
      </c>
      <c r="O219" s="523"/>
      <c r="P219" s="539" t="s">
        <v>1642</v>
      </c>
      <c r="Q219" s="523"/>
      <c r="R219" s="534">
        <v>18.3</v>
      </c>
    </row>
    <row r="220" spans="1:18">
      <c r="A220" s="527"/>
      <c r="B220" s="537"/>
      <c r="C220" s="532"/>
      <c r="D220" s="538" t="s">
        <v>1332</v>
      </c>
      <c r="E220" s="539"/>
      <c r="F220" s="539">
        <v>-6</v>
      </c>
      <c r="G220" s="540"/>
      <c r="H220" s="541">
        <v>0</v>
      </c>
      <c r="I220" s="542"/>
      <c r="J220" s="542">
        <v>0</v>
      </c>
      <c r="K220" s="542"/>
      <c r="L220" s="542">
        <v>0</v>
      </c>
      <c r="M220" s="542"/>
      <c r="N220" s="542">
        <v>0</v>
      </c>
      <c r="O220" s="523"/>
      <c r="P220" s="539" t="s">
        <v>1642</v>
      </c>
      <c r="Q220" s="523"/>
      <c r="R220" s="534" t="s">
        <v>1288</v>
      </c>
    </row>
    <row r="221" spans="1:18">
      <c r="A221" s="536"/>
      <c r="B221" s="537"/>
      <c r="C221" s="532"/>
      <c r="D221" s="538"/>
      <c r="E221" s="539"/>
      <c r="F221" s="539"/>
      <c r="G221" s="540"/>
      <c r="H221" s="543"/>
      <c r="I221" s="542"/>
      <c r="J221" s="542"/>
      <c r="K221" s="542"/>
      <c r="L221" s="542"/>
      <c r="M221" s="542"/>
      <c r="N221" s="542"/>
      <c r="O221" s="523"/>
      <c r="P221" s="539"/>
      <c r="Q221" s="523"/>
    </row>
    <row r="222" spans="1:18">
      <c r="A222" s="536">
        <v>341</v>
      </c>
      <c r="B222" s="537"/>
      <c r="C222" s="532"/>
      <c r="D222" s="545" t="s">
        <v>341</v>
      </c>
      <c r="E222" s="539"/>
      <c r="F222" s="546" t="s">
        <v>1687</v>
      </c>
      <c r="G222" s="540"/>
      <c r="H222" s="541">
        <v>3.0438103236280409</v>
      </c>
      <c r="I222" s="556"/>
      <c r="J222" s="556"/>
      <c r="K222" s="556"/>
      <c r="L222" s="556"/>
      <c r="M222" s="556"/>
      <c r="N222" s="556"/>
      <c r="O222" s="523"/>
      <c r="P222" s="539" t="str">
        <f>P220</f>
        <v>55-R4</v>
      </c>
      <c r="Q222" s="523"/>
      <c r="R222" s="534">
        <v>24.3</v>
      </c>
    </row>
    <row r="223" spans="1:18">
      <c r="A223" s="536"/>
      <c r="B223" s="537"/>
      <c r="C223" s="532"/>
      <c r="D223" s="538"/>
      <c r="E223" s="539"/>
      <c r="F223" s="539"/>
      <c r="G223" s="540"/>
      <c r="H223" s="543"/>
      <c r="I223" s="556"/>
      <c r="J223" s="556"/>
      <c r="K223" s="556"/>
      <c r="L223" s="556"/>
      <c r="M223" s="556"/>
      <c r="N223" s="556"/>
      <c r="O223" s="523"/>
      <c r="P223" s="539"/>
      <c r="Q223" s="523"/>
    </row>
    <row r="224" spans="1:18">
      <c r="A224" s="536"/>
      <c r="B224" s="537">
        <v>342</v>
      </c>
      <c r="C224" s="532"/>
      <c r="D224" s="527" t="s">
        <v>1337</v>
      </c>
      <c r="E224" s="527"/>
      <c r="F224" s="523"/>
      <c r="G224" s="540"/>
      <c r="H224" s="542"/>
      <c r="I224" s="556"/>
      <c r="J224" s="556"/>
      <c r="K224" s="556"/>
      <c r="L224" s="556"/>
      <c r="M224" s="556"/>
      <c r="N224" s="556"/>
      <c r="O224" s="523"/>
      <c r="P224" s="523"/>
      <c r="Q224" s="523"/>
    </row>
    <row r="225" spans="1:18">
      <c r="A225" s="536"/>
      <c r="B225" s="537"/>
      <c r="C225" s="532"/>
      <c r="D225" s="538" t="s">
        <v>1335</v>
      </c>
      <c r="E225" s="539"/>
      <c r="F225" s="539">
        <v>-4</v>
      </c>
      <c r="G225" s="540"/>
      <c r="H225" s="541">
        <v>4.43</v>
      </c>
      <c r="I225" s="542"/>
      <c r="J225" s="542">
        <v>4.0599999999999996</v>
      </c>
      <c r="K225" s="542"/>
      <c r="L225" s="542">
        <v>0.37</v>
      </c>
      <c r="M225" s="542"/>
      <c r="N225" s="542">
        <v>0</v>
      </c>
      <c r="O225" s="523"/>
      <c r="P225" s="539" t="s">
        <v>1346</v>
      </c>
      <c r="Q225" s="523"/>
      <c r="R225" s="534">
        <v>15</v>
      </c>
    </row>
    <row r="226" spans="1:18">
      <c r="A226" s="536"/>
      <c r="B226" s="537"/>
      <c r="C226" s="532"/>
      <c r="D226" s="538" t="s">
        <v>339</v>
      </c>
      <c r="E226" s="539"/>
      <c r="F226" s="539">
        <v>-7</v>
      </c>
      <c r="G226" s="540"/>
      <c r="H226" s="541">
        <v>6.7299999999999995</v>
      </c>
      <c r="I226" s="542"/>
      <c r="J226" s="542">
        <v>6.17</v>
      </c>
      <c r="K226" s="542"/>
      <c r="L226" s="542">
        <v>0.55999999999999994</v>
      </c>
      <c r="M226" s="542"/>
      <c r="N226" s="542">
        <v>0</v>
      </c>
      <c r="O226" s="523"/>
      <c r="P226" s="539" t="s">
        <v>1346</v>
      </c>
      <c r="Q226" s="523"/>
      <c r="R226" s="534">
        <v>13.3</v>
      </c>
    </row>
    <row r="227" spans="1:18">
      <c r="A227" s="536"/>
      <c r="B227" s="537"/>
      <c r="C227" s="532"/>
      <c r="D227" s="538" t="s">
        <v>340</v>
      </c>
      <c r="E227" s="539"/>
      <c r="F227" s="539">
        <v>-7</v>
      </c>
      <c r="G227" s="540"/>
      <c r="H227" s="541">
        <v>7.8800000000000008</v>
      </c>
      <c r="I227" s="542"/>
      <c r="J227" s="542">
        <v>7.23</v>
      </c>
      <c r="K227" s="542"/>
      <c r="L227" s="542">
        <v>0.65</v>
      </c>
      <c r="M227" s="542"/>
      <c r="N227" s="542">
        <v>0</v>
      </c>
      <c r="O227" s="523"/>
      <c r="P227" s="539" t="s">
        <v>1346</v>
      </c>
      <c r="Q227" s="523"/>
      <c r="R227" s="534">
        <v>13.3</v>
      </c>
    </row>
    <row r="228" spans="1:18">
      <c r="A228" s="536"/>
      <c r="B228" s="537"/>
      <c r="C228" s="532"/>
      <c r="D228" s="538" t="s">
        <v>1643</v>
      </c>
      <c r="E228" s="539"/>
      <c r="F228" s="539"/>
      <c r="G228" s="540"/>
      <c r="H228" s="541">
        <v>2.8499999999999996</v>
      </c>
      <c r="I228" s="542"/>
      <c r="J228" s="542">
        <v>2.6599999999999997</v>
      </c>
      <c r="K228" s="542"/>
      <c r="L228" s="542">
        <v>0.19</v>
      </c>
      <c r="M228" s="542"/>
      <c r="N228" s="542">
        <v>0</v>
      </c>
      <c r="O228" s="523"/>
      <c r="P228" s="539" t="s">
        <v>1346</v>
      </c>
      <c r="Q228" s="523"/>
      <c r="R228" s="534">
        <v>37.1</v>
      </c>
    </row>
    <row r="229" spans="1:18">
      <c r="A229" s="536"/>
      <c r="B229" s="537"/>
      <c r="C229" s="532"/>
      <c r="D229" s="538" t="s">
        <v>1330</v>
      </c>
      <c r="E229" s="539"/>
      <c r="F229" s="539">
        <v>-5</v>
      </c>
      <c r="G229" s="540"/>
      <c r="H229" s="541">
        <v>19.79</v>
      </c>
      <c r="I229" s="542"/>
      <c r="J229" s="542">
        <v>19.03</v>
      </c>
      <c r="K229" s="542"/>
      <c r="L229" s="542">
        <v>0.76</v>
      </c>
      <c r="M229" s="542"/>
      <c r="N229" s="542">
        <v>0</v>
      </c>
      <c r="O229" s="523"/>
      <c r="P229" s="539" t="s">
        <v>1346</v>
      </c>
      <c r="Q229" s="523"/>
      <c r="R229" s="534">
        <v>2.5</v>
      </c>
    </row>
    <row r="230" spans="1:18">
      <c r="A230" s="536"/>
      <c r="B230" s="537"/>
      <c r="C230" s="532"/>
      <c r="D230" s="538" t="s">
        <v>1338</v>
      </c>
      <c r="E230" s="539"/>
      <c r="F230" s="539">
        <v>-9</v>
      </c>
      <c r="G230" s="540"/>
      <c r="H230" s="541">
        <v>0</v>
      </c>
      <c r="I230" s="542"/>
      <c r="J230" s="542">
        <v>0</v>
      </c>
      <c r="K230" s="542"/>
      <c r="L230" s="542">
        <v>0</v>
      </c>
      <c r="M230" s="542"/>
      <c r="N230" s="542">
        <v>0</v>
      </c>
      <c r="O230" s="523"/>
      <c r="P230" s="539" t="s">
        <v>1346</v>
      </c>
      <c r="Q230" s="523"/>
      <c r="R230" s="534" t="s">
        <v>1288</v>
      </c>
    </row>
    <row r="231" spans="1:18">
      <c r="A231" s="536"/>
      <c r="B231" s="537"/>
      <c r="C231" s="532"/>
      <c r="D231" s="538" t="s">
        <v>1333</v>
      </c>
      <c r="E231" s="539"/>
      <c r="F231" s="539">
        <v>-9</v>
      </c>
      <c r="G231" s="540"/>
      <c r="H231" s="541">
        <v>9.5399999999999991</v>
      </c>
      <c r="I231" s="542"/>
      <c r="J231" s="542">
        <v>8.75</v>
      </c>
      <c r="K231" s="542"/>
      <c r="L231" s="542">
        <v>0.79</v>
      </c>
      <c r="M231" s="542"/>
      <c r="N231" s="542">
        <v>0</v>
      </c>
      <c r="O231" s="523"/>
      <c r="P231" s="539" t="s">
        <v>1346</v>
      </c>
      <c r="Q231" s="523"/>
      <c r="R231" s="534">
        <v>2.5</v>
      </c>
    </row>
    <row r="232" spans="1:18">
      <c r="A232" s="536"/>
      <c r="B232" s="537"/>
      <c r="C232" s="532"/>
      <c r="D232" s="538" t="s">
        <v>1334</v>
      </c>
      <c r="E232" s="539"/>
      <c r="F232" s="539">
        <v>-9</v>
      </c>
      <c r="G232" s="540"/>
      <c r="H232" s="541">
        <v>4</v>
      </c>
      <c r="I232" s="542"/>
      <c r="J232" s="542">
        <v>3.6700000000000004</v>
      </c>
      <c r="K232" s="542"/>
      <c r="L232" s="542">
        <v>0.33</v>
      </c>
      <c r="M232" s="542"/>
      <c r="N232" s="542">
        <v>0</v>
      </c>
      <c r="O232" s="523"/>
      <c r="P232" s="539" t="s">
        <v>1346</v>
      </c>
      <c r="Q232" s="523"/>
      <c r="R232" s="534">
        <v>15</v>
      </c>
    </row>
    <row r="233" spans="1:18">
      <c r="A233" s="536"/>
      <c r="B233" s="537"/>
      <c r="C233" s="532"/>
      <c r="D233" s="538" t="s">
        <v>338</v>
      </c>
      <c r="E233" s="539"/>
      <c r="F233" s="539">
        <v>-9</v>
      </c>
      <c r="G233" s="540"/>
      <c r="H233" s="541">
        <v>3.7199999999999998</v>
      </c>
      <c r="I233" s="542"/>
      <c r="J233" s="542">
        <v>3.51</v>
      </c>
      <c r="K233" s="542"/>
      <c r="L233" s="542">
        <v>0.21</v>
      </c>
      <c r="M233" s="542"/>
      <c r="N233" s="542">
        <v>0</v>
      </c>
      <c r="O233" s="523"/>
      <c r="P233" s="539" t="s">
        <v>1346</v>
      </c>
      <c r="Q233" s="523"/>
      <c r="R233" s="534">
        <v>17.899999999999999</v>
      </c>
    </row>
    <row r="234" spans="1:18">
      <c r="A234" s="536"/>
      <c r="B234" s="537"/>
      <c r="C234" s="532"/>
      <c r="D234" s="538" t="s">
        <v>1336</v>
      </c>
      <c r="E234" s="539"/>
      <c r="F234" s="539">
        <v>-9</v>
      </c>
      <c r="G234" s="540"/>
      <c r="H234" s="541">
        <v>3.7699999999999996</v>
      </c>
      <c r="I234" s="542"/>
      <c r="J234" s="542">
        <v>3.56</v>
      </c>
      <c r="K234" s="542"/>
      <c r="L234" s="542">
        <v>0.21</v>
      </c>
      <c r="M234" s="542"/>
      <c r="N234" s="542">
        <v>0</v>
      </c>
      <c r="O234" s="523"/>
      <c r="P234" s="539" t="s">
        <v>1346</v>
      </c>
      <c r="Q234" s="523"/>
      <c r="R234" s="534">
        <v>16</v>
      </c>
    </row>
    <row r="235" spans="1:18">
      <c r="A235" s="536"/>
      <c r="B235" s="537"/>
      <c r="C235" s="532"/>
      <c r="D235" s="538" t="s">
        <v>334</v>
      </c>
      <c r="E235" s="539"/>
      <c r="F235" s="539">
        <v>-9</v>
      </c>
      <c r="G235" s="540"/>
      <c r="H235" s="541">
        <v>3.7699999999999996</v>
      </c>
      <c r="I235" s="542"/>
      <c r="J235" s="542">
        <v>3.56</v>
      </c>
      <c r="K235" s="542"/>
      <c r="L235" s="542">
        <v>0.21</v>
      </c>
      <c r="M235" s="542"/>
      <c r="N235" s="542">
        <v>0</v>
      </c>
      <c r="O235" s="523"/>
      <c r="P235" s="539" t="s">
        <v>1346</v>
      </c>
      <c r="Q235" s="523"/>
      <c r="R235" s="534">
        <v>16</v>
      </c>
    </row>
    <row r="236" spans="1:18">
      <c r="A236" s="536"/>
      <c r="B236" s="537"/>
      <c r="C236" s="532"/>
      <c r="D236" s="538" t="s">
        <v>335</v>
      </c>
      <c r="E236" s="539"/>
      <c r="F236" s="539">
        <v>-6</v>
      </c>
      <c r="G236" s="540"/>
      <c r="H236" s="541">
        <v>3.6999999999999997</v>
      </c>
      <c r="I236" s="542"/>
      <c r="J236" s="542">
        <v>3.49</v>
      </c>
      <c r="K236" s="542"/>
      <c r="L236" s="542">
        <v>0.21</v>
      </c>
      <c r="M236" s="542"/>
      <c r="N236" s="542">
        <v>0</v>
      </c>
      <c r="O236" s="523"/>
      <c r="P236" s="539" t="s">
        <v>1346</v>
      </c>
      <c r="Q236" s="523"/>
      <c r="R236" s="534">
        <v>17.899999999999999</v>
      </c>
    </row>
    <row r="237" spans="1:18">
      <c r="A237" s="536"/>
      <c r="B237" s="537"/>
      <c r="C237" s="532"/>
      <c r="D237" s="538" t="s">
        <v>336</v>
      </c>
      <c r="E237" s="539"/>
      <c r="F237" s="539">
        <v>-6</v>
      </c>
      <c r="G237" s="540"/>
      <c r="H237" s="541">
        <v>3.6999999999999997</v>
      </c>
      <c r="I237" s="542"/>
      <c r="J237" s="542">
        <v>3.49</v>
      </c>
      <c r="K237" s="542"/>
      <c r="L237" s="542">
        <v>0.21</v>
      </c>
      <c r="M237" s="542"/>
      <c r="N237" s="542">
        <v>0</v>
      </c>
      <c r="O237" s="523"/>
      <c r="P237" s="539" t="s">
        <v>1346</v>
      </c>
      <c r="Q237" s="523"/>
      <c r="R237" s="534">
        <v>17.899999999999999</v>
      </c>
    </row>
    <row r="238" spans="1:18">
      <c r="A238" s="536"/>
      <c r="B238" s="537"/>
      <c r="C238" s="532"/>
      <c r="D238" s="538" t="s">
        <v>337</v>
      </c>
      <c r="E238" s="539"/>
      <c r="F238" s="539">
        <v>-6</v>
      </c>
      <c r="G238" s="540"/>
      <c r="H238" s="541">
        <v>3.71</v>
      </c>
      <c r="I238" s="542"/>
      <c r="J238" s="542">
        <v>3.5000000000000004</v>
      </c>
      <c r="K238" s="542"/>
      <c r="L238" s="542">
        <v>0.21</v>
      </c>
      <c r="M238" s="542"/>
      <c r="N238" s="542">
        <v>0</v>
      </c>
      <c r="O238" s="523"/>
      <c r="P238" s="539" t="s">
        <v>1346</v>
      </c>
      <c r="Q238" s="523"/>
      <c r="R238" s="534">
        <v>17.899999999999999</v>
      </c>
    </row>
    <row r="239" spans="1:18">
      <c r="A239" s="536"/>
      <c r="B239" s="537"/>
      <c r="C239" s="532"/>
      <c r="D239" s="538" t="s">
        <v>1882</v>
      </c>
      <c r="E239" s="539"/>
      <c r="F239" s="539">
        <v>-6</v>
      </c>
      <c r="G239" s="540"/>
      <c r="H239" s="541">
        <v>2.73</v>
      </c>
      <c r="I239" s="542"/>
      <c r="J239" s="542">
        <v>2.6</v>
      </c>
      <c r="K239" s="542"/>
      <c r="L239" s="542">
        <v>0.13</v>
      </c>
      <c r="M239" s="542"/>
      <c r="N239" s="542">
        <v>0</v>
      </c>
      <c r="O239" s="523"/>
      <c r="P239" s="539" t="s">
        <v>342</v>
      </c>
      <c r="Q239" s="523"/>
      <c r="R239" s="534">
        <v>15</v>
      </c>
    </row>
    <row r="240" spans="1:18">
      <c r="A240" s="527"/>
      <c r="B240" s="537"/>
      <c r="C240" s="532"/>
      <c r="D240" s="538" t="s">
        <v>1644</v>
      </c>
      <c r="E240" s="539"/>
      <c r="F240" s="539">
        <v>-6</v>
      </c>
      <c r="G240" s="540"/>
      <c r="H240" s="541">
        <v>2.8499999999999996</v>
      </c>
      <c r="I240" s="542"/>
      <c r="J240" s="542">
        <v>2.6599999999999997</v>
      </c>
      <c r="K240" s="542"/>
      <c r="L240" s="542">
        <v>0.19</v>
      </c>
      <c r="M240" s="542"/>
      <c r="N240" s="542">
        <v>0</v>
      </c>
      <c r="O240" s="523"/>
      <c r="P240" s="539" t="s">
        <v>1346</v>
      </c>
      <c r="Q240" s="523"/>
      <c r="R240" s="534">
        <v>37.1</v>
      </c>
    </row>
    <row r="241" spans="1:18">
      <c r="A241" s="536"/>
      <c r="B241" s="537"/>
      <c r="C241" s="532"/>
      <c r="D241" s="538" t="s">
        <v>1339</v>
      </c>
      <c r="E241" s="539"/>
      <c r="F241" s="539">
        <v>-6</v>
      </c>
      <c r="G241" s="540"/>
      <c r="H241" s="541">
        <v>3.3999999999999995</v>
      </c>
      <c r="I241" s="542"/>
      <c r="J241" s="542">
        <v>3.2099999999999995</v>
      </c>
      <c r="K241" s="542"/>
      <c r="L241" s="542">
        <v>0.19</v>
      </c>
      <c r="M241" s="542"/>
      <c r="N241" s="542">
        <v>0</v>
      </c>
      <c r="O241" s="523"/>
      <c r="P241" s="539" t="s">
        <v>1346</v>
      </c>
      <c r="Q241" s="523"/>
      <c r="R241" s="534">
        <v>17.8</v>
      </c>
    </row>
    <row r="242" spans="1:18">
      <c r="A242" s="536"/>
      <c r="B242" s="537"/>
      <c r="C242" s="532"/>
      <c r="D242" s="538" t="s">
        <v>1332</v>
      </c>
      <c r="E242" s="539"/>
      <c r="F242" s="539">
        <v>-6</v>
      </c>
      <c r="G242" s="540"/>
      <c r="H242" s="541">
        <v>9.31</v>
      </c>
      <c r="I242" s="542"/>
      <c r="J242" s="542">
        <v>8.870000000000001</v>
      </c>
      <c r="K242" s="542"/>
      <c r="L242" s="542">
        <v>0.44</v>
      </c>
      <c r="M242" s="542"/>
      <c r="N242" s="542">
        <v>0</v>
      </c>
      <c r="O242" s="523"/>
      <c r="P242" s="539" t="s">
        <v>1346</v>
      </c>
      <c r="Q242" s="523"/>
      <c r="R242" s="534">
        <v>3.5</v>
      </c>
    </row>
    <row r="243" spans="1:18">
      <c r="A243" s="536"/>
      <c r="B243" s="537"/>
      <c r="C243" s="532"/>
      <c r="D243" s="527"/>
      <c r="E243" s="539"/>
      <c r="F243" s="539"/>
      <c r="G243" s="540"/>
      <c r="H243" s="543"/>
      <c r="I243" s="542"/>
      <c r="J243" s="542"/>
      <c r="K243" s="542"/>
      <c r="L243" s="542"/>
      <c r="M243" s="542"/>
      <c r="N243" s="542"/>
      <c r="O243" s="523"/>
      <c r="P243" s="539"/>
      <c r="Q243" s="523"/>
    </row>
    <row r="244" spans="1:18">
      <c r="A244" s="536">
        <v>342</v>
      </c>
      <c r="B244" s="537"/>
      <c r="C244" s="532"/>
      <c r="D244" s="545" t="s">
        <v>343</v>
      </c>
      <c r="E244" s="539"/>
      <c r="F244" s="546" t="s">
        <v>1687</v>
      </c>
      <c r="G244" s="540"/>
      <c r="H244" s="541">
        <v>3.2273234515366087</v>
      </c>
      <c r="I244" s="542"/>
      <c r="J244" s="542"/>
      <c r="K244" s="542"/>
      <c r="L244" s="542"/>
      <c r="M244" s="542"/>
      <c r="N244" s="542"/>
      <c r="O244" s="523"/>
      <c r="P244" s="539" t="str">
        <f>P242</f>
        <v>55-R2.5</v>
      </c>
      <c r="Q244" s="523"/>
      <c r="R244" s="534">
        <v>30.5</v>
      </c>
    </row>
    <row r="245" spans="1:18">
      <c r="A245" s="536"/>
      <c r="B245" s="537"/>
      <c r="C245" s="532"/>
      <c r="D245" s="527"/>
      <c r="E245" s="539"/>
      <c r="F245" s="539"/>
      <c r="G245" s="540"/>
      <c r="H245" s="543"/>
      <c r="I245" s="542"/>
      <c r="J245" s="542"/>
      <c r="K245" s="542"/>
      <c r="L245" s="542"/>
      <c r="M245" s="542"/>
      <c r="N245" s="542"/>
      <c r="O245" s="523"/>
      <c r="P245" s="539"/>
      <c r="Q245" s="523"/>
    </row>
    <row r="246" spans="1:18">
      <c r="A246" s="536"/>
      <c r="B246" s="537">
        <v>343</v>
      </c>
      <c r="C246" s="532"/>
      <c r="D246" s="527" t="s">
        <v>1340</v>
      </c>
      <c r="E246" s="527"/>
      <c r="F246" s="523"/>
      <c r="G246" s="540"/>
      <c r="H246" s="542"/>
      <c r="I246" s="542"/>
      <c r="J246" s="542"/>
      <c r="K246" s="542"/>
      <c r="L246" s="542"/>
      <c r="M246" s="542"/>
      <c r="N246" s="542"/>
      <c r="O246" s="523"/>
      <c r="P246" s="523"/>
      <c r="Q246" s="523"/>
    </row>
    <row r="247" spans="1:18">
      <c r="A247" s="536"/>
      <c r="B247" s="537"/>
      <c r="C247" s="532"/>
      <c r="D247" s="538" t="s">
        <v>1335</v>
      </c>
      <c r="E247" s="539"/>
      <c r="F247" s="539">
        <v>-7</v>
      </c>
      <c r="G247" s="540"/>
      <c r="H247" s="541">
        <v>4.3999999999999995</v>
      </c>
      <c r="I247" s="542"/>
      <c r="J247" s="542">
        <v>4.04</v>
      </c>
      <c r="K247" s="542"/>
      <c r="L247" s="542">
        <v>0.4</v>
      </c>
      <c r="M247" s="542"/>
      <c r="N247" s="542">
        <v>-0.04</v>
      </c>
      <c r="O247" s="523"/>
      <c r="P247" s="539" t="s">
        <v>348</v>
      </c>
      <c r="Q247" s="523"/>
      <c r="R247" s="534">
        <v>13.9</v>
      </c>
    </row>
    <row r="248" spans="1:18">
      <c r="A248" s="536"/>
      <c r="B248" s="537"/>
      <c r="C248" s="532"/>
      <c r="D248" s="538" t="s">
        <v>339</v>
      </c>
      <c r="E248" s="539"/>
      <c r="F248" s="539">
        <v>-9</v>
      </c>
      <c r="G248" s="540"/>
      <c r="H248" s="541">
        <v>6.169999999999999</v>
      </c>
      <c r="I248" s="542"/>
      <c r="J248" s="542">
        <v>5.66</v>
      </c>
      <c r="K248" s="542"/>
      <c r="L248" s="542">
        <v>0.57000000000000006</v>
      </c>
      <c r="M248" s="542"/>
      <c r="N248" s="542">
        <v>-0.06</v>
      </c>
      <c r="O248" s="523"/>
      <c r="P248" s="539" t="s">
        <v>348</v>
      </c>
      <c r="Q248" s="523"/>
      <c r="R248" s="534">
        <v>12.4</v>
      </c>
    </row>
    <row r="249" spans="1:18">
      <c r="A249" s="536"/>
      <c r="B249" s="537"/>
      <c r="C249" s="532"/>
      <c r="D249" s="538" t="s">
        <v>340</v>
      </c>
      <c r="E249" s="539"/>
      <c r="F249" s="539">
        <v>-9</v>
      </c>
      <c r="G249" s="540"/>
      <c r="H249" s="541">
        <v>5.2</v>
      </c>
      <c r="I249" s="542"/>
      <c r="J249" s="542">
        <v>4.7699999999999996</v>
      </c>
      <c r="K249" s="542"/>
      <c r="L249" s="542">
        <v>0.48</v>
      </c>
      <c r="M249" s="542"/>
      <c r="N249" s="542">
        <v>-0.05</v>
      </c>
      <c r="O249" s="523"/>
      <c r="P249" s="539" t="s">
        <v>348</v>
      </c>
      <c r="Q249" s="523"/>
      <c r="R249" s="534">
        <v>12.3</v>
      </c>
    </row>
    <row r="250" spans="1:18">
      <c r="A250" s="536"/>
      <c r="B250" s="537"/>
      <c r="C250" s="532"/>
      <c r="D250" s="538" t="s">
        <v>1643</v>
      </c>
      <c r="E250" s="539"/>
      <c r="F250" s="539">
        <v>-9</v>
      </c>
      <c r="G250" s="540"/>
      <c r="H250" s="541">
        <v>3.3299999999999996</v>
      </c>
      <c r="I250" s="542"/>
      <c r="J250" s="542">
        <v>3.11</v>
      </c>
      <c r="K250" s="542"/>
      <c r="L250" s="542">
        <v>0.25</v>
      </c>
      <c r="M250" s="542"/>
      <c r="N250" s="542">
        <v>-0.03</v>
      </c>
      <c r="O250" s="523"/>
      <c r="P250" s="539" t="s">
        <v>348</v>
      </c>
      <c r="Q250" s="523"/>
      <c r="R250" s="534">
        <v>31.6</v>
      </c>
    </row>
    <row r="251" spans="1:18">
      <c r="A251" s="536"/>
      <c r="B251" s="537"/>
      <c r="C251" s="532"/>
      <c r="D251" s="538" t="s">
        <v>1338</v>
      </c>
      <c r="E251" s="539"/>
      <c r="F251" s="539">
        <v>-9</v>
      </c>
      <c r="G251" s="540"/>
      <c r="H251" s="541">
        <v>43.77</v>
      </c>
      <c r="I251" s="542"/>
      <c r="J251" s="542">
        <v>40.150000000000006</v>
      </c>
      <c r="K251" s="542"/>
      <c r="L251" s="542">
        <v>4.0199999999999996</v>
      </c>
      <c r="M251" s="542"/>
      <c r="N251" s="542">
        <v>-0.4</v>
      </c>
      <c r="O251" s="523"/>
      <c r="P251" s="539" t="s">
        <v>348</v>
      </c>
      <c r="Q251" s="523"/>
      <c r="R251" s="534">
        <v>2.5</v>
      </c>
    </row>
    <row r="252" spans="1:18">
      <c r="A252" s="536"/>
      <c r="B252" s="537"/>
      <c r="C252" s="532"/>
      <c r="D252" s="538" t="s">
        <v>1333</v>
      </c>
      <c r="E252" s="539"/>
      <c r="F252" s="539">
        <v>-9</v>
      </c>
      <c r="G252" s="540"/>
      <c r="H252" s="541">
        <v>43.77</v>
      </c>
      <c r="I252" s="542"/>
      <c r="J252" s="542">
        <v>40.150000000000006</v>
      </c>
      <c r="K252" s="542"/>
      <c r="L252" s="542">
        <v>4.0199999999999996</v>
      </c>
      <c r="M252" s="542"/>
      <c r="N252" s="542">
        <v>-0.4</v>
      </c>
      <c r="O252" s="523"/>
      <c r="P252" s="539" t="s">
        <v>348</v>
      </c>
      <c r="Q252" s="523"/>
      <c r="R252" s="534">
        <v>2.5</v>
      </c>
    </row>
    <row r="253" spans="1:18">
      <c r="A253" s="536"/>
      <c r="B253" s="537"/>
      <c r="C253" s="532"/>
      <c r="D253" s="538" t="s">
        <v>1334</v>
      </c>
      <c r="E253" s="539"/>
      <c r="F253" s="539">
        <v>-9</v>
      </c>
      <c r="G253" s="540"/>
      <c r="H253" s="541">
        <v>5.6000000000000005</v>
      </c>
      <c r="I253" s="542"/>
      <c r="J253" s="542">
        <v>5.1400000000000006</v>
      </c>
      <c r="K253" s="542"/>
      <c r="L253" s="542">
        <v>0.51</v>
      </c>
      <c r="M253" s="542"/>
      <c r="N253" s="542">
        <v>-0.05</v>
      </c>
      <c r="O253" s="523"/>
      <c r="P253" s="539" t="s">
        <v>348</v>
      </c>
      <c r="Q253" s="523"/>
      <c r="R253" s="534">
        <v>14.1</v>
      </c>
    </row>
    <row r="254" spans="1:18">
      <c r="A254" s="527"/>
      <c r="B254" s="537"/>
      <c r="C254" s="532"/>
      <c r="D254" s="538" t="s">
        <v>338</v>
      </c>
      <c r="E254" s="539"/>
      <c r="F254" s="539">
        <v>-6</v>
      </c>
      <c r="G254" s="540"/>
      <c r="H254" s="541">
        <v>4.34</v>
      </c>
      <c r="I254" s="542"/>
      <c r="J254" s="542">
        <v>4.09</v>
      </c>
      <c r="K254" s="542"/>
      <c r="L254" s="542">
        <v>0.28999999999999998</v>
      </c>
      <c r="M254" s="542"/>
      <c r="N254" s="542">
        <v>-0.04</v>
      </c>
      <c r="O254" s="523"/>
      <c r="P254" s="539" t="s">
        <v>348</v>
      </c>
      <c r="Q254" s="523"/>
      <c r="R254" s="534">
        <v>16.600000000000001</v>
      </c>
    </row>
    <row r="255" spans="1:18">
      <c r="A255" s="536"/>
      <c r="B255" s="537"/>
      <c r="C255" s="532"/>
      <c r="D255" s="538" t="s">
        <v>1336</v>
      </c>
      <c r="E255" s="539"/>
      <c r="F255" s="539">
        <v>-6</v>
      </c>
      <c r="G255" s="540"/>
      <c r="H255" s="541">
        <v>4.34</v>
      </c>
      <c r="I255" s="542"/>
      <c r="J255" s="542">
        <v>4.09</v>
      </c>
      <c r="K255" s="542"/>
      <c r="L255" s="542">
        <v>0.28999999999999998</v>
      </c>
      <c r="M255" s="542"/>
      <c r="N255" s="542">
        <v>-0.04</v>
      </c>
      <c r="O255" s="523"/>
      <c r="P255" s="539" t="s">
        <v>348</v>
      </c>
      <c r="Q255" s="523"/>
      <c r="R255" s="534">
        <v>14.8</v>
      </c>
    </row>
    <row r="256" spans="1:18">
      <c r="A256" s="536"/>
      <c r="B256" s="537"/>
      <c r="C256" s="532"/>
      <c r="D256" s="538" t="s">
        <v>334</v>
      </c>
      <c r="E256" s="539"/>
      <c r="F256" s="539">
        <v>-6</v>
      </c>
      <c r="G256" s="540"/>
      <c r="H256" s="541">
        <v>4.3500000000000005</v>
      </c>
      <c r="I256" s="542"/>
      <c r="J256" s="542">
        <v>4.1000000000000005</v>
      </c>
      <c r="K256" s="542"/>
      <c r="L256" s="542">
        <v>0.28999999999999998</v>
      </c>
      <c r="M256" s="542"/>
      <c r="N256" s="542">
        <v>-0.04</v>
      </c>
      <c r="O256" s="523"/>
      <c r="P256" s="539" t="s">
        <v>348</v>
      </c>
      <c r="Q256" s="523"/>
      <c r="R256" s="534">
        <v>14.8</v>
      </c>
    </row>
    <row r="257" spans="1:18">
      <c r="A257" s="536"/>
      <c r="B257" s="537"/>
      <c r="C257" s="532"/>
      <c r="D257" s="538" t="s">
        <v>335</v>
      </c>
      <c r="E257" s="539"/>
      <c r="F257" s="539">
        <v>-6</v>
      </c>
      <c r="G257" s="540"/>
      <c r="H257" s="541">
        <v>4.37</v>
      </c>
      <c r="I257" s="542"/>
      <c r="J257" s="542">
        <v>4.12</v>
      </c>
      <c r="K257" s="542"/>
      <c r="L257" s="542">
        <v>0.28999999999999998</v>
      </c>
      <c r="M257" s="542"/>
      <c r="N257" s="542">
        <v>-0.04</v>
      </c>
      <c r="O257" s="523"/>
      <c r="P257" s="539" t="s">
        <v>348</v>
      </c>
      <c r="Q257" s="523"/>
      <c r="R257" s="534">
        <v>16.600000000000001</v>
      </c>
    </row>
    <row r="258" spans="1:18">
      <c r="A258" s="536"/>
      <c r="B258" s="537"/>
      <c r="C258" s="532"/>
      <c r="D258" s="538" t="s">
        <v>336</v>
      </c>
      <c r="E258" s="539"/>
      <c r="F258" s="539">
        <v>-6</v>
      </c>
      <c r="G258" s="540"/>
      <c r="H258" s="541">
        <v>4.42</v>
      </c>
      <c r="I258" s="542"/>
      <c r="J258" s="542">
        <v>4.17</v>
      </c>
      <c r="K258" s="542"/>
      <c r="L258" s="542">
        <v>0.28999999999999998</v>
      </c>
      <c r="M258" s="542"/>
      <c r="N258" s="542">
        <v>-0.04</v>
      </c>
      <c r="O258" s="523"/>
      <c r="P258" s="539" t="s">
        <v>348</v>
      </c>
      <c r="Q258" s="523"/>
      <c r="R258" s="534">
        <v>16.600000000000001</v>
      </c>
    </row>
    <row r="259" spans="1:18">
      <c r="A259" s="536"/>
      <c r="B259" s="537"/>
      <c r="C259" s="532"/>
      <c r="D259" s="538" t="s">
        <v>337</v>
      </c>
      <c r="E259" s="539"/>
      <c r="F259" s="539">
        <v>-6</v>
      </c>
      <c r="G259" s="540"/>
      <c r="H259" s="541">
        <v>4.34</v>
      </c>
      <c r="I259" s="542"/>
      <c r="J259" s="542">
        <v>4.09</v>
      </c>
      <c r="K259" s="542"/>
      <c r="L259" s="542">
        <v>0.28999999999999998</v>
      </c>
      <c r="M259" s="542"/>
      <c r="N259" s="542">
        <v>-0.04</v>
      </c>
      <c r="O259" s="523"/>
      <c r="P259" s="539" t="s">
        <v>348</v>
      </c>
      <c r="Q259" s="523"/>
      <c r="R259" s="534">
        <v>16.5</v>
      </c>
    </row>
    <row r="260" spans="1:18">
      <c r="A260" s="536"/>
      <c r="B260" s="537"/>
      <c r="C260" s="532"/>
      <c r="D260" s="527"/>
      <c r="E260" s="539"/>
      <c r="F260" s="539"/>
      <c r="G260" s="540"/>
      <c r="H260" s="543"/>
      <c r="I260" s="542"/>
      <c r="J260" s="542"/>
      <c r="K260" s="542"/>
      <c r="L260" s="542"/>
      <c r="M260" s="542"/>
      <c r="N260" s="542"/>
      <c r="O260" s="523"/>
      <c r="P260" s="539"/>
      <c r="Q260" s="523"/>
    </row>
    <row r="261" spans="1:18">
      <c r="A261" s="536">
        <v>343</v>
      </c>
      <c r="B261" s="537"/>
      <c r="C261" s="532"/>
      <c r="D261" s="545" t="s">
        <v>344</v>
      </c>
      <c r="E261" s="539"/>
      <c r="F261" s="546" t="s">
        <v>1688</v>
      </c>
      <c r="G261" s="540"/>
      <c r="H261" s="541">
        <v>4.7073962091322352</v>
      </c>
      <c r="I261" s="542"/>
      <c r="J261" s="542"/>
      <c r="K261" s="542"/>
      <c r="L261" s="542"/>
      <c r="M261" s="542"/>
      <c r="N261" s="542"/>
      <c r="O261" s="523"/>
      <c r="P261" s="539" t="str">
        <f>P259</f>
        <v>35-R2</v>
      </c>
      <c r="Q261" s="523"/>
      <c r="R261" s="534">
        <v>15.9</v>
      </c>
    </row>
    <row r="262" spans="1:18">
      <c r="A262" s="536"/>
      <c r="B262" s="537"/>
      <c r="C262" s="532"/>
      <c r="D262" s="527"/>
      <c r="E262" s="539"/>
      <c r="F262" s="539"/>
      <c r="G262" s="540"/>
      <c r="H262" s="543"/>
      <c r="I262" s="542"/>
      <c r="J262" s="542"/>
      <c r="K262" s="542"/>
      <c r="L262" s="542"/>
      <c r="M262" s="542"/>
      <c r="N262" s="542"/>
      <c r="O262" s="523"/>
      <c r="P262" s="539"/>
      <c r="Q262" s="523"/>
    </row>
    <row r="263" spans="1:18">
      <c r="A263" s="536"/>
      <c r="B263" s="537">
        <v>344</v>
      </c>
      <c r="C263" s="532"/>
      <c r="D263" s="527" t="s">
        <v>1341</v>
      </c>
      <c r="E263" s="527"/>
      <c r="F263" s="523"/>
      <c r="G263" s="540"/>
      <c r="H263" s="542"/>
      <c r="I263" s="542"/>
      <c r="J263" s="542"/>
      <c r="K263" s="542"/>
      <c r="L263" s="542"/>
      <c r="M263" s="542"/>
      <c r="N263" s="542"/>
      <c r="O263" s="523"/>
      <c r="P263" s="523"/>
      <c r="Q263" s="523"/>
    </row>
    <row r="264" spans="1:18">
      <c r="A264" s="536"/>
      <c r="B264" s="537"/>
      <c r="C264" s="532"/>
      <c r="D264" s="538" t="s">
        <v>1335</v>
      </c>
      <c r="E264" s="539"/>
      <c r="F264" s="539">
        <v>-4</v>
      </c>
      <c r="G264" s="540"/>
      <c r="H264" s="541">
        <v>4.05</v>
      </c>
      <c r="I264" s="542"/>
      <c r="J264" s="542">
        <v>3.71</v>
      </c>
      <c r="K264" s="542"/>
      <c r="L264" s="542">
        <v>0.41000000000000003</v>
      </c>
      <c r="M264" s="542"/>
      <c r="N264" s="542">
        <v>-6.9999999999999993E-2</v>
      </c>
      <c r="O264" s="523"/>
      <c r="P264" s="539" t="s">
        <v>1342</v>
      </c>
      <c r="Q264" s="523"/>
      <c r="R264" s="534">
        <v>15.4</v>
      </c>
    </row>
    <row r="265" spans="1:18">
      <c r="A265" s="536"/>
      <c r="B265" s="537"/>
      <c r="C265" s="532"/>
      <c r="D265" s="538" t="s">
        <v>339</v>
      </c>
      <c r="E265" s="539"/>
      <c r="F265" s="539">
        <v>-7</v>
      </c>
      <c r="G265" s="540"/>
      <c r="H265" s="541">
        <v>4.32</v>
      </c>
      <c r="I265" s="542"/>
      <c r="J265" s="542">
        <v>3.9600000000000004</v>
      </c>
      <c r="K265" s="542"/>
      <c r="L265" s="542">
        <v>0.44</v>
      </c>
      <c r="M265" s="542"/>
      <c r="N265" s="542">
        <v>-0.08</v>
      </c>
      <c r="O265" s="523"/>
      <c r="P265" s="539" t="s">
        <v>1342</v>
      </c>
      <c r="Q265" s="523"/>
      <c r="R265" s="534">
        <v>13.5</v>
      </c>
    </row>
    <row r="266" spans="1:18">
      <c r="A266" s="536"/>
      <c r="B266" s="537"/>
      <c r="C266" s="532"/>
      <c r="D266" s="538" t="s">
        <v>340</v>
      </c>
      <c r="E266" s="539"/>
      <c r="F266" s="539">
        <v>-5</v>
      </c>
      <c r="G266" s="540"/>
      <c r="H266" s="541">
        <v>4.38</v>
      </c>
      <c r="I266" s="542"/>
      <c r="J266" s="542">
        <v>4.0199999999999996</v>
      </c>
      <c r="K266" s="542"/>
      <c r="L266" s="542">
        <v>0.44</v>
      </c>
      <c r="M266" s="542"/>
      <c r="N266" s="542">
        <v>-0.08</v>
      </c>
      <c r="O266" s="523"/>
      <c r="P266" s="539" t="s">
        <v>1342</v>
      </c>
      <c r="Q266" s="523"/>
      <c r="R266" s="534">
        <v>13.5</v>
      </c>
    </row>
    <row r="267" spans="1:18">
      <c r="A267" s="536"/>
      <c r="B267" s="537"/>
      <c r="C267" s="532"/>
      <c r="D267" s="538" t="s">
        <v>1880</v>
      </c>
      <c r="E267" s="539"/>
      <c r="F267" s="539">
        <v>-9</v>
      </c>
      <c r="G267" s="540"/>
      <c r="H267" s="541">
        <v>4.6100000000000003</v>
      </c>
      <c r="I267" s="542"/>
      <c r="J267" s="542">
        <v>4.3900000000000006</v>
      </c>
      <c r="K267" s="542"/>
      <c r="L267" s="542">
        <v>0.26</v>
      </c>
      <c r="M267" s="542"/>
      <c r="N267" s="542">
        <v>-0.04</v>
      </c>
      <c r="O267" s="523"/>
      <c r="P267" s="539" t="s">
        <v>1883</v>
      </c>
      <c r="Q267" s="523"/>
      <c r="R267" s="534">
        <v>30</v>
      </c>
    </row>
    <row r="268" spans="1:18">
      <c r="A268" s="536"/>
      <c r="B268" s="537"/>
      <c r="C268" s="532"/>
      <c r="D268" s="538" t="s">
        <v>1643</v>
      </c>
      <c r="E268" s="539"/>
      <c r="F268" s="539">
        <v>-9</v>
      </c>
      <c r="G268" s="540"/>
      <c r="H268" s="541">
        <v>2.7</v>
      </c>
      <c r="I268" s="542"/>
      <c r="J268" s="542">
        <v>2.52</v>
      </c>
      <c r="K268" s="542"/>
      <c r="L268" s="542">
        <v>0.22999999999999998</v>
      </c>
      <c r="M268" s="542"/>
      <c r="N268" s="542">
        <v>-0.05</v>
      </c>
      <c r="O268" s="523"/>
      <c r="P268" s="539" t="s">
        <v>1342</v>
      </c>
      <c r="Q268" s="523"/>
      <c r="R268" s="534">
        <v>39</v>
      </c>
    </row>
    <row r="269" spans="1:18">
      <c r="A269" s="536"/>
      <c r="B269" s="537"/>
      <c r="C269" s="532"/>
      <c r="D269" s="538" t="s">
        <v>1330</v>
      </c>
      <c r="E269" s="539"/>
      <c r="F269" s="539">
        <v>-9</v>
      </c>
      <c r="G269" s="540"/>
      <c r="H269" s="541">
        <v>5.6800000000000006</v>
      </c>
      <c r="I269" s="542"/>
      <c r="J269" s="542">
        <v>5.46</v>
      </c>
      <c r="K269" s="542"/>
      <c r="L269" s="542">
        <v>0.33</v>
      </c>
      <c r="M269" s="542"/>
      <c r="N269" s="542">
        <v>-0.11</v>
      </c>
      <c r="O269" s="523"/>
      <c r="P269" s="539" t="s">
        <v>1342</v>
      </c>
      <c r="Q269" s="523"/>
      <c r="R269" s="534">
        <v>2.5</v>
      </c>
    </row>
    <row r="270" spans="1:18">
      <c r="A270" s="536"/>
      <c r="B270" s="537"/>
      <c r="C270" s="532"/>
      <c r="D270" s="538" t="s">
        <v>1338</v>
      </c>
      <c r="E270" s="539"/>
      <c r="F270" s="539">
        <v>-9</v>
      </c>
      <c r="G270" s="540"/>
      <c r="H270" s="541">
        <v>0</v>
      </c>
      <c r="I270" s="542"/>
      <c r="J270" s="542">
        <v>0</v>
      </c>
      <c r="K270" s="542"/>
      <c r="L270" s="542">
        <v>0</v>
      </c>
      <c r="M270" s="542"/>
      <c r="N270" s="542">
        <v>0</v>
      </c>
      <c r="O270" s="523"/>
      <c r="P270" s="539" t="s">
        <v>1342</v>
      </c>
      <c r="Q270" s="523"/>
      <c r="R270" s="534" t="s">
        <v>1288</v>
      </c>
    </row>
    <row r="271" spans="1:18">
      <c r="A271" s="536"/>
      <c r="B271" s="537"/>
      <c r="C271" s="532"/>
      <c r="D271" s="538" t="s">
        <v>1333</v>
      </c>
      <c r="E271" s="539"/>
      <c r="F271" s="539"/>
      <c r="G271" s="540"/>
      <c r="H271" s="541">
        <v>0</v>
      </c>
      <c r="I271" s="542"/>
      <c r="J271" s="542">
        <v>0</v>
      </c>
      <c r="K271" s="542"/>
      <c r="L271" s="542">
        <v>0</v>
      </c>
      <c r="M271" s="542"/>
      <c r="N271" s="542">
        <v>0</v>
      </c>
      <c r="O271" s="523"/>
      <c r="P271" s="539" t="s">
        <v>1342</v>
      </c>
      <c r="Q271" s="523"/>
      <c r="R271" s="534" t="s">
        <v>1288</v>
      </c>
    </row>
    <row r="272" spans="1:18">
      <c r="A272" s="536"/>
      <c r="B272" s="537"/>
      <c r="C272" s="532"/>
      <c r="D272" s="538" t="s">
        <v>1334</v>
      </c>
      <c r="E272" s="539"/>
      <c r="F272" s="539">
        <v>-9</v>
      </c>
      <c r="G272" s="540"/>
      <c r="H272" s="541">
        <v>4.3600000000000003</v>
      </c>
      <c r="I272" s="542"/>
      <c r="J272" s="542">
        <v>4</v>
      </c>
      <c r="K272" s="542"/>
      <c r="L272" s="542">
        <v>0.44</v>
      </c>
      <c r="M272" s="542"/>
      <c r="N272" s="542">
        <v>-0.08</v>
      </c>
      <c r="O272" s="523"/>
      <c r="P272" s="539" t="s">
        <v>1342</v>
      </c>
      <c r="Q272" s="523"/>
      <c r="R272" s="534">
        <v>15.4</v>
      </c>
    </row>
    <row r="273" spans="1:18">
      <c r="A273" s="536"/>
      <c r="B273" s="537"/>
      <c r="C273" s="532"/>
      <c r="D273" s="538" t="s">
        <v>338</v>
      </c>
      <c r="E273" s="539"/>
      <c r="F273" s="539">
        <v>-9</v>
      </c>
      <c r="G273" s="540"/>
      <c r="H273" s="541">
        <v>3.66</v>
      </c>
      <c r="I273" s="542"/>
      <c r="J273" s="542">
        <v>3.45</v>
      </c>
      <c r="K273" s="542"/>
      <c r="L273" s="542">
        <v>0.27999999999999997</v>
      </c>
      <c r="M273" s="542"/>
      <c r="N273" s="542">
        <v>-6.9999999999999993E-2</v>
      </c>
      <c r="O273" s="523"/>
      <c r="P273" s="539" t="s">
        <v>1342</v>
      </c>
      <c r="Q273" s="523"/>
      <c r="R273" s="534">
        <v>18.399999999999999</v>
      </c>
    </row>
    <row r="274" spans="1:18">
      <c r="A274" s="527"/>
      <c r="B274" s="537"/>
      <c r="C274" s="532"/>
      <c r="D274" s="538" t="s">
        <v>1336</v>
      </c>
      <c r="E274" s="539"/>
      <c r="F274" s="539">
        <v>-6</v>
      </c>
      <c r="G274" s="540"/>
      <c r="H274" s="541">
        <v>3.73</v>
      </c>
      <c r="I274" s="542"/>
      <c r="J274" s="542">
        <v>3.52</v>
      </c>
      <c r="K274" s="542"/>
      <c r="L274" s="542">
        <v>0.27999999999999997</v>
      </c>
      <c r="M274" s="542"/>
      <c r="N274" s="542">
        <v>-6.9999999999999993E-2</v>
      </c>
      <c r="O274" s="523"/>
      <c r="P274" s="539" t="s">
        <v>1342</v>
      </c>
      <c r="Q274" s="523"/>
      <c r="R274" s="534">
        <v>16.399999999999999</v>
      </c>
    </row>
    <row r="275" spans="1:18">
      <c r="A275" s="536"/>
      <c r="B275" s="537"/>
      <c r="C275" s="532"/>
      <c r="D275" s="538" t="s">
        <v>334</v>
      </c>
      <c r="E275" s="539"/>
      <c r="F275" s="539">
        <v>-6</v>
      </c>
      <c r="G275" s="540"/>
      <c r="H275" s="541">
        <v>3.73</v>
      </c>
      <c r="I275" s="542"/>
      <c r="J275" s="542">
        <v>3.52</v>
      </c>
      <c r="K275" s="542"/>
      <c r="L275" s="542">
        <v>0.27999999999999997</v>
      </c>
      <c r="M275" s="542"/>
      <c r="N275" s="542">
        <v>-6.9999999999999993E-2</v>
      </c>
      <c r="O275" s="523"/>
      <c r="P275" s="539" t="s">
        <v>1342</v>
      </c>
      <c r="Q275" s="523"/>
      <c r="R275" s="534">
        <v>16.399999999999999</v>
      </c>
    </row>
    <row r="276" spans="1:18">
      <c r="A276" s="536"/>
      <c r="B276" s="537"/>
      <c r="C276" s="532"/>
      <c r="D276" s="538" t="s">
        <v>335</v>
      </c>
      <c r="E276" s="539"/>
      <c r="F276" s="539">
        <v>-6</v>
      </c>
      <c r="G276" s="540"/>
      <c r="H276" s="541">
        <v>3.6399999999999997</v>
      </c>
      <c r="I276" s="542"/>
      <c r="J276" s="542">
        <v>3.4299999999999997</v>
      </c>
      <c r="K276" s="542"/>
      <c r="L276" s="542">
        <v>0.27999999999999997</v>
      </c>
      <c r="M276" s="542"/>
      <c r="N276" s="542">
        <v>-6.9999999999999993E-2</v>
      </c>
      <c r="O276" s="523"/>
      <c r="P276" s="539" t="s">
        <v>1342</v>
      </c>
      <c r="Q276" s="523"/>
      <c r="R276" s="534">
        <v>18.399999999999999</v>
      </c>
    </row>
    <row r="277" spans="1:18">
      <c r="A277" s="536"/>
      <c r="B277" s="537"/>
      <c r="C277" s="532"/>
      <c r="D277" s="538" t="s">
        <v>336</v>
      </c>
      <c r="E277" s="539"/>
      <c r="F277" s="539">
        <v>-6</v>
      </c>
      <c r="G277" s="540"/>
      <c r="H277" s="541">
        <v>3.6399999999999997</v>
      </c>
      <c r="I277" s="542"/>
      <c r="J277" s="542">
        <v>3.4299999999999997</v>
      </c>
      <c r="K277" s="542"/>
      <c r="L277" s="542">
        <v>0.27999999999999997</v>
      </c>
      <c r="M277" s="542"/>
      <c r="N277" s="542">
        <v>-6.9999999999999993E-2</v>
      </c>
      <c r="O277" s="523"/>
      <c r="P277" s="539" t="s">
        <v>1342</v>
      </c>
      <c r="Q277" s="523"/>
      <c r="R277" s="534">
        <v>18.399999999999999</v>
      </c>
    </row>
    <row r="278" spans="1:18">
      <c r="A278" s="536"/>
      <c r="B278" s="537"/>
      <c r="C278" s="532"/>
      <c r="D278" s="538" t="s">
        <v>337</v>
      </c>
      <c r="E278" s="539"/>
      <c r="F278" s="539">
        <v>-6</v>
      </c>
      <c r="G278" s="540"/>
      <c r="H278" s="541">
        <v>3.66</v>
      </c>
      <c r="I278" s="542"/>
      <c r="J278" s="542">
        <v>3.45</v>
      </c>
      <c r="K278" s="542"/>
      <c r="L278" s="542">
        <v>0.27999999999999997</v>
      </c>
      <c r="M278" s="542"/>
      <c r="N278" s="542">
        <v>-6.9999999999999993E-2</v>
      </c>
      <c r="O278" s="523"/>
      <c r="P278" s="539" t="s">
        <v>1342</v>
      </c>
      <c r="Q278" s="523"/>
      <c r="R278" s="534">
        <v>18.399999999999999</v>
      </c>
    </row>
    <row r="279" spans="1:18">
      <c r="A279" s="536"/>
      <c r="B279" s="537"/>
      <c r="C279" s="532"/>
      <c r="D279" s="538" t="s">
        <v>1332</v>
      </c>
      <c r="E279" s="539"/>
      <c r="F279" s="539">
        <v>-6</v>
      </c>
      <c r="G279" s="540"/>
      <c r="H279" s="541">
        <v>0</v>
      </c>
      <c r="I279" s="542"/>
      <c r="J279" s="542">
        <v>0</v>
      </c>
      <c r="K279" s="542"/>
      <c r="L279" s="542">
        <v>0</v>
      </c>
      <c r="M279" s="542"/>
      <c r="N279" s="542">
        <v>0</v>
      </c>
      <c r="O279" s="523"/>
      <c r="P279" s="539" t="s">
        <v>1342</v>
      </c>
      <c r="Q279" s="523"/>
      <c r="R279" s="534">
        <v>0</v>
      </c>
    </row>
    <row r="280" spans="1:18">
      <c r="A280" s="536"/>
      <c r="B280" s="537"/>
      <c r="C280" s="532"/>
      <c r="D280" s="527"/>
      <c r="E280" s="539"/>
      <c r="F280" s="539"/>
      <c r="G280" s="540"/>
      <c r="H280" s="543"/>
      <c r="I280" s="542"/>
      <c r="J280" s="542"/>
      <c r="K280" s="542"/>
      <c r="L280" s="542"/>
      <c r="M280" s="542"/>
      <c r="N280" s="542"/>
      <c r="O280" s="523"/>
      <c r="P280" s="539"/>
      <c r="Q280" s="523"/>
    </row>
    <row r="281" spans="1:18">
      <c r="A281" s="536">
        <v>344</v>
      </c>
      <c r="B281" s="537"/>
      <c r="C281" s="532"/>
      <c r="D281" s="545" t="s">
        <v>345</v>
      </c>
      <c r="E281" s="539"/>
      <c r="F281" s="546" t="s">
        <v>1687</v>
      </c>
      <c r="G281" s="540"/>
      <c r="H281" s="541">
        <v>3.0642465844264475</v>
      </c>
      <c r="I281" s="542"/>
      <c r="J281" s="542"/>
      <c r="K281" s="542"/>
      <c r="L281" s="542"/>
      <c r="M281" s="542"/>
      <c r="N281" s="542"/>
      <c r="O281" s="523"/>
      <c r="P281" s="539" t="str">
        <f>P279</f>
        <v>60-S3</v>
      </c>
      <c r="Q281" s="523"/>
      <c r="R281" s="534">
        <v>24.6</v>
      </c>
    </row>
    <row r="282" spans="1:18">
      <c r="A282" s="536"/>
      <c r="B282" s="537"/>
      <c r="C282" s="532"/>
      <c r="D282" s="527"/>
      <c r="E282" s="539"/>
      <c r="F282" s="539"/>
      <c r="G282" s="540"/>
      <c r="H282" s="543"/>
      <c r="I282" s="542"/>
      <c r="J282" s="542"/>
      <c r="K282" s="542"/>
      <c r="L282" s="542"/>
      <c r="M282" s="542"/>
      <c r="N282" s="542"/>
      <c r="O282" s="523"/>
      <c r="P282" s="539"/>
      <c r="Q282" s="523"/>
    </row>
    <row r="283" spans="1:18">
      <c r="A283" s="536"/>
      <c r="B283" s="537">
        <v>345</v>
      </c>
      <c r="C283" s="532"/>
      <c r="D283" s="527" t="s">
        <v>346</v>
      </c>
      <c r="E283" s="527"/>
      <c r="F283" s="523"/>
      <c r="G283" s="540"/>
      <c r="H283" s="542"/>
      <c r="I283" s="542"/>
      <c r="J283" s="542"/>
      <c r="K283" s="542"/>
      <c r="L283" s="542"/>
      <c r="M283" s="542"/>
      <c r="N283" s="542"/>
      <c r="O283" s="523"/>
      <c r="P283" s="523"/>
      <c r="Q283" s="523"/>
    </row>
    <row r="284" spans="1:18">
      <c r="A284" s="536"/>
      <c r="B284" s="537"/>
      <c r="C284" s="532"/>
      <c r="D284" s="538" t="s">
        <v>1335</v>
      </c>
      <c r="E284" s="539"/>
      <c r="F284" s="539">
        <v>-4</v>
      </c>
      <c r="G284" s="540"/>
      <c r="H284" s="541">
        <v>4.0199999999999996</v>
      </c>
      <c r="I284" s="542"/>
      <c r="J284" s="542">
        <v>3.6900000000000004</v>
      </c>
      <c r="K284" s="542"/>
      <c r="L284" s="542">
        <v>0.33</v>
      </c>
      <c r="M284" s="542"/>
      <c r="N284" s="542">
        <v>0</v>
      </c>
      <c r="O284" s="523"/>
      <c r="P284" s="539" t="s">
        <v>1645</v>
      </c>
      <c r="Q284" s="523"/>
      <c r="R284" s="534">
        <v>14.9</v>
      </c>
    </row>
    <row r="285" spans="1:18">
      <c r="A285" s="536"/>
      <c r="B285" s="537"/>
      <c r="C285" s="532"/>
      <c r="D285" s="538" t="s">
        <v>339</v>
      </c>
      <c r="E285" s="539"/>
      <c r="F285" s="539">
        <v>-7</v>
      </c>
      <c r="G285" s="540"/>
      <c r="H285" s="541">
        <v>4.4799999999999995</v>
      </c>
      <c r="I285" s="542"/>
      <c r="J285" s="542">
        <v>4.1099999999999994</v>
      </c>
      <c r="K285" s="542"/>
      <c r="L285" s="542">
        <v>0.37</v>
      </c>
      <c r="M285" s="542"/>
      <c r="N285" s="542">
        <v>0</v>
      </c>
      <c r="O285" s="523"/>
      <c r="P285" s="539" t="s">
        <v>1645</v>
      </c>
      <c r="Q285" s="523"/>
      <c r="R285" s="534">
        <v>13.1</v>
      </c>
    </row>
    <row r="286" spans="1:18">
      <c r="A286" s="536"/>
      <c r="B286" s="537"/>
      <c r="C286" s="532"/>
      <c r="D286" s="538" t="s">
        <v>340</v>
      </c>
      <c r="E286" s="539"/>
      <c r="F286" s="539">
        <v>-5</v>
      </c>
      <c r="G286" s="540"/>
      <c r="H286" s="541">
        <v>4.51</v>
      </c>
      <c r="I286" s="542"/>
      <c r="J286" s="542">
        <v>4.1399999999999997</v>
      </c>
      <c r="K286" s="542"/>
      <c r="L286" s="542">
        <v>0.37</v>
      </c>
      <c r="M286" s="542"/>
      <c r="N286" s="542">
        <v>0</v>
      </c>
      <c r="O286" s="523"/>
      <c r="P286" s="539" t="s">
        <v>1645</v>
      </c>
      <c r="Q286" s="523"/>
      <c r="R286" s="534">
        <v>13</v>
      </c>
    </row>
    <row r="287" spans="1:18">
      <c r="A287" s="536"/>
      <c r="B287" s="537"/>
      <c r="C287" s="532"/>
      <c r="D287" s="538" t="s">
        <v>1880</v>
      </c>
      <c r="E287" s="539"/>
      <c r="F287" s="539">
        <v>-9</v>
      </c>
      <c r="G287" s="540"/>
      <c r="H287" s="541">
        <v>4.3600000000000003</v>
      </c>
      <c r="I287" s="542"/>
      <c r="J287" s="542">
        <v>4.1500000000000004</v>
      </c>
      <c r="K287" s="542"/>
      <c r="L287" s="542">
        <v>0.21</v>
      </c>
      <c r="M287" s="542"/>
      <c r="N287" s="542">
        <v>0</v>
      </c>
      <c r="O287" s="523"/>
      <c r="P287" s="539" t="s">
        <v>342</v>
      </c>
      <c r="Q287" s="523"/>
      <c r="R287" s="534">
        <v>45</v>
      </c>
    </row>
    <row r="288" spans="1:18">
      <c r="A288" s="536"/>
      <c r="B288" s="537"/>
      <c r="C288" s="532"/>
      <c r="D288" s="538" t="s">
        <v>1643</v>
      </c>
      <c r="E288" s="539"/>
      <c r="F288" s="539">
        <v>-9</v>
      </c>
      <c r="G288" s="540"/>
      <c r="H288" s="541">
        <v>2.88</v>
      </c>
      <c r="I288" s="542"/>
      <c r="J288" s="542">
        <v>2.69</v>
      </c>
      <c r="K288" s="542"/>
      <c r="L288" s="542">
        <v>0.19</v>
      </c>
      <c r="M288" s="542"/>
      <c r="N288" s="542">
        <v>0</v>
      </c>
      <c r="O288" s="523"/>
      <c r="P288" s="539" t="s">
        <v>1645</v>
      </c>
      <c r="Q288" s="523"/>
      <c r="R288" s="534">
        <v>36.5</v>
      </c>
    </row>
    <row r="289" spans="1:18">
      <c r="A289" s="536"/>
      <c r="B289" s="537"/>
      <c r="C289" s="532"/>
      <c r="D289" s="538" t="s">
        <v>1330</v>
      </c>
      <c r="E289" s="539"/>
      <c r="F289" s="539">
        <v>-9</v>
      </c>
      <c r="G289" s="540"/>
      <c r="H289" s="541">
        <v>5.37</v>
      </c>
      <c r="I289" s="542"/>
      <c r="J289" s="542">
        <v>5.16</v>
      </c>
      <c r="K289" s="542"/>
      <c r="L289" s="542">
        <v>0.21</v>
      </c>
      <c r="M289" s="542"/>
      <c r="N289" s="542">
        <v>0</v>
      </c>
      <c r="O289" s="523"/>
      <c r="P289" s="539" t="s">
        <v>1645</v>
      </c>
      <c r="Q289" s="523"/>
      <c r="R289" s="534">
        <v>2.5</v>
      </c>
    </row>
    <row r="290" spans="1:18">
      <c r="A290" s="536"/>
      <c r="B290" s="537"/>
      <c r="C290" s="532"/>
      <c r="D290" s="538" t="s">
        <v>1338</v>
      </c>
      <c r="E290" s="539"/>
      <c r="F290" s="539">
        <v>-9</v>
      </c>
      <c r="G290" s="540"/>
      <c r="H290" s="541">
        <v>38.28</v>
      </c>
      <c r="I290" s="542"/>
      <c r="J290" s="542">
        <v>35.120000000000005</v>
      </c>
      <c r="K290" s="542"/>
      <c r="L290" s="542">
        <v>3.16</v>
      </c>
      <c r="M290" s="542"/>
      <c r="N290" s="542">
        <v>0</v>
      </c>
      <c r="O290" s="523"/>
      <c r="P290" s="539" t="s">
        <v>1645</v>
      </c>
      <c r="Q290" s="523"/>
      <c r="R290" s="534">
        <v>2.5</v>
      </c>
    </row>
    <row r="291" spans="1:18">
      <c r="A291" s="536"/>
      <c r="B291" s="537"/>
      <c r="C291" s="532"/>
      <c r="D291" s="538" t="s">
        <v>1333</v>
      </c>
      <c r="E291" s="539"/>
      <c r="F291" s="539"/>
      <c r="G291" s="540"/>
      <c r="H291" s="541">
        <v>18.329999999999998</v>
      </c>
      <c r="I291" s="542"/>
      <c r="J291" s="542">
        <v>16.82</v>
      </c>
      <c r="K291" s="542"/>
      <c r="L291" s="542">
        <v>1.51</v>
      </c>
      <c r="M291" s="542"/>
      <c r="N291" s="542">
        <v>0</v>
      </c>
      <c r="O291" s="523"/>
      <c r="P291" s="539" t="s">
        <v>1645</v>
      </c>
      <c r="Q291" s="523"/>
      <c r="R291" s="534">
        <v>2.5</v>
      </c>
    </row>
    <row r="292" spans="1:18">
      <c r="A292" s="536"/>
      <c r="B292" s="537"/>
      <c r="C292" s="532"/>
      <c r="D292" s="538" t="s">
        <v>1334</v>
      </c>
      <c r="E292" s="539"/>
      <c r="F292" s="539">
        <v>-9</v>
      </c>
      <c r="G292" s="540"/>
      <c r="H292" s="541">
        <v>4.1000000000000005</v>
      </c>
      <c r="I292" s="542"/>
      <c r="J292" s="542">
        <v>3.7600000000000002</v>
      </c>
      <c r="K292" s="542"/>
      <c r="L292" s="542">
        <v>0.33999999999999997</v>
      </c>
      <c r="M292" s="542"/>
      <c r="N292" s="542">
        <v>0</v>
      </c>
      <c r="O292" s="523"/>
      <c r="P292" s="539" t="s">
        <v>1645</v>
      </c>
      <c r="Q292" s="523"/>
      <c r="R292" s="534">
        <v>14.9</v>
      </c>
    </row>
    <row r="293" spans="1:18">
      <c r="A293" s="527"/>
      <c r="B293" s="537"/>
      <c r="C293" s="532"/>
      <c r="D293" s="538" t="s">
        <v>338</v>
      </c>
      <c r="E293" s="539"/>
      <c r="F293" s="539">
        <v>-9</v>
      </c>
      <c r="G293" s="540"/>
      <c r="H293" s="541">
        <v>3.88</v>
      </c>
      <c r="I293" s="542"/>
      <c r="J293" s="542">
        <v>3.66</v>
      </c>
      <c r="K293" s="542"/>
      <c r="L293" s="542">
        <v>0.22</v>
      </c>
      <c r="M293" s="542"/>
      <c r="N293" s="542">
        <v>0</v>
      </c>
      <c r="O293" s="523"/>
      <c r="P293" s="539" t="s">
        <v>1645</v>
      </c>
      <c r="Q293" s="523"/>
      <c r="R293" s="534">
        <v>17.899999999999999</v>
      </c>
    </row>
    <row r="294" spans="1:18">
      <c r="A294" s="536"/>
      <c r="B294" s="537"/>
      <c r="C294" s="532"/>
      <c r="D294" s="538" t="s">
        <v>1336</v>
      </c>
      <c r="E294" s="539"/>
      <c r="F294" s="539">
        <v>-6</v>
      </c>
      <c r="G294" s="540"/>
      <c r="H294" s="541">
        <v>4.26</v>
      </c>
      <c r="I294" s="542"/>
      <c r="J294" s="542">
        <v>4.0199999999999996</v>
      </c>
      <c r="K294" s="542"/>
      <c r="L294" s="542">
        <v>0.24</v>
      </c>
      <c r="M294" s="542"/>
      <c r="N294" s="542">
        <v>0</v>
      </c>
      <c r="O294" s="523"/>
      <c r="P294" s="539" t="s">
        <v>1645</v>
      </c>
      <c r="Q294" s="523"/>
      <c r="R294" s="534">
        <v>16</v>
      </c>
    </row>
    <row r="295" spans="1:18">
      <c r="A295" s="536"/>
      <c r="B295" s="537"/>
      <c r="C295" s="532"/>
      <c r="D295" s="538" t="s">
        <v>334</v>
      </c>
      <c r="E295" s="539"/>
      <c r="F295" s="539">
        <v>-6</v>
      </c>
      <c r="G295" s="540"/>
      <c r="H295" s="541">
        <v>3.9800000000000004</v>
      </c>
      <c r="I295" s="542"/>
      <c r="J295" s="542">
        <v>3.75</v>
      </c>
      <c r="K295" s="542"/>
      <c r="L295" s="542">
        <v>0.22999999999999998</v>
      </c>
      <c r="M295" s="542"/>
      <c r="N295" s="542">
        <v>0</v>
      </c>
      <c r="O295" s="523"/>
      <c r="P295" s="539" t="s">
        <v>1645</v>
      </c>
      <c r="Q295" s="523"/>
      <c r="R295" s="534">
        <v>15.9</v>
      </c>
    </row>
    <row r="296" spans="1:18">
      <c r="A296" s="536"/>
      <c r="B296" s="537"/>
      <c r="C296" s="532"/>
      <c r="D296" s="538" t="s">
        <v>335</v>
      </c>
      <c r="E296" s="539"/>
      <c r="F296" s="539">
        <v>-6</v>
      </c>
      <c r="G296" s="540"/>
      <c r="H296" s="541">
        <v>4.0599999999999996</v>
      </c>
      <c r="I296" s="542"/>
      <c r="J296" s="542">
        <v>3.83</v>
      </c>
      <c r="K296" s="542"/>
      <c r="L296" s="542">
        <v>0.22999999999999998</v>
      </c>
      <c r="M296" s="542"/>
      <c r="N296" s="542">
        <v>0</v>
      </c>
      <c r="O296" s="523"/>
      <c r="P296" s="539" t="s">
        <v>1645</v>
      </c>
      <c r="Q296" s="523"/>
      <c r="R296" s="534">
        <v>18</v>
      </c>
    </row>
    <row r="297" spans="1:18">
      <c r="A297" s="536"/>
      <c r="B297" s="537"/>
      <c r="C297" s="532"/>
      <c r="D297" s="538" t="s">
        <v>336</v>
      </c>
      <c r="E297" s="539"/>
      <c r="F297" s="539">
        <v>-6</v>
      </c>
      <c r="G297" s="540"/>
      <c r="H297" s="541">
        <v>3.6799999999999997</v>
      </c>
      <c r="I297" s="542"/>
      <c r="J297" s="542">
        <v>3.47</v>
      </c>
      <c r="K297" s="542"/>
      <c r="L297" s="542">
        <v>0.21</v>
      </c>
      <c r="M297" s="542"/>
      <c r="N297" s="542">
        <v>0</v>
      </c>
      <c r="O297" s="523"/>
      <c r="P297" s="539" t="s">
        <v>1645</v>
      </c>
      <c r="Q297" s="523"/>
      <c r="R297" s="534">
        <v>17.8</v>
      </c>
    </row>
    <row r="298" spans="1:18">
      <c r="A298" s="536"/>
      <c r="B298" s="537"/>
      <c r="C298" s="532"/>
      <c r="D298" s="538" t="s">
        <v>337</v>
      </c>
      <c r="E298" s="539"/>
      <c r="F298" s="539">
        <v>-6</v>
      </c>
      <c r="G298" s="540"/>
      <c r="H298" s="541">
        <v>3.8699999999999997</v>
      </c>
      <c r="I298" s="542"/>
      <c r="J298" s="542">
        <v>3.65</v>
      </c>
      <c r="K298" s="542"/>
      <c r="L298" s="542">
        <v>0.22</v>
      </c>
      <c r="M298" s="542"/>
      <c r="N298" s="542">
        <v>0</v>
      </c>
      <c r="O298" s="523"/>
      <c r="P298" s="539" t="s">
        <v>1645</v>
      </c>
      <c r="Q298" s="523"/>
      <c r="R298" s="534">
        <v>17.899999999999999</v>
      </c>
    </row>
    <row r="299" spans="1:18">
      <c r="A299" s="536"/>
      <c r="B299" s="537"/>
      <c r="C299" s="532"/>
      <c r="D299" s="538" t="s">
        <v>1332</v>
      </c>
      <c r="E299" s="539"/>
      <c r="F299" s="539">
        <v>-6</v>
      </c>
      <c r="G299" s="540"/>
      <c r="H299" s="541">
        <v>14.600000000000001</v>
      </c>
      <c r="I299" s="542"/>
      <c r="J299" s="542">
        <v>13.900000000000002</v>
      </c>
      <c r="K299" s="542"/>
      <c r="L299" s="542">
        <v>0.70000000000000007</v>
      </c>
      <c r="M299" s="542"/>
      <c r="N299" s="542">
        <v>0</v>
      </c>
      <c r="O299" s="523"/>
      <c r="P299" s="539" t="s">
        <v>1645</v>
      </c>
      <c r="Q299" s="523"/>
      <c r="R299" s="534">
        <v>3.4</v>
      </c>
    </row>
    <row r="300" spans="1:18">
      <c r="A300" s="536"/>
      <c r="B300" s="537"/>
      <c r="C300" s="532"/>
      <c r="D300" s="527"/>
      <c r="E300" s="539"/>
      <c r="F300" s="539"/>
      <c r="G300" s="540"/>
      <c r="H300" s="543"/>
      <c r="I300" s="542"/>
      <c r="J300" s="542"/>
      <c r="K300" s="542"/>
      <c r="L300" s="542"/>
      <c r="M300" s="542"/>
      <c r="N300" s="542"/>
      <c r="O300" s="523"/>
      <c r="P300" s="539"/>
      <c r="Q300" s="523"/>
    </row>
    <row r="301" spans="1:18">
      <c r="A301" s="536">
        <v>345</v>
      </c>
      <c r="B301" s="537"/>
      <c r="C301" s="532"/>
      <c r="D301" s="545" t="s">
        <v>347</v>
      </c>
      <c r="E301" s="539"/>
      <c r="F301" s="546" t="s">
        <v>1687</v>
      </c>
      <c r="G301" s="540"/>
      <c r="H301" s="541">
        <v>4.8924262122443825</v>
      </c>
      <c r="I301" s="542"/>
      <c r="J301" s="542"/>
      <c r="K301" s="542"/>
      <c r="L301" s="542"/>
      <c r="M301" s="542"/>
      <c r="N301" s="542"/>
      <c r="O301" s="523"/>
      <c r="P301" s="539" t="str">
        <f>P299</f>
        <v>45-S2.5</v>
      </c>
      <c r="Q301" s="523"/>
      <c r="R301" s="534">
        <v>15.4</v>
      </c>
    </row>
    <row r="302" spans="1:18">
      <c r="A302" s="536"/>
      <c r="B302" s="537"/>
      <c r="C302" s="532"/>
      <c r="D302" s="527"/>
      <c r="E302" s="539"/>
      <c r="F302" s="539"/>
      <c r="G302" s="540"/>
      <c r="H302" s="543"/>
      <c r="I302" s="542"/>
      <c r="J302" s="542"/>
      <c r="K302" s="542"/>
      <c r="L302" s="542"/>
      <c r="M302" s="542"/>
      <c r="N302" s="542"/>
      <c r="O302" s="523"/>
      <c r="P302" s="539"/>
      <c r="Q302" s="523"/>
    </row>
    <row r="303" spans="1:18">
      <c r="A303" s="536"/>
      <c r="B303" s="537">
        <v>346</v>
      </c>
      <c r="C303" s="532"/>
      <c r="D303" s="527" t="s">
        <v>1646</v>
      </c>
      <c r="E303" s="527"/>
      <c r="F303" s="523"/>
      <c r="G303" s="540"/>
      <c r="H303" s="542"/>
      <c r="I303" s="542"/>
      <c r="J303" s="542"/>
      <c r="K303" s="542"/>
      <c r="L303" s="542"/>
      <c r="M303" s="542"/>
      <c r="N303" s="542"/>
      <c r="O303" s="523"/>
      <c r="P303" s="523"/>
      <c r="Q303" s="523"/>
    </row>
    <row r="304" spans="1:18">
      <c r="A304" s="536"/>
      <c r="B304" s="537"/>
      <c r="C304" s="532"/>
      <c r="D304" s="538" t="s">
        <v>1335</v>
      </c>
      <c r="E304" s="539"/>
      <c r="F304" s="539">
        <v>-7</v>
      </c>
      <c r="G304" s="540"/>
      <c r="H304" s="541">
        <v>4.01</v>
      </c>
      <c r="I304" s="542"/>
      <c r="J304" s="542">
        <v>3.6799999999999997</v>
      </c>
      <c r="K304" s="542"/>
      <c r="L304" s="542">
        <v>0.33</v>
      </c>
      <c r="M304" s="542"/>
      <c r="N304" s="542">
        <v>0</v>
      </c>
      <c r="O304" s="523"/>
      <c r="P304" s="539" t="s">
        <v>1647</v>
      </c>
      <c r="Q304" s="523"/>
      <c r="R304" s="534">
        <v>15.3</v>
      </c>
    </row>
    <row r="305" spans="1:18">
      <c r="A305" s="536"/>
      <c r="B305" s="537"/>
      <c r="C305" s="532"/>
      <c r="D305" s="538" t="s">
        <v>339</v>
      </c>
      <c r="E305" s="539"/>
      <c r="F305" s="539">
        <v>-5</v>
      </c>
      <c r="G305" s="540"/>
      <c r="H305" s="541">
        <v>4.3600000000000003</v>
      </c>
      <c r="I305" s="542"/>
      <c r="J305" s="542">
        <v>4</v>
      </c>
      <c r="K305" s="542"/>
      <c r="L305" s="542">
        <v>0.36</v>
      </c>
      <c r="M305" s="542"/>
      <c r="N305" s="542">
        <v>0</v>
      </c>
      <c r="O305" s="523"/>
      <c r="P305" s="539" t="s">
        <v>1647</v>
      </c>
      <c r="Q305" s="523"/>
      <c r="R305" s="534">
        <v>13.4</v>
      </c>
    </row>
    <row r="306" spans="1:18">
      <c r="A306" s="536"/>
      <c r="B306" s="537"/>
      <c r="C306" s="532"/>
      <c r="D306" s="538" t="s">
        <v>340</v>
      </c>
      <c r="E306" s="539"/>
      <c r="F306" s="539">
        <v>-9</v>
      </c>
      <c r="G306" s="540"/>
      <c r="H306" s="541">
        <v>4.42</v>
      </c>
      <c r="I306" s="542"/>
      <c r="J306" s="542">
        <v>4.0599999999999996</v>
      </c>
      <c r="K306" s="542"/>
      <c r="L306" s="542">
        <v>0.36</v>
      </c>
      <c r="M306" s="542"/>
      <c r="N306" s="542">
        <v>0</v>
      </c>
      <c r="O306" s="523"/>
      <c r="P306" s="539" t="s">
        <v>1647</v>
      </c>
      <c r="Q306" s="523"/>
      <c r="R306" s="534">
        <v>13.4</v>
      </c>
    </row>
    <row r="307" spans="1:18">
      <c r="A307" s="536"/>
      <c r="B307" s="537"/>
      <c r="C307" s="532"/>
      <c r="D307" s="538" t="s">
        <v>1880</v>
      </c>
      <c r="E307" s="539"/>
      <c r="F307" s="539"/>
      <c r="G307" s="540"/>
      <c r="H307" s="541">
        <v>4.25</v>
      </c>
      <c r="I307" s="542"/>
      <c r="J307" s="542">
        <v>4.25</v>
      </c>
      <c r="K307" s="542"/>
      <c r="L307" s="542">
        <v>0</v>
      </c>
      <c r="M307" s="542"/>
      <c r="N307" s="542">
        <v>0</v>
      </c>
      <c r="O307" s="523"/>
      <c r="P307" s="539" t="s">
        <v>1884</v>
      </c>
      <c r="Q307" s="523"/>
      <c r="R307" s="534">
        <v>32</v>
      </c>
    </row>
    <row r="308" spans="1:18">
      <c r="A308" s="536"/>
      <c r="B308" s="537"/>
      <c r="C308" s="532"/>
      <c r="D308" s="557" t="s">
        <v>1643</v>
      </c>
      <c r="E308" s="539"/>
      <c r="F308" s="539">
        <v>-9</v>
      </c>
      <c r="G308" s="540"/>
      <c r="H308" s="541">
        <v>2.79</v>
      </c>
      <c r="I308" s="542"/>
      <c r="J308" s="542">
        <v>2.6100000000000003</v>
      </c>
      <c r="K308" s="542"/>
      <c r="L308" s="542">
        <v>0.18</v>
      </c>
      <c r="M308" s="542"/>
      <c r="N308" s="542">
        <v>0</v>
      </c>
      <c r="O308" s="523"/>
      <c r="P308" s="539" t="s">
        <v>1647</v>
      </c>
      <c r="Q308" s="523"/>
      <c r="R308" s="534">
        <v>38.299999999999997</v>
      </c>
    </row>
    <row r="309" spans="1:18">
      <c r="A309" s="527"/>
      <c r="B309" s="537"/>
      <c r="C309" s="532"/>
      <c r="D309" s="538" t="s">
        <v>1338</v>
      </c>
      <c r="E309" s="539"/>
      <c r="F309" s="539">
        <v>-9</v>
      </c>
      <c r="G309" s="540"/>
      <c r="H309" s="541">
        <v>23.74</v>
      </c>
      <c r="I309" s="542"/>
      <c r="J309" s="542">
        <v>21.78</v>
      </c>
      <c r="K309" s="542"/>
      <c r="L309" s="542">
        <v>1.96</v>
      </c>
      <c r="M309" s="542"/>
      <c r="N309" s="542">
        <v>0</v>
      </c>
      <c r="O309" s="523"/>
      <c r="P309" s="539" t="s">
        <v>1647</v>
      </c>
      <c r="Q309" s="523"/>
      <c r="R309" s="534">
        <v>2.5</v>
      </c>
    </row>
    <row r="310" spans="1:18">
      <c r="A310" s="527"/>
      <c r="B310" s="537"/>
      <c r="C310" s="532"/>
      <c r="D310" s="538" t="s">
        <v>1334</v>
      </c>
      <c r="E310" s="539"/>
      <c r="F310" s="539">
        <v>-9</v>
      </c>
      <c r="G310" s="540"/>
      <c r="H310" s="541">
        <v>4</v>
      </c>
      <c r="I310" s="542"/>
      <c r="J310" s="542">
        <v>3.6700000000000004</v>
      </c>
      <c r="K310" s="542"/>
      <c r="L310" s="542">
        <v>0.33</v>
      </c>
      <c r="M310" s="542"/>
      <c r="N310" s="542">
        <v>0</v>
      </c>
      <c r="O310" s="523"/>
      <c r="P310" s="539" t="s">
        <v>1647</v>
      </c>
      <c r="Q310" s="523"/>
      <c r="R310" s="534">
        <v>15.3</v>
      </c>
    </row>
    <row r="311" spans="1:18">
      <c r="A311" s="527"/>
      <c r="B311" s="537"/>
      <c r="C311" s="532"/>
      <c r="D311" s="538" t="s">
        <v>338</v>
      </c>
      <c r="E311" s="539"/>
      <c r="F311" s="539">
        <v>-9</v>
      </c>
      <c r="G311" s="540"/>
      <c r="H311" s="541">
        <v>4.4000000000000004</v>
      </c>
      <c r="I311" s="542"/>
      <c r="J311" s="542">
        <v>4.1500000000000004</v>
      </c>
      <c r="K311" s="542"/>
      <c r="L311" s="542">
        <v>0.25</v>
      </c>
      <c r="M311" s="542"/>
      <c r="N311" s="542">
        <v>0</v>
      </c>
      <c r="O311" s="523"/>
      <c r="P311" s="539" t="s">
        <v>1647</v>
      </c>
      <c r="Q311" s="523"/>
      <c r="R311" s="534">
        <v>18.399999999999999</v>
      </c>
    </row>
    <row r="312" spans="1:18">
      <c r="A312" s="527"/>
      <c r="B312" s="537"/>
      <c r="C312" s="532"/>
      <c r="D312" s="538" t="s">
        <v>1336</v>
      </c>
      <c r="E312" s="539"/>
      <c r="F312" s="539">
        <v>-6</v>
      </c>
      <c r="G312" s="540"/>
      <c r="H312" s="541">
        <v>3.94</v>
      </c>
      <c r="I312" s="542"/>
      <c r="J312" s="542">
        <v>3.7199999999999998</v>
      </c>
      <c r="K312" s="542"/>
      <c r="L312" s="542">
        <v>0.22</v>
      </c>
      <c r="M312" s="542"/>
      <c r="N312" s="542">
        <v>0</v>
      </c>
      <c r="O312" s="523"/>
      <c r="P312" s="539" t="s">
        <v>1647</v>
      </c>
      <c r="Q312" s="523"/>
      <c r="R312" s="534">
        <v>16.399999999999999</v>
      </c>
    </row>
    <row r="313" spans="1:18">
      <c r="A313" s="527"/>
      <c r="B313" s="537"/>
      <c r="C313" s="532"/>
      <c r="D313" s="538" t="s">
        <v>335</v>
      </c>
      <c r="E313" s="539"/>
      <c r="F313" s="539">
        <v>-6</v>
      </c>
      <c r="G313" s="540"/>
      <c r="H313" s="541">
        <v>3.6899999999999995</v>
      </c>
      <c r="I313" s="542"/>
      <c r="J313" s="542">
        <v>3.4799999999999995</v>
      </c>
      <c r="K313" s="542"/>
      <c r="L313" s="542">
        <v>0.21</v>
      </c>
      <c r="M313" s="542"/>
      <c r="N313" s="542">
        <v>0</v>
      </c>
      <c r="O313" s="523"/>
      <c r="P313" s="539" t="s">
        <v>1647</v>
      </c>
      <c r="Q313" s="523"/>
      <c r="R313" s="534">
        <v>18.3</v>
      </c>
    </row>
    <row r="314" spans="1:18">
      <c r="A314" s="527"/>
      <c r="B314" s="537"/>
      <c r="C314" s="532"/>
      <c r="D314" s="538" t="s">
        <v>336</v>
      </c>
      <c r="E314" s="539"/>
      <c r="F314" s="539">
        <v>-6</v>
      </c>
      <c r="G314" s="540"/>
      <c r="H314" s="541">
        <v>3.6899999999999995</v>
      </c>
      <c r="I314" s="542"/>
      <c r="J314" s="542">
        <v>3.4799999999999995</v>
      </c>
      <c r="K314" s="542"/>
      <c r="L314" s="542">
        <v>0.21</v>
      </c>
      <c r="M314" s="542"/>
      <c r="N314" s="542">
        <v>0</v>
      </c>
      <c r="O314" s="523"/>
      <c r="P314" s="539" t="s">
        <v>1647</v>
      </c>
      <c r="Q314" s="523"/>
      <c r="R314" s="534">
        <v>18.3</v>
      </c>
    </row>
    <row r="315" spans="1:18">
      <c r="A315" s="527"/>
      <c r="B315" s="537"/>
      <c r="C315" s="532"/>
      <c r="D315" s="538" t="s">
        <v>337</v>
      </c>
      <c r="E315" s="539"/>
      <c r="F315" s="539">
        <v>-6</v>
      </c>
      <c r="G315" s="540"/>
      <c r="H315" s="541">
        <v>3.6999999999999997</v>
      </c>
      <c r="I315" s="542"/>
      <c r="J315" s="542">
        <v>3.49</v>
      </c>
      <c r="K315" s="542"/>
      <c r="L315" s="542">
        <v>0.21</v>
      </c>
      <c r="M315" s="542"/>
      <c r="N315" s="542">
        <v>0</v>
      </c>
      <c r="O315" s="523"/>
      <c r="P315" s="539" t="s">
        <v>1647</v>
      </c>
      <c r="Q315" s="523"/>
      <c r="R315" s="534">
        <v>18.3</v>
      </c>
    </row>
    <row r="316" spans="1:18">
      <c r="A316" s="527"/>
      <c r="B316" s="537"/>
      <c r="C316" s="532"/>
      <c r="D316" s="538" t="s">
        <v>1332</v>
      </c>
      <c r="E316" s="539"/>
      <c r="F316" s="539">
        <v>-6</v>
      </c>
      <c r="G316" s="540"/>
      <c r="H316" s="541">
        <v>17.559999999999999</v>
      </c>
      <c r="I316" s="542"/>
      <c r="J316" s="542">
        <v>16.72</v>
      </c>
      <c r="K316" s="542"/>
      <c r="L316" s="542">
        <v>0.84</v>
      </c>
      <c r="M316" s="542"/>
      <c r="N316" s="542">
        <v>0</v>
      </c>
      <c r="O316" s="523"/>
      <c r="P316" s="539" t="s">
        <v>1647</v>
      </c>
      <c r="Q316" s="523"/>
      <c r="R316" s="534">
        <v>3.5</v>
      </c>
    </row>
    <row r="317" spans="1:18">
      <c r="A317" s="527"/>
      <c r="B317" s="537"/>
      <c r="C317" s="532"/>
      <c r="D317" s="527"/>
      <c r="E317" s="539"/>
      <c r="F317" s="539"/>
      <c r="G317" s="540"/>
      <c r="H317" s="543"/>
      <c r="I317" s="542"/>
      <c r="J317" s="542"/>
      <c r="K317" s="542"/>
      <c r="L317" s="542"/>
      <c r="M317" s="542"/>
      <c r="N317" s="542"/>
      <c r="O317" s="523"/>
      <c r="P317" s="539"/>
      <c r="Q317" s="523"/>
    </row>
    <row r="318" spans="1:18">
      <c r="A318" s="536">
        <v>346</v>
      </c>
      <c r="B318" s="537"/>
      <c r="C318" s="532"/>
      <c r="D318" s="545" t="s">
        <v>1648</v>
      </c>
      <c r="E318" s="539"/>
      <c r="F318" s="546" t="s">
        <v>1686</v>
      </c>
      <c r="G318" s="540"/>
      <c r="H318" s="541">
        <v>4.09</v>
      </c>
      <c r="I318" s="542"/>
      <c r="J318" s="542"/>
      <c r="K318" s="542"/>
      <c r="L318" s="542"/>
      <c r="M318" s="542"/>
      <c r="N318" s="542"/>
      <c r="O318" s="523"/>
      <c r="P318" s="539" t="str">
        <f>P316</f>
        <v>50-R4</v>
      </c>
      <c r="Q318" s="523"/>
      <c r="R318" s="534">
        <v>15</v>
      </c>
    </row>
    <row r="319" spans="1:18">
      <c r="A319" s="536"/>
      <c r="B319" s="537"/>
      <c r="C319" s="532"/>
      <c r="D319" s="527"/>
      <c r="E319" s="539"/>
      <c r="F319" s="539"/>
      <c r="G319" s="540"/>
      <c r="H319" s="543"/>
      <c r="I319" s="542"/>
      <c r="J319" s="542"/>
      <c r="K319" s="542"/>
      <c r="L319" s="542"/>
      <c r="M319" s="542"/>
      <c r="N319" s="542"/>
      <c r="O319" s="523"/>
      <c r="P319" s="539"/>
      <c r="Q319" s="523"/>
    </row>
    <row r="320" spans="1:18">
      <c r="A320" s="536"/>
      <c r="B320" s="537"/>
      <c r="C320" s="532"/>
      <c r="D320" s="554" t="s">
        <v>349</v>
      </c>
      <c r="E320" s="527"/>
      <c r="F320" s="518"/>
      <c r="G320" s="540"/>
      <c r="H320" s="543"/>
      <c r="I320" s="542"/>
      <c r="J320" s="542"/>
      <c r="K320" s="542"/>
      <c r="L320" s="542"/>
      <c r="M320" s="542"/>
      <c r="N320" s="542"/>
      <c r="O320" s="523"/>
      <c r="P320" s="539"/>
      <c r="Q320" s="523"/>
    </row>
    <row r="321" spans="1:18">
      <c r="A321" s="536"/>
      <c r="B321" s="537"/>
      <c r="C321" s="532"/>
      <c r="D321" s="554"/>
      <c r="E321" s="527"/>
      <c r="F321" s="518"/>
      <c r="G321" s="540"/>
      <c r="H321" s="543"/>
      <c r="I321" s="542"/>
      <c r="J321" s="542"/>
      <c r="K321" s="542"/>
      <c r="L321" s="542"/>
      <c r="M321" s="542"/>
      <c r="N321" s="542"/>
      <c r="O321" s="523"/>
      <c r="P321" s="539"/>
      <c r="Q321" s="523"/>
    </row>
    <row r="322" spans="1:18">
      <c r="A322" s="536"/>
      <c r="B322" s="537"/>
      <c r="C322" s="532"/>
      <c r="D322" s="527"/>
      <c r="E322" s="527"/>
      <c r="F322" s="539"/>
      <c r="G322" s="540"/>
      <c r="H322" s="543"/>
      <c r="I322" s="542"/>
      <c r="J322" s="542"/>
      <c r="K322" s="542"/>
      <c r="L322" s="542"/>
      <c r="M322" s="542"/>
      <c r="N322" s="542"/>
      <c r="O322" s="523"/>
      <c r="P322" s="539"/>
      <c r="Q322" s="523"/>
    </row>
    <row r="323" spans="1:18">
      <c r="A323" s="536"/>
      <c r="B323" s="537"/>
      <c r="C323" s="532"/>
      <c r="D323" s="518" t="s">
        <v>350</v>
      </c>
      <c r="E323" s="527"/>
      <c r="F323" s="539"/>
      <c r="G323" s="540"/>
      <c r="H323" s="543"/>
      <c r="I323" s="542"/>
      <c r="J323" s="542"/>
      <c r="K323" s="542"/>
      <c r="L323" s="542"/>
      <c r="M323" s="542"/>
      <c r="N323" s="542"/>
      <c r="O323" s="523"/>
      <c r="P323" s="539"/>
      <c r="Q323" s="523"/>
    </row>
    <row r="324" spans="1:18">
      <c r="A324" s="536"/>
      <c r="B324" s="537"/>
      <c r="C324" s="532"/>
      <c r="D324" s="530"/>
      <c r="E324" s="527"/>
      <c r="F324" s="539"/>
      <c r="G324" s="540"/>
      <c r="H324" s="543"/>
      <c r="I324" s="542"/>
      <c r="J324" s="542"/>
      <c r="K324" s="542"/>
      <c r="L324" s="542"/>
      <c r="M324" s="542"/>
      <c r="N324" s="542"/>
      <c r="O324" s="523"/>
      <c r="P324" s="551"/>
      <c r="Q324" s="523"/>
    </row>
    <row r="325" spans="1:18">
      <c r="A325" s="536">
        <v>350</v>
      </c>
      <c r="B325" s="537">
        <v>350.1</v>
      </c>
      <c r="C325" s="532"/>
      <c r="D325" s="527" t="s">
        <v>1343</v>
      </c>
      <c r="E325" s="539"/>
      <c r="F325" s="539">
        <v>0</v>
      </c>
      <c r="G325" s="540"/>
      <c r="H325" s="541">
        <v>1.1400000000000001</v>
      </c>
      <c r="I325" s="542"/>
      <c r="J325" s="542">
        <v>1.1400000000000001</v>
      </c>
      <c r="K325" s="542"/>
      <c r="L325" s="542">
        <v>0</v>
      </c>
      <c r="M325" s="542"/>
      <c r="N325" s="542">
        <v>0</v>
      </c>
      <c r="O325" s="523"/>
      <c r="P325" s="539" t="s">
        <v>352</v>
      </c>
      <c r="Q325" s="523"/>
      <c r="R325" s="534">
        <v>57.4</v>
      </c>
    </row>
    <row r="326" spans="1:18">
      <c r="A326" s="536">
        <v>352</v>
      </c>
      <c r="B326" s="537">
        <v>352.1</v>
      </c>
      <c r="C326" s="532"/>
      <c r="D326" s="527" t="s">
        <v>1344</v>
      </c>
      <c r="E326" s="539"/>
      <c r="F326" s="539">
        <v>-10</v>
      </c>
      <c r="G326" s="540"/>
      <c r="H326" s="541">
        <v>1.7500000000000002</v>
      </c>
      <c r="I326" s="542"/>
      <c r="J326" s="542">
        <v>1.59</v>
      </c>
      <c r="K326" s="542"/>
      <c r="L326" s="542">
        <v>0.16</v>
      </c>
      <c r="M326" s="542"/>
      <c r="N326" s="542">
        <v>0</v>
      </c>
      <c r="O326" s="523"/>
      <c r="P326" s="539" t="s">
        <v>1649</v>
      </c>
      <c r="Q326" s="523"/>
      <c r="R326" s="534">
        <v>54</v>
      </c>
    </row>
    <row r="327" spans="1:18">
      <c r="A327" s="536">
        <v>353</v>
      </c>
      <c r="B327" s="537">
        <v>353.1</v>
      </c>
      <c r="C327" s="532"/>
      <c r="D327" s="527" t="s">
        <v>1345</v>
      </c>
      <c r="E327" s="539"/>
      <c r="F327" s="539">
        <v>-15</v>
      </c>
      <c r="G327" s="540"/>
      <c r="H327" s="541">
        <v>1.6099999999999999</v>
      </c>
      <c r="I327" s="542"/>
      <c r="J327" s="542">
        <v>1.4000000000000001</v>
      </c>
      <c r="K327" s="542"/>
      <c r="L327" s="542">
        <v>0.25</v>
      </c>
      <c r="M327" s="542"/>
      <c r="N327" s="542">
        <v>-0.04</v>
      </c>
      <c r="O327" s="523"/>
      <c r="P327" s="539" t="s">
        <v>1650</v>
      </c>
      <c r="Q327" s="523"/>
      <c r="R327" s="534">
        <v>47.8</v>
      </c>
    </row>
    <row r="328" spans="1:18">
      <c r="A328" s="536">
        <v>354</v>
      </c>
      <c r="B328" s="537">
        <v>354</v>
      </c>
      <c r="C328" s="532"/>
      <c r="D328" s="527" t="s">
        <v>1347</v>
      </c>
      <c r="E328" s="539"/>
      <c r="F328" s="539">
        <v>-50</v>
      </c>
      <c r="G328" s="540"/>
      <c r="H328" s="541">
        <v>1.8399999999999999</v>
      </c>
      <c r="I328" s="542"/>
      <c r="J328" s="542">
        <v>1.22</v>
      </c>
      <c r="K328" s="542"/>
      <c r="L328" s="542">
        <v>0.69</v>
      </c>
      <c r="M328" s="542"/>
      <c r="N328" s="542">
        <v>-6.9999999999999993E-2</v>
      </c>
      <c r="O328" s="523"/>
      <c r="P328" s="539" t="s">
        <v>352</v>
      </c>
      <c r="Q328" s="523"/>
      <c r="R328" s="534">
        <v>51.2</v>
      </c>
    </row>
    <row r="329" spans="1:18">
      <c r="A329" s="536">
        <v>355</v>
      </c>
      <c r="B329" s="537">
        <v>355</v>
      </c>
      <c r="C329" s="532"/>
      <c r="D329" s="527" t="s">
        <v>1348</v>
      </c>
      <c r="E329" s="539"/>
      <c r="F329" s="539">
        <v>-75</v>
      </c>
      <c r="G329" s="540"/>
      <c r="H329" s="541">
        <v>2.98</v>
      </c>
      <c r="I329" s="542"/>
      <c r="J329" s="542">
        <v>1.7000000000000002</v>
      </c>
      <c r="K329" s="542"/>
      <c r="L329" s="542">
        <v>1.4500000000000002</v>
      </c>
      <c r="M329" s="542"/>
      <c r="N329" s="542">
        <v>-0.16999999999999998</v>
      </c>
      <c r="O329" s="523"/>
      <c r="P329" s="539" t="s">
        <v>1651</v>
      </c>
      <c r="Q329" s="523"/>
      <c r="R329" s="534">
        <v>48.3</v>
      </c>
    </row>
    <row r="330" spans="1:18">
      <c r="A330" s="536">
        <v>356</v>
      </c>
      <c r="B330" s="537">
        <v>356</v>
      </c>
      <c r="C330" s="532"/>
      <c r="D330" s="527" t="s">
        <v>1349</v>
      </c>
      <c r="E330" s="539"/>
      <c r="F330" s="539">
        <v>-75</v>
      </c>
      <c r="G330" s="540"/>
      <c r="H330" s="541">
        <v>3.32</v>
      </c>
      <c r="I330" s="542"/>
      <c r="J330" s="542">
        <v>1.9</v>
      </c>
      <c r="K330" s="542"/>
      <c r="L330" s="542">
        <v>1.6099999999999999</v>
      </c>
      <c r="M330" s="542"/>
      <c r="N330" s="542">
        <v>-0.19</v>
      </c>
      <c r="O330" s="523"/>
      <c r="P330" s="539" t="s">
        <v>1652</v>
      </c>
      <c r="Q330" s="523"/>
      <c r="R330" s="534">
        <v>37.799999999999997</v>
      </c>
    </row>
    <row r="331" spans="1:18">
      <c r="A331" s="536">
        <v>357</v>
      </c>
      <c r="B331" s="537">
        <v>357</v>
      </c>
      <c r="C331" s="532"/>
      <c r="D331" s="527" t="s">
        <v>1350</v>
      </c>
      <c r="E331" s="539"/>
      <c r="F331" s="539">
        <v>-5</v>
      </c>
      <c r="G331" s="540"/>
      <c r="H331" s="541">
        <v>1.83</v>
      </c>
      <c r="I331" s="542"/>
      <c r="J331" s="542">
        <v>1.7399999999999998</v>
      </c>
      <c r="K331" s="542"/>
      <c r="L331" s="542">
        <v>0.09</v>
      </c>
      <c r="M331" s="542"/>
      <c r="N331" s="542">
        <v>0</v>
      </c>
      <c r="O331" s="523"/>
      <c r="P331" s="539" t="s">
        <v>1331</v>
      </c>
      <c r="Q331" s="523"/>
      <c r="R331" s="534">
        <v>41.9</v>
      </c>
    </row>
    <row r="332" spans="1:18">
      <c r="A332" s="536">
        <v>358</v>
      </c>
      <c r="B332" s="537">
        <v>358</v>
      </c>
      <c r="C332" s="532"/>
      <c r="D332" s="527" t="s">
        <v>1351</v>
      </c>
      <c r="E332" s="539"/>
      <c r="F332" s="539">
        <v>-10</v>
      </c>
      <c r="G332" s="540"/>
      <c r="H332" s="541">
        <v>2.44</v>
      </c>
      <c r="I332" s="542"/>
      <c r="J332" s="542">
        <v>2.2200000000000002</v>
      </c>
      <c r="K332" s="542"/>
      <c r="L332" s="542">
        <v>0.22</v>
      </c>
      <c r="M332" s="542"/>
      <c r="N332" s="542">
        <v>0</v>
      </c>
      <c r="O332" s="523"/>
      <c r="P332" s="539" t="s">
        <v>1653</v>
      </c>
      <c r="Q332" s="523"/>
      <c r="R332" s="534">
        <v>29</v>
      </c>
    </row>
    <row r="333" spans="1:18">
      <c r="A333" s="536"/>
      <c r="B333" s="537"/>
      <c r="C333" s="532"/>
      <c r="D333" s="527"/>
      <c r="E333" s="527"/>
      <c r="F333" s="539"/>
      <c r="G333" s="540"/>
      <c r="H333" s="543"/>
      <c r="I333" s="542"/>
      <c r="J333" s="542"/>
      <c r="K333" s="542"/>
      <c r="L333" s="542"/>
      <c r="M333" s="542"/>
      <c r="N333" s="542"/>
      <c r="O333" s="523"/>
      <c r="P333" s="539"/>
      <c r="Q333" s="523"/>
    </row>
    <row r="334" spans="1:18">
      <c r="A334" s="536"/>
      <c r="B334" s="537"/>
      <c r="C334" s="532"/>
      <c r="D334" s="533" t="s">
        <v>353</v>
      </c>
      <c r="E334" s="558"/>
      <c r="F334" s="518"/>
      <c r="G334" s="540"/>
      <c r="H334" s="543"/>
      <c r="I334" s="542"/>
      <c r="J334" s="542"/>
      <c r="K334" s="542"/>
      <c r="L334" s="542"/>
      <c r="M334" s="542"/>
      <c r="N334" s="542"/>
      <c r="O334" s="523"/>
      <c r="P334" s="518"/>
      <c r="Q334" s="523"/>
    </row>
    <row r="335" spans="1:18">
      <c r="A335" s="536"/>
      <c r="B335" s="537"/>
      <c r="C335" s="532"/>
      <c r="D335" s="533"/>
      <c r="E335" s="558"/>
      <c r="F335" s="518"/>
      <c r="G335" s="540"/>
      <c r="H335" s="543"/>
      <c r="I335" s="542"/>
      <c r="J335" s="542"/>
      <c r="K335" s="542"/>
      <c r="L335" s="542"/>
      <c r="M335" s="542"/>
      <c r="N335" s="542"/>
      <c r="O335" s="523"/>
      <c r="P335" s="518"/>
      <c r="Q335" s="523"/>
    </row>
    <row r="336" spans="1:18">
      <c r="A336" s="536"/>
      <c r="B336" s="537"/>
      <c r="C336" s="532"/>
      <c r="D336" s="527"/>
      <c r="E336" s="527"/>
      <c r="F336" s="539"/>
      <c r="G336" s="540"/>
      <c r="H336" s="543"/>
      <c r="I336" s="542"/>
      <c r="J336" s="542"/>
      <c r="K336" s="542"/>
      <c r="L336" s="542"/>
      <c r="M336" s="542"/>
      <c r="N336" s="542"/>
      <c r="O336" s="523"/>
      <c r="P336" s="539"/>
      <c r="Q336" s="523"/>
    </row>
    <row r="337" spans="1:18">
      <c r="A337" s="536"/>
      <c r="B337" s="537"/>
      <c r="C337" s="532"/>
      <c r="D337" s="518" t="s">
        <v>354</v>
      </c>
      <c r="F337" s="539"/>
      <c r="G337" s="540"/>
      <c r="H337" s="543"/>
      <c r="I337" s="542"/>
      <c r="J337" s="542"/>
      <c r="K337" s="542"/>
      <c r="L337" s="542"/>
      <c r="M337" s="542"/>
      <c r="N337" s="542"/>
      <c r="O337" s="523"/>
      <c r="P337" s="539"/>
      <c r="Q337" s="523"/>
    </row>
    <row r="338" spans="1:18">
      <c r="A338" s="536"/>
      <c r="B338" s="537"/>
      <c r="C338" s="532"/>
      <c r="D338" s="530"/>
      <c r="E338" s="527"/>
      <c r="F338" s="539"/>
      <c r="G338" s="540"/>
      <c r="H338" s="543"/>
      <c r="I338" s="542"/>
      <c r="J338" s="542"/>
      <c r="K338" s="542"/>
      <c r="L338" s="542"/>
      <c r="M338" s="542"/>
      <c r="N338" s="542"/>
      <c r="O338" s="523"/>
      <c r="P338" s="551"/>
      <c r="Q338" s="523"/>
    </row>
    <row r="339" spans="1:18">
      <c r="A339" s="536">
        <v>361</v>
      </c>
      <c r="B339" s="537">
        <v>361</v>
      </c>
      <c r="C339" s="532"/>
      <c r="D339" s="559" t="s">
        <v>1352</v>
      </c>
      <c r="E339" s="539"/>
      <c r="F339" s="539">
        <v>-10</v>
      </c>
      <c r="G339" s="540"/>
      <c r="H339" s="541">
        <v>2.0499999999999998</v>
      </c>
      <c r="I339" s="542"/>
      <c r="J339" s="542">
        <v>1.8599999999999999</v>
      </c>
      <c r="K339" s="542"/>
      <c r="L339" s="542">
        <v>0.19</v>
      </c>
      <c r="M339" s="542"/>
      <c r="N339" s="542">
        <v>0</v>
      </c>
      <c r="O339" s="523"/>
      <c r="P339" s="539" t="s">
        <v>1654</v>
      </c>
      <c r="Q339" s="523"/>
      <c r="R339" s="534">
        <v>39.700000000000003</v>
      </c>
    </row>
    <row r="340" spans="1:18">
      <c r="A340" s="536">
        <v>362</v>
      </c>
      <c r="B340" s="537">
        <v>362</v>
      </c>
      <c r="C340" s="532"/>
      <c r="D340" s="538" t="s">
        <v>1353</v>
      </c>
      <c r="E340" s="539"/>
      <c r="F340" s="539">
        <v>-15</v>
      </c>
      <c r="G340" s="540"/>
      <c r="H340" s="541">
        <v>2.1</v>
      </c>
      <c r="I340" s="542"/>
      <c r="J340" s="542">
        <v>1.82</v>
      </c>
      <c r="K340" s="542"/>
      <c r="L340" s="542">
        <v>0.33</v>
      </c>
      <c r="M340" s="542"/>
      <c r="N340" s="542">
        <v>-0.05</v>
      </c>
      <c r="O340" s="523"/>
      <c r="P340" s="539" t="s">
        <v>1655</v>
      </c>
      <c r="Q340" s="523"/>
      <c r="R340" s="534">
        <v>39.5</v>
      </c>
    </row>
    <row r="341" spans="1:18">
      <c r="A341" s="536">
        <v>364</v>
      </c>
      <c r="B341" s="537">
        <v>364</v>
      </c>
      <c r="C341" s="532"/>
      <c r="D341" s="527" t="s">
        <v>1354</v>
      </c>
      <c r="E341" s="539"/>
      <c r="F341" s="539">
        <v>-80</v>
      </c>
      <c r="G341" s="540"/>
      <c r="H341" s="541">
        <v>3.18</v>
      </c>
      <c r="I341" s="542"/>
      <c r="J341" s="542">
        <v>1.76</v>
      </c>
      <c r="K341" s="542"/>
      <c r="L341" s="542">
        <v>1.63</v>
      </c>
      <c r="M341" s="542"/>
      <c r="N341" s="542">
        <v>-0.21</v>
      </c>
      <c r="O341" s="523"/>
      <c r="P341" s="539" t="s">
        <v>1656</v>
      </c>
      <c r="Q341" s="523"/>
      <c r="R341" s="534">
        <v>43.2</v>
      </c>
    </row>
    <row r="342" spans="1:18">
      <c r="A342" s="536">
        <v>365</v>
      </c>
      <c r="B342" s="537">
        <v>365</v>
      </c>
      <c r="C342" s="532"/>
      <c r="D342" s="527" t="s">
        <v>1356</v>
      </c>
      <c r="E342" s="539"/>
      <c r="F342" s="539">
        <v>-75</v>
      </c>
      <c r="G342" s="540"/>
      <c r="H342" s="541">
        <v>3.25</v>
      </c>
      <c r="I342" s="542"/>
      <c r="J342" s="542">
        <v>1.8599999999999999</v>
      </c>
      <c r="K342" s="542"/>
      <c r="L342" s="542">
        <v>1.54</v>
      </c>
      <c r="M342" s="542"/>
      <c r="N342" s="542">
        <v>-0.15</v>
      </c>
      <c r="O342" s="523"/>
      <c r="P342" s="539" t="s">
        <v>1657</v>
      </c>
      <c r="Q342" s="523"/>
      <c r="R342" s="534">
        <v>42.1</v>
      </c>
    </row>
    <row r="343" spans="1:18">
      <c r="A343" s="536">
        <v>366</v>
      </c>
      <c r="B343" s="537">
        <v>366</v>
      </c>
      <c r="C343" s="532"/>
      <c r="D343" s="559" t="s">
        <v>1357</v>
      </c>
      <c r="E343" s="539"/>
      <c r="F343" s="539">
        <v>-30</v>
      </c>
      <c r="G343" s="540"/>
      <c r="H343" s="541">
        <v>1.6</v>
      </c>
      <c r="I343" s="542"/>
      <c r="J343" s="542">
        <v>1.23</v>
      </c>
      <c r="K343" s="542"/>
      <c r="L343" s="542">
        <v>0.37</v>
      </c>
      <c r="M343" s="542"/>
      <c r="N343" s="542">
        <v>0</v>
      </c>
      <c r="O343" s="523"/>
      <c r="P343" s="539" t="s">
        <v>1658</v>
      </c>
      <c r="Q343" s="523"/>
      <c r="R343" s="534">
        <v>58.6</v>
      </c>
    </row>
    <row r="344" spans="1:18">
      <c r="A344" s="536">
        <v>367</v>
      </c>
      <c r="B344" s="537">
        <v>367</v>
      </c>
      <c r="C344" s="532"/>
      <c r="D344" s="527" t="s">
        <v>1358</v>
      </c>
      <c r="E344" s="539"/>
      <c r="F344" s="539">
        <v>-40</v>
      </c>
      <c r="G344" s="540"/>
      <c r="H344" s="541">
        <v>2.0599999999999996</v>
      </c>
      <c r="I344" s="542"/>
      <c r="J344" s="542">
        <v>1.47</v>
      </c>
      <c r="K344" s="542"/>
      <c r="L344" s="542">
        <v>0.63</v>
      </c>
      <c r="M344" s="542"/>
      <c r="N344" s="542">
        <v>-0.04</v>
      </c>
      <c r="O344" s="523"/>
      <c r="P344" s="539" t="s">
        <v>1659</v>
      </c>
      <c r="Q344" s="523"/>
      <c r="R344" s="534">
        <v>54.2</v>
      </c>
    </row>
    <row r="345" spans="1:18">
      <c r="A345" s="536">
        <v>368</v>
      </c>
      <c r="B345" s="537">
        <v>368</v>
      </c>
      <c r="C345" s="532"/>
      <c r="D345" s="527" t="s">
        <v>1359</v>
      </c>
      <c r="E345" s="539"/>
      <c r="F345" s="539">
        <v>-20</v>
      </c>
      <c r="G345" s="540"/>
      <c r="H345" s="541">
        <v>2.3299999999999996</v>
      </c>
      <c r="I345" s="542"/>
      <c r="J345" s="542">
        <v>1.95</v>
      </c>
      <c r="K345" s="542"/>
      <c r="L345" s="542">
        <v>0.48</v>
      </c>
      <c r="M345" s="542"/>
      <c r="N345" s="542">
        <v>-0.1</v>
      </c>
      <c r="O345" s="523"/>
      <c r="P345" s="539" t="s">
        <v>1660</v>
      </c>
      <c r="Q345" s="523"/>
      <c r="R345" s="534">
        <v>31.5</v>
      </c>
    </row>
    <row r="346" spans="1:18">
      <c r="A346" s="536"/>
      <c r="B346" s="537">
        <v>369.1</v>
      </c>
      <c r="C346" s="532"/>
      <c r="D346" s="527" t="s">
        <v>1360</v>
      </c>
      <c r="E346" s="539"/>
      <c r="F346" s="539">
        <v>-50</v>
      </c>
      <c r="G346" s="540"/>
      <c r="H346" s="541">
        <v>3.73</v>
      </c>
      <c r="I346" s="542"/>
      <c r="J346" s="542">
        <v>2.4899999999999998</v>
      </c>
      <c r="K346" s="542"/>
      <c r="L346" s="542">
        <v>1.24</v>
      </c>
      <c r="M346" s="542"/>
      <c r="N346" s="542">
        <v>0</v>
      </c>
      <c r="O346" s="523"/>
      <c r="P346" s="539" t="s">
        <v>1661</v>
      </c>
      <c r="Q346" s="523"/>
      <c r="R346" s="534">
        <v>34.6</v>
      </c>
    </row>
    <row r="347" spans="1:18">
      <c r="A347" s="536"/>
      <c r="B347" s="537">
        <v>369.2</v>
      </c>
      <c r="C347" s="532"/>
      <c r="D347" s="527" t="s">
        <v>1361</v>
      </c>
      <c r="E347" s="539"/>
      <c r="F347" s="539">
        <v>-100</v>
      </c>
      <c r="G347" s="540"/>
      <c r="H347" s="541">
        <v>2.63</v>
      </c>
      <c r="I347" s="542"/>
      <c r="J347" s="542">
        <v>1.31</v>
      </c>
      <c r="K347" s="542"/>
      <c r="L347" s="542">
        <v>1.32</v>
      </c>
      <c r="M347" s="542"/>
      <c r="N347" s="542">
        <v>0</v>
      </c>
      <c r="O347" s="523"/>
      <c r="P347" s="539" t="s">
        <v>1627</v>
      </c>
      <c r="Q347" s="523"/>
      <c r="R347" s="534">
        <v>37.4</v>
      </c>
    </row>
    <row r="348" spans="1:18" s="226" customFormat="1">
      <c r="A348" s="536"/>
      <c r="B348" s="537">
        <v>370</v>
      </c>
      <c r="C348" s="532"/>
      <c r="D348" s="527" t="s">
        <v>1885</v>
      </c>
      <c r="E348" s="539"/>
      <c r="F348" s="539">
        <v>0</v>
      </c>
      <c r="G348" s="540"/>
      <c r="H348" s="541">
        <v>3.3000000000000003</v>
      </c>
      <c r="I348" s="542"/>
      <c r="J348" s="542">
        <v>3.3000000000000003</v>
      </c>
      <c r="K348" s="542"/>
      <c r="L348" s="542">
        <v>0</v>
      </c>
      <c r="M348" s="542"/>
      <c r="N348" s="542">
        <v>0</v>
      </c>
      <c r="O348" s="523"/>
      <c r="P348" s="539" t="s">
        <v>1674</v>
      </c>
      <c r="Q348" s="523"/>
      <c r="R348" s="534">
        <v>15.7</v>
      </c>
    </row>
    <row r="349" spans="1:18" s="226" customFormat="1">
      <c r="A349" s="536"/>
      <c r="B349" s="537">
        <v>370.01</v>
      </c>
      <c r="C349" s="532"/>
      <c r="D349" s="527" t="s">
        <v>1662</v>
      </c>
      <c r="E349" s="539"/>
      <c r="F349" s="539">
        <v>0</v>
      </c>
      <c r="G349" s="540"/>
      <c r="H349" s="541">
        <v>6.8500000000000005</v>
      </c>
      <c r="I349" s="542"/>
      <c r="J349" s="542">
        <v>6.8500000000000005</v>
      </c>
      <c r="K349" s="542"/>
      <c r="L349" s="542">
        <v>0</v>
      </c>
      <c r="M349" s="542"/>
      <c r="N349" s="542">
        <v>0</v>
      </c>
      <c r="O349" s="523"/>
      <c r="P349" s="539" t="s">
        <v>1663</v>
      </c>
      <c r="Q349" s="523"/>
      <c r="R349" s="534">
        <v>14.5</v>
      </c>
    </row>
    <row r="350" spans="1:18" s="226" customFormat="1">
      <c r="A350" s="536"/>
      <c r="B350" s="527">
        <v>370.2</v>
      </c>
      <c r="C350" s="532"/>
      <c r="D350" s="527" t="s">
        <v>1886</v>
      </c>
      <c r="E350" s="539"/>
      <c r="F350" s="539">
        <v>0</v>
      </c>
      <c r="G350" s="540"/>
      <c r="H350" s="541">
        <v>2.79</v>
      </c>
      <c r="I350" s="542"/>
      <c r="J350" s="542">
        <v>2.79</v>
      </c>
      <c r="K350" s="542"/>
      <c r="L350" s="542">
        <v>0</v>
      </c>
      <c r="M350" s="542"/>
      <c r="N350" s="542">
        <v>0</v>
      </c>
      <c r="O350" s="523"/>
      <c r="P350" s="539" t="s">
        <v>1674</v>
      </c>
      <c r="Q350" s="523"/>
      <c r="R350" s="534">
        <v>4.3</v>
      </c>
    </row>
    <row r="351" spans="1:18" s="226" customFormat="1">
      <c r="A351" s="536"/>
      <c r="B351" s="537">
        <v>373.1</v>
      </c>
      <c r="C351" s="532"/>
      <c r="D351" s="527" t="s">
        <v>1362</v>
      </c>
      <c r="E351" s="539"/>
      <c r="F351" s="539">
        <v>-30</v>
      </c>
      <c r="G351" s="540"/>
      <c r="H351" s="541">
        <v>5.38</v>
      </c>
      <c r="I351" s="542"/>
      <c r="J351" s="542">
        <v>4.1399999999999997</v>
      </c>
      <c r="K351" s="542"/>
      <c r="L351" s="542">
        <v>1.28</v>
      </c>
      <c r="M351" s="542"/>
      <c r="N351" s="542">
        <v>-0.04</v>
      </c>
      <c r="O351" s="523"/>
      <c r="P351" s="539" t="s">
        <v>1664</v>
      </c>
      <c r="Q351" s="523"/>
      <c r="R351" s="534">
        <v>18.7</v>
      </c>
    </row>
    <row r="352" spans="1:18" s="226" customFormat="1">
      <c r="A352" s="536"/>
      <c r="B352" s="537">
        <v>373.2</v>
      </c>
      <c r="C352" s="532"/>
      <c r="D352" s="559" t="s">
        <v>1363</v>
      </c>
      <c r="E352" s="539"/>
      <c r="F352" s="539">
        <v>-40</v>
      </c>
      <c r="G352" s="540"/>
      <c r="H352" s="541">
        <v>3.64</v>
      </c>
      <c r="I352" s="542"/>
      <c r="J352" s="542">
        <v>2.6100000000000003</v>
      </c>
      <c r="K352" s="542"/>
      <c r="L352" s="542">
        <v>1.06</v>
      </c>
      <c r="M352" s="542"/>
      <c r="N352" s="542">
        <v>-0.03</v>
      </c>
      <c r="O352" s="523"/>
      <c r="P352" s="539" t="s">
        <v>1665</v>
      </c>
      <c r="Q352" s="523"/>
      <c r="R352" s="534">
        <v>25.8</v>
      </c>
    </row>
    <row r="353" spans="1:18" s="226" customFormat="1">
      <c r="A353" s="536"/>
      <c r="B353" s="537"/>
      <c r="C353" s="532"/>
      <c r="D353" s="527"/>
      <c r="E353" s="527"/>
      <c r="F353" s="539"/>
      <c r="G353" s="540"/>
      <c r="H353" s="543"/>
      <c r="I353" s="542"/>
      <c r="J353" s="542"/>
      <c r="K353" s="542"/>
      <c r="L353" s="542"/>
      <c r="M353" s="542"/>
      <c r="N353" s="542"/>
      <c r="O353" s="523"/>
      <c r="P353" s="539"/>
      <c r="Q353" s="523"/>
      <c r="R353" s="534"/>
    </row>
    <row r="354" spans="1:18" s="226" customFormat="1">
      <c r="A354" s="536"/>
      <c r="B354" s="537"/>
      <c r="C354" s="532"/>
      <c r="D354" s="533" t="s">
        <v>355</v>
      </c>
      <c r="E354" s="558"/>
      <c r="F354" s="518"/>
      <c r="G354" s="540"/>
      <c r="H354" s="543"/>
      <c r="I354" s="542"/>
      <c r="J354" s="542"/>
      <c r="K354" s="542"/>
      <c r="L354" s="542"/>
      <c r="M354" s="542"/>
      <c r="N354" s="542"/>
      <c r="O354" s="523"/>
      <c r="P354" s="518"/>
      <c r="Q354" s="523"/>
      <c r="R354" s="518"/>
    </row>
    <row r="355" spans="1:18">
      <c r="A355" s="560"/>
      <c r="B355" s="537"/>
      <c r="C355" s="532"/>
      <c r="D355" s="533"/>
      <c r="E355" s="558"/>
      <c r="F355" s="518"/>
      <c r="G355" s="540"/>
      <c r="H355" s="543"/>
      <c r="I355" s="542"/>
      <c r="J355" s="542"/>
      <c r="K355" s="542"/>
      <c r="L355" s="542"/>
      <c r="M355" s="542"/>
      <c r="N355" s="542"/>
      <c r="O355" s="523"/>
      <c r="P355" s="518"/>
      <c r="Q355" s="523"/>
      <c r="R355" s="518"/>
    </row>
    <row r="356" spans="1:18">
      <c r="A356" s="536"/>
      <c r="B356" s="537"/>
      <c r="C356" s="532"/>
      <c r="D356" s="527"/>
      <c r="E356" s="527"/>
      <c r="F356" s="539"/>
      <c r="G356" s="540"/>
      <c r="H356" s="543"/>
      <c r="I356" s="542"/>
      <c r="J356" s="542"/>
      <c r="K356" s="542"/>
      <c r="L356" s="542"/>
      <c r="M356" s="542"/>
      <c r="N356" s="542"/>
      <c r="O356" s="523"/>
      <c r="P356" s="539"/>
      <c r="Q356" s="523"/>
    </row>
    <row r="357" spans="1:18">
      <c r="A357" s="527"/>
      <c r="B357" s="537"/>
      <c r="C357" s="532"/>
      <c r="D357" s="550" t="s">
        <v>356</v>
      </c>
      <c r="E357" s="527"/>
      <c r="F357" s="539"/>
      <c r="G357" s="540"/>
      <c r="H357" s="543"/>
      <c r="I357" s="542"/>
      <c r="J357" s="542"/>
      <c r="K357" s="542"/>
      <c r="L357" s="542"/>
      <c r="M357" s="542"/>
      <c r="N357" s="542"/>
      <c r="O357" s="523"/>
      <c r="P357" s="539"/>
      <c r="Q357" s="523"/>
    </row>
    <row r="358" spans="1:18">
      <c r="A358" s="527"/>
      <c r="B358" s="537"/>
      <c r="C358" s="532"/>
      <c r="D358" s="551"/>
      <c r="E358" s="527"/>
      <c r="F358" s="539"/>
      <c r="G358" s="540"/>
      <c r="H358" s="543"/>
      <c r="I358" s="542"/>
      <c r="J358" s="542"/>
      <c r="K358" s="542"/>
      <c r="L358" s="542"/>
      <c r="M358" s="542"/>
      <c r="N358" s="542"/>
      <c r="O358" s="523"/>
      <c r="P358" s="539"/>
      <c r="Q358" s="523"/>
    </row>
    <row r="359" spans="1:18">
      <c r="A359" s="527"/>
      <c r="B359" s="561">
        <v>392</v>
      </c>
      <c r="C359" s="532"/>
      <c r="D359" s="551" t="s">
        <v>358</v>
      </c>
      <c r="E359" s="539"/>
      <c r="F359" s="539">
        <v>0</v>
      </c>
      <c r="G359" s="540"/>
      <c r="H359" s="541">
        <v>4.12</v>
      </c>
      <c r="I359" s="542"/>
      <c r="J359" s="542">
        <v>4.12</v>
      </c>
      <c r="K359" s="542"/>
      <c r="L359" s="542">
        <v>0</v>
      </c>
      <c r="M359" s="542"/>
      <c r="N359" s="542">
        <v>0</v>
      </c>
      <c r="O359" s="523"/>
      <c r="P359" s="539" t="s">
        <v>1666</v>
      </c>
      <c r="Q359" s="523"/>
      <c r="R359" s="534">
        <v>10.9</v>
      </c>
    </row>
    <row r="360" spans="1:18">
      <c r="A360" s="527"/>
      <c r="B360" s="561">
        <v>392.1</v>
      </c>
      <c r="C360" s="532"/>
      <c r="D360" s="551" t="s">
        <v>359</v>
      </c>
      <c r="E360" s="539"/>
      <c r="F360" s="539">
        <v>0</v>
      </c>
      <c r="G360" s="540"/>
      <c r="H360" s="541">
        <v>4.18</v>
      </c>
      <c r="I360" s="542"/>
      <c r="J360" s="542">
        <v>4.18</v>
      </c>
      <c r="K360" s="542"/>
      <c r="L360" s="542">
        <v>0</v>
      </c>
      <c r="M360" s="542"/>
      <c r="N360" s="542">
        <v>0</v>
      </c>
      <c r="O360" s="523"/>
      <c r="P360" s="539" t="s">
        <v>1667</v>
      </c>
      <c r="Q360" s="523"/>
      <c r="R360" s="534">
        <v>10.7</v>
      </c>
    </row>
    <row r="361" spans="1:18">
      <c r="A361" s="527"/>
      <c r="B361" s="537">
        <v>392.2</v>
      </c>
      <c r="C361" s="532"/>
      <c r="D361" s="551" t="s">
        <v>1364</v>
      </c>
      <c r="E361" s="539"/>
      <c r="F361" s="539">
        <v>0</v>
      </c>
      <c r="G361" s="540"/>
      <c r="H361" s="541">
        <v>5.33</v>
      </c>
      <c r="I361" s="542"/>
      <c r="J361" s="542">
        <v>5.33</v>
      </c>
      <c r="K361" s="542"/>
      <c r="L361" s="542">
        <v>0</v>
      </c>
      <c r="M361" s="542"/>
      <c r="N361" s="542">
        <v>0</v>
      </c>
      <c r="O361" s="523"/>
      <c r="P361" s="539" t="s">
        <v>1668</v>
      </c>
      <c r="Q361" s="523"/>
      <c r="R361" s="534">
        <v>14.4</v>
      </c>
    </row>
    <row r="362" spans="1:18">
      <c r="A362" s="540">
        <v>394</v>
      </c>
      <c r="B362" s="537">
        <v>394</v>
      </c>
      <c r="C362" s="532"/>
      <c r="D362" s="551" t="s">
        <v>1365</v>
      </c>
      <c r="E362" s="539"/>
      <c r="F362" s="539">
        <v>0</v>
      </c>
      <c r="G362" s="540"/>
      <c r="H362" s="541">
        <v>4.2799999999999994</v>
      </c>
      <c r="I362" s="542"/>
      <c r="J362" s="542">
        <v>4.2799999999999994</v>
      </c>
      <c r="K362" s="542"/>
      <c r="L362" s="542">
        <v>0</v>
      </c>
      <c r="M362" s="542"/>
      <c r="N362" s="542">
        <v>0</v>
      </c>
      <c r="O362" s="523"/>
      <c r="P362" s="539" t="s">
        <v>360</v>
      </c>
      <c r="Q362" s="523"/>
      <c r="R362" s="534">
        <v>14.8</v>
      </c>
    </row>
    <row r="363" spans="1:18">
      <c r="A363" s="540"/>
      <c r="B363" s="561">
        <v>396.1</v>
      </c>
      <c r="C363" s="532"/>
      <c r="D363" s="538" t="s">
        <v>1366</v>
      </c>
      <c r="E363" s="539"/>
      <c r="F363" s="539">
        <v>0</v>
      </c>
      <c r="G363" s="540"/>
      <c r="H363" s="541">
        <v>0.38</v>
      </c>
      <c r="I363" s="542"/>
      <c r="J363" s="542">
        <v>0.38</v>
      </c>
      <c r="K363" s="542"/>
      <c r="L363" s="542">
        <v>0</v>
      </c>
      <c r="M363" s="542"/>
      <c r="N363" s="542">
        <v>0</v>
      </c>
      <c r="O363" s="523"/>
      <c r="P363" s="539" t="s">
        <v>1669</v>
      </c>
      <c r="Q363" s="523"/>
      <c r="R363" s="534">
        <v>16.399999999999999</v>
      </c>
    </row>
    <row r="364" spans="1:18">
      <c r="A364" s="540"/>
      <c r="B364" s="537">
        <v>396.2</v>
      </c>
      <c r="C364" s="532"/>
      <c r="D364" s="538" t="s">
        <v>1367</v>
      </c>
      <c r="E364" s="539"/>
      <c r="F364" s="539">
        <v>0</v>
      </c>
      <c r="G364" s="540"/>
      <c r="H364" s="541">
        <v>3.5700000000000003</v>
      </c>
      <c r="I364" s="542"/>
      <c r="J364" s="542">
        <v>3.5700000000000003</v>
      </c>
      <c r="K364" s="542"/>
      <c r="L364" s="542">
        <v>0</v>
      </c>
      <c r="M364" s="542"/>
      <c r="N364" s="542">
        <v>0</v>
      </c>
      <c r="O364" s="523"/>
      <c r="P364" s="539" t="s">
        <v>1670</v>
      </c>
      <c r="Q364" s="523"/>
      <c r="R364" s="534">
        <v>17.100000000000001</v>
      </c>
    </row>
    <row r="365" spans="1:18">
      <c r="A365" s="540">
        <v>397</v>
      </c>
      <c r="B365" s="537">
        <v>397.2</v>
      </c>
      <c r="C365" s="532"/>
      <c r="D365" s="538" t="s">
        <v>1671</v>
      </c>
      <c r="E365" s="539"/>
      <c r="F365" s="539">
        <v>0</v>
      </c>
      <c r="G365" s="540"/>
      <c r="H365" s="541">
        <v>12.280000000000001</v>
      </c>
      <c r="I365" s="542"/>
      <c r="J365" s="542">
        <v>12.280000000000001</v>
      </c>
      <c r="K365" s="542"/>
      <c r="L365" s="542">
        <v>0</v>
      </c>
      <c r="M365" s="542"/>
      <c r="N365" s="542">
        <v>0</v>
      </c>
      <c r="O365" s="523"/>
      <c r="P365" s="539" t="s">
        <v>362</v>
      </c>
      <c r="Q365" s="523"/>
      <c r="R365" s="534">
        <v>6.5</v>
      </c>
    </row>
    <row r="366" spans="1:18">
      <c r="A366" s="527"/>
      <c r="B366" s="537"/>
      <c r="C366" s="532"/>
      <c r="D366" s="527"/>
      <c r="E366" s="527"/>
      <c r="F366" s="539"/>
      <c r="G366" s="540"/>
      <c r="H366" s="543"/>
      <c r="I366" s="542"/>
      <c r="J366" s="542"/>
      <c r="K366" s="542"/>
      <c r="L366" s="542"/>
      <c r="M366" s="542"/>
      <c r="N366" s="542"/>
      <c r="O366" s="523"/>
      <c r="P366" s="539"/>
      <c r="Q366" s="523"/>
    </row>
    <row r="367" spans="1:18">
      <c r="A367" s="527"/>
      <c r="C367" s="532"/>
      <c r="D367" s="533"/>
      <c r="E367" s="527"/>
      <c r="F367" s="539"/>
      <c r="G367" s="540"/>
      <c r="H367" s="543"/>
      <c r="I367" s="542"/>
      <c r="J367" s="542"/>
      <c r="K367" s="542"/>
      <c r="L367" s="542"/>
      <c r="M367" s="542"/>
      <c r="N367" s="542"/>
      <c r="O367" s="523"/>
      <c r="P367" s="534"/>
      <c r="Q367" s="523"/>
    </row>
    <row r="368" spans="1:18">
      <c r="A368" s="527"/>
      <c r="C368" s="532"/>
      <c r="D368" s="533"/>
      <c r="E368" s="527"/>
      <c r="F368" s="539"/>
      <c r="G368" s="540"/>
      <c r="H368" s="543"/>
      <c r="I368" s="542"/>
      <c r="J368" s="542"/>
      <c r="K368" s="542"/>
      <c r="L368" s="542"/>
      <c r="M368" s="542"/>
      <c r="N368" s="542"/>
      <c r="O368" s="523"/>
      <c r="P368" s="534"/>
      <c r="Q368" s="523"/>
    </row>
    <row r="369" spans="1:18">
      <c r="A369" s="527"/>
      <c r="B369" s="537">
        <v>369.1</v>
      </c>
      <c r="C369" s="532"/>
      <c r="D369" s="527" t="s">
        <v>1360</v>
      </c>
      <c r="E369" s="539"/>
      <c r="F369" s="539">
        <v>-50</v>
      </c>
      <c r="G369" s="540"/>
      <c r="H369" s="541">
        <v>3.728420061896863</v>
      </c>
      <c r="I369" s="542"/>
      <c r="J369" s="542">
        <v>2.4884200618968633</v>
      </c>
      <c r="K369" s="542"/>
      <c r="L369" s="542">
        <v>1.24</v>
      </c>
      <c r="M369" s="542"/>
      <c r="N369" s="542">
        <v>0</v>
      </c>
      <c r="O369" s="523"/>
      <c r="P369" s="539" t="s">
        <v>1661</v>
      </c>
      <c r="Q369" s="523"/>
      <c r="R369" s="534">
        <v>34.6</v>
      </c>
    </row>
    <row r="370" spans="1:18">
      <c r="A370" s="527"/>
      <c r="B370" s="537">
        <v>369.2</v>
      </c>
      <c r="C370" s="532"/>
      <c r="D370" s="527" t="s">
        <v>1361</v>
      </c>
      <c r="E370" s="539"/>
      <c r="F370" s="539">
        <v>-100</v>
      </c>
      <c r="G370" s="540"/>
      <c r="H370" s="541">
        <v>2.632519624082164</v>
      </c>
      <c r="I370" s="542"/>
      <c r="J370" s="542">
        <v>1.3125196240821639</v>
      </c>
      <c r="K370" s="542"/>
      <c r="L370" s="542">
        <v>1.32</v>
      </c>
      <c r="M370" s="542"/>
      <c r="N370" s="542">
        <v>0</v>
      </c>
      <c r="O370" s="523"/>
      <c r="P370" s="539" t="s">
        <v>1627</v>
      </c>
      <c r="Q370" s="523"/>
      <c r="R370" s="534">
        <v>37.4</v>
      </c>
    </row>
    <row r="371" spans="1:18">
      <c r="A371" s="560">
        <v>369</v>
      </c>
      <c r="B371" s="527"/>
      <c r="C371" s="532"/>
      <c r="D371" s="527"/>
      <c r="E371" s="527"/>
      <c r="F371" s="539" t="s">
        <v>1695</v>
      </c>
      <c r="G371" s="540"/>
      <c r="H371" s="541">
        <f>((287905+593539)/(7721903.52+22546422.62))*100</f>
        <v>2.9121002460560907</v>
      </c>
      <c r="I371" s="542"/>
      <c r="J371" s="542"/>
      <c r="K371" s="542"/>
      <c r="L371" s="542"/>
      <c r="M371" s="542"/>
      <c r="N371" s="542"/>
      <c r="O371" s="523"/>
      <c r="P371" s="539" t="s">
        <v>1681</v>
      </c>
      <c r="Q371" s="523"/>
      <c r="R371" s="562" t="s">
        <v>1680</v>
      </c>
    </row>
    <row r="372" spans="1:18">
      <c r="B372" s="527"/>
      <c r="C372" s="532"/>
      <c r="D372" s="527"/>
      <c r="E372" s="527"/>
      <c r="F372" s="539"/>
      <c r="G372" s="540"/>
      <c r="H372" s="541"/>
      <c r="I372" s="542"/>
      <c r="J372" s="542"/>
      <c r="K372" s="542"/>
      <c r="L372" s="542"/>
      <c r="M372" s="542"/>
      <c r="N372" s="542"/>
      <c r="O372" s="523"/>
      <c r="P372" s="534"/>
      <c r="Q372" s="523"/>
    </row>
    <row r="373" spans="1:18">
      <c r="A373" s="560"/>
      <c r="B373" s="563" t="s">
        <v>1672</v>
      </c>
      <c r="C373" s="532"/>
      <c r="D373" s="527"/>
      <c r="E373" s="527"/>
      <c r="F373" s="539"/>
      <c r="G373" s="540"/>
      <c r="H373" s="541"/>
      <c r="I373" s="542"/>
      <c r="J373" s="542"/>
      <c r="K373" s="542"/>
      <c r="L373" s="542"/>
      <c r="M373" s="542"/>
      <c r="N373" s="542"/>
      <c r="O373" s="523"/>
      <c r="P373" s="534"/>
      <c r="Q373" s="523"/>
    </row>
    <row r="374" spans="1:18">
      <c r="A374" s="536"/>
      <c r="B374" s="537">
        <v>370</v>
      </c>
      <c r="C374" s="532"/>
      <c r="D374" s="527" t="s">
        <v>1885</v>
      </c>
      <c r="E374" s="527"/>
      <c r="F374" s="539">
        <v>0</v>
      </c>
      <c r="G374" s="540"/>
      <c r="H374" s="541">
        <v>3.3000000000000003</v>
      </c>
      <c r="I374" s="542"/>
      <c r="J374" s="542">
        <v>3.3000000000000003</v>
      </c>
      <c r="K374" s="542"/>
      <c r="L374" s="542">
        <v>0</v>
      </c>
      <c r="M374" s="542"/>
      <c r="N374" s="542">
        <v>0</v>
      </c>
      <c r="O374" s="523"/>
      <c r="P374" s="539" t="s">
        <v>1674</v>
      </c>
      <c r="Q374" s="523"/>
      <c r="R374" s="534">
        <v>15.7</v>
      </c>
    </row>
    <row r="375" spans="1:18">
      <c r="A375" s="560"/>
      <c r="B375" s="537">
        <v>370.01</v>
      </c>
      <c r="C375" s="532"/>
      <c r="D375" s="527" t="s">
        <v>1662</v>
      </c>
      <c r="E375" s="527"/>
      <c r="F375" s="539">
        <v>0</v>
      </c>
      <c r="G375" s="540"/>
      <c r="H375" s="541">
        <v>6.8500000000000005</v>
      </c>
      <c r="I375" s="542"/>
      <c r="J375" s="542">
        <v>6.8500000000000005</v>
      </c>
      <c r="K375" s="542"/>
      <c r="L375" s="542">
        <v>0</v>
      </c>
      <c r="M375" s="542"/>
      <c r="N375" s="542">
        <v>0</v>
      </c>
      <c r="O375" s="523"/>
      <c r="P375" s="539" t="s">
        <v>1663</v>
      </c>
      <c r="Q375" s="523"/>
      <c r="R375" s="534">
        <v>14.5</v>
      </c>
    </row>
    <row r="376" spans="1:18">
      <c r="A376" s="536"/>
      <c r="B376" s="527">
        <v>370.2</v>
      </c>
      <c r="C376" s="532"/>
      <c r="D376" s="527" t="s">
        <v>1886</v>
      </c>
      <c r="E376" s="539"/>
      <c r="F376" s="539">
        <v>0</v>
      </c>
      <c r="G376" s="540"/>
      <c r="H376" s="541">
        <v>2.79</v>
      </c>
      <c r="I376" s="542"/>
      <c r="J376" s="542">
        <v>2.79</v>
      </c>
      <c r="K376" s="542"/>
      <c r="L376" s="542">
        <v>0</v>
      </c>
      <c r="M376" s="542"/>
      <c r="N376" s="542">
        <v>0</v>
      </c>
      <c r="O376" s="523"/>
      <c r="P376" s="539" t="s">
        <v>1674</v>
      </c>
      <c r="Q376" s="523"/>
      <c r="R376" s="534">
        <v>4.3</v>
      </c>
    </row>
    <row r="377" spans="1:18">
      <c r="A377" s="536">
        <v>370</v>
      </c>
      <c r="B377" s="527"/>
      <c r="C377" s="532"/>
      <c r="D377" s="527"/>
      <c r="E377" s="527"/>
      <c r="F377" s="539">
        <v>0</v>
      </c>
      <c r="G377" s="540"/>
      <c r="H377" s="541">
        <f>((978050+220824+81896)/(35084451.85+6686008.69+1195968.08)*100)</f>
        <v>2.9808621315196482</v>
      </c>
      <c r="I377" s="542"/>
      <c r="J377" s="542"/>
      <c r="K377" s="542"/>
      <c r="L377" s="542"/>
      <c r="M377" s="542"/>
      <c r="N377" s="542"/>
      <c r="O377" s="523"/>
      <c r="P377" s="534" t="s">
        <v>1682</v>
      </c>
      <c r="Q377" s="523"/>
      <c r="R377" s="562" t="s">
        <v>1679</v>
      </c>
    </row>
    <row r="378" spans="1:18">
      <c r="A378" s="536"/>
      <c r="B378" s="527"/>
      <c r="C378" s="532"/>
      <c r="D378" s="527"/>
      <c r="E378" s="527"/>
      <c r="F378" s="539"/>
      <c r="G378" s="540"/>
      <c r="H378" s="541"/>
      <c r="I378" s="542"/>
      <c r="J378" s="542"/>
      <c r="K378" s="542"/>
      <c r="L378" s="542"/>
      <c r="M378" s="542"/>
      <c r="N378" s="542"/>
      <c r="O378" s="523"/>
      <c r="P378" s="534"/>
      <c r="Q378" s="523"/>
    </row>
    <row r="379" spans="1:18">
      <c r="A379" s="560"/>
      <c r="B379" s="527"/>
      <c r="C379" s="532"/>
      <c r="D379" s="527"/>
      <c r="E379" s="527"/>
      <c r="F379" s="539"/>
      <c r="G379" s="540"/>
      <c r="H379" s="542"/>
      <c r="I379" s="542"/>
      <c r="J379" s="542"/>
      <c r="K379" s="542"/>
      <c r="L379" s="542"/>
      <c r="M379" s="542"/>
      <c r="N379" s="542"/>
      <c r="O379" s="523"/>
      <c r="P379" s="534"/>
      <c r="Q379" s="523"/>
    </row>
    <row r="380" spans="1:18">
      <c r="A380" s="536"/>
      <c r="B380" s="537">
        <v>373.1</v>
      </c>
      <c r="C380" s="532"/>
      <c r="D380" s="527" t="s">
        <v>1362</v>
      </c>
      <c r="E380" s="539"/>
      <c r="F380" s="539">
        <v>-30</v>
      </c>
      <c r="G380" s="540"/>
      <c r="H380" s="541">
        <v>5.384484462423309</v>
      </c>
      <c r="I380" s="542"/>
      <c r="J380" s="542">
        <v>4.1444844624233088</v>
      </c>
      <c r="K380" s="542"/>
      <c r="L380" s="542">
        <v>1.28</v>
      </c>
      <c r="M380" s="542"/>
      <c r="N380" s="542">
        <v>-0.04</v>
      </c>
      <c r="O380" s="523"/>
      <c r="P380" s="539" t="s">
        <v>1664</v>
      </c>
      <c r="Q380" s="523"/>
      <c r="R380" s="534">
        <v>18.7</v>
      </c>
    </row>
    <row r="381" spans="1:18">
      <c r="A381" s="536"/>
      <c r="B381" s="537">
        <v>373.2</v>
      </c>
      <c r="C381" s="532"/>
      <c r="D381" s="559" t="s">
        <v>1363</v>
      </c>
      <c r="E381" s="539"/>
      <c r="F381" s="539">
        <v>-40</v>
      </c>
      <c r="G381" s="540"/>
      <c r="H381" s="541">
        <v>3.6358370395320021</v>
      </c>
      <c r="I381" s="542"/>
      <c r="J381" s="542">
        <v>2.6058370395320019</v>
      </c>
      <c r="K381" s="542"/>
      <c r="L381" s="542">
        <v>1.06</v>
      </c>
      <c r="M381" s="542"/>
      <c r="N381" s="542">
        <v>-0.03</v>
      </c>
      <c r="O381" s="523"/>
      <c r="P381" s="539" t="s">
        <v>1665</v>
      </c>
      <c r="Q381" s="523"/>
      <c r="R381" s="534">
        <v>25.8</v>
      </c>
    </row>
    <row r="382" spans="1:18">
      <c r="A382" s="536">
        <v>373</v>
      </c>
      <c r="B382" s="527"/>
      <c r="C382" s="532"/>
      <c r="D382" s="527"/>
      <c r="E382" s="527"/>
      <c r="F382" s="539" t="s">
        <v>1696</v>
      </c>
      <c r="G382" s="540"/>
      <c r="H382" s="541">
        <f>((2222181+2052285)/(41270079.16+56446011.68)*100)</f>
        <v>4.3743726987595073</v>
      </c>
      <c r="I382" s="542"/>
      <c r="J382" s="542"/>
      <c r="K382" s="542"/>
      <c r="L382" s="542"/>
      <c r="M382" s="542"/>
      <c r="N382" s="542"/>
      <c r="O382" s="523"/>
      <c r="P382" s="539" t="s">
        <v>1683</v>
      </c>
      <c r="Q382" s="523"/>
      <c r="R382" s="562" t="s">
        <v>1676</v>
      </c>
    </row>
    <row r="383" spans="1:18">
      <c r="A383" s="536"/>
      <c r="B383" s="527"/>
      <c r="C383" s="532"/>
      <c r="D383" s="527"/>
      <c r="E383" s="527"/>
      <c r="F383" s="539"/>
      <c r="G383" s="540"/>
      <c r="H383" s="542"/>
      <c r="I383" s="542"/>
      <c r="J383" s="542"/>
      <c r="K383" s="542"/>
      <c r="L383" s="542"/>
      <c r="M383" s="542"/>
      <c r="N383" s="542"/>
      <c r="O383" s="523"/>
      <c r="P383" s="534"/>
      <c r="Q383" s="523"/>
    </row>
    <row r="384" spans="1:18">
      <c r="A384" s="560"/>
      <c r="B384" s="561">
        <v>392</v>
      </c>
      <c r="C384" s="532"/>
      <c r="D384" s="551" t="s">
        <v>358</v>
      </c>
      <c r="E384" s="539"/>
      <c r="F384" s="539">
        <v>0</v>
      </c>
      <c r="G384" s="540"/>
      <c r="H384" s="541">
        <v>4.1178598807081164</v>
      </c>
      <c r="I384" s="542"/>
      <c r="J384" s="542">
        <v>4.1178598807081164</v>
      </c>
      <c r="K384" s="542"/>
      <c r="L384" s="542">
        <v>0</v>
      </c>
      <c r="M384" s="542"/>
      <c r="N384" s="542">
        <v>0</v>
      </c>
      <c r="O384" s="523"/>
      <c r="P384" s="539" t="s">
        <v>1666</v>
      </c>
      <c r="Q384" s="523"/>
      <c r="R384" s="534">
        <v>10.9</v>
      </c>
    </row>
    <row r="385" spans="1:18">
      <c r="A385" s="536"/>
      <c r="B385" s="561">
        <v>392.1</v>
      </c>
      <c r="C385" s="532"/>
      <c r="D385" s="551" t="s">
        <v>359</v>
      </c>
      <c r="E385" s="539"/>
      <c r="F385" s="539">
        <v>0</v>
      </c>
      <c r="G385" s="540"/>
      <c r="H385" s="541">
        <v>4.1811997694579617</v>
      </c>
      <c r="I385" s="542"/>
      <c r="J385" s="542">
        <v>4.1811997694579617</v>
      </c>
      <c r="K385" s="542"/>
      <c r="L385" s="542">
        <v>0</v>
      </c>
      <c r="M385" s="542"/>
      <c r="N385" s="542">
        <v>0</v>
      </c>
      <c r="O385" s="523"/>
      <c r="P385" s="539" t="s">
        <v>1667</v>
      </c>
      <c r="Q385" s="523"/>
      <c r="R385" s="534">
        <v>10.7</v>
      </c>
    </row>
    <row r="386" spans="1:18">
      <c r="A386" s="536"/>
      <c r="B386" s="537">
        <v>392.2</v>
      </c>
      <c r="C386" s="532"/>
      <c r="D386" s="551" t="s">
        <v>1364</v>
      </c>
      <c r="E386" s="539"/>
      <c r="F386" s="539">
        <v>0</v>
      </c>
      <c r="G386" s="540"/>
      <c r="H386" s="541">
        <v>5.3341494514580488</v>
      </c>
      <c r="I386" s="542"/>
      <c r="J386" s="542">
        <v>5.3341494514580488</v>
      </c>
      <c r="K386" s="542"/>
      <c r="L386" s="542">
        <v>0</v>
      </c>
      <c r="M386" s="542"/>
      <c r="N386" s="542">
        <v>0</v>
      </c>
      <c r="O386" s="523"/>
      <c r="P386" s="539" t="s">
        <v>1668</v>
      </c>
      <c r="Q386" s="523"/>
      <c r="R386" s="534">
        <v>14.4</v>
      </c>
    </row>
    <row r="387" spans="1:18">
      <c r="A387" s="536">
        <v>392</v>
      </c>
      <c r="B387" s="527"/>
      <c r="C387" s="532"/>
      <c r="D387" s="527"/>
      <c r="E387" s="527"/>
      <c r="F387" s="539">
        <v>0</v>
      </c>
      <c r="G387" s="540"/>
      <c r="H387" s="541">
        <f>((30479+126695+26639)/(740166.03+3030111.14+499404.83)*100)</f>
        <v>4.3050747104819518</v>
      </c>
      <c r="I387" s="542"/>
      <c r="J387" s="542"/>
      <c r="K387" s="542"/>
      <c r="L387" s="542"/>
      <c r="M387" s="542"/>
      <c r="N387" s="542"/>
      <c r="O387" s="523"/>
      <c r="P387" s="534" t="s">
        <v>1684</v>
      </c>
      <c r="Q387" s="523"/>
      <c r="R387" s="562" t="s">
        <v>1678</v>
      </c>
    </row>
    <row r="388" spans="1:18">
      <c r="A388" s="524"/>
      <c r="B388" s="527"/>
      <c r="C388" s="532"/>
      <c r="D388" s="527"/>
      <c r="E388" s="527"/>
      <c r="F388" s="539"/>
      <c r="G388" s="540"/>
      <c r="H388" s="542"/>
      <c r="I388" s="542"/>
      <c r="J388" s="542"/>
      <c r="K388" s="542"/>
      <c r="L388" s="542"/>
      <c r="M388" s="542"/>
      <c r="N388" s="542"/>
      <c r="O388" s="523"/>
      <c r="P388" s="534"/>
      <c r="Q388" s="523"/>
    </row>
    <row r="389" spans="1:18">
      <c r="A389" s="524"/>
      <c r="B389" s="561">
        <v>396.1</v>
      </c>
      <c r="C389" s="532"/>
      <c r="D389" s="538" t="s">
        <v>1366</v>
      </c>
      <c r="E389" s="539"/>
      <c r="F389" s="539">
        <v>0</v>
      </c>
      <c r="G389" s="540"/>
      <c r="H389" s="541">
        <v>0.3809108322994344</v>
      </c>
      <c r="I389" s="542"/>
      <c r="J389" s="542">
        <v>0.3809108322994344</v>
      </c>
      <c r="K389" s="542"/>
      <c r="L389" s="542">
        <v>0</v>
      </c>
      <c r="M389" s="542"/>
      <c r="N389" s="542">
        <v>0</v>
      </c>
      <c r="O389" s="523"/>
      <c r="P389" s="539" t="s">
        <v>1669</v>
      </c>
      <c r="Q389" s="523"/>
      <c r="R389" s="534">
        <v>16.399999999999999</v>
      </c>
    </row>
    <row r="390" spans="1:18">
      <c r="A390" s="524"/>
      <c r="B390" s="537">
        <v>396.2</v>
      </c>
      <c r="C390" s="532"/>
      <c r="D390" s="538" t="s">
        <v>1367</v>
      </c>
      <c r="E390" s="539"/>
      <c r="F390" s="539">
        <v>0</v>
      </c>
      <c r="G390" s="540"/>
      <c r="H390" s="541">
        <v>3.5739268904332495</v>
      </c>
      <c r="I390" s="542"/>
      <c r="J390" s="542">
        <v>3.5739268904332495</v>
      </c>
      <c r="K390" s="542"/>
      <c r="L390" s="542">
        <v>0</v>
      </c>
      <c r="M390" s="542"/>
      <c r="N390" s="542">
        <v>0</v>
      </c>
      <c r="O390" s="523"/>
      <c r="P390" s="539" t="s">
        <v>1670</v>
      </c>
      <c r="Q390" s="523"/>
      <c r="R390" s="534">
        <v>17.100000000000001</v>
      </c>
    </row>
    <row r="391" spans="1:18">
      <c r="A391" s="536">
        <v>396</v>
      </c>
      <c r="B391" s="527"/>
      <c r="C391" s="532"/>
      <c r="D391" s="527"/>
      <c r="E391" s="527"/>
      <c r="F391" s="539">
        <v>0</v>
      </c>
      <c r="G391" s="540"/>
      <c r="H391" s="541">
        <f>((7153+7309)/(1877867.31+204508.94)*100)</f>
        <v>0.6944950510264416</v>
      </c>
      <c r="I391" s="521"/>
      <c r="J391" s="521"/>
      <c r="K391" s="521"/>
      <c r="L391" s="521"/>
      <c r="M391" s="521"/>
      <c r="N391" s="521"/>
      <c r="O391" s="523"/>
      <c r="P391" s="534" t="s">
        <v>1685</v>
      </c>
      <c r="Q391" s="523"/>
      <c r="R391" s="562" t="s">
        <v>1677</v>
      </c>
    </row>
    <row r="392" spans="1:18">
      <c r="F392" s="539"/>
      <c r="G392" s="540"/>
      <c r="P392" s="534"/>
    </row>
    <row r="393" spans="1:18">
      <c r="F393" s="539"/>
      <c r="P393" s="534"/>
    </row>
    <row r="394" spans="1:18">
      <c r="F394" s="539"/>
      <c r="P394" s="523"/>
    </row>
    <row r="395" spans="1:18">
      <c r="F395" s="539"/>
      <c r="P395" s="523"/>
    </row>
    <row r="396" spans="1:18">
      <c r="F396" s="539"/>
      <c r="P396" s="523"/>
    </row>
    <row r="397" spans="1:18">
      <c r="F397" s="539"/>
      <c r="P397" s="523"/>
    </row>
    <row r="398" spans="1:18">
      <c r="F398" s="539"/>
    </row>
    <row r="399" spans="1:18">
      <c r="F399" s="539"/>
    </row>
    <row r="400" spans="1:18">
      <c r="F400" s="539"/>
    </row>
  </sheetData>
  <mergeCells count="4">
    <mergeCell ref="B1:R1"/>
    <mergeCell ref="B2:R2"/>
    <mergeCell ref="B4:R4"/>
    <mergeCell ref="B5:R5"/>
  </mergeCells>
  <pageMargins left="0.7" right="0.7" top="0.75" bottom="0.75" header="0.3" footer="0.3"/>
  <pageSetup scale="46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386"/>
  <sheetViews>
    <sheetView topLeftCell="A370" zoomScale="75" zoomScaleNormal="75" workbookViewId="0">
      <selection activeCell="H23" sqref="H23"/>
    </sheetView>
  </sheetViews>
  <sheetFormatPr defaultColWidth="11" defaultRowHeight="15.75"/>
  <cols>
    <col min="1" max="1" width="11" style="407"/>
    <col min="2" max="2" width="11" style="401" customWidth="1"/>
    <col min="3" max="3" width="3.6640625" style="411" customWidth="1"/>
    <col min="4" max="4" width="58.21875" style="401" customWidth="1"/>
    <col min="5" max="5" width="3.6640625" style="401" customWidth="1"/>
    <col min="6" max="6" width="11" style="596" customWidth="1"/>
    <col min="7" max="7" width="3.6640625" style="432" customWidth="1"/>
    <col min="8" max="8" width="11.109375" style="432" bestFit="1" customWidth="1"/>
    <col min="9" max="9" width="3.6640625" style="432" customWidth="1"/>
    <col min="10" max="10" width="6.6640625" style="432" bestFit="1" customWidth="1"/>
    <col min="11" max="11" width="3.6640625" style="432" customWidth="1"/>
    <col min="12" max="12" width="11.6640625" style="432" bestFit="1" customWidth="1"/>
    <col min="13" max="13" width="3.6640625" style="432" customWidth="1"/>
    <col min="14" max="14" width="11.21875" style="432" bestFit="1" customWidth="1"/>
    <col min="15" max="15" width="3.6640625" style="432" customWidth="1"/>
    <col min="16" max="16" width="11.77734375" style="432" bestFit="1" customWidth="1"/>
    <col min="17" max="17" width="3.6640625" style="432" customWidth="1"/>
    <col min="18" max="18" width="13.21875" style="581" customWidth="1"/>
    <col min="19" max="16384" width="11" style="401"/>
  </cols>
  <sheetData>
    <row r="1" spans="1:18">
      <c r="B1" s="856" t="s">
        <v>1603</v>
      </c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  <c r="R1" s="856"/>
    </row>
    <row r="2" spans="1:18">
      <c r="B2" s="856" t="s">
        <v>1285</v>
      </c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  <c r="R2" s="856"/>
    </row>
    <row r="3" spans="1:18">
      <c r="A3" s="183"/>
      <c r="C3" s="402"/>
      <c r="D3" s="403"/>
      <c r="E3" s="403"/>
      <c r="F3" s="579"/>
      <c r="G3" s="580"/>
      <c r="H3" s="580"/>
      <c r="P3" s="580"/>
    </row>
    <row r="4" spans="1:18">
      <c r="B4" s="856" t="s">
        <v>1604</v>
      </c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Q4" s="856"/>
      <c r="R4" s="856"/>
    </row>
    <row r="5" spans="1:18">
      <c r="B5" s="856" t="s">
        <v>1888</v>
      </c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  <c r="R5" s="856"/>
    </row>
    <row r="6" spans="1:18">
      <c r="A6" s="183"/>
      <c r="B6" s="404"/>
      <c r="C6" s="405"/>
      <c r="D6" s="406"/>
      <c r="E6" s="406"/>
      <c r="F6" s="582"/>
      <c r="G6" s="583"/>
      <c r="P6" s="583"/>
    </row>
    <row r="7" spans="1:18">
      <c r="A7" s="185"/>
      <c r="B7" s="407"/>
      <c r="C7" s="402"/>
      <c r="D7" s="408"/>
      <c r="E7" s="498"/>
      <c r="F7" s="584" t="s">
        <v>289</v>
      </c>
      <c r="G7" s="585"/>
      <c r="H7" s="586"/>
      <c r="I7" s="587"/>
      <c r="J7" s="588"/>
      <c r="K7" s="588"/>
      <c r="L7" s="588" t="s">
        <v>287</v>
      </c>
      <c r="M7" s="588"/>
      <c r="N7" s="588" t="s">
        <v>1605</v>
      </c>
      <c r="P7" s="585"/>
      <c r="R7" s="589" t="s">
        <v>294</v>
      </c>
    </row>
    <row r="8" spans="1:18">
      <c r="A8" s="184"/>
      <c r="B8" s="407"/>
      <c r="C8" s="402"/>
      <c r="D8" s="498"/>
      <c r="E8" s="498"/>
      <c r="F8" s="584" t="s">
        <v>293</v>
      </c>
      <c r="G8" s="585"/>
      <c r="H8" s="590" t="s">
        <v>295</v>
      </c>
      <c r="I8" s="587"/>
      <c r="J8" s="588" t="s">
        <v>1606</v>
      </c>
      <c r="K8" s="588"/>
      <c r="L8" s="588" t="s">
        <v>1607</v>
      </c>
      <c r="M8" s="588"/>
      <c r="N8" s="588" t="s">
        <v>1608</v>
      </c>
      <c r="P8" s="585" t="s">
        <v>296</v>
      </c>
      <c r="R8" s="589" t="s">
        <v>297</v>
      </c>
    </row>
    <row r="9" spans="1:18">
      <c r="A9" s="184"/>
      <c r="B9" s="407"/>
      <c r="C9" s="402"/>
      <c r="D9" s="498" t="s">
        <v>298</v>
      </c>
      <c r="E9" s="498"/>
      <c r="F9" s="584" t="s">
        <v>299</v>
      </c>
      <c r="G9" s="585"/>
      <c r="H9" s="588" t="s">
        <v>300</v>
      </c>
      <c r="I9" s="587"/>
      <c r="J9" s="591" t="s">
        <v>300</v>
      </c>
      <c r="K9" s="588"/>
      <c r="L9" s="591" t="s">
        <v>300</v>
      </c>
      <c r="M9" s="588"/>
      <c r="N9" s="591" t="s">
        <v>300</v>
      </c>
      <c r="P9" s="585" t="s">
        <v>301</v>
      </c>
      <c r="R9" s="589" t="s">
        <v>302</v>
      </c>
    </row>
    <row r="10" spans="1:18">
      <c r="A10" s="401"/>
      <c r="B10" s="407"/>
      <c r="C10" s="402"/>
      <c r="D10" s="409"/>
      <c r="E10" s="410"/>
      <c r="F10" s="592"/>
      <c r="G10" s="585"/>
      <c r="H10" s="593"/>
      <c r="I10" s="587"/>
      <c r="J10" s="588"/>
      <c r="K10" s="588"/>
      <c r="L10" s="588"/>
      <c r="M10" s="588"/>
      <c r="N10" s="588"/>
      <c r="P10" s="594"/>
      <c r="R10" s="595"/>
    </row>
    <row r="11" spans="1:18">
      <c r="A11" s="184"/>
      <c r="B11" s="407"/>
      <c r="C11" s="402"/>
      <c r="D11" s="410"/>
      <c r="E11" s="410"/>
      <c r="F11" s="584"/>
      <c r="G11" s="585"/>
      <c r="H11" s="588"/>
      <c r="I11" s="587"/>
      <c r="J11" s="587"/>
      <c r="K11" s="587"/>
      <c r="L11" s="587"/>
      <c r="M11" s="587"/>
      <c r="N11" s="587"/>
      <c r="P11" s="585"/>
      <c r="R11" s="589"/>
    </row>
    <row r="12" spans="1:18">
      <c r="A12" s="184"/>
      <c r="B12" s="407"/>
      <c r="D12" s="412" t="s">
        <v>303</v>
      </c>
      <c r="H12" s="587"/>
      <c r="I12" s="587"/>
      <c r="J12" s="587"/>
      <c r="K12" s="587"/>
      <c r="L12" s="587"/>
      <c r="M12" s="587"/>
      <c r="N12" s="587"/>
    </row>
    <row r="13" spans="1:18">
      <c r="A13" s="184"/>
      <c r="B13" s="407"/>
      <c r="H13" s="587"/>
      <c r="I13" s="587"/>
      <c r="J13" s="587"/>
      <c r="K13" s="587"/>
      <c r="L13" s="587"/>
      <c r="M13" s="587"/>
      <c r="N13" s="587"/>
    </row>
    <row r="14" spans="1:18">
      <c r="A14" s="184"/>
      <c r="B14" s="407"/>
      <c r="D14" s="408" t="s">
        <v>309</v>
      </c>
      <c r="H14" s="597"/>
      <c r="I14" s="587"/>
      <c r="J14" s="587"/>
      <c r="K14" s="587"/>
      <c r="L14" s="587"/>
      <c r="M14" s="587"/>
      <c r="N14" s="587"/>
    </row>
    <row r="15" spans="1:18">
      <c r="A15" s="184"/>
      <c r="B15" s="407"/>
      <c r="D15" s="415"/>
      <c r="H15" s="597"/>
      <c r="I15" s="587"/>
      <c r="J15" s="587"/>
      <c r="K15" s="587"/>
      <c r="L15" s="587"/>
      <c r="M15" s="587"/>
      <c r="N15" s="587"/>
    </row>
    <row r="16" spans="1:18">
      <c r="A16" s="197"/>
      <c r="B16" s="414">
        <v>311</v>
      </c>
      <c r="D16" s="401" t="s">
        <v>310</v>
      </c>
      <c r="H16" s="587"/>
      <c r="I16" s="587"/>
      <c r="J16" s="587"/>
      <c r="K16" s="587"/>
      <c r="L16" s="587"/>
      <c r="M16" s="587"/>
      <c r="N16" s="587"/>
    </row>
    <row r="17" spans="1:18">
      <c r="A17" s="197"/>
      <c r="B17" s="414"/>
      <c r="D17" s="416" t="s">
        <v>1297</v>
      </c>
      <c r="E17" s="417"/>
      <c r="F17" s="598">
        <v>-10</v>
      </c>
      <c r="H17" s="599">
        <v>2.6647912417741888</v>
      </c>
      <c r="I17" s="587"/>
      <c r="J17" s="587">
        <v>2.134791241774189</v>
      </c>
      <c r="K17" s="587"/>
      <c r="L17" s="587">
        <v>0.53</v>
      </c>
      <c r="M17" s="587"/>
      <c r="N17" s="587">
        <v>0</v>
      </c>
      <c r="P17" s="600" t="s">
        <v>1610</v>
      </c>
      <c r="R17" s="581">
        <v>16.2</v>
      </c>
    </row>
    <row r="18" spans="1:18">
      <c r="A18" s="197"/>
      <c r="B18" s="414"/>
      <c r="D18" s="416" t="s">
        <v>1299</v>
      </c>
      <c r="E18" s="417"/>
      <c r="F18" s="598">
        <v>-10</v>
      </c>
      <c r="H18" s="599">
        <v>1.7575712949753595</v>
      </c>
      <c r="I18" s="587"/>
      <c r="J18" s="587">
        <v>1.5975712949753595</v>
      </c>
      <c r="K18" s="587"/>
      <c r="L18" s="587">
        <v>0.16</v>
      </c>
      <c r="M18" s="587"/>
      <c r="N18" s="587">
        <v>0</v>
      </c>
      <c r="P18" s="600" t="s">
        <v>1610</v>
      </c>
      <c r="R18" s="581">
        <v>18.2</v>
      </c>
    </row>
    <row r="19" spans="1:18">
      <c r="A19" s="197"/>
      <c r="B19" s="414"/>
      <c r="D19" s="416" t="s">
        <v>1300</v>
      </c>
      <c r="E19" s="417"/>
      <c r="F19" s="598">
        <v>-10</v>
      </c>
      <c r="H19" s="599">
        <v>2.3128218560389358</v>
      </c>
      <c r="I19" s="587"/>
      <c r="J19" s="587">
        <v>2.1028218560389358</v>
      </c>
      <c r="K19" s="587"/>
      <c r="L19" s="587">
        <v>0.21</v>
      </c>
      <c r="M19" s="587"/>
      <c r="N19" s="587">
        <v>0</v>
      </c>
      <c r="P19" s="600" t="s">
        <v>1610</v>
      </c>
      <c r="R19" s="581">
        <v>18.399999999999999</v>
      </c>
    </row>
    <row r="20" spans="1:18">
      <c r="A20" s="197"/>
      <c r="B20" s="414"/>
      <c r="D20" s="416" t="s">
        <v>1301</v>
      </c>
      <c r="E20" s="417"/>
      <c r="F20" s="598">
        <v>-10</v>
      </c>
      <c r="H20" s="599">
        <v>5.6054484558236428</v>
      </c>
      <c r="I20" s="587"/>
      <c r="J20" s="587">
        <v>5.095448455823643</v>
      </c>
      <c r="K20" s="587"/>
      <c r="L20" s="587">
        <v>0.51</v>
      </c>
      <c r="M20" s="587"/>
      <c r="N20" s="587">
        <v>0</v>
      </c>
      <c r="P20" s="600" t="s">
        <v>1610</v>
      </c>
      <c r="R20" s="581">
        <v>21.8</v>
      </c>
    </row>
    <row r="21" spans="1:18">
      <c r="A21" s="197"/>
      <c r="B21" s="414"/>
      <c r="D21" s="416" t="s">
        <v>1302</v>
      </c>
      <c r="E21" s="417"/>
      <c r="F21" s="598">
        <v>-10</v>
      </c>
      <c r="H21" s="599">
        <v>1.8289623077982056</v>
      </c>
      <c r="I21" s="587"/>
      <c r="J21" s="587">
        <v>1.6589623077982056</v>
      </c>
      <c r="K21" s="587"/>
      <c r="L21" s="587">
        <v>0.17</v>
      </c>
      <c r="M21" s="587"/>
      <c r="N21" s="587">
        <v>0</v>
      </c>
      <c r="P21" s="600" t="s">
        <v>1610</v>
      </c>
      <c r="R21" s="581">
        <v>21.7</v>
      </c>
    </row>
    <row r="22" spans="1:18">
      <c r="A22" s="197"/>
      <c r="B22" s="414"/>
      <c r="D22" s="416" t="s">
        <v>1303</v>
      </c>
      <c r="E22" s="417"/>
      <c r="F22" s="598">
        <v>-10</v>
      </c>
      <c r="H22" s="599">
        <v>5.2578422790659198</v>
      </c>
      <c r="I22" s="587"/>
      <c r="J22" s="587">
        <v>4.7778422790659203</v>
      </c>
      <c r="K22" s="587"/>
      <c r="L22" s="587">
        <v>0.48</v>
      </c>
      <c r="M22" s="587"/>
      <c r="N22" s="587">
        <v>0</v>
      </c>
      <c r="P22" s="600" t="s">
        <v>1610</v>
      </c>
      <c r="R22" s="581">
        <v>25.8</v>
      </c>
    </row>
    <row r="23" spans="1:18">
      <c r="A23" s="197"/>
      <c r="B23" s="414"/>
      <c r="D23" s="416" t="s">
        <v>1304</v>
      </c>
      <c r="E23" s="417"/>
      <c r="F23" s="598">
        <v>-10</v>
      </c>
      <c r="H23" s="599">
        <v>2.2113985337539619</v>
      </c>
      <c r="I23" s="587"/>
      <c r="J23" s="587">
        <v>2.0113985337539617</v>
      </c>
      <c r="K23" s="587"/>
      <c r="L23" s="587">
        <v>0.2</v>
      </c>
      <c r="M23" s="587"/>
      <c r="N23" s="587">
        <v>0</v>
      </c>
      <c r="P23" s="600" t="s">
        <v>1610</v>
      </c>
      <c r="R23" s="581">
        <v>26.1</v>
      </c>
    </row>
    <row r="24" spans="1:18">
      <c r="A24" s="197"/>
      <c r="B24" s="414"/>
      <c r="D24" s="416" t="s">
        <v>1609</v>
      </c>
      <c r="E24" s="417"/>
      <c r="F24" s="598">
        <v>-25</v>
      </c>
      <c r="H24" s="599">
        <v>2.8019418263606823</v>
      </c>
      <c r="I24" s="587"/>
      <c r="J24" s="587">
        <v>2.5519418263606823</v>
      </c>
      <c r="K24" s="587"/>
      <c r="L24" s="587">
        <v>0.25</v>
      </c>
      <c r="M24" s="587"/>
      <c r="N24" s="587">
        <v>0</v>
      </c>
      <c r="P24" s="600" t="s">
        <v>1610</v>
      </c>
      <c r="R24" s="581">
        <v>46</v>
      </c>
    </row>
    <row r="25" spans="1:18">
      <c r="A25" s="197"/>
      <c r="B25" s="414"/>
      <c r="D25" s="416" t="s">
        <v>1305</v>
      </c>
      <c r="E25" s="417"/>
      <c r="F25" s="598">
        <v>-14</v>
      </c>
      <c r="H25" s="599">
        <v>1.6846642870290276</v>
      </c>
      <c r="I25" s="587"/>
      <c r="J25" s="587">
        <v>1.4746642870290276</v>
      </c>
      <c r="K25" s="587"/>
      <c r="L25" s="587">
        <v>0.21</v>
      </c>
      <c r="M25" s="587"/>
      <c r="N25" s="587">
        <v>0</v>
      </c>
      <c r="P25" s="600" t="s">
        <v>1610</v>
      </c>
      <c r="R25" s="581">
        <v>32.9</v>
      </c>
    </row>
    <row r="26" spans="1:18">
      <c r="A26" s="197"/>
      <c r="B26" s="414"/>
      <c r="D26" s="416" t="s">
        <v>1306</v>
      </c>
      <c r="E26" s="417"/>
      <c r="F26" s="598">
        <v>-14</v>
      </c>
      <c r="H26" s="599">
        <v>3.5652932916041644</v>
      </c>
      <c r="I26" s="587"/>
      <c r="J26" s="587">
        <v>3.1252932916041645</v>
      </c>
      <c r="K26" s="587"/>
      <c r="L26" s="587">
        <v>0.44</v>
      </c>
      <c r="M26" s="587"/>
      <c r="N26" s="587">
        <v>0</v>
      </c>
      <c r="P26" s="600" t="s">
        <v>1610</v>
      </c>
      <c r="R26" s="581">
        <v>33.700000000000003</v>
      </c>
    </row>
    <row r="27" spans="1:18">
      <c r="A27" s="197"/>
      <c r="B27" s="414"/>
      <c r="D27" s="416" t="s">
        <v>311</v>
      </c>
      <c r="E27" s="417"/>
      <c r="F27" s="598">
        <v>-14</v>
      </c>
      <c r="H27" s="599">
        <v>2.1585173593567828</v>
      </c>
      <c r="I27" s="587"/>
      <c r="J27" s="587">
        <v>1.8885173593567828</v>
      </c>
      <c r="K27" s="587"/>
      <c r="L27" s="587">
        <v>0.27</v>
      </c>
      <c r="M27" s="587"/>
      <c r="N27" s="587">
        <v>0</v>
      </c>
      <c r="P27" s="600" t="s">
        <v>1610</v>
      </c>
      <c r="R27" s="581">
        <v>48.5</v>
      </c>
    </row>
    <row r="28" spans="1:18">
      <c r="A28" s="197"/>
      <c r="B28" s="414"/>
      <c r="D28" s="416" t="s">
        <v>1308</v>
      </c>
      <c r="E28" s="417"/>
      <c r="F28" s="598">
        <v>-14</v>
      </c>
      <c r="H28" s="599">
        <v>2.2494108446661838</v>
      </c>
      <c r="I28" s="587"/>
      <c r="J28" s="587">
        <v>1.9694108446661838</v>
      </c>
      <c r="K28" s="587"/>
      <c r="L28" s="587">
        <v>0.28000000000000003</v>
      </c>
      <c r="M28" s="587"/>
      <c r="N28" s="587">
        <v>0</v>
      </c>
      <c r="P28" s="600" t="s">
        <v>1610</v>
      </c>
      <c r="R28" s="581">
        <v>48.5</v>
      </c>
    </row>
    <row r="29" spans="1:18">
      <c r="A29" s="197"/>
      <c r="B29" s="414"/>
      <c r="E29" s="417"/>
      <c r="F29" s="598"/>
      <c r="H29" s="597"/>
      <c r="I29" s="587"/>
      <c r="J29" s="587"/>
      <c r="K29" s="587"/>
      <c r="L29" s="587"/>
      <c r="M29" s="587"/>
      <c r="N29" s="587"/>
      <c r="P29" s="600"/>
    </row>
    <row r="30" spans="1:18">
      <c r="A30" s="217">
        <v>311</v>
      </c>
      <c r="B30" s="414"/>
      <c r="D30" s="419" t="s">
        <v>315</v>
      </c>
      <c r="E30" s="417"/>
      <c r="F30" s="601"/>
      <c r="H30" s="599">
        <v>2.0843835444312289</v>
      </c>
      <c r="I30" s="587"/>
      <c r="J30" s="587"/>
      <c r="K30" s="587"/>
      <c r="L30" s="587"/>
      <c r="M30" s="587"/>
      <c r="N30" s="587"/>
      <c r="P30" s="600" t="str">
        <f>P28</f>
        <v>95-R2.5</v>
      </c>
      <c r="R30" s="602">
        <v>28.7</v>
      </c>
    </row>
    <row r="31" spans="1:18">
      <c r="A31" s="401"/>
      <c r="B31" s="414"/>
      <c r="D31" s="419"/>
      <c r="E31" s="417"/>
      <c r="F31" s="598"/>
      <c r="H31" s="599"/>
      <c r="I31" s="587"/>
      <c r="J31" s="587"/>
      <c r="K31" s="587"/>
      <c r="L31" s="587"/>
      <c r="M31" s="587"/>
      <c r="N31" s="587"/>
      <c r="P31" s="600"/>
    </row>
    <row r="32" spans="1:18">
      <c r="A32" s="197"/>
      <c r="B32" s="414">
        <v>311.2</v>
      </c>
      <c r="D32" s="401" t="s">
        <v>1619</v>
      </c>
      <c r="E32" s="417"/>
      <c r="F32" s="598"/>
      <c r="H32" s="599"/>
      <c r="I32" s="587"/>
      <c r="J32" s="587"/>
      <c r="K32" s="587"/>
      <c r="L32" s="587"/>
      <c r="M32" s="587"/>
      <c r="N32" s="587"/>
      <c r="P32" s="600"/>
    </row>
    <row r="33" spans="1:18">
      <c r="A33" s="197"/>
      <c r="B33" s="414"/>
      <c r="D33" s="416" t="s">
        <v>1287</v>
      </c>
      <c r="E33" s="417"/>
      <c r="F33" s="598">
        <v>-10</v>
      </c>
      <c r="H33" s="599">
        <v>0</v>
      </c>
      <c r="I33" s="587"/>
      <c r="J33" s="587">
        <v>0</v>
      </c>
      <c r="K33" s="587"/>
      <c r="L33" s="587">
        <v>0</v>
      </c>
      <c r="M33" s="587"/>
      <c r="N33" s="587">
        <v>0</v>
      </c>
      <c r="P33" s="600" t="s">
        <v>1610</v>
      </c>
      <c r="R33" s="581" t="s">
        <v>1288</v>
      </c>
    </row>
    <row r="34" spans="1:18">
      <c r="A34" s="197"/>
      <c r="B34" s="414"/>
      <c r="D34" s="416" t="s">
        <v>1289</v>
      </c>
      <c r="E34" s="417"/>
      <c r="F34" s="598">
        <v>-10</v>
      </c>
      <c r="H34" s="599">
        <v>0</v>
      </c>
      <c r="I34" s="587"/>
      <c r="J34" s="587">
        <v>0</v>
      </c>
      <c r="K34" s="587"/>
      <c r="L34" s="587">
        <v>0</v>
      </c>
      <c r="M34" s="587"/>
      <c r="N34" s="587">
        <v>0</v>
      </c>
      <c r="P34" s="600" t="s">
        <v>1610</v>
      </c>
      <c r="R34" s="581" t="s">
        <v>1288</v>
      </c>
    </row>
    <row r="35" spans="1:18">
      <c r="A35" s="197"/>
      <c r="B35" s="414"/>
      <c r="D35" s="416" t="s">
        <v>1290</v>
      </c>
      <c r="E35" s="417"/>
      <c r="F35" s="598">
        <v>-10</v>
      </c>
      <c r="H35" s="599">
        <v>0</v>
      </c>
      <c r="I35" s="587"/>
      <c r="J35" s="587">
        <v>0</v>
      </c>
      <c r="K35" s="587"/>
      <c r="L35" s="587">
        <v>0</v>
      </c>
      <c r="M35" s="587"/>
      <c r="N35" s="587">
        <v>0</v>
      </c>
      <c r="P35" s="600" t="s">
        <v>1610</v>
      </c>
      <c r="R35" s="581" t="s">
        <v>1288</v>
      </c>
    </row>
    <row r="36" spans="1:18">
      <c r="A36" s="197"/>
      <c r="B36" s="414"/>
      <c r="D36" s="416" t="s">
        <v>1291</v>
      </c>
      <c r="E36" s="417"/>
      <c r="F36" s="598">
        <v>-10</v>
      </c>
      <c r="H36" s="599">
        <v>0</v>
      </c>
      <c r="I36" s="587"/>
      <c r="J36" s="587">
        <v>0</v>
      </c>
      <c r="K36" s="587"/>
      <c r="L36" s="587">
        <v>0</v>
      </c>
      <c r="M36" s="587"/>
      <c r="N36" s="587">
        <v>0</v>
      </c>
      <c r="P36" s="600" t="s">
        <v>1610</v>
      </c>
      <c r="R36" s="581" t="s">
        <v>1288</v>
      </c>
    </row>
    <row r="37" spans="1:18">
      <c r="A37" s="197"/>
      <c r="B37" s="414"/>
      <c r="D37" s="416" t="s">
        <v>1292</v>
      </c>
      <c r="E37" s="417"/>
      <c r="F37" s="598">
        <v>-10</v>
      </c>
      <c r="H37" s="599">
        <v>0</v>
      </c>
      <c r="I37" s="587"/>
      <c r="J37" s="587">
        <v>0</v>
      </c>
      <c r="K37" s="587"/>
      <c r="L37" s="587">
        <v>0</v>
      </c>
      <c r="M37" s="587"/>
      <c r="N37" s="587">
        <v>0</v>
      </c>
      <c r="P37" s="600" t="s">
        <v>1610</v>
      </c>
      <c r="R37" s="581" t="s">
        <v>1288</v>
      </c>
    </row>
    <row r="38" spans="1:18">
      <c r="A38" s="197"/>
      <c r="B38" s="414"/>
      <c r="D38" s="416" t="s">
        <v>1293</v>
      </c>
      <c r="E38" s="417"/>
      <c r="F38" s="598">
        <v>-10</v>
      </c>
      <c r="H38" s="599">
        <v>0</v>
      </c>
      <c r="I38" s="587"/>
      <c r="J38" s="587">
        <v>0</v>
      </c>
      <c r="K38" s="587"/>
      <c r="L38" s="587">
        <v>0</v>
      </c>
      <c r="M38" s="587"/>
      <c r="N38" s="587">
        <v>0</v>
      </c>
      <c r="P38" s="600" t="s">
        <v>312</v>
      </c>
      <c r="R38" s="581" t="s">
        <v>1288</v>
      </c>
    </row>
    <row r="39" spans="1:18">
      <c r="A39" s="197"/>
      <c r="B39" s="414"/>
      <c r="D39" s="416" t="s">
        <v>1294</v>
      </c>
      <c r="E39" s="417"/>
      <c r="F39" s="598">
        <v>-10</v>
      </c>
      <c r="H39" s="599">
        <v>0</v>
      </c>
      <c r="I39" s="587"/>
      <c r="J39" s="587">
        <v>0</v>
      </c>
      <c r="K39" s="587"/>
      <c r="L39" s="587">
        <v>0</v>
      </c>
      <c r="M39" s="587"/>
      <c r="N39" s="587">
        <v>0</v>
      </c>
      <c r="P39" s="600">
        <v>0</v>
      </c>
      <c r="R39" s="581" t="s">
        <v>1288</v>
      </c>
    </row>
    <row r="40" spans="1:18">
      <c r="A40" s="197"/>
      <c r="B40" s="414"/>
      <c r="D40" s="416" t="s">
        <v>1295</v>
      </c>
      <c r="E40" s="417"/>
      <c r="F40" s="598">
        <v>-10</v>
      </c>
      <c r="H40" s="599">
        <v>0</v>
      </c>
      <c r="I40" s="587"/>
      <c r="J40" s="587">
        <v>0</v>
      </c>
      <c r="K40" s="587"/>
      <c r="L40" s="587">
        <v>0</v>
      </c>
      <c r="M40" s="587"/>
      <c r="N40" s="587">
        <v>0</v>
      </c>
      <c r="P40" s="600" t="s">
        <v>312</v>
      </c>
      <c r="R40" s="581" t="s">
        <v>1288</v>
      </c>
    </row>
    <row r="41" spans="1:18">
      <c r="A41" s="197"/>
      <c r="B41" s="414"/>
      <c r="D41" s="416" t="s">
        <v>1296</v>
      </c>
      <c r="E41" s="417"/>
      <c r="F41" s="598">
        <v>-10</v>
      </c>
      <c r="H41" s="599">
        <v>0</v>
      </c>
      <c r="I41" s="587"/>
      <c r="J41" s="587">
        <v>0</v>
      </c>
      <c r="K41" s="587"/>
      <c r="L41" s="587">
        <v>0</v>
      </c>
      <c r="M41" s="587"/>
      <c r="N41" s="587">
        <v>0</v>
      </c>
      <c r="P41" s="600" t="s">
        <v>312</v>
      </c>
      <c r="R41" s="581" t="s">
        <v>1288</v>
      </c>
    </row>
    <row r="42" spans="1:18">
      <c r="A42" s="197"/>
      <c r="B42" s="414"/>
      <c r="D42" s="419"/>
      <c r="E42" s="417"/>
      <c r="F42" s="598"/>
      <c r="H42" s="599"/>
      <c r="I42" s="587"/>
      <c r="J42" s="587"/>
      <c r="K42" s="587"/>
      <c r="L42" s="587"/>
      <c r="M42" s="587"/>
      <c r="N42" s="587"/>
      <c r="P42" s="600"/>
    </row>
    <row r="43" spans="1:18">
      <c r="A43" s="197"/>
      <c r="B43" s="414"/>
      <c r="D43" s="419" t="s">
        <v>1620</v>
      </c>
      <c r="E43" s="417"/>
      <c r="F43" s="598"/>
      <c r="H43" s="599"/>
      <c r="I43" s="587"/>
      <c r="J43" s="587"/>
      <c r="K43" s="587"/>
      <c r="L43" s="587"/>
      <c r="M43" s="587"/>
      <c r="N43" s="587"/>
      <c r="P43" s="600" t="str">
        <f>P41</f>
        <v>100-S1</v>
      </c>
    </row>
    <row r="44" spans="1:18">
      <c r="A44" s="197"/>
      <c r="B44" s="414"/>
      <c r="D44" s="419"/>
      <c r="E44" s="417"/>
      <c r="F44" s="598"/>
      <c r="H44" s="599"/>
      <c r="I44" s="587"/>
      <c r="J44" s="587"/>
      <c r="K44" s="587"/>
      <c r="L44" s="587"/>
      <c r="M44" s="587"/>
      <c r="N44" s="587"/>
      <c r="P44" s="600"/>
    </row>
    <row r="45" spans="1:18">
      <c r="A45" s="197"/>
      <c r="B45" s="414">
        <v>312</v>
      </c>
      <c r="D45" s="401" t="s">
        <v>316</v>
      </c>
      <c r="H45" s="587"/>
      <c r="I45" s="587"/>
      <c r="J45" s="587"/>
      <c r="K45" s="587"/>
      <c r="L45" s="587"/>
      <c r="M45" s="587"/>
      <c r="N45" s="587"/>
    </row>
    <row r="46" spans="1:18">
      <c r="A46" s="197"/>
      <c r="B46" s="414"/>
      <c r="D46" s="416" t="s">
        <v>1297</v>
      </c>
      <c r="E46" s="417"/>
      <c r="F46" s="603">
        <v>-10</v>
      </c>
      <c r="H46" s="599">
        <v>6.1528732346285819</v>
      </c>
      <c r="I46" s="587"/>
      <c r="J46" s="587">
        <v>5.5928732346285823</v>
      </c>
      <c r="K46" s="587"/>
      <c r="L46" s="587">
        <v>0.73</v>
      </c>
      <c r="M46" s="587"/>
      <c r="N46" s="587">
        <v>-0.17</v>
      </c>
      <c r="P46" s="604" t="s">
        <v>1889</v>
      </c>
      <c r="R46" s="581">
        <v>15.8</v>
      </c>
    </row>
    <row r="47" spans="1:18">
      <c r="A47" s="197"/>
      <c r="B47" s="414"/>
      <c r="D47" s="416" t="s">
        <v>1298</v>
      </c>
      <c r="E47" s="417"/>
      <c r="F47" s="603">
        <v>-10</v>
      </c>
      <c r="H47" s="599">
        <v>3.6716357623486489</v>
      </c>
      <c r="I47" s="587"/>
      <c r="J47" s="587">
        <v>3.3416357623486488</v>
      </c>
      <c r="K47" s="587"/>
      <c r="L47" s="587">
        <v>0.43</v>
      </c>
      <c r="M47" s="587"/>
      <c r="N47" s="587">
        <v>-0.1</v>
      </c>
      <c r="P47" s="604" t="s">
        <v>1889</v>
      </c>
      <c r="R47" s="581">
        <v>15.5</v>
      </c>
    </row>
    <row r="48" spans="1:18">
      <c r="A48" s="197"/>
      <c r="B48" s="414"/>
      <c r="D48" s="416" t="s">
        <v>1299</v>
      </c>
      <c r="E48" s="417"/>
      <c r="F48" s="603">
        <v>-10</v>
      </c>
      <c r="H48" s="599">
        <v>6.2652155455888705</v>
      </c>
      <c r="I48" s="587"/>
      <c r="J48" s="587">
        <v>5.6952155455888702</v>
      </c>
      <c r="K48" s="587"/>
      <c r="L48" s="587">
        <v>0.74</v>
      </c>
      <c r="M48" s="587"/>
      <c r="N48" s="587">
        <v>-0.17</v>
      </c>
      <c r="P48" s="604" t="s">
        <v>1889</v>
      </c>
      <c r="R48" s="581">
        <v>17.600000000000001</v>
      </c>
    </row>
    <row r="49" spans="1:18">
      <c r="A49" s="197"/>
      <c r="B49" s="414"/>
      <c r="D49" s="416" t="s">
        <v>1300</v>
      </c>
      <c r="E49" s="417"/>
      <c r="F49" s="603">
        <v>-10</v>
      </c>
      <c r="H49" s="599">
        <v>6.7805103369176489</v>
      </c>
      <c r="I49" s="587"/>
      <c r="J49" s="587">
        <v>6.1605103369176488</v>
      </c>
      <c r="K49" s="587"/>
      <c r="L49" s="587">
        <v>0.8</v>
      </c>
      <c r="M49" s="587"/>
      <c r="N49" s="587">
        <v>-0.18</v>
      </c>
      <c r="P49" s="604" t="s">
        <v>1889</v>
      </c>
      <c r="R49" s="581">
        <v>17.8</v>
      </c>
    </row>
    <row r="50" spans="1:18">
      <c r="A50" s="197"/>
      <c r="B50" s="414"/>
      <c r="D50" s="416" t="s">
        <v>1301</v>
      </c>
      <c r="E50" s="417"/>
      <c r="F50" s="603">
        <v>-10</v>
      </c>
      <c r="H50" s="599">
        <v>4.4662834833554159</v>
      </c>
      <c r="I50" s="587"/>
      <c r="J50" s="587">
        <v>4.0562834833554158</v>
      </c>
      <c r="K50" s="587"/>
      <c r="L50" s="587">
        <v>0.53</v>
      </c>
      <c r="M50" s="587"/>
      <c r="N50" s="587">
        <v>-0.12</v>
      </c>
      <c r="P50" s="604" t="s">
        <v>1889</v>
      </c>
      <c r="R50" s="581">
        <v>20.399999999999999</v>
      </c>
    </row>
    <row r="51" spans="1:18">
      <c r="A51" s="197"/>
      <c r="B51" s="414"/>
      <c r="D51" s="416" t="s">
        <v>1302</v>
      </c>
      <c r="E51" s="417"/>
      <c r="F51" s="603">
        <v>-10</v>
      </c>
      <c r="H51" s="599">
        <v>5.5394304647914696</v>
      </c>
      <c r="I51" s="587"/>
      <c r="J51" s="587">
        <v>5.0394304647914696</v>
      </c>
      <c r="K51" s="587"/>
      <c r="L51" s="587">
        <v>0.65</v>
      </c>
      <c r="M51" s="587"/>
      <c r="N51" s="587">
        <v>-0.15</v>
      </c>
      <c r="P51" s="604" t="s">
        <v>1889</v>
      </c>
      <c r="R51" s="581">
        <v>20.399999999999999</v>
      </c>
    </row>
    <row r="52" spans="1:18">
      <c r="A52" s="197"/>
      <c r="B52" s="414"/>
      <c r="D52" s="416" t="s">
        <v>1303</v>
      </c>
      <c r="E52" s="417"/>
      <c r="F52" s="603">
        <v>-10</v>
      </c>
      <c r="H52" s="599">
        <v>3.6126454919928226</v>
      </c>
      <c r="I52" s="587"/>
      <c r="J52" s="587">
        <v>3.2826454919928225</v>
      </c>
      <c r="K52" s="587"/>
      <c r="L52" s="587">
        <v>0.43</v>
      </c>
      <c r="M52" s="587"/>
      <c r="N52" s="587">
        <v>-0.1</v>
      </c>
      <c r="P52" s="604" t="s">
        <v>1889</v>
      </c>
      <c r="R52" s="581">
        <v>24.2</v>
      </c>
    </row>
    <row r="53" spans="1:18">
      <c r="A53" s="197"/>
      <c r="B53" s="414"/>
      <c r="D53" s="416" t="s">
        <v>1304</v>
      </c>
      <c r="E53" s="417"/>
      <c r="F53" s="603">
        <v>-10</v>
      </c>
      <c r="H53" s="599">
        <v>4.4671434780758528</v>
      </c>
      <c r="I53" s="587"/>
      <c r="J53" s="587">
        <v>4.0571434780758526</v>
      </c>
      <c r="K53" s="587"/>
      <c r="L53" s="587">
        <v>0.53</v>
      </c>
      <c r="M53" s="587"/>
      <c r="N53" s="587">
        <v>-0.12</v>
      </c>
      <c r="P53" s="604" t="s">
        <v>1889</v>
      </c>
      <c r="R53" s="581">
        <v>24.6</v>
      </c>
    </row>
    <row r="54" spans="1:18">
      <c r="A54" s="197"/>
      <c r="B54" s="414"/>
      <c r="D54" s="416" t="s">
        <v>1305</v>
      </c>
      <c r="E54" s="417"/>
      <c r="F54" s="603">
        <v>-14</v>
      </c>
      <c r="H54" s="599">
        <v>3.0171555115972799</v>
      </c>
      <c r="I54" s="587"/>
      <c r="J54" s="587">
        <v>2.6471555115972798</v>
      </c>
      <c r="K54" s="587"/>
      <c r="L54" s="587">
        <v>0.45</v>
      </c>
      <c r="M54" s="587"/>
      <c r="N54" s="587">
        <v>-0.08</v>
      </c>
      <c r="P54" s="604" t="s">
        <v>1889</v>
      </c>
      <c r="R54" s="581">
        <v>29.6</v>
      </c>
    </row>
    <row r="55" spans="1:18">
      <c r="A55" s="197"/>
      <c r="B55" s="414"/>
      <c r="D55" s="416" t="s">
        <v>1306</v>
      </c>
      <c r="E55" s="417"/>
      <c r="F55" s="603">
        <v>-14</v>
      </c>
      <c r="H55" s="599">
        <v>2.3092807501290977</v>
      </c>
      <c r="I55" s="587"/>
      <c r="J55" s="587">
        <v>2.0292807501290975</v>
      </c>
      <c r="K55" s="587"/>
      <c r="L55" s="587">
        <v>0.34</v>
      </c>
      <c r="M55" s="587"/>
      <c r="N55" s="587">
        <v>-0.06</v>
      </c>
      <c r="P55" s="604" t="s">
        <v>1889</v>
      </c>
      <c r="R55" s="581">
        <v>28.1</v>
      </c>
    </row>
    <row r="56" spans="1:18">
      <c r="A56" s="197"/>
      <c r="B56" s="414"/>
      <c r="D56" s="416" t="s">
        <v>311</v>
      </c>
      <c r="E56" s="417"/>
      <c r="F56" s="603">
        <v>-14</v>
      </c>
      <c r="H56" s="599">
        <v>2.3891155104162767</v>
      </c>
      <c r="I56" s="587"/>
      <c r="J56" s="587">
        <v>2.0891155104162769</v>
      </c>
      <c r="K56" s="587"/>
      <c r="L56" s="587">
        <v>0.36</v>
      </c>
      <c r="M56" s="587"/>
      <c r="N56" s="587">
        <v>-0.06</v>
      </c>
      <c r="P56" s="604" t="s">
        <v>1889</v>
      </c>
      <c r="R56" s="581">
        <v>41.5</v>
      </c>
    </row>
    <row r="57" spans="1:18">
      <c r="A57" s="197"/>
      <c r="B57" s="414"/>
      <c r="D57" s="416" t="s">
        <v>1308</v>
      </c>
      <c r="E57" s="417"/>
      <c r="F57" s="603">
        <v>-14</v>
      </c>
      <c r="H57" s="599">
        <v>2.3275862412603718</v>
      </c>
      <c r="I57" s="587"/>
      <c r="J57" s="587">
        <v>2.0375862412603718</v>
      </c>
      <c r="K57" s="587"/>
      <c r="L57" s="587">
        <v>0.35</v>
      </c>
      <c r="M57" s="587"/>
      <c r="N57" s="587">
        <v>-0.06</v>
      </c>
      <c r="P57" s="604" t="s">
        <v>1889</v>
      </c>
      <c r="R57" s="581">
        <v>41.5</v>
      </c>
    </row>
    <row r="58" spans="1:18">
      <c r="A58" s="401"/>
      <c r="B58" s="414"/>
      <c r="E58" s="417"/>
      <c r="F58" s="598"/>
      <c r="H58" s="597"/>
      <c r="I58" s="587"/>
      <c r="J58" s="587"/>
      <c r="K58" s="587"/>
      <c r="L58" s="587"/>
      <c r="M58" s="587"/>
      <c r="N58" s="587"/>
      <c r="P58" s="600"/>
    </row>
    <row r="59" spans="1:18">
      <c r="A59" s="217">
        <v>312</v>
      </c>
      <c r="B59" s="414"/>
      <c r="D59" s="419" t="s">
        <v>317</v>
      </c>
      <c r="E59" s="417"/>
      <c r="F59" s="601"/>
      <c r="H59" s="599">
        <v>4.3403911035039391</v>
      </c>
      <c r="I59" s="587"/>
      <c r="J59" s="587"/>
      <c r="K59" s="587"/>
      <c r="L59" s="587"/>
      <c r="M59" s="587"/>
      <c r="N59" s="587"/>
      <c r="P59" s="600" t="str">
        <f>P57</f>
        <v>60-R1</v>
      </c>
      <c r="R59" s="581">
        <v>22.8</v>
      </c>
    </row>
    <row r="60" spans="1:18">
      <c r="A60" s="197"/>
      <c r="B60" s="414"/>
      <c r="D60" s="419"/>
      <c r="E60" s="417"/>
      <c r="F60" s="598"/>
      <c r="H60" s="599"/>
      <c r="I60" s="587"/>
      <c r="J60" s="587"/>
      <c r="K60" s="587"/>
      <c r="L60" s="587"/>
      <c r="M60" s="587"/>
      <c r="N60" s="587"/>
      <c r="P60" s="600"/>
    </row>
    <row r="61" spans="1:18">
      <c r="A61" s="197"/>
      <c r="H61" s="587"/>
      <c r="I61" s="587"/>
      <c r="J61" s="587"/>
      <c r="K61" s="587"/>
      <c r="L61" s="587"/>
      <c r="M61" s="587"/>
      <c r="N61" s="587"/>
    </row>
    <row r="62" spans="1:18">
      <c r="A62" s="197"/>
      <c r="B62" s="414">
        <v>312.10000000000002</v>
      </c>
      <c r="D62" s="401" t="s">
        <v>1622</v>
      </c>
      <c r="E62" s="417"/>
      <c r="F62" s="598"/>
      <c r="H62" s="599"/>
      <c r="I62" s="587"/>
      <c r="J62" s="587"/>
      <c r="K62" s="587"/>
      <c r="L62" s="587"/>
      <c r="M62" s="587"/>
      <c r="N62" s="587"/>
      <c r="P62" s="600"/>
    </row>
    <row r="63" spans="1:18">
      <c r="A63" s="197"/>
      <c r="B63" s="414"/>
      <c r="D63" s="401" t="s">
        <v>1890</v>
      </c>
      <c r="E63" s="417"/>
      <c r="F63" s="598">
        <v>0</v>
      </c>
      <c r="H63" s="599">
        <v>10.941340199177517</v>
      </c>
      <c r="I63" s="587"/>
      <c r="J63" s="587">
        <v>10.941340199177517</v>
      </c>
      <c r="K63" s="587"/>
      <c r="L63" s="587">
        <v>0</v>
      </c>
      <c r="M63" s="587"/>
      <c r="N63" s="587">
        <v>0</v>
      </c>
      <c r="P63" s="600" t="s">
        <v>1615</v>
      </c>
      <c r="R63" s="581">
        <v>16.399999999999999</v>
      </c>
    </row>
    <row r="64" spans="1:18">
      <c r="A64" s="197"/>
      <c r="B64" s="414"/>
      <c r="D64" s="401" t="s">
        <v>1891</v>
      </c>
      <c r="E64" s="417"/>
      <c r="F64" s="598">
        <v>0</v>
      </c>
      <c r="H64" s="599">
        <v>21.936401243269877</v>
      </c>
      <c r="I64" s="587"/>
      <c r="J64" s="587">
        <v>21.936401243269877</v>
      </c>
      <c r="K64" s="587"/>
      <c r="L64" s="587">
        <v>0</v>
      </c>
      <c r="M64" s="587"/>
      <c r="N64" s="587">
        <v>0</v>
      </c>
      <c r="P64" s="600" t="s">
        <v>1615</v>
      </c>
      <c r="R64" s="581">
        <v>20.399999999999999</v>
      </c>
    </row>
    <row r="65" spans="1:18">
      <c r="A65" s="197"/>
      <c r="B65" s="414"/>
      <c r="D65" s="401" t="s">
        <v>1892</v>
      </c>
      <c r="E65" s="417"/>
      <c r="F65" s="598">
        <v>0</v>
      </c>
      <c r="H65" s="599">
        <v>10.304924580777501</v>
      </c>
      <c r="I65" s="587"/>
      <c r="J65" s="587">
        <v>10.304924580777501</v>
      </c>
      <c r="K65" s="587"/>
      <c r="L65" s="587">
        <v>0</v>
      </c>
      <c r="M65" s="587"/>
      <c r="N65" s="587">
        <v>0</v>
      </c>
      <c r="P65" s="600" t="s">
        <v>1615</v>
      </c>
      <c r="R65" s="581">
        <v>34.5</v>
      </c>
    </row>
    <row r="66" spans="1:18">
      <c r="A66" s="197"/>
      <c r="B66" s="414"/>
      <c r="D66" s="416" t="s">
        <v>1893</v>
      </c>
      <c r="E66" s="417"/>
      <c r="F66" s="598">
        <v>0</v>
      </c>
      <c r="H66" s="599">
        <v>21.963451426345486</v>
      </c>
      <c r="I66" s="587"/>
      <c r="J66" s="587">
        <v>21.963451426345486</v>
      </c>
      <c r="K66" s="587"/>
      <c r="L66" s="587">
        <v>0</v>
      </c>
      <c r="M66" s="587"/>
      <c r="N66" s="587">
        <v>0</v>
      </c>
      <c r="P66" s="600" t="s">
        <v>1615</v>
      </c>
      <c r="R66" s="581">
        <v>34.5</v>
      </c>
    </row>
    <row r="67" spans="1:18">
      <c r="A67" s="197"/>
      <c r="B67" s="414"/>
      <c r="D67" s="419"/>
      <c r="E67" s="417"/>
      <c r="F67" s="598"/>
      <c r="H67" s="599"/>
      <c r="I67" s="587"/>
      <c r="J67" s="587"/>
      <c r="K67" s="587"/>
      <c r="L67" s="587"/>
      <c r="M67" s="587"/>
      <c r="N67" s="587"/>
      <c r="P67" s="600"/>
    </row>
    <row r="68" spans="1:18">
      <c r="A68" s="197"/>
      <c r="B68" s="414"/>
      <c r="D68" s="419" t="s">
        <v>1624</v>
      </c>
      <c r="E68" s="417"/>
      <c r="F68" s="598"/>
      <c r="H68" s="599">
        <v>16.53</v>
      </c>
      <c r="I68" s="587"/>
      <c r="J68" s="587"/>
      <c r="K68" s="587"/>
      <c r="L68" s="587"/>
      <c r="M68" s="587"/>
      <c r="N68" s="587"/>
      <c r="P68" s="600" t="str">
        <f>P66</f>
        <v>100-S4</v>
      </c>
      <c r="R68" s="581">
        <v>34.5</v>
      </c>
    </row>
    <row r="69" spans="1:18">
      <c r="A69" s="605"/>
      <c r="B69" s="414"/>
      <c r="D69" s="419"/>
      <c r="E69" s="417"/>
      <c r="F69" s="598"/>
      <c r="H69" s="599"/>
      <c r="I69" s="587"/>
      <c r="J69" s="587"/>
      <c r="K69" s="587"/>
      <c r="L69" s="587"/>
      <c r="M69" s="587"/>
      <c r="N69" s="587"/>
      <c r="P69" s="600"/>
    </row>
    <row r="70" spans="1:18">
      <c r="A70" s="197"/>
      <c r="B70" s="414">
        <v>312.2</v>
      </c>
      <c r="D70" s="401" t="s">
        <v>1625</v>
      </c>
      <c r="E70" s="417"/>
      <c r="F70" s="598"/>
      <c r="H70" s="599"/>
      <c r="I70" s="587"/>
      <c r="J70" s="587"/>
      <c r="K70" s="587"/>
      <c r="L70" s="587"/>
      <c r="M70" s="587"/>
      <c r="N70" s="587"/>
      <c r="P70" s="600"/>
    </row>
    <row r="71" spans="1:18">
      <c r="A71" s="197"/>
      <c r="B71" s="414"/>
      <c r="D71" s="416" t="s">
        <v>1287</v>
      </c>
      <c r="E71" s="417"/>
      <c r="F71" s="598">
        <v>0</v>
      </c>
      <c r="H71" s="599">
        <v>0</v>
      </c>
      <c r="I71" s="587"/>
      <c r="J71" s="587">
        <v>0</v>
      </c>
      <c r="K71" s="587"/>
      <c r="L71" s="587">
        <v>0</v>
      </c>
      <c r="M71" s="587"/>
      <c r="N71" s="587">
        <v>0</v>
      </c>
      <c r="P71" s="600" t="s">
        <v>314</v>
      </c>
      <c r="R71" s="581" t="s">
        <v>1288</v>
      </c>
    </row>
    <row r="72" spans="1:18">
      <c r="A72" s="197"/>
      <c r="B72" s="414"/>
      <c r="D72" s="416" t="s">
        <v>1289</v>
      </c>
      <c r="E72" s="417"/>
      <c r="F72" s="598">
        <v>0</v>
      </c>
      <c r="H72" s="599">
        <v>0</v>
      </c>
      <c r="I72" s="587"/>
      <c r="J72" s="587">
        <v>0</v>
      </c>
      <c r="K72" s="587"/>
      <c r="L72" s="587">
        <v>0</v>
      </c>
      <c r="M72" s="587"/>
      <c r="N72" s="587">
        <v>0</v>
      </c>
      <c r="P72" s="600" t="s">
        <v>314</v>
      </c>
      <c r="R72" s="581" t="s">
        <v>1288</v>
      </c>
    </row>
    <row r="73" spans="1:18">
      <c r="A73" s="197"/>
      <c r="B73" s="414"/>
      <c r="D73" s="416" t="s">
        <v>1290</v>
      </c>
      <c r="E73" s="417"/>
      <c r="F73" s="598">
        <v>0</v>
      </c>
      <c r="H73" s="599">
        <v>0</v>
      </c>
      <c r="I73" s="587"/>
      <c r="J73" s="587">
        <v>0</v>
      </c>
      <c r="K73" s="587"/>
      <c r="L73" s="587">
        <v>0</v>
      </c>
      <c r="M73" s="587"/>
      <c r="N73" s="587">
        <v>0</v>
      </c>
      <c r="P73" s="600" t="s">
        <v>314</v>
      </c>
      <c r="R73" s="581" t="s">
        <v>1288</v>
      </c>
    </row>
    <row r="74" spans="1:18">
      <c r="A74" s="197"/>
      <c r="B74" s="414"/>
      <c r="D74" s="416" t="s">
        <v>1291</v>
      </c>
      <c r="E74" s="417"/>
      <c r="F74" s="598">
        <v>-10</v>
      </c>
      <c r="H74" s="599">
        <v>0</v>
      </c>
      <c r="I74" s="587"/>
      <c r="J74" s="587">
        <v>0</v>
      </c>
      <c r="K74" s="587"/>
      <c r="L74" s="587">
        <v>0</v>
      </c>
      <c r="M74" s="587"/>
      <c r="N74" s="587">
        <v>0</v>
      </c>
      <c r="P74" s="600" t="s">
        <v>1621</v>
      </c>
      <c r="R74" s="581">
        <v>0</v>
      </c>
    </row>
    <row r="75" spans="1:18">
      <c r="A75" s="197"/>
      <c r="B75" s="414"/>
      <c r="D75" s="416" t="s">
        <v>1292</v>
      </c>
      <c r="E75" s="417"/>
      <c r="F75" s="598">
        <v>0</v>
      </c>
      <c r="H75" s="599">
        <v>0</v>
      </c>
      <c r="I75" s="587"/>
      <c r="J75" s="587">
        <v>0</v>
      </c>
      <c r="K75" s="587"/>
      <c r="L75" s="587">
        <v>0</v>
      </c>
      <c r="M75" s="587"/>
      <c r="N75" s="587">
        <v>0</v>
      </c>
      <c r="P75" s="600" t="s">
        <v>1307</v>
      </c>
      <c r="R75" s="581" t="s">
        <v>1288</v>
      </c>
    </row>
    <row r="76" spans="1:18">
      <c r="A76" s="197"/>
      <c r="B76" s="414"/>
      <c r="D76" s="416" t="s">
        <v>1293</v>
      </c>
      <c r="E76" s="417"/>
      <c r="F76" s="598">
        <v>-10</v>
      </c>
      <c r="H76" s="599">
        <v>0</v>
      </c>
      <c r="I76" s="587"/>
      <c r="J76" s="587">
        <v>0</v>
      </c>
      <c r="K76" s="587"/>
      <c r="L76" s="587">
        <v>0</v>
      </c>
      <c r="M76" s="587"/>
      <c r="N76" s="587">
        <v>0</v>
      </c>
      <c r="P76" s="600" t="s">
        <v>1621</v>
      </c>
      <c r="R76" s="581">
        <v>0</v>
      </c>
    </row>
    <row r="77" spans="1:18">
      <c r="A77" s="197"/>
      <c r="B77" s="414"/>
      <c r="D77" s="416" t="s">
        <v>1294</v>
      </c>
      <c r="E77" s="417"/>
      <c r="F77" s="598">
        <v>-10</v>
      </c>
      <c r="H77" s="599">
        <v>0</v>
      </c>
      <c r="I77" s="587"/>
      <c r="J77" s="587">
        <v>0</v>
      </c>
      <c r="K77" s="587"/>
      <c r="L77" s="587">
        <v>0</v>
      </c>
      <c r="M77" s="587"/>
      <c r="N77" s="587">
        <v>0</v>
      </c>
      <c r="P77" s="600" t="s">
        <v>1621</v>
      </c>
      <c r="R77" s="581">
        <v>0</v>
      </c>
    </row>
    <row r="78" spans="1:18">
      <c r="A78" s="197"/>
      <c r="B78" s="414"/>
      <c r="D78" s="416" t="s">
        <v>1295</v>
      </c>
      <c r="E78" s="417"/>
      <c r="F78" s="598">
        <v>-10</v>
      </c>
      <c r="H78" s="599">
        <v>0</v>
      </c>
      <c r="I78" s="587"/>
      <c r="J78" s="587">
        <v>0</v>
      </c>
      <c r="K78" s="587"/>
      <c r="L78" s="587">
        <v>0</v>
      </c>
      <c r="M78" s="587"/>
      <c r="N78" s="587">
        <v>0</v>
      </c>
      <c r="P78" s="600" t="s">
        <v>1621</v>
      </c>
      <c r="R78" s="581">
        <v>0</v>
      </c>
    </row>
    <row r="79" spans="1:18">
      <c r="A79" s="197"/>
      <c r="B79" s="414"/>
      <c r="D79" s="416" t="s">
        <v>1296</v>
      </c>
      <c r="E79" s="417"/>
      <c r="F79" s="598">
        <v>-10</v>
      </c>
      <c r="H79" s="599">
        <v>0</v>
      </c>
      <c r="I79" s="587"/>
      <c r="J79" s="587">
        <v>0</v>
      </c>
      <c r="K79" s="587"/>
      <c r="L79" s="587">
        <v>0</v>
      </c>
      <c r="M79" s="587"/>
      <c r="N79" s="587">
        <v>0</v>
      </c>
      <c r="P79" s="600" t="s">
        <v>1621</v>
      </c>
      <c r="R79" s="581">
        <v>0</v>
      </c>
    </row>
    <row r="80" spans="1:18">
      <c r="A80" s="197"/>
      <c r="B80" s="414"/>
      <c r="D80" s="419"/>
      <c r="E80" s="417"/>
      <c r="F80" s="598"/>
      <c r="H80" s="599"/>
      <c r="I80" s="587"/>
      <c r="J80" s="587"/>
      <c r="K80" s="587"/>
      <c r="L80" s="587"/>
      <c r="M80" s="587"/>
      <c r="N80" s="587"/>
      <c r="P80" s="600"/>
    </row>
    <row r="81" spans="1:18">
      <c r="A81" s="197"/>
      <c r="B81" s="414"/>
      <c r="D81" s="419" t="s">
        <v>1626</v>
      </c>
      <c r="E81" s="417"/>
      <c r="F81" s="598"/>
      <c r="H81" s="599"/>
      <c r="I81" s="587"/>
      <c r="J81" s="587"/>
      <c r="K81" s="587"/>
      <c r="L81" s="587"/>
      <c r="M81" s="587"/>
      <c r="N81" s="587"/>
      <c r="P81" s="600"/>
    </row>
    <row r="82" spans="1:18">
      <c r="A82" s="197"/>
      <c r="B82" s="414"/>
      <c r="D82" s="419"/>
      <c r="E82" s="417"/>
      <c r="F82" s="598"/>
      <c r="H82" s="599"/>
      <c r="I82" s="587"/>
      <c r="J82" s="587"/>
      <c r="K82" s="587"/>
      <c r="L82" s="587"/>
      <c r="M82" s="587"/>
      <c r="N82" s="587"/>
      <c r="P82" s="600"/>
    </row>
    <row r="83" spans="1:18">
      <c r="A83" s="197"/>
      <c r="B83" s="414">
        <v>312.02</v>
      </c>
      <c r="D83" s="401" t="s">
        <v>1310</v>
      </c>
      <c r="H83" s="587"/>
      <c r="I83" s="587"/>
      <c r="J83" s="587"/>
      <c r="K83" s="587"/>
      <c r="L83" s="587"/>
      <c r="M83" s="587"/>
      <c r="N83" s="587"/>
    </row>
    <row r="84" spans="1:18">
      <c r="A84" s="197"/>
      <c r="B84" s="414"/>
      <c r="D84" s="416" t="s">
        <v>1311</v>
      </c>
      <c r="E84" s="417"/>
      <c r="F84" s="598">
        <v>0</v>
      </c>
      <c r="H84" s="599">
        <v>7.68</v>
      </c>
      <c r="I84" s="587"/>
      <c r="J84" s="587">
        <v>7.68</v>
      </c>
      <c r="K84" s="587"/>
      <c r="L84" s="587">
        <v>0</v>
      </c>
      <c r="M84" s="587"/>
      <c r="N84" s="587">
        <v>0</v>
      </c>
      <c r="P84" s="600" t="s">
        <v>1309</v>
      </c>
      <c r="R84" s="581">
        <v>1</v>
      </c>
    </row>
    <row r="85" spans="1:18">
      <c r="A85" s="197"/>
      <c r="B85" s="414"/>
      <c r="E85" s="417"/>
      <c r="F85" s="598"/>
      <c r="H85" s="597"/>
      <c r="I85" s="587"/>
      <c r="J85" s="587"/>
      <c r="K85" s="587"/>
      <c r="L85" s="587"/>
      <c r="M85" s="587"/>
      <c r="N85" s="587"/>
      <c r="P85" s="600"/>
    </row>
    <row r="86" spans="1:18">
      <c r="A86" s="197"/>
      <c r="B86" s="414"/>
      <c r="D86" s="419" t="s">
        <v>1312</v>
      </c>
      <c r="E86" s="417"/>
      <c r="F86" s="598"/>
      <c r="H86" s="599">
        <v>7.68</v>
      </c>
      <c r="I86" s="587"/>
      <c r="J86" s="587"/>
      <c r="K86" s="587"/>
      <c r="L86" s="587"/>
      <c r="M86" s="587"/>
      <c r="N86" s="587"/>
      <c r="P86" s="600"/>
      <c r="R86" s="581">
        <f>R84</f>
        <v>1</v>
      </c>
    </row>
    <row r="87" spans="1:18">
      <c r="A87" s="197"/>
      <c r="B87" s="414"/>
      <c r="D87" s="419"/>
      <c r="E87" s="417"/>
      <c r="F87" s="598"/>
      <c r="H87" s="597"/>
      <c r="I87" s="587"/>
      <c r="J87" s="587"/>
      <c r="K87" s="587"/>
      <c r="L87" s="587"/>
      <c r="M87" s="587"/>
      <c r="N87" s="587"/>
      <c r="P87" s="600"/>
    </row>
    <row r="88" spans="1:18">
      <c r="A88" s="197"/>
      <c r="B88" s="414">
        <v>314</v>
      </c>
      <c r="D88" s="401" t="s">
        <v>318</v>
      </c>
      <c r="H88" s="587"/>
      <c r="I88" s="587"/>
      <c r="J88" s="587"/>
      <c r="K88" s="587"/>
      <c r="L88" s="587"/>
      <c r="M88" s="587"/>
      <c r="N88" s="587"/>
    </row>
    <row r="89" spans="1:18">
      <c r="A89" s="197"/>
      <c r="B89" s="414"/>
      <c r="D89" s="416" t="s">
        <v>1297</v>
      </c>
      <c r="E89" s="417"/>
      <c r="F89" s="598">
        <v>-10</v>
      </c>
      <c r="H89" s="599">
        <v>4.7550521838899122</v>
      </c>
      <c r="I89" s="587"/>
      <c r="J89" s="587">
        <v>4.3250521838899116</v>
      </c>
      <c r="K89" s="587"/>
      <c r="L89" s="587">
        <v>0.56000000000000005</v>
      </c>
      <c r="M89" s="587"/>
      <c r="N89" s="587">
        <v>-0.13</v>
      </c>
      <c r="P89" s="600" t="s">
        <v>1627</v>
      </c>
      <c r="R89" s="581">
        <v>15.9</v>
      </c>
    </row>
    <row r="90" spans="1:18">
      <c r="A90" s="401"/>
      <c r="B90" s="414"/>
      <c r="D90" s="416" t="s">
        <v>1299</v>
      </c>
      <c r="E90" s="417"/>
      <c r="F90" s="598">
        <v>-10</v>
      </c>
      <c r="H90" s="599">
        <v>4.2174135331070106</v>
      </c>
      <c r="I90" s="587"/>
      <c r="J90" s="587">
        <v>3.8374135331070107</v>
      </c>
      <c r="K90" s="587"/>
      <c r="L90" s="587">
        <v>0.5</v>
      </c>
      <c r="M90" s="587"/>
      <c r="N90" s="587">
        <v>-0.12</v>
      </c>
      <c r="P90" s="600" t="s">
        <v>1627</v>
      </c>
      <c r="R90" s="581">
        <v>17.8</v>
      </c>
    </row>
    <row r="91" spans="1:18">
      <c r="A91" s="197"/>
      <c r="B91" s="414"/>
      <c r="D91" s="416" t="s">
        <v>1301</v>
      </c>
      <c r="E91" s="417"/>
      <c r="F91" s="598">
        <v>-10</v>
      </c>
      <c r="H91" s="599">
        <v>2.6296564783599439</v>
      </c>
      <c r="I91" s="587"/>
      <c r="J91" s="587">
        <v>2.3896564783599437</v>
      </c>
      <c r="K91" s="587"/>
      <c r="L91" s="587">
        <v>0.31</v>
      </c>
      <c r="M91" s="587"/>
      <c r="N91" s="587">
        <v>-7.0000000000000007E-2</v>
      </c>
      <c r="P91" s="600" t="s">
        <v>1627</v>
      </c>
      <c r="R91" s="581">
        <v>20.9</v>
      </c>
    </row>
    <row r="92" spans="1:18">
      <c r="A92" s="197"/>
      <c r="B92" s="414"/>
      <c r="C92" s="405"/>
      <c r="D92" s="416" t="s">
        <v>1303</v>
      </c>
      <c r="E92" s="417"/>
      <c r="F92" s="598">
        <v>-10</v>
      </c>
      <c r="H92" s="599">
        <v>2.8756837430783833</v>
      </c>
      <c r="I92" s="587"/>
      <c r="J92" s="587">
        <v>2.6156837430783835</v>
      </c>
      <c r="K92" s="587"/>
      <c r="L92" s="587">
        <v>0.34</v>
      </c>
      <c r="M92" s="587"/>
      <c r="N92" s="587">
        <v>-0.08</v>
      </c>
      <c r="P92" s="600" t="s">
        <v>1627</v>
      </c>
      <c r="R92" s="581">
        <v>24.5</v>
      </c>
    </row>
    <row r="93" spans="1:18">
      <c r="A93" s="197"/>
      <c r="B93" s="414"/>
      <c r="D93" s="416" t="s">
        <v>1611</v>
      </c>
      <c r="E93" s="417"/>
      <c r="F93" s="598">
        <v>-14</v>
      </c>
      <c r="H93" s="599">
        <v>2.1740841148328078</v>
      </c>
      <c r="I93" s="587"/>
      <c r="J93" s="587">
        <v>1.9140841148328078</v>
      </c>
      <c r="K93" s="587"/>
      <c r="L93" s="587">
        <v>0.32</v>
      </c>
      <c r="M93" s="587"/>
      <c r="N93" s="587">
        <v>-0.06</v>
      </c>
      <c r="P93" s="600" t="s">
        <v>1627</v>
      </c>
      <c r="R93" s="581">
        <v>30.3</v>
      </c>
    </row>
    <row r="94" spans="1:18">
      <c r="A94" s="197"/>
      <c r="B94" s="414"/>
      <c r="D94" s="416" t="s">
        <v>1612</v>
      </c>
      <c r="E94" s="417"/>
      <c r="F94" s="598">
        <v>-14</v>
      </c>
      <c r="H94" s="599">
        <v>2.2109373182715908</v>
      </c>
      <c r="I94" s="587"/>
      <c r="J94" s="587">
        <v>1.9409373182715908</v>
      </c>
      <c r="K94" s="587"/>
      <c r="L94" s="587">
        <v>0.33</v>
      </c>
      <c r="M94" s="587"/>
      <c r="N94" s="587">
        <v>-0.06</v>
      </c>
      <c r="P94" s="600" t="s">
        <v>1627</v>
      </c>
      <c r="R94" s="581">
        <v>43.6</v>
      </c>
    </row>
    <row r="95" spans="1:18">
      <c r="A95" s="197"/>
      <c r="B95" s="414"/>
      <c r="E95" s="417"/>
      <c r="F95" s="598"/>
      <c r="H95" s="597"/>
      <c r="I95" s="587"/>
      <c r="J95" s="587"/>
      <c r="K95" s="587"/>
      <c r="L95" s="587"/>
      <c r="M95" s="587"/>
      <c r="N95" s="587"/>
      <c r="P95" s="600"/>
    </row>
    <row r="96" spans="1:18">
      <c r="A96" s="197">
        <v>314</v>
      </c>
      <c r="B96" s="414"/>
      <c r="D96" s="419" t="s">
        <v>319</v>
      </c>
      <c r="E96" s="417"/>
      <c r="F96" s="601"/>
      <c r="H96" s="599">
        <v>2.97</v>
      </c>
      <c r="I96" s="587"/>
      <c r="J96" s="587"/>
      <c r="K96" s="587"/>
      <c r="L96" s="587"/>
      <c r="M96" s="587"/>
      <c r="N96" s="587"/>
      <c r="P96" s="600" t="str">
        <f>P94</f>
        <v>60-R2.5</v>
      </c>
      <c r="R96" s="581">
        <v>24</v>
      </c>
    </row>
    <row r="97" spans="1:18">
      <c r="A97" s="197"/>
      <c r="B97" s="414"/>
      <c r="D97" s="419"/>
      <c r="E97" s="417"/>
      <c r="F97" s="598"/>
      <c r="H97" s="599"/>
      <c r="I97" s="587"/>
      <c r="J97" s="587"/>
      <c r="K97" s="587"/>
      <c r="L97" s="587"/>
      <c r="M97" s="587"/>
      <c r="N97" s="587"/>
      <c r="P97" s="600"/>
    </row>
    <row r="98" spans="1:18">
      <c r="A98" s="197"/>
      <c r="B98" s="414">
        <v>314.10000000000002</v>
      </c>
      <c r="D98" s="401" t="s">
        <v>1628</v>
      </c>
      <c r="E98" s="417"/>
      <c r="F98" s="598"/>
      <c r="H98" s="599"/>
      <c r="I98" s="587"/>
      <c r="J98" s="587"/>
      <c r="K98" s="587"/>
      <c r="L98" s="587"/>
      <c r="M98" s="587"/>
      <c r="N98" s="587"/>
      <c r="P98" s="600"/>
    </row>
    <row r="99" spans="1:18">
      <c r="A99" s="197"/>
      <c r="B99" s="414"/>
      <c r="D99" s="416" t="s">
        <v>1287</v>
      </c>
      <c r="E99" s="417"/>
      <c r="F99" s="598">
        <v>0</v>
      </c>
      <c r="H99" s="599">
        <v>0</v>
      </c>
      <c r="I99" s="587"/>
      <c r="J99" s="587">
        <v>0</v>
      </c>
      <c r="K99" s="587"/>
      <c r="L99" s="587">
        <v>0</v>
      </c>
      <c r="M99" s="587"/>
      <c r="N99" s="587">
        <v>0</v>
      </c>
      <c r="P99" s="600" t="s">
        <v>314</v>
      </c>
      <c r="R99" s="581" t="s">
        <v>1288</v>
      </c>
    </row>
    <row r="100" spans="1:18">
      <c r="A100" s="197"/>
      <c r="B100" s="414"/>
      <c r="D100" s="416" t="s">
        <v>1289</v>
      </c>
      <c r="E100" s="417"/>
      <c r="F100" s="598">
        <v>0</v>
      </c>
      <c r="H100" s="599">
        <v>0</v>
      </c>
      <c r="I100" s="587"/>
      <c r="J100" s="587">
        <v>0</v>
      </c>
      <c r="K100" s="587"/>
      <c r="L100" s="587">
        <v>0</v>
      </c>
      <c r="M100" s="587"/>
      <c r="N100" s="587">
        <v>0</v>
      </c>
      <c r="P100" s="600" t="s">
        <v>314</v>
      </c>
      <c r="R100" s="581" t="s">
        <v>1288</v>
      </c>
    </row>
    <row r="101" spans="1:18">
      <c r="A101" s="197"/>
      <c r="B101" s="414"/>
      <c r="D101" s="416" t="s">
        <v>1290</v>
      </c>
      <c r="E101" s="417"/>
      <c r="F101" s="598">
        <v>0</v>
      </c>
      <c r="H101" s="599">
        <v>0</v>
      </c>
      <c r="I101" s="587"/>
      <c r="J101" s="587">
        <v>0</v>
      </c>
      <c r="K101" s="587"/>
      <c r="L101" s="587">
        <v>0</v>
      </c>
      <c r="M101" s="587"/>
      <c r="N101" s="587">
        <v>0</v>
      </c>
      <c r="P101" s="600" t="s">
        <v>314</v>
      </c>
      <c r="R101" s="581" t="s">
        <v>1288</v>
      </c>
    </row>
    <row r="102" spans="1:18">
      <c r="A102" s="197"/>
      <c r="B102" s="414"/>
      <c r="D102" s="416" t="s">
        <v>1291</v>
      </c>
      <c r="E102" s="417"/>
      <c r="F102" s="598">
        <v>-10</v>
      </c>
      <c r="H102" s="599">
        <v>0</v>
      </c>
      <c r="I102" s="587"/>
      <c r="J102" s="587">
        <v>0</v>
      </c>
      <c r="K102" s="587"/>
      <c r="L102" s="587">
        <v>0</v>
      </c>
      <c r="M102" s="587"/>
      <c r="N102" s="587">
        <v>0</v>
      </c>
      <c r="P102" s="600" t="s">
        <v>1627</v>
      </c>
      <c r="R102" s="581">
        <v>0</v>
      </c>
    </row>
    <row r="103" spans="1:18">
      <c r="A103" s="197"/>
      <c r="B103" s="414"/>
      <c r="D103" s="416" t="s">
        <v>1293</v>
      </c>
      <c r="E103" s="417"/>
      <c r="F103" s="598">
        <v>-10</v>
      </c>
      <c r="H103" s="599">
        <v>0</v>
      </c>
      <c r="I103" s="587"/>
      <c r="J103" s="587">
        <v>0</v>
      </c>
      <c r="K103" s="587"/>
      <c r="L103" s="587">
        <v>0</v>
      </c>
      <c r="M103" s="587"/>
      <c r="N103" s="587">
        <v>0</v>
      </c>
      <c r="P103" s="600" t="s">
        <v>1627</v>
      </c>
      <c r="R103" s="581">
        <v>0</v>
      </c>
    </row>
    <row r="104" spans="1:18">
      <c r="A104" s="197"/>
      <c r="B104" s="414"/>
      <c r="D104" s="416" t="s">
        <v>1295</v>
      </c>
      <c r="E104" s="417"/>
      <c r="F104" s="598">
        <v>0</v>
      </c>
      <c r="H104" s="599">
        <v>0</v>
      </c>
      <c r="I104" s="587"/>
      <c r="J104" s="587">
        <v>0</v>
      </c>
      <c r="K104" s="587"/>
      <c r="L104" s="587">
        <v>0</v>
      </c>
      <c r="M104" s="587"/>
      <c r="N104" s="587">
        <v>0</v>
      </c>
      <c r="P104" s="600" t="s">
        <v>1313</v>
      </c>
      <c r="R104" s="581">
        <v>4</v>
      </c>
    </row>
    <row r="105" spans="1:18">
      <c r="A105" s="197"/>
      <c r="B105" s="414"/>
      <c r="D105" s="419"/>
      <c r="E105" s="417"/>
      <c r="F105" s="598"/>
      <c r="H105" s="599">
        <v>0</v>
      </c>
      <c r="I105" s="587"/>
      <c r="J105" s="587">
        <v>0</v>
      </c>
      <c r="K105" s="587"/>
      <c r="L105" s="587">
        <v>0</v>
      </c>
      <c r="M105" s="587"/>
      <c r="N105" s="587">
        <v>0</v>
      </c>
      <c r="P105" s="600"/>
    </row>
    <row r="106" spans="1:18">
      <c r="A106" s="197"/>
      <c r="B106" s="414"/>
      <c r="D106" s="419" t="s">
        <v>1629</v>
      </c>
      <c r="E106" s="417"/>
      <c r="F106" s="598"/>
      <c r="H106" s="599"/>
      <c r="I106" s="587"/>
      <c r="J106" s="587"/>
      <c r="K106" s="587"/>
      <c r="L106" s="587"/>
      <c r="M106" s="587"/>
      <c r="N106" s="587"/>
      <c r="P106" s="600"/>
    </row>
    <row r="107" spans="1:18">
      <c r="A107" s="197"/>
      <c r="B107" s="414"/>
      <c r="E107" s="417"/>
      <c r="F107" s="598"/>
      <c r="H107" s="597"/>
      <c r="I107" s="587"/>
      <c r="J107" s="587"/>
      <c r="K107" s="587"/>
      <c r="L107" s="587"/>
      <c r="M107" s="587"/>
      <c r="N107" s="587"/>
      <c r="P107" s="600"/>
    </row>
    <row r="108" spans="1:18">
      <c r="A108" s="197"/>
      <c r="B108" s="414">
        <v>315</v>
      </c>
      <c r="D108" s="401" t="s">
        <v>320</v>
      </c>
      <c r="H108" s="599"/>
      <c r="I108" s="599"/>
      <c r="J108" s="599"/>
      <c r="K108" s="599"/>
      <c r="L108" s="599"/>
      <c r="M108" s="599"/>
      <c r="N108" s="599"/>
    </row>
    <row r="109" spans="1:18">
      <c r="A109" s="197"/>
      <c r="B109" s="414"/>
      <c r="D109" s="416" t="s">
        <v>1297</v>
      </c>
      <c r="E109" s="417"/>
      <c r="F109" s="603">
        <v>-10</v>
      </c>
      <c r="H109" s="599">
        <v>3.3146553106796297</v>
      </c>
      <c r="I109" s="599"/>
      <c r="J109" s="599">
        <v>3.0146553106796294</v>
      </c>
      <c r="K109" s="599"/>
      <c r="L109" s="599">
        <v>0.33</v>
      </c>
      <c r="M109" s="599"/>
      <c r="N109" s="599">
        <v>-0.03</v>
      </c>
      <c r="P109" s="600" t="s">
        <v>1659</v>
      </c>
      <c r="R109" s="581">
        <v>15.9</v>
      </c>
    </row>
    <row r="110" spans="1:18">
      <c r="A110" s="197"/>
      <c r="B110" s="414"/>
      <c r="D110" s="416" t="s">
        <v>1298</v>
      </c>
      <c r="E110" s="417"/>
      <c r="F110" s="603">
        <v>-10</v>
      </c>
      <c r="H110" s="599">
        <v>7.271208458027964E-2</v>
      </c>
      <c r="I110" s="599"/>
      <c r="J110" s="599">
        <v>6.2712084580279645E-2</v>
      </c>
      <c r="K110" s="599"/>
      <c r="L110" s="599">
        <v>0.01</v>
      </c>
      <c r="M110" s="599"/>
      <c r="N110" s="599">
        <v>0</v>
      </c>
      <c r="P110" s="600" t="s">
        <v>1659</v>
      </c>
      <c r="R110" s="581" t="s">
        <v>1288</v>
      </c>
    </row>
    <row r="111" spans="1:18">
      <c r="A111" s="197"/>
      <c r="B111" s="414"/>
      <c r="D111" s="416" t="s">
        <v>1299</v>
      </c>
      <c r="E111" s="417"/>
      <c r="F111" s="603">
        <v>-10</v>
      </c>
      <c r="H111" s="599">
        <v>3.7719233183358445</v>
      </c>
      <c r="I111" s="599"/>
      <c r="J111" s="599">
        <v>3.4219233183358444</v>
      </c>
      <c r="K111" s="599"/>
      <c r="L111" s="599">
        <v>0.38</v>
      </c>
      <c r="M111" s="599"/>
      <c r="N111" s="599">
        <v>-0.03</v>
      </c>
      <c r="P111" s="600" t="s">
        <v>1659</v>
      </c>
      <c r="R111" s="581">
        <v>17.399999999999999</v>
      </c>
    </row>
    <row r="112" spans="1:18">
      <c r="A112" s="197"/>
      <c r="B112" s="414"/>
      <c r="D112" s="416" t="s">
        <v>1300</v>
      </c>
      <c r="E112" s="417"/>
      <c r="F112" s="603">
        <v>-10</v>
      </c>
      <c r="H112" s="599">
        <v>4.9720281670338293</v>
      </c>
      <c r="I112" s="599"/>
      <c r="J112" s="599">
        <v>4.5220281670338291</v>
      </c>
      <c r="K112" s="599"/>
      <c r="L112" s="599">
        <v>0.5</v>
      </c>
      <c r="M112" s="599"/>
      <c r="N112" s="599">
        <v>-0.05</v>
      </c>
      <c r="P112" s="600" t="s">
        <v>1659</v>
      </c>
      <c r="R112" s="581">
        <v>18.399999999999999</v>
      </c>
    </row>
    <row r="113" spans="1:18">
      <c r="A113" s="197"/>
      <c r="B113" s="414"/>
      <c r="D113" s="416" t="s">
        <v>1301</v>
      </c>
      <c r="E113" s="417"/>
      <c r="F113" s="603">
        <v>-10</v>
      </c>
      <c r="H113" s="599">
        <v>2.8940862553018873</v>
      </c>
      <c r="I113" s="599"/>
      <c r="J113" s="599">
        <v>2.6340862553018871</v>
      </c>
      <c r="K113" s="599"/>
      <c r="L113" s="599">
        <v>0.28999999999999998</v>
      </c>
      <c r="M113" s="599"/>
      <c r="N113" s="599">
        <v>-0.03</v>
      </c>
      <c r="P113" s="600" t="s">
        <v>1659</v>
      </c>
      <c r="R113" s="581">
        <v>20.100000000000001</v>
      </c>
    </row>
    <row r="114" spans="1:18">
      <c r="A114" s="197"/>
      <c r="B114" s="414"/>
      <c r="D114" s="416" t="s">
        <v>1302</v>
      </c>
      <c r="E114" s="417"/>
      <c r="F114" s="603">
        <v>-10</v>
      </c>
      <c r="H114" s="599">
        <v>4.7469094267569858</v>
      </c>
      <c r="I114" s="599"/>
      <c r="J114" s="599">
        <v>4.3169094267569861</v>
      </c>
      <c r="K114" s="599"/>
      <c r="L114" s="599">
        <v>0.47</v>
      </c>
      <c r="M114" s="599"/>
      <c r="N114" s="599">
        <v>-0.04</v>
      </c>
      <c r="P114" s="600" t="s">
        <v>1659</v>
      </c>
      <c r="R114" s="581">
        <v>20.3</v>
      </c>
    </row>
    <row r="115" spans="1:18">
      <c r="A115" s="401"/>
      <c r="B115" s="414"/>
      <c r="D115" s="416" t="s">
        <v>1303</v>
      </c>
      <c r="E115" s="417"/>
      <c r="F115" s="603">
        <v>-10</v>
      </c>
      <c r="H115" s="599">
        <v>2.160203527556301</v>
      </c>
      <c r="I115" s="599"/>
      <c r="J115" s="599">
        <v>1.960203527556301</v>
      </c>
      <c r="K115" s="599"/>
      <c r="L115" s="599">
        <v>0.22</v>
      </c>
      <c r="M115" s="599"/>
      <c r="N115" s="599">
        <v>-0.02</v>
      </c>
      <c r="P115" s="600" t="s">
        <v>1659</v>
      </c>
      <c r="R115" s="581">
        <v>24.2</v>
      </c>
    </row>
    <row r="116" spans="1:18">
      <c r="A116" s="197"/>
      <c r="B116" s="414"/>
      <c r="D116" s="416" t="s">
        <v>1304</v>
      </c>
      <c r="E116" s="417"/>
      <c r="F116" s="603">
        <v>-10</v>
      </c>
      <c r="H116" s="599">
        <v>3.1475724026969347</v>
      </c>
      <c r="I116" s="599"/>
      <c r="J116" s="599">
        <v>2.8675724026969345</v>
      </c>
      <c r="K116" s="599"/>
      <c r="L116" s="599">
        <v>0.31</v>
      </c>
      <c r="M116" s="599"/>
      <c r="N116" s="599">
        <v>-0.03</v>
      </c>
      <c r="P116" s="600" t="s">
        <v>1659</v>
      </c>
      <c r="R116" s="581">
        <v>26.1</v>
      </c>
    </row>
    <row r="117" spans="1:18">
      <c r="A117" s="197"/>
      <c r="B117" s="414"/>
      <c r="D117" s="416" t="s">
        <v>1305</v>
      </c>
      <c r="E117" s="417"/>
      <c r="F117" s="603">
        <v>-14</v>
      </c>
      <c r="H117" s="599">
        <v>2.2629433473319116</v>
      </c>
      <c r="I117" s="599"/>
      <c r="J117" s="599">
        <v>1.9829433473319116</v>
      </c>
      <c r="K117" s="599"/>
      <c r="L117" s="599">
        <v>0.3</v>
      </c>
      <c r="M117" s="599"/>
      <c r="N117" s="599">
        <v>-0.02</v>
      </c>
      <c r="P117" s="600" t="s">
        <v>1659</v>
      </c>
      <c r="R117" s="581">
        <v>29.5</v>
      </c>
    </row>
    <row r="118" spans="1:18">
      <c r="A118" s="197"/>
      <c r="B118" s="414"/>
      <c r="D118" s="416" t="s">
        <v>1306</v>
      </c>
      <c r="E118" s="417"/>
      <c r="F118" s="603">
        <v>-14</v>
      </c>
      <c r="H118" s="599">
        <v>0.92487168268599251</v>
      </c>
      <c r="I118" s="599"/>
      <c r="J118" s="599">
        <v>0.81487168268599253</v>
      </c>
      <c r="K118" s="599"/>
      <c r="L118" s="599">
        <v>0.12</v>
      </c>
      <c r="M118" s="599"/>
      <c r="N118" s="599">
        <v>-0.01</v>
      </c>
      <c r="P118" s="600" t="s">
        <v>1659</v>
      </c>
      <c r="R118" s="581">
        <v>29.2</v>
      </c>
    </row>
    <row r="119" spans="1:18">
      <c r="A119" s="197"/>
      <c r="B119" s="414"/>
      <c r="D119" s="416" t="s">
        <v>311</v>
      </c>
      <c r="E119" s="417"/>
      <c r="F119" s="603">
        <v>-14</v>
      </c>
      <c r="H119" s="599">
        <v>2.2087081978532996</v>
      </c>
      <c r="I119" s="599"/>
      <c r="J119" s="599">
        <v>1.9387081978532996</v>
      </c>
      <c r="K119" s="599"/>
      <c r="L119" s="599">
        <v>0.28999999999999998</v>
      </c>
      <c r="M119" s="599"/>
      <c r="N119" s="599">
        <v>-0.02</v>
      </c>
      <c r="P119" s="600" t="s">
        <v>1659</v>
      </c>
      <c r="R119" s="581">
        <v>46</v>
      </c>
    </row>
    <row r="120" spans="1:18">
      <c r="A120" s="197"/>
      <c r="B120" s="414"/>
      <c r="E120" s="417"/>
      <c r="F120" s="598"/>
      <c r="H120" s="599"/>
      <c r="I120" s="599"/>
      <c r="J120" s="599"/>
      <c r="K120" s="599"/>
      <c r="L120" s="599"/>
      <c r="M120" s="599"/>
      <c r="N120" s="599"/>
      <c r="P120" s="600"/>
    </row>
    <row r="121" spans="1:18">
      <c r="A121" s="197">
        <v>315</v>
      </c>
      <c r="B121" s="414"/>
      <c r="D121" s="419" t="s">
        <v>321</v>
      </c>
      <c r="E121" s="417"/>
      <c r="F121" s="601"/>
      <c r="H121" s="599">
        <v>2.7098902112942218</v>
      </c>
      <c r="I121" s="599"/>
      <c r="J121" s="599"/>
      <c r="K121" s="599"/>
      <c r="L121" s="599"/>
      <c r="M121" s="599"/>
      <c r="N121" s="599"/>
      <c r="P121" s="600" t="str">
        <f>P119</f>
        <v>65-R3</v>
      </c>
      <c r="R121" s="581">
        <v>25.4</v>
      </c>
    </row>
    <row r="122" spans="1:18">
      <c r="A122" s="197"/>
      <c r="B122" s="414"/>
      <c r="D122" s="419"/>
      <c r="E122" s="417"/>
      <c r="F122" s="598"/>
      <c r="H122" s="599"/>
      <c r="I122" s="599"/>
      <c r="J122" s="599"/>
      <c r="K122" s="599"/>
      <c r="L122" s="599"/>
      <c r="M122" s="599"/>
      <c r="N122" s="599"/>
      <c r="P122" s="600"/>
    </row>
    <row r="123" spans="1:18">
      <c r="A123" s="197"/>
      <c r="B123" s="414">
        <v>315.10000000000002</v>
      </c>
      <c r="D123" s="401" t="s">
        <v>1630</v>
      </c>
      <c r="E123" s="417"/>
      <c r="F123" s="598"/>
      <c r="H123" s="599"/>
      <c r="I123" s="599"/>
      <c r="J123" s="599"/>
      <c r="K123" s="599"/>
      <c r="L123" s="599"/>
      <c r="M123" s="599"/>
      <c r="N123" s="599"/>
      <c r="P123" s="600"/>
    </row>
    <row r="124" spans="1:18">
      <c r="A124" s="197"/>
      <c r="B124" s="414"/>
      <c r="D124" s="416" t="s">
        <v>1287</v>
      </c>
      <c r="E124" s="417"/>
      <c r="F124" s="598">
        <v>0</v>
      </c>
      <c r="H124" s="599">
        <v>0</v>
      </c>
      <c r="I124" s="587"/>
      <c r="J124" s="587">
        <v>0</v>
      </c>
      <c r="K124" s="587"/>
      <c r="L124" s="587">
        <v>0</v>
      </c>
      <c r="M124" s="587"/>
      <c r="N124" s="587">
        <v>0</v>
      </c>
      <c r="P124" s="600" t="s">
        <v>314</v>
      </c>
      <c r="R124" s="581" t="s">
        <v>1288</v>
      </c>
    </row>
    <row r="125" spans="1:18">
      <c r="A125" s="197"/>
      <c r="B125" s="414"/>
      <c r="D125" s="416" t="s">
        <v>1289</v>
      </c>
      <c r="E125" s="417"/>
      <c r="F125" s="598">
        <v>0</v>
      </c>
      <c r="H125" s="599">
        <v>0</v>
      </c>
      <c r="I125" s="587"/>
      <c r="J125" s="587">
        <v>0</v>
      </c>
      <c r="K125" s="587"/>
      <c r="L125" s="587">
        <v>0</v>
      </c>
      <c r="M125" s="587"/>
      <c r="N125" s="587">
        <v>0</v>
      </c>
      <c r="P125" s="600" t="s">
        <v>314</v>
      </c>
      <c r="R125" s="581" t="s">
        <v>1288</v>
      </c>
    </row>
    <row r="126" spans="1:18">
      <c r="A126" s="197"/>
      <c r="B126" s="414"/>
      <c r="D126" s="416" t="s">
        <v>1290</v>
      </c>
      <c r="E126" s="417"/>
      <c r="F126" s="598">
        <v>0</v>
      </c>
      <c r="H126" s="599">
        <v>0</v>
      </c>
      <c r="I126" s="587"/>
      <c r="J126" s="587">
        <v>0</v>
      </c>
      <c r="K126" s="587"/>
      <c r="L126" s="587">
        <v>0</v>
      </c>
      <c r="M126" s="587"/>
      <c r="N126" s="587">
        <v>0</v>
      </c>
      <c r="P126" s="600" t="s">
        <v>314</v>
      </c>
      <c r="R126" s="581" t="s">
        <v>1288</v>
      </c>
    </row>
    <row r="127" spans="1:18">
      <c r="A127" s="197"/>
      <c r="B127" s="414"/>
      <c r="D127" s="416" t="s">
        <v>1291</v>
      </c>
      <c r="E127" s="417"/>
      <c r="F127" s="598">
        <v>0</v>
      </c>
      <c r="H127" s="599">
        <v>0</v>
      </c>
      <c r="I127" s="587"/>
      <c r="J127" s="587">
        <v>0</v>
      </c>
      <c r="K127" s="587"/>
      <c r="L127" s="587">
        <v>0</v>
      </c>
      <c r="M127" s="587"/>
      <c r="N127" s="587">
        <v>0</v>
      </c>
      <c r="P127" s="600" t="s">
        <v>314</v>
      </c>
      <c r="R127" s="581">
        <v>0</v>
      </c>
    </row>
    <row r="128" spans="1:18">
      <c r="A128" s="197"/>
      <c r="B128" s="414"/>
      <c r="D128" s="416" t="s">
        <v>1292</v>
      </c>
      <c r="E128" s="417"/>
      <c r="F128" s="598">
        <v>0</v>
      </c>
      <c r="H128" s="599">
        <v>0</v>
      </c>
      <c r="I128" s="587"/>
      <c r="J128" s="587">
        <v>0</v>
      </c>
      <c r="K128" s="587"/>
      <c r="L128" s="587">
        <v>0</v>
      </c>
      <c r="M128" s="587"/>
      <c r="N128" s="587">
        <v>0</v>
      </c>
      <c r="P128" s="600" t="s">
        <v>314</v>
      </c>
      <c r="R128" s="581" t="s">
        <v>1288</v>
      </c>
    </row>
    <row r="129" spans="1:18">
      <c r="A129" s="197"/>
      <c r="B129" s="414"/>
      <c r="D129" s="416" t="s">
        <v>1293</v>
      </c>
      <c r="E129" s="417"/>
      <c r="F129" s="598">
        <v>0</v>
      </c>
      <c r="H129" s="599">
        <v>0</v>
      </c>
      <c r="I129" s="587"/>
      <c r="J129" s="587">
        <v>0</v>
      </c>
      <c r="K129" s="587"/>
      <c r="L129" s="587">
        <v>0</v>
      </c>
      <c r="M129" s="587"/>
      <c r="N129" s="587">
        <v>0</v>
      </c>
      <c r="P129" s="600" t="s">
        <v>1314</v>
      </c>
      <c r="R129" s="581">
        <v>4</v>
      </c>
    </row>
    <row r="130" spans="1:18">
      <c r="A130" s="197"/>
      <c r="B130" s="414"/>
      <c r="D130" s="416" t="s">
        <v>1294</v>
      </c>
      <c r="E130" s="417"/>
      <c r="F130" s="598">
        <v>0</v>
      </c>
      <c r="H130" s="599">
        <v>0</v>
      </c>
      <c r="I130" s="587"/>
      <c r="J130" s="587">
        <v>0</v>
      </c>
      <c r="K130" s="587"/>
      <c r="L130" s="587">
        <v>0</v>
      </c>
      <c r="M130" s="587"/>
      <c r="N130" s="587">
        <v>0</v>
      </c>
      <c r="P130" s="600" t="s">
        <v>314</v>
      </c>
      <c r="R130" s="581" t="s">
        <v>1288</v>
      </c>
    </row>
    <row r="131" spans="1:18">
      <c r="A131" s="197"/>
      <c r="B131" s="414"/>
      <c r="D131" s="416" t="s">
        <v>1295</v>
      </c>
      <c r="E131" s="417"/>
      <c r="F131" s="598">
        <v>0</v>
      </c>
      <c r="H131" s="599">
        <v>0</v>
      </c>
      <c r="I131" s="587"/>
      <c r="J131" s="587">
        <v>0</v>
      </c>
      <c r="K131" s="587"/>
      <c r="L131" s="587">
        <v>0</v>
      </c>
      <c r="M131" s="587"/>
      <c r="N131" s="587">
        <v>0</v>
      </c>
      <c r="P131" s="600" t="s">
        <v>1314</v>
      </c>
      <c r="R131" s="581">
        <v>4</v>
      </c>
    </row>
    <row r="132" spans="1:18">
      <c r="A132" s="197"/>
      <c r="B132" s="414"/>
      <c r="D132" s="416" t="s">
        <v>1296</v>
      </c>
      <c r="E132" s="417"/>
      <c r="F132" s="598">
        <v>0</v>
      </c>
      <c r="H132" s="599">
        <v>0</v>
      </c>
      <c r="I132" s="587"/>
      <c r="J132" s="587">
        <v>0</v>
      </c>
      <c r="K132" s="587"/>
      <c r="L132" s="587">
        <v>0</v>
      </c>
      <c r="M132" s="587"/>
      <c r="N132" s="587">
        <v>0</v>
      </c>
      <c r="P132" s="600">
        <v>0</v>
      </c>
      <c r="R132" s="581" t="s">
        <v>1288</v>
      </c>
    </row>
    <row r="133" spans="1:18">
      <c r="A133" s="197"/>
      <c r="B133" s="414"/>
      <c r="D133" s="419"/>
      <c r="E133" s="417"/>
      <c r="F133" s="598"/>
      <c r="H133" s="599"/>
      <c r="I133" s="587"/>
      <c r="J133" s="587"/>
      <c r="K133" s="587"/>
      <c r="L133" s="587"/>
      <c r="M133" s="587"/>
      <c r="N133" s="587"/>
      <c r="P133" s="600"/>
    </row>
    <row r="134" spans="1:18">
      <c r="A134" s="197"/>
      <c r="B134" s="414"/>
      <c r="D134" s="419" t="s">
        <v>1631</v>
      </c>
      <c r="E134" s="417"/>
      <c r="F134" s="598"/>
      <c r="H134" s="599"/>
      <c r="I134" s="587"/>
      <c r="J134" s="587"/>
      <c r="K134" s="587"/>
      <c r="L134" s="587"/>
      <c r="M134" s="587"/>
      <c r="N134" s="587"/>
      <c r="P134" s="600"/>
    </row>
    <row r="135" spans="1:18">
      <c r="A135" s="197"/>
      <c r="B135" s="414"/>
      <c r="D135" s="419"/>
      <c r="E135" s="417"/>
      <c r="F135" s="598"/>
      <c r="H135" s="599"/>
      <c r="I135" s="587"/>
      <c r="J135" s="587"/>
      <c r="K135" s="587"/>
      <c r="L135" s="587"/>
      <c r="M135" s="587"/>
      <c r="N135" s="587"/>
      <c r="P135" s="600"/>
    </row>
    <row r="136" spans="1:18">
      <c r="A136" s="197"/>
      <c r="B136" s="414">
        <v>316</v>
      </c>
      <c r="C136" s="411" t="s">
        <v>121</v>
      </c>
      <c r="D136" s="401" t="s">
        <v>1632</v>
      </c>
      <c r="H136" s="587"/>
      <c r="I136" s="587"/>
      <c r="J136" s="587"/>
      <c r="K136" s="587"/>
      <c r="L136" s="587"/>
      <c r="M136" s="587"/>
      <c r="N136" s="587"/>
    </row>
    <row r="137" spans="1:18">
      <c r="A137" s="401"/>
      <c r="B137" s="414"/>
      <c r="D137" s="416" t="s">
        <v>1609</v>
      </c>
      <c r="E137" s="417"/>
      <c r="F137" s="603">
        <v>-2</v>
      </c>
      <c r="H137" s="599">
        <v>2.4221247188884005</v>
      </c>
      <c r="I137" s="587"/>
      <c r="J137" s="587">
        <v>2.3721247188884007</v>
      </c>
      <c r="K137" s="587"/>
      <c r="L137" s="587">
        <v>7.0000000000000007E-2</v>
      </c>
      <c r="M137" s="587"/>
      <c r="N137" s="587">
        <v>-0.02</v>
      </c>
      <c r="P137" s="600" t="s">
        <v>342</v>
      </c>
      <c r="R137" s="581">
        <v>14.5</v>
      </c>
    </row>
    <row r="138" spans="1:18">
      <c r="A138" s="197"/>
      <c r="B138" s="414"/>
      <c r="D138" s="416" t="s">
        <v>1318</v>
      </c>
      <c r="E138" s="417"/>
      <c r="F138" s="603">
        <v>-10</v>
      </c>
      <c r="H138" s="599">
        <v>4.2279886094124821</v>
      </c>
      <c r="I138" s="587"/>
      <c r="J138" s="587">
        <v>3.8479886094124822</v>
      </c>
      <c r="K138" s="587"/>
      <c r="L138" s="587">
        <v>0.42</v>
      </c>
      <c r="M138" s="587"/>
      <c r="N138" s="587">
        <v>-0.04</v>
      </c>
      <c r="P138" s="600" t="s">
        <v>342</v>
      </c>
      <c r="R138" s="581">
        <v>16.8</v>
      </c>
    </row>
    <row r="139" spans="1:18">
      <c r="A139" s="197"/>
      <c r="B139" s="414"/>
      <c r="D139" s="416" t="s">
        <v>1319</v>
      </c>
      <c r="E139" s="417"/>
      <c r="F139" s="603">
        <v>-10</v>
      </c>
      <c r="H139" s="599">
        <v>3.1751486135137208</v>
      </c>
      <c r="I139" s="587"/>
      <c r="J139" s="587">
        <v>2.8851486135137208</v>
      </c>
      <c r="K139" s="587"/>
      <c r="L139" s="587">
        <v>0.32</v>
      </c>
      <c r="M139" s="587"/>
      <c r="N139" s="587">
        <v>-0.03</v>
      </c>
      <c r="P139" s="600" t="s">
        <v>342</v>
      </c>
      <c r="R139" s="581">
        <v>20.100000000000001</v>
      </c>
    </row>
    <row r="140" spans="1:18">
      <c r="A140" s="197"/>
      <c r="B140" s="414"/>
      <c r="D140" s="416" t="s">
        <v>1320</v>
      </c>
      <c r="E140" s="417"/>
      <c r="F140" s="603">
        <v>-10</v>
      </c>
      <c r="H140" s="599">
        <v>0.76853029845101584</v>
      </c>
      <c r="I140" s="587"/>
      <c r="J140" s="587">
        <v>0.69853029845101589</v>
      </c>
      <c r="K140" s="587"/>
      <c r="L140" s="587">
        <v>0.08</v>
      </c>
      <c r="M140" s="587"/>
      <c r="N140" s="587">
        <v>-0.01</v>
      </c>
      <c r="P140" s="600" t="s">
        <v>342</v>
      </c>
      <c r="R140" s="581">
        <v>24.3</v>
      </c>
    </row>
    <row r="141" spans="1:18">
      <c r="A141" s="197"/>
      <c r="B141" s="414"/>
      <c r="D141" s="416" t="s">
        <v>1321</v>
      </c>
      <c r="E141" s="417"/>
      <c r="F141" s="603">
        <v>-10</v>
      </c>
      <c r="H141" s="599">
        <v>3.4700044045701399</v>
      </c>
      <c r="I141" s="587"/>
      <c r="J141" s="587">
        <v>3.1500044045701396</v>
      </c>
      <c r="K141" s="587"/>
      <c r="L141" s="587">
        <v>0.35</v>
      </c>
      <c r="M141" s="587"/>
      <c r="N141" s="587">
        <v>-0.03</v>
      </c>
      <c r="P141" s="600" t="s">
        <v>342</v>
      </c>
      <c r="R141" s="581">
        <v>25</v>
      </c>
    </row>
    <row r="142" spans="1:18">
      <c r="A142" s="197"/>
      <c r="B142" s="414"/>
      <c r="D142" s="416" t="s">
        <v>1894</v>
      </c>
      <c r="E142" s="417"/>
      <c r="F142" s="603">
        <v>-10</v>
      </c>
      <c r="H142" s="599">
        <v>4.3969705335862599E-2</v>
      </c>
      <c r="I142" s="587"/>
      <c r="J142" s="587">
        <v>4.3969705335862599E-2</v>
      </c>
      <c r="K142" s="587"/>
      <c r="L142" s="587">
        <v>0</v>
      </c>
      <c r="M142" s="587"/>
      <c r="N142" s="587">
        <v>0</v>
      </c>
      <c r="P142" s="600" t="s">
        <v>342</v>
      </c>
      <c r="R142" s="581">
        <v>41.1</v>
      </c>
    </row>
    <row r="143" spans="1:18">
      <c r="A143" s="197"/>
      <c r="B143" s="414"/>
      <c r="D143" s="416" t="s">
        <v>1895</v>
      </c>
      <c r="E143" s="417"/>
      <c r="F143" s="603">
        <v>-14</v>
      </c>
      <c r="H143" s="599">
        <v>2.587453082777166</v>
      </c>
      <c r="I143" s="587"/>
      <c r="J143" s="587">
        <v>2.2674530827771662</v>
      </c>
      <c r="K143" s="587"/>
      <c r="L143" s="587">
        <v>0.34</v>
      </c>
      <c r="M143" s="587"/>
      <c r="N143" s="587">
        <v>-0.02</v>
      </c>
      <c r="P143" s="600" t="s">
        <v>342</v>
      </c>
      <c r="R143" s="581">
        <v>27.2</v>
      </c>
    </row>
    <row r="144" spans="1:18">
      <c r="A144" s="197"/>
      <c r="B144" s="414"/>
      <c r="D144" s="416" t="s">
        <v>311</v>
      </c>
      <c r="E144" s="417"/>
      <c r="F144" s="603">
        <v>-14</v>
      </c>
      <c r="H144" s="599">
        <v>2.6901580935274549</v>
      </c>
      <c r="I144" s="587"/>
      <c r="J144" s="587">
        <v>2.3601580935274549</v>
      </c>
      <c r="K144" s="587"/>
      <c r="L144" s="587">
        <v>0.35</v>
      </c>
      <c r="M144" s="587"/>
      <c r="N144" s="587">
        <v>-0.02</v>
      </c>
      <c r="P144" s="600" t="s">
        <v>342</v>
      </c>
      <c r="R144" s="581">
        <v>42</v>
      </c>
    </row>
    <row r="145" spans="1:18">
      <c r="A145" s="197"/>
      <c r="B145" s="414"/>
      <c r="E145" s="417"/>
      <c r="F145" s="598"/>
      <c r="H145" s="597"/>
      <c r="I145" s="587"/>
      <c r="J145" s="587"/>
      <c r="K145" s="587"/>
      <c r="L145" s="587"/>
      <c r="M145" s="587"/>
      <c r="N145" s="587"/>
      <c r="P145" s="600"/>
    </row>
    <row r="146" spans="1:18">
      <c r="A146" s="197">
        <v>316</v>
      </c>
      <c r="B146" s="414"/>
      <c r="D146" s="419" t="s">
        <v>1633</v>
      </c>
      <c r="E146" s="417"/>
      <c r="F146" s="601"/>
      <c r="H146" s="599">
        <v>3.1434706485577011</v>
      </c>
      <c r="I146" s="587"/>
      <c r="J146" s="587"/>
      <c r="K146" s="587"/>
      <c r="L146" s="587"/>
      <c r="M146" s="587"/>
      <c r="N146" s="587"/>
      <c r="P146" s="600" t="str">
        <f>P144</f>
        <v>45-R2.5</v>
      </c>
      <c r="R146" s="581">
        <v>27.5</v>
      </c>
    </row>
    <row r="147" spans="1:18">
      <c r="A147" s="197"/>
      <c r="B147" s="414"/>
      <c r="D147" s="419"/>
      <c r="E147" s="417"/>
      <c r="F147" s="598"/>
      <c r="H147" s="599"/>
      <c r="I147" s="587"/>
      <c r="J147" s="587"/>
      <c r="K147" s="587"/>
      <c r="L147" s="587"/>
      <c r="M147" s="587"/>
      <c r="N147" s="587"/>
      <c r="P147" s="600"/>
    </row>
    <row r="148" spans="1:18">
      <c r="A148" s="401"/>
      <c r="B148" s="414">
        <v>316.10000000000002</v>
      </c>
      <c r="D148" s="401" t="s">
        <v>1634</v>
      </c>
      <c r="E148" s="417"/>
      <c r="F148" s="598"/>
      <c r="H148" s="599"/>
      <c r="I148" s="587"/>
      <c r="J148" s="587"/>
      <c r="K148" s="587"/>
      <c r="L148" s="587"/>
      <c r="M148" s="587"/>
      <c r="N148" s="587"/>
      <c r="P148" s="600"/>
    </row>
    <row r="149" spans="1:18">
      <c r="A149" s="401"/>
      <c r="B149" s="414"/>
      <c r="D149" s="416" t="s">
        <v>1315</v>
      </c>
      <c r="E149" s="417"/>
      <c r="F149" s="598">
        <v>-10</v>
      </c>
      <c r="H149" s="599">
        <v>0</v>
      </c>
      <c r="I149" s="587"/>
      <c r="J149" s="587">
        <v>0</v>
      </c>
      <c r="K149" s="587"/>
      <c r="L149" s="587">
        <v>0</v>
      </c>
      <c r="M149" s="587"/>
      <c r="N149" s="587">
        <v>0</v>
      </c>
      <c r="P149" s="600" t="s">
        <v>1355</v>
      </c>
      <c r="R149" s="581" t="s">
        <v>1288</v>
      </c>
    </row>
    <row r="150" spans="1:18">
      <c r="A150" s="401"/>
      <c r="B150" s="414"/>
      <c r="D150" s="416" t="s">
        <v>1316</v>
      </c>
      <c r="E150" s="417"/>
      <c r="F150" s="598">
        <v>-10</v>
      </c>
      <c r="H150" s="599">
        <v>0</v>
      </c>
      <c r="I150" s="587"/>
      <c r="J150" s="587">
        <v>0</v>
      </c>
      <c r="K150" s="587"/>
      <c r="L150" s="587">
        <v>0</v>
      </c>
      <c r="M150" s="587"/>
      <c r="N150" s="587">
        <v>0</v>
      </c>
      <c r="P150" s="600" t="s">
        <v>1355</v>
      </c>
      <c r="R150" s="581" t="s">
        <v>1288</v>
      </c>
    </row>
    <row r="151" spans="1:18">
      <c r="A151" s="401"/>
      <c r="B151" s="414"/>
      <c r="D151" s="416" t="s">
        <v>1317</v>
      </c>
      <c r="E151" s="417"/>
      <c r="F151" s="598">
        <v>0</v>
      </c>
      <c r="H151" s="599">
        <v>0</v>
      </c>
      <c r="I151" s="587"/>
      <c r="J151" s="587">
        <v>0</v>
      </c>
      <c r="K151" s="587"/>
      <c r="L151" s="587">
        <v>0</v>
      </c>
      <c r="M151" s="587"/>
      <c r="N151" s="587">
        <v>0</v>
      </c>
      <c r="P151" s="600" t="s">
        <v>314</v>
      </c>
      <c r="R151" s="581" t="s">
        <v>1288</v>
      </c>
    </row>
    <row r="152" spans="1:18">
      <c r="A152" s="401"/>
      <c r="B152" s="414"/>
      <c r="D152" s="416" t="s">
        <v>1292</v>
      </c>
      <c r="E152" s="417"/>
      <c r="F152" s="598">
        <v>0</v>
      </c>
      <c r="H152" s="599">
        <v>0</v>
      </c>
      <c r="I152" s="587"/>
      <c r="J152" s="587">
        <v>0</v>
      </c>
      <c r="K152" s="587"/>
      <c r="L152" s="587">
        <v>0</v>
      </c>
      <c r="M152" s="587"/>
      <c r="N152" s="587">
        <v>0</v>
      </c>
      <c r="P152" s="600" t="s">
        <v>342</v>
      </c>
      <c r="R152" s="581" t="s">
        <v>1288</v>
      </c>
    </row>
    <row r="153" spans="1:18">
      <c r="A153" s="401"/>
      <c r="B153" s="414"/>
      <c r="D153" s="416" t="s">
        <v>1293</v>
      </c>
      <c r="E153" s="417"/>
      <c r="F153" s="598">
        <v>-10</v>
      </c>
      <c r="H153" s="599">
        <v>0</v>
      </c>
      <c r="I153" s="587"/>
      <c r="J153" s="587">
        <v>0</v>
      </c>
      <c r="K153" s="587"/>
      <c r="L153" s="587">
        <v>0</v>
      </c>
      <c r="M153" s="587"/>
      <c r="N153" s="587">
        <v>0</v>
      </c>
      <c r="P153" s="600" t="s">
        <v>1355</v>
      </c>
      <c r="R153" s="581" t="s">
        <v>1288</v>
      </c>
    </row>
    <row r="154" spans="1:18">
      <c r="A154" s="401"/>
      <c r="B154" s="414"/>
      <c r="D154" s="416" t="s">
        <v>1294</v>
      </c>
      <c r="E154" s="417"/>
      <c r="F154" s="598">
        <v>-10</v>
      </c>
      <c r="H154" s="599">
        <v>0</v>
      </c>
      <c r="I154" s="587"/>
      <c r="J154" s="587">
        <v>0</v>
      </c>
      <c r="K154" s="587"/>
      <c r="L154" s="587">
        <v>0</v>
      </c>
      <c r="M154" s="587"/>
      <c r="N154" s="587">
        <v>0</v>
      </c>
      <c r="P154" s="600" t="s">
        <v>1355</v>
      </c>
      <c r="R154" s="581" t="s">
        <v>1288</v>
      </c>
    </row>
    <row r="155" spans="1:18">
      <c r="A155" s="401"/>
      <c r="B155" s="414"/>
      <c r="D155" s="416" t="s">
        <v>1295</v>
      </c>
      <c r="E155" s="417"/>
      <c r="F155" s="598">
        <v>-10</v>
      </c>
      <c r="H155" s="599">
        <v>0</v>
      </c>
      <c r="I155" s="587"/>
      <c r="J155" s="587">
        <v>0</v>
      </c>
      <c r="K155" s="587"/>
      <c r="L155" s="587">
        <v>0</v>
      </c>
      <c r="M155" s="587"/>
      <c r="N155" s="587">
        <v>0</v>
      </c>
      <c r="P155" s="600" t="s">
        <v>342</v>
      </c>
      <c r="R155" s="581" t="s">
        <v>1288</v>
      </c>
    </row>
    <row r="156" spans="1:18">
      <c r="A156" s="401"/>
      <c r="B156" s="414"/>
      <c r="D156" s="416" t="s">
        <v>1296</v>
      </c>
      <c r="E156" s="417"/>
      <c r="F156" s="598">
        <v>0</v>
      </c>
      <c r="H156" s="599">
        <v>0</v>
      </c>
      <c r="I156" s="587"/>
      <c r="J156" s="587">
        <v>0</v>
      </c>
      <c r="K156" s="587"/>
      <c r="L156" s="587">
        <v>0</v>
      </c>
      <c r="M156" s="587"/>
      <c r="N156" s="587">
        <v>0</v>
      </c>
      <c r="P156" s="600" t="s">
        <v>342</v>
      </c>
      <c r="R156" s="581" t="s">
        <v>1288</v>
      </c>
    </row>
    <row r="157" spans="1:18">
      <c r="A157" s="401"/>
      <c r="B157" s="414"/>
      <c r="D157" s="419"/>
      <c r="E157" s="417"/>
      <c r="F157" s="598"/>
      <c r="H157" s="599"/>
      <c r="I157" s="587"/>
      <c r="J157" s="587"/>
      <c r="K157" s="587"/>
      <c r="L157" s="587"/>
      <c r="M157" s="587"/>
      <c r="N157" s="587"/>
      <c r="P157" s="600"/>
    </row>
    <row r="158" spans="1:18">
      <c r="A158" s="401"/>
      <c r="B158" s="414"/>
      <c r="D158" s="419" t="s">
        <v>1635</v>
      </c>
      <c r="E158" s="417"/>
      <c r="F158" s="598"/>
      <c r="H158" s="599" t="s">
        <v>313</v>
      </c>
      <c r="I158" s="587"/>
      <c r="J158" s="587"/>
      <c r="K158" s="587"/>
      <c r="L158" s="587"/>
      <c r="M158" s="587"/>
      <c r="N158" s="587"/>
      <c r="P158" s="600"/>
      <c r="R158" s="581" t="s">
        <v>313</v>
      </c>
    </row>
    <row r="159" spans="1:18">
      <c r="A159" s="401"/>
      <c r="B159" s="414"/>
      <c r="D159" s="419"/>
      <c r="E159" s="417"/>
      <c r="F159" s="598"/>
      <c r="H159" s="599"/>
      <c r="I159" s="587"/>
      <c r="J159" s="587"/>
      <c r="K159" s="587"/>
      <c r="L159" s="587"/>
      <c r="M159" s="587"/>
      <c r="N159" s="587"/>
      <c r="P159" s="600"/>
    </row>
    <row r="160" spans="1:18">
      <c r="A160" s="401"/>
      <c r="B160" s="414"/>
      <c r="D160" s="412" t="s">
        <v>322</v>
      </c>
      <c r="E160" s="417"/>
      <c r="F160" s="598"/>
      <c r="H160" s="597"/>
      <c r="I160" s="587"/>
      <c r="J160" s="587"/>
      <c r="K160" s="587"/>
      <c r="L160" s="587"/>
      <c r="M160" s="587"/>
      <c r="N160" s="587"/>
    </row>
    <row r="161" spans="1:18">
      <c r="A161" s="401"/>
      <c r="B161" s="414"/>
      <c r="D161" s="412"/>
      <c r="E161" s="417"/>
      <c r="F161" s="598"/>
      <c r="H161" s="597"/>
      <c r="I161" s="587"/>
      <c r="J161" s="587"/>
      <c r="K161" s="587"/>
      <c r="L161" s="587"/>
      <c r="M161" s="587"/>
      <c r="N161" s="587"/>
    </row>
    <row r="162" spans="1:18">
      <c r="A162" s="401"/>
      <c r="B162" s="414"/>
      <c r="D162" s="412"/>
      <c r="E162" s="417"/>
      <c r="F162" s="598"/>
      <c r="H162" s="597"/>
      <c r="I162" s="587"/>
      <c r="J162" s="587"/>
      <c r="K162" s="587"/>
      <c r="L162" s="587"/>
      <c r="M162" s="587"/>
      <c r="N162" s="587"/>
    </row>
    <row r="163" spans="1:18">
      <c r="A163" s="401"/>
      <c r="B163" s="414"/>
      <c r="D163" s="420" t="s">
        <v>1636</v>
      </c>
      <c r="E163" s="417"/>
      <c r="F163" s="598"/>
      <c r="H163" s="597"/>
      <c r="I163" s="587"/>
      <c r="J163" s="587"/>
      <c r="K163" s="587"/>
      <c r="L163" s="587"/>
      <c r="M163" s="587"/>
      <c r="N163" s="587"/>
      <c r="P163" s="600"/>
    </row>
    <row r="164" spans="1:18">
      <c r="A164" s="401"/>
      <c r="B164" s="414"/>
      <c r="D164" s="412"/>
      <c r="E164" s="417"/>
      <c r="F164" s="598"/>
      <c r="H164" s="597"/>
      <c r="I164" s="587"/>
      <c r="J164" s="587"/>
      <c r="K164" s="587"/>
      <c r="L164" s="587"/>
      <c r="M164" s="587"/>
      <c r="N164" s="587"/>
      <c r="P164" s="600"/>
    </row>
    <row r="165" spans="1:18">
      <c r="A165" s="401"/>
      <c r="B165" s="414">
        <v>331</v>
      </c>
      <c r="D165" s="421" t="s">
        <v>323</v>
      </c>
      <c r="E165" s="417"/>
      <c r="F165" s="598"/>
      <c r="H165" s="597"/>
      <c r="I165" s="587"/>
      <c r="J165" s="587"/>
      <c r="K165" s="587"/>
      <c r="L165" s="587"/>
      <c r="M165" s="587"/>
      <c r="N165" s="587"/>
      <c r="P165" s="600"/>
    </row>
    <row r="166" spans="1:18">
      <c r="A166" s="401"/>
      <c r="B166" s="414"/>
      <c r="D166" s="421" t="s">
        <v>1322</v>
      </c>
      <c r="E166" s="417"/>
      <c r="F166" s="598">
        <v>-2</v>
      </c>
      <c r="H166" s="599">
        <v>1.4300000000000002</v>
      </c>
      <c r="I166" s="587"/>
      <c r="J166" s="587">
        <v>1.4000000000000001</v>
      </c>
      <c r="K166" s="587"/>
      <c r="L166" s="587">
        <v>0.03</v>
      </c>
      <c r="M166" s="587"/>
      <c r="N166" s="587">
        <v>0</v>
      </c>
      <c r="P166" s="600" t="s">
        <v>1323</v>
      </c>
      <c r="R166" s="581">
        <v>26.6</v>
      </c>
    </row>
    <row r="167" spans="1:18">
      <c r="A167" s="401"/>
      <c r="B167" s="414"/>
      <c r="D167" s="421" t="s">
        <v>1324</v>
      </c>
      <c r="E167" s="417"/>
      <c r="F167" s="598">
        <v>-2</v>
      </c>
      <c r="H167" s="599">
        <v>1.5899999999999999</v>
      </c>
      <c r="I167" s="587"/>
      <c r="J167" s="587">
        <v>1.5599999999999998</v>
      </c>
      <c r="K167" s="587"/>
      <c r="L167" s="587">
        <v>0.03</v>
      </c>
      <c r="M167" s="587"/>
      <c r="N167" s="587">
        <v>0</v>
      </c>
      <c r="P167" s="600" t="s">
        <v>1323</v>
      </c>
      <c r="R167" s="581">
        <v>29.7</v>
      </c>
    </row>
    <row r="168" spans="1:18">
      <c r="A168" s="401"/>
      <c r="B168" s="414"/>
      <c r="D168" s="421"/>
      <c r="E168" s="417"/>
      <c r="F168" s="598"/>
      <c r="H168" s="606"/>
      <c r="I168" s="587"/>
      <c r="J168" s="587"/>
      <c r="K168" s="587"/>
      <c r="L168" s="587"/>
      <c r="M168" s="587"/>
      <c r="N168" s="587"/>
      <c r="P168" s="600"/>
      <c r="R168" s="607"/>
    </row>
    <row r="169" spans="1:18">
      <c r="A169" s="197">
        <v>331</v>
      </c>
      <c r="B169" s="414"/>
      <c r="D169" s="422" t="s">
        <v>324</v>
      </c>
      <c r="E169" s="417"/>
      <c r="F169" s="598"/>
      <c r="H169" s="599">
        <v>1.58866268146245</v>
      </c>
      <c r="I169" s="587"/>
      <c r="J169" s="587"/>
      <c r="K169" s="587"/>
      <c r="L169" s="587"/>
      <c r="M169" s="587"/>
      <c r="N169" s="587"/>
      <c r="P169" s="600" t="str">
        <f>P167</f>
        <v>100-S2</v>
      </c>
      <c r="R169" s="581">
        <v>29.7</v>
      </c>
    </row>
    <row r="170" spans="1:18">
      <c r="A170" s="197"/>
      <c r="B170" s="414"/>
      <c r="D170" s="421"/>
      <c r="E170" s="417"/>
      <c r="F170" s="598"/>
      <c r="H170" s="606"/>
      <c r="I170" s="587"/>
      <c r="J170" s="587"/>
      <c r="K170" s="587"/>
      <c r="L170" s="587"/>
      <c r="M170" s="587"/>
      <c r="N170" s="587"/>
      <c r="P170" s="600"/>
      <c r="R170" s="607"/>
    </row>
    <row r="171" spans="1:18">
      <c r="A171" s="197"/>
      <c r="B171" s="414">
        <v>332</v>
      </c>
      <c r="D171" s="421" t="s">
        <v>325</v>
      </c>
      <c r="E171" s="417"/>
      <c r="F171" s="598"/>
      <c r="H171" s="606"/>
      <c r="I171" s="587"/>
      <c r="J171" s="587"/>
      <c r="K171" s="587"/>
      <c r="L171" s="587"/>
      <c r="M171" s="587"/>
      <c r="N171" s="587"/>
      <c r="P171" s="600"/>
      <c r="R171" s="607"/>
    </row>
    <row r="172" spans="1:18">
      <c r="A172" s="401"/>
      <c r="B172" s="414"/>
      <c r="D172" s="421" t="s">
        <v>1324</v>
      </c>
      <c r="E172" s="417"/>
      <c r="F172" s="598">
        <v>-2</v>
      </c>
      <c r="H172" s="599">
        <v>0.91</v>
      </c>
      <c r="I172" s="587"/>
      <c r="J172" s="587">
        <v>0.89</v>
      </c>
      <c r="K172" s="587"/>
      <c r="L172" s="587">
        <v>0.02</v>
      </c>
      <c r="M172" s="587"/>
      <c r="N172" s="587">
        <v>0</v>
      </c>
      <c r="P172" s="600" t="s">
        <v>326</v>
      </c>
      <c r="R172" s="581">
        <v>93.3</v>
      </c>
    </row>
    <row r="173" spans="1:18">
      <c r="A173" s="197"/>
      <c r="B173" s="414"/>
      <c r="D173" s="421"/>
      <c r="E173" s="417"/>
      <c r="F173" s="598"/>
      <c r="H173" s="606"/>
      <c r="I173" s="587"/>
      <c r="J173" s="587"/>
      <c r="K173" s="587"/>
      <c r="L173" s="587"/>
      <c r="M173" s="587"/>
      <c r="N173" s="587"/>
      <c r="P173" s="600"/>
      <c r="R173" s="607"/>
    </row>
    <row r="174" spans="1:18">
      <c r="A174" s="197">
        <v>332</v>
      </c>
      <c r="B174" s="414"/>
      <c r="D174" s="422" t="s">
        <v>1325</v>
      </c>
      <c r="E174" s="417"/>
      <c r="F174" s="598"/>
      <c r="H174" s="599">
        <v>0.91</v>
      </c>
      <c r="I174" s="587"/>
      <c r="J174" s="587"/>
      <c r="K174" s="587"/>
      <c r="L174" s="587"/>
      <c r="M174" s="587"/>
      <c r="N174" s="587"/>
      <c r="P174" s="600" t="str">
        <f>P172</f>
        <v>100-S2.5</v>
      </c>
      <c r="R174" s="581">
        <v>93.3</v>
      </c>
    </row>
    <row r="175" spans="1:18">
      <c r="A175" s="197"/>
      <c r="B175" s="414"/>
      <c r="D175" s="421"/>
      <c r="E175" s="417"/>
      <c r="F175" s="598"/>
      <c r="H175" s="606"/>
      <c r="I175" s="587"/>
      <c r="J175" s="587"/>
      <c r="K175" s="587"/>
      <c r="L175" s="587"/>
      <c r="M175" s="587"/>
      <c r="N175" s="587"/>
      <c r="P175" s="600"/>
      <c r="R175" s="607"/>
    </row>
    <row r="176" spans="1:18">
      <c r="A176" s="197"/>
      <c r="B176" s="414">
        <v>333</v>
      </c>
      <c r="D176" s="421" t="s">
        <v>327</v>
      </c>
      <c r="E176" s="417"/>
      <c r="F176" s="598"/>
      <c r="H176" s="606"/>
      <c r="I176" s="587"/>
      <c r="J176" s="587"/>
      <c r="K176" s="587"/>
      <c r="L176" s="587"/>
      <c r="M176" s="587"/>
      <c r="N176" s="587"/>
      <c r="P176" s="600"/>
      <c r="R176" s="607"/>
    </row>
    <row r="177" spans="1:18">
      <c r="A177" s="401"/>
      <c r="B177" s="414"/>
      <c r="D177" s="421" t="s">
        <v>1326</v>
      </c>
      <c r="E177" s="417"/>
      <c r="F177" s="598">
        <v>-2</v>
      </c>
      <c r="H177" s="599">
        <v>3.24</v>
      </c>
      <c r="I177" s="587"/>
      <c r="J177" s="587">
        <v>3.17</v>
      </c>
      <c r="K177" s="587"/>
      <c r="L177" s="587">
        <v>0.1</v>
      </c>
      <c r="M177" s="587"/>
      <c r="N177" s="587">
        <v>-0.03</v>
      </c>
      <c r="P177" s="600" t="s">
        <v>1637</v>
      </c>
      <c r="R177" s="581">
        <v>29.6</v>
      </c>
    </row>
    <row r="178" spans="1:18">
      <c r="A178" s="197"/>
      <c r="B178" s="414"/>
      <c r="D178" s="421"/>
      <c r="E178" s="417"/>
      <c r="F178" s="598"/>
      <c r="H178" s="606"/>
      <c r="I178" s="587"/>
      <c r="J178" s="587"/>
      <c r="K178" s="587"/>
      <c r="L178" s="587"/>
      <c r="M178" s="587"/>
      <c r="N178" s="587"/>
      <c r="P178" s="600"/>
      <c r="R178" s="607"/>
    </row>
    <row r="179" spans="1:18">
      <c r="A179" s="197">
        <v>333</v>
      </c>
      <c r="B179" s="414"/>
      <c r="D179" s="422" t="s">
        <v>328</v>
      </c>
      <c r="E179" s="417"/>
      <c r="F179" s="598"/>
      <c r="H179" s="599">
        <v>3.24</v>
      </c>
      <c r="I179" s="587"/>
      <c r="J179" s="587"/>
      <c r="K179" s="587"/>
      <c r="L179" s="587"/>
      <c r="M179" s="587"/>
      <c r="N179" s="587"/>
      <c r="P179" s="600" t="str">
        <f>P177</f>
        <v>100-R3</v>
      </c>
      <c r="R179" s="581">
        <v>29.6</v>
      </c>
    </row>
    <row r="180" spans="1:18">
      <c r="A180" s="197"/>
      <c r="B180" s="414"/>
      <c r="D180" s="421"/>
      <c r="E180" s="417"/>
      <c r="F180" s="598"/>
      <c r="H180" s="606"/>
      <c r="I180" s="587"/>
      <c r="J180" s="587"/>
      <c r="K180" s="587"/>
      <c r="L180" s="587"/>
      <c r="M180" s="587"/>
      <c r="N180" s="587"/>
      <c r="P180" s="600"/>
      <c r="R180" s="607"/>
    </row>
    <row r="181" spans="1:18">
      <c r="A181" s="197"/>
      <c r="B181" s="414">
        <v>334</v>
      </c>
      <c r="D181" s="421" t="s">
        <v>329</v>
      </c>
      <c r="E181" s="417"/>
      <c r="F181" s="598"/>
      <c r="H181" s="606"/>
      <c r="I181" s="587"/>
      <c r="J181" s="587"/>
      <c r="K181" s="587"/>
      <c r="L181" s="587"/>
      <c r="M181" s="587"/>
      <c r="N181" s="587"/>
      <c r="P181" s="600"/>
      <c r="R181" s="607"/>
    </row>
    <row r="182" spans="1:18">
      <c r="A182" s="401"/>
      <c r="B182" s="414"/>
      <c r="D182" s="421" t="s">
        <v>1327</v>
      </c>
      <c r="E182" s="417"/>
      <c r="F182" s="598">
        <v>-2</v>
      </c>
      <c r="H182" s="599">
        <v>2.3899999999999997</v>
      </c>
      <c r="I182" s="587"/>
      <c r="J182" s="587">
        <v>2.34</v>
      </c>
      <c r="K182" s="587"/>
      <c r="L182" s="587">
        <v>0.05</v>
      </c>
      <c r="M182" s="587"/>
      <c r="N182" s="587">
        <v>0</v>
      </c>
      <c r="P182" s="600" t="s">
        <v>1638</v>
      </c>
      <c r="R182" s="581">
        <v>29.6</v>
      </c>
    </row>
    <row r="183" spans="1:18">
      <c r="A183" s="197"/>
      <c r="B183" s="414"/>
      <c r="D183" s="421"/>
      <c r="E183" s="417"/>
      <c r="F183" s="598"/>
      <c r="H183" s="606"/>
      <c r="I183" s="587"/>
      <c r="J183" s="587"/>
      <c r="K183" s="587"/>
      <c r="L183" s="587"/>
      <c r="M183" s="587"/>
      <c r="N183" s="587"/>
      <c r="P183" s="600"/>
      <c r="R183" s="607"/>
    </row>
    <row r="184" spans="1:18">
      <c r="A184" s="197">
        <v>334</v>
      </c>
      <c r="B184" s="414"/>
      <c r="D184" s="422" t="s">
        <v>330</v>
      </c>
      <c r="E184" s="417"/>
      <c r="F184" s="598"/>
      <c r="H184" s="599">
        <v>2.3899999999999997</v>
      </c>
      <c r="I184" s="587"/>
      <c r="J184" s="587"/>
      <c r="K184" s="587"/>
      <c r="L184" s="587"/>
      <c r="M184" s="587"/>
      <c r="N184" s="587"/>
      <c r="P184" s="600" t="str">
        <f>P182</f>
        <v>80-R4</v>
      </c>
      <c r="R184" s="581">
        <v>29.6</v>
      </c>
    </row>
    <row r="185" spans="1:18">
      <c r="A185" s="197"/>
      <c r="B185" s="414"/>
      <c r="D185" s="421"/>
      <c r="E185" s="417"/>
      <c r="F185" s="598"/>
      <c r="H185" s="606"/>
      <c r="I185" s="587"/>
      <c r="J185" s="587"/>
      <c r="K185" s="587"/>
      <c r="L185" s="587"/>
      <c r="M185" s="587"/>
      <c r="N185" s="587"/>
      <c r="P185" s="600"/>
      <c r="R185" s="607"/>
    </row>
    <row r="186" spans="1:18">
      <c r="A186" s="197"/>
      <c r="B186" s="414">
        <v>335</v>
      </c>
      <c r="D186" s="421" t="s">
        <v>331</v>
      </c>
      <c r="E186" s="417"/>
      <c r="F186" s="598"/>
      <c r="H186" s="606"/>
      <c r="I186" s="587"/>
      <c r="J186" s="587"/>
      <c r="K186" s="587"/>
      <c r="L186" s="587"/>
      <c r="M186" s="587"/>
      <c r="N186" s="587"/>
      <c r="P186" s="600"/>
      <c r="R186" s="607"/>
    </row>
    <row r="187" spans="1:18">
      <c r="A187" s="197"/>
      <c r="B187" s="414"/>
      <c r="D187" s="421" t="s">
        <v>1329</v>
      </c>
      <c r="E187" s="417"/>
      <c r="F187" s="598">
        <v>-2</v>
      </c>
      <c r="H187" s="599">
        <v>2.7699999999999996</v>
      </c>
      <c r="I187" s="587"/>
      <c r="J187" s="587">
        <v>2.7199999999999998</v>
      </c>
      <c r="K187" s="587"/>
      <c r="L187" s="587">
        <v>0.05</v>
      </c>
      <c r="M187" s="587"/>
      <c r="N187" s="587">
        <v>0</v>
      </c>
      <c r="P187" s="600" t="s">
        <v>1639</v>
      </c>
      <c r="R187" s="581">
        <v>28</v>
      </c>
    </row>
    <row r="188" spans="1:18">
      <c r="A188" s="197"/>
      <c r="B188" s="414"/>
      <c r="D188" s="421" t="s">
        <v>1326</v>
      </c>
      <c r="E188" s="417"/>
      <c r="F188" s="598">
        <v>-2</v>
      </c>
      <c r="H188" s="599">
        <v>3.1</v>
      </c>
      <c r="I188" s="587"/>
      <c r="J188" s="587">
        <v>3.04</v>
      </c>
      <c r="K188" s="587"/>
      <c r="L188" s="587">
        <v>0.06</v>
      </c>
      <c r="M188" s="587"/>
      <c r="N188" s="587">
        <v>0</v>
      </c>
      <c r="P188" s="600" t="s">
        <v>1639</v>
      </c>
      <c r="R188" s="581">
        <v>29.1</v>
      </c>
    </row>
    <row r="189" spans="1:18">
      <c r="A189" s="197"/>
      <c r="B189" s="414"/>
      <c r="D189" s="421"/>
      <c r="E189" s="417"/>
      <c r="F189" s="598"/>
      <c r="H189" s="606"/>
      <c r="I189" s="587"/>
      <c r="J189" s="587"/>
      <c r="K189" s="587"/>
      <c r="L189" s="587"/>
      <c r="M189" s="587"/>
      <c r="N189" s="587"/>
      <c r="P189" s="600"/>
      <c r="R189" s="607"/>
    </row>
    <row r="190" spans="1:18">
      <c r="A190" s="197">
        <v>335</v>
      </c>
      <c r="B190" s="414"/>
      <c r="D190" s="422" t="s">
        <v>332</v>
      </c>
      <c r="E190" s="417"/>
      <c r="F190" s="598"/>
      <c r="H190" s="599">
        <v>3.09</v>
      </c>
      <c r="I190" s="587"/>
      <c r="J190" s="587"/>
      <c r="K190" s="587"/>
      <c r="L190" s="587"/>
      <c r="M190" s="587"/>
      <c r="N190" s="587"/>
      <c r="P190" s="600" t="str">
        <f>P188</f>
        <v>80-R2.5</v>
      </c>
      <c r="R190" s="581">
        <v>29.1</v>
      </c>
    </row>
    <row r="191" spans="1:18">
      <c r="A191" s="197"/>
      <c r="B191" s="414"/>
      <c r="D191" s="421"/>
      <c r="E191" s="417"/>
      <c r="F191" s="598"/>
      <c r="H191" s="606"/>
      <c r="I191" s="587"/>
      <c r="J191" s="587"/>
      <c r="K191" s="587"/>
      <c r="L191" s="587"/>
      <c r="M191" s="587"/>
      <c r="N191" s="587"/>
      <c r="P191" s="600"/>
      <c r="R191" s="607"/>
    </row>
    <row r="192" spans="1:18">
      <c r="A192" s="197"/>
      <c r="B192" s="414">
        <v>336</v>
      </c>
      <c r="D192" s="421" t="s">
        <v>333</v>
      </c>
      <c r="E192" s="417"/>
      <c r="F192" s="598"/>
      <c r="H192" s="606"/>
      <c r="I192" s="587"/>
      <c r="J192" s="587"/>
      <c r="K192" s="587"/>
      <c r="L192" s="587"/>
      <c r="M192" s="587"/>
      <c r="N192" s="587"/>
      <c r="P192" s="600"/>
      <c r="R192" s="607"/>
    </row>
    <row r="193" spans="1:18">
      <c r="A193" s="197"/>
      <c r="B193" s="414"/>
      <c r="D193" s="421" t="s">
        <v>1324</v>
      </c>
      <c r="E193" s="417"/>
      <c r="F193" s="598">
        <v>-2</v>
      </c>
      <c r="H193" s="606">
        <v>2.3199999999999998</v>
      </c>
      <c r="I193" s="587"/>
      <c r="J193" s="587">
        <v>2.27</v>
      </c>
      <c r="K193" s="587"/>
      <c r="L193" s="587">
        <v>0.05</v>
      </c>
      <c r="M193" s="587"/>
      <c r="N193" s="587">
        <v>0</v>
      </c>
      <c r="P193" s="600" t="s">
        <v>1328</v>
      </c>
      <c r="R193" s="607">
        <v>16.8</v>
      </c>
    </row>
    <row r="194" spans="1:18">
      <c r="A194" s="197">
        <v>336</v>
      </c>
      <c r="B194" s="414"/>
      <c r="D194" s="422" t="s">
        <v>1640</v>
      </c>
      <c r="E194" s="417"/>
      <c r="F194" s="598">
        <v>-2</v>
      </c>
      <c r="H194" s="599">
        <v>2.3153554170797053</v>
      </c>
      <c r="I194" s="587"/>
      <c r="J194" s="587"/>
      <c r="K194" s="587"/>
      <c r="L194" s="587"/>
      <c r="M194" s="587"/>
      <c r="N194" s="587"/>
      <c r="P194" s="600" t="s">
        <v>1328</v>
      </c>
      <c r="R194" s="581">
        <v>16.8</v>
      </c>
    </row>
    <row r="195" spans="1:18">
      <c r="A195" s="197"/>
      <c r="B195" s="414"/>
      <c r="D195" s="421"/>
      <c r="E195" s="417"/>
      <c r="F195" s="598"/>
      <c r="H195" s="597"/>
      <c r="I195" s="587"/>
      <c r="J195" s="587"/>
      <c r="K195" s="587"/>
      <c r="L195" s="587"/>
      <c r="M195" s="587"/>
      <c r="N195" s="587"/>
      <c r="P195" s="600" t="str">
        <f>P193</f>
        <v>80-S4</v>
      </c>
    </row>
    <row r="196" spans="1:18">
      <c r="A196" s="197"/>
      <c r="B196" s="414"/>
      <c r="D196" s="423" t="s">
        <v>1641</v>
      </c>
      <c r="E196" s="417"/>
      <c r="F196" s="598"/>
      <c r="H196" s="597"/>
      <c r="I196" s="587"/>
      <c r="J196" s="587"/>
      <c r="K196" s="587"/>
      <c r="L196" s="587"/>
      <c r="M196" s="587"/>
      <c r="N196" s="587"/>
      <c r="P196" s="600"/>
    </row>
    <row r="197" spans="1:18">
      <c r="A197" s="197"/>
      <c r="B197" s="414"/>
      <c r="D197" s="421"/>
      <c r="E197" s="417"/>
      <c r="F197" s="598"/>
      <c r="H197" s="597"/>
      <c r="I197" s="587"/>
      <c r="J197" s="587"/>
      <c r="K197" s="587"/>
      <c r="L197" s="587"/>
      <c r="M197" s="587"/>
      <c r="N197" s="587"/>
      <c r="P197" s="600"/>
    </row>
    <row r="198" spans="1:18">
      <c r="A198" s="197"/>
      <c r="B198" s="414"/>
      <c r="D198" s="408" t="s">
        <v>192</v>
      </c>
      <c r="E198" s="417"/>
      <c r="F198" s="598"/>
      <c r="G198" s="414"/>
      <c r="H198" s="597"/>
      <c r="I198" s="587"/>
      <c r="J198" s="587"/>
      <c r="K198" s="587"/>
      <c r="L198" s="587"/>
      <c r="M198" s="587"/>
      <c r="N198" s="587"/>
      <c r="P198" s="600"/>
    </row>
    <row r="199" spans="1:18">
      <c r="A199" s="197"/>
      <c r="B199" s="414"/>
      <c r="D199" s="424"/>
      <c r="E199" s="417"/>
      <c r="F199" s="598"/>
      <c r="H199" s="597"/>
      <c r="I199" s="587"/>
      <c r="J199" s="587"/>
      <c r="K199" s="587"/>
      <c r="L199" s="587"/>
      <c r="M199" s="587"/>
      <c r="N199" s="587"/>
      <c r="P199" s="600"/>
    </row>
    <row r="200" spans="1:18">
      <c r="A200" s="197"/>
      <c r="B200" s="414">
        <v>341</v>
      </c>
      <c r="D200" s="416" t="s">
        <v>323</v>
      </c>
      <c r="H200" s="587"/>
      <c r="I200" s="587"/>
      <c r="J200" s="587"/>
      <c r="K200" s="587"/>
      <c r="L200" s="587"/>
      <c r="M200" s="587"/>
      <c r="N200" s="587"/>
    </row>
    <row r="201" spans="1:18">
      <c r="A201" s="197"/>
      <c r="B201" s="414"/>
      <c r="D201" s="416" t="s">
        <v>1335</v>
      </c>
      <c r="E201" s="417"/>
      <c r="F201" s="598">
        <v>-4</v>
      </c>
      <c r="H201" s="599">
        <v>3.9699999999999998</v>
      </c>
      <c r="I201" s="587"/>
      <c r="J201" s="587">
        <v>3.64</v>
      </c>
      <c r="K201" s="587"/>
      <c r="L201" s="587">
        <v>0.33</v>
      </c>
      <c r="M201" s="587"/>
      <c r="N201" s="587">
        <v>0</v>
      </c>
      <c r="P201" s="600" t="s">
        <v>1642</v>
      </c>
      <c r="R201" s="581">
        <v>15.4</v>
      </c>
    </row>
    <row r="202" spans="1:18">
      <c r="A202" s="197"/>
      <c r="B202" s="414"/>
      <c r="D202" s="416" t="s">
        <v>339</v>
      </c>
      <c r="E202" s="417"/>
      <c r="F202" s="598">
        <v>-7</v>
      </c>
      <c r="H202" s="599">
        <v>4.54</v>
      </c>
      <c r="I202" s="587"/>
      <c r="J202" s="587">
        <v>4.17</v>
      </c>
      <c r="K202" s="587"/>
      <c r="L202" s="587">
        <v>0.37</v>
      </c>
      <c r="M202" s="587"/>
      <c r="N202" s="587">
        <v>0</v>
      </c>
      <c r="P202" s="600" t="s">
        <v>1642</v>
      </c>
      <c r="R202" s="581">
        <v>13.4</v>
      </c>
    </row>
    <row r="203" spans="1:18">
      <c r="A203" s="197"/>
      <c r="B203" s="414"/>
      <c r="D203" s="416" t="s">
        <v>340</v>
      </c>
      <c r="E203" s="417"/>
      <c r="F203" s="598">
        <v>-5</v>
      </c>
      <c r="H203" s="599">
        <v>4.53</v>
      </c>
      <c r="I203" s="587"/>
      <c r="J203" s="587">
        <v>4.16</v>
      </c>
      <c r="K203" s="587"/>
      <c r="L203" s="587">
        <v>0.37</v>
      </c>
      <c r="M203" s="587"/>
      <c r="N203" s="587">
        <v>0</v>
      </c>
      <c r="P203" s="600" t="s">
        <v>1642</v>
      </c>
      <c r="R203" s="581">
        <v>13.4</v>
      </c>
    </row>
    <row r="204" spans="1:18">
      <c r="A204" s="197"/>
      <c r="B204" s="414"/>
      <c r="D204" s="416" t="s">
        <v>1880</v>
      </c>
      <c r="E204" s="417"/>
      <c r="F204" s="598">
        <v>-9</v>
      </c>
      <c r="H204" s="599">
        <v>4.24</v>
      </c>
      <c r="I204" s="587"/>
      <c r="J204" s="587">
        <v>4.04</v>
      </c>
      <c r="K204" s="587"/>
      <c r="L204" s="587">
        <v>0.2</v>
      </c>
      <c r="M204" s="587"/>
      <c r="N204" s="587">
        <v>0</v>
      </c>
      <c r="P204" s="600" t="s">
        <v>1881</v>
      </c>
      <c r="R204" s="581">
        <v>40</v>
      </c>
    </row>
    <row r="205" spans="1:18">
      <c r="A205" s="197"/>
      <c r="B205" s="414"/>
      <c r="D205" s="416" t="s">
        <v>1643</v>
      </c>
      <c r="E205" s="417"/>
      <c r="F205" s="598">
        <v>-9</v>
      </c>
      <c r="H205" s="599">
        <v>2.1599999999999997</v>
      </c>
      <c r="I205" s="587"/>
      <c r="J205" s="587">
        <v>2.02</v>
      </c>
      <c r="K205" s="587"/>
      <c r="L205" s="587">
        <v>0.13999999999999999</v>
      </c>
      <c r="M205" s="587"/>
      <c r="N205" s="587">
        <v>0</v>
      </c>
      <c r="P205" s="600" t="s">
        <v>1642</v>
      </c>
      <c r="R205" s="581">
        <v>38.4</v>
      </c>
    </row>
    <row r="206" spans="1:18">
      <c r="A206" s="197"/>
      <c r="B206" s="414"/>
      <c r="D206" s="416" t="s">
        <v>1330</v>
      </c>
      <c r="E206" s="417"/>
      <c r="F206" s="598">
        <v>-9</v>
      </c>
      <c r="H206" s="599">
        <v>19.669999999999998</v>
      </c>
      <c r="I206" s="587"/>
      <c r="J206" s="587">
        <v>18.91</v>
      </c>
      <c r="K206" s="587"/>
      <c r="L206" s="587">
        <v>0.76</v>
      </c>
      <c r="M206" s="587"/>
      <c r="N206" s="587">
        <v>0</v>
      </c>
      <c r="P206" s="600" t="s">
        <v>1642</v>
      </c>
      <c r="R206" s="581">
        <v>2.5</v>
      </c>
    </row>
    <row r="207" spans="1:18">
      <c r="A207" s="197"/>
      <c r="B207" s="414"/>
      <c r="D207" s="416" t="s">
        <v>1333</v>
      </c>
      <c r="E207" s="417"/>
      <c r="F207" s="598">
        <v>-9</v>
      </c>
      <c r="H207" s="599">
        <v>6.7499999999999991</v>
      </c>
      <c r="I207" s="587"/>
      <c r="J207" s="587">
        <v>6.1899999999999995</v>
      </c>
      <c r="K207" s="587"/>
      <c r="L207" s="587">
        <v>0.55999999999999994</v>
      </c>
      <c r="M207" s="587"/>
      <c r="N207" s="587">
        <v>0</v>
      </c>
      <c r="P207" s="600" t="s">
        <v>1642</v>
      </c>
      <c r="R207" s="581">
        <v>2.5</v>
      </c>
    </row>
    <row r="208" spans="1:18">
      <c r="A208" s="197"/>
      <c r="B208" s="414"/>
      <c r="D208" s="416" t="s">
        <v>1334</v>
      </c>
      <c r="E208" s="417"/>
      <c r="F208" s="598">
        <v>-9</v>
      </c>
      <c r="H208" s="599">
        <v>4.25</v>
      </c>
      <c r="I208" s="587"/>
      <c r="J208" s="587">
        <v>3.9</v>
      </c>
      <c r="K208" s="587"/>
      <c r="L208" s="587">
        <v>0.35000000000000003</v>
      </c>
      <c r="M208" s="587"/>
      <c r="N208" s="587">
        <v>0</v>
      </c>
      <c r="P208" s="600" t="s">
        <v>1642</v>
      </c>
      <c r="R208" s="581">
        <v>15.4</v>
      </c>
    </row>
    <row r="209" spans="1:18">
      <c r="A209" s="197"/>
      <c r="B209" s="414"/>
      <c r="D209" s="416" t="s">
        <v>338</v>
      </c>
      <c r="E209" s="417"/>
      <c r="F209" s="598">
        <v>-6</v>
      </c>
      <c r="H209" s="599">
        <v>3.6399999999999997</v>
      </c>
      <c r="I209" s="587"/>
      <c r="J209" s="587">
        <v>3.4299999999999997</v>
      </c>
      <c r="K209" s="587"/>
      <c r="L209" s="587">
        <v>0.21</v>
      </c>
      <c r="M209" s="587"/>
      <c r="N209" s="587">
        <v>0</v>
      </c>
      <c r="P209" s="600" t="s">
        <v>1642</v>
      </c>
      <c r="R209" s="581">
        <v>18.3</v>
      </c>
    </row>
    <row r="210" spans="1:18">
      <c r="A210" s="197"/>
      <c r="B210" s="414"/>
      <c r="D210" s="416" t="s">
        <v>1336</v>
      </c>
      <c r="E210" s="417"/>
      <c r="F210" s="598"/>
      <c r="H210" s="599">
        <v>3.7199999999999998</v>
      </c>
      <c r="I210" s="587"/>
      <c r="J210" s="587">
        <v>3.51</v>
      </c>
      <c r="K210" s="587"/>
      <c r="L210" s="587">
        <v>0.21</v>
      </c>
      <c r="M210" s="587"/>
      <c r="N210" s="587">
        <v>0</v>
      </c>
      <c r="P210" s="600" t="s">
        <v>1642</v>
      </c>
      <c r="R210" s="581">
        <v>16.399999999999999</v>
      </c>
    </row>
    <row r="211" spans="1:18">
      <c r="A211" s="197"/>
      <c r="B211" s="414"/>
      <c r="D211" s="416" t="s">
        <v>334</v>
      </c>
      <c r="E211" s="417"/>
      <c r="F211" s="598">
        <v>-6</v>
      </c>
      <c r="H211" s="599">
        <v>3.6999999999999997</v>
      </c>
      <c r="I211" s="587"/>
      <c r="J211" s="587">
        <v>3.49</v>
      </c>
      <c r="K211" s="587"/>
      <c r="L211" s="587">
        <v>0.21</v>
      </c>
      <c r="M211" s="587"/>
      <c r="N211" s="587">
        <v>0</v>
      </c>
      <c r="P211" s="600" t="s">
        <v>1642</v>
      </c>
      <c r="R211" s="581">
        <v>16.399999999999999</v>
      </c>
    </row>
    <row r="212" spans="1:18">
      <c r="A212" s="197"/>
      <c r="B212" s="414"/>
      <c r="D212" s="416" t="s">
        <v>335</v>
      </c>
      <c r="E212" s="417"/>
      <c r="F212" s="598">
        <v>-6</v>
      </c>
      <c r="H212" s="599">
        <v>3.6199999999999997</v>
      </c>
      <c r="I212" s="587"/>
      <c r="J212" s="587">
        <v>3.4099999999999997</v>
      </c>
      <c r="K212" s="587"/>
      <c r="L212" s="587">
        <v>0.21</v>
      </c>
      <c r="M212" s="587"/>
      <c r="N212" s="587">
        <v>0</v>
      </c>
      <c r="P212" s="600" t="s">
        <v>1642</v>
      </c>
      <c r="R212" s="581">
        <v>18.3</v>
      </c>
    </row>
    <row r="213" spans="1:18">
      <c r="A213" s="197"/>
      <c r="B213" s="414"/>
      <c r="D213" s="416" t="s">
        <v>336</v>
      </c>
      <c r="E213" s="417"/>
      <c r="F213" s="598">
        <v>-6</v>
      </c>
      <c r="H213" s="599">
        <v>3.6199999999999997</v>
      </c>
      <c r="I213" s="587"/>
      <c r="J213" s="587">
        <v>3.4099999999999997</v>
      </c>
      <c r="K213" s="587"/>
      <c r="L213" s="587">
        <v>0.21</v>
      </c>
      <c r="M213" s="587"/>
      <c r="N213" s="587">
        <v>0</v>
      </c>
      <c r="P213" s="600" t="s">
        <v>1642</v>
      </c>
      <c r="R213" s="581">
        <v>18.3</v>
      </c>
    </row>
    <row r="214" spans="1:18">
      <c r="A214" s="197"/>
      <c r="B214" s="414"/>
      <c r="D214" s="416" t="s">
        <v>337</v>
      </c>
      <c r="E214" s="417"/>
      <c r="F214" s="598">
        <v>-6</v>
      </c>
      <c r="H214" s="599">
        <v>3.6399999999999997</v>
      </c>
      <c r="I214" s="587"/>
      <c r="J214" s="587">
        <v>3.4299999999999997</v>
      </c>
      <c r="K214" s="587"/>
      <c r="L214" s="587">
        <v>0.21</v>
      </c>
      <c r="M214" s="587"/>
      <c r="N214" s="587">
        <v>0</v>
      </c>
      <c r="P214" s="600" t="s">
        <v>1642</v>
      </c>
      <c r="R214" s="581">
        <v>18.3</v>
      </c>
    </row>
    <row r="215" spans="1:18">
      <c r="A215" s="401"/>
      <c r="B215" s="414"/>
      <c r="D215" s="416" t="s">
        <v>1332</v>
      </c>
      <c r="E215" s="417"/>
      <c r="F215" s="598">
        <v>-6</v>
      </c>
      <c r="H215" s="599">
        <v>0</v>
      </c>
      <c r="I215" s="587"/>
      <c r="J215" s="587">
        <v>0</v>
      </c>
      <c r="K215" s="587"/>
      <c r="L215" s="587">
        <v>0</v>
      </c>
      <c r="M215" s="587"/>
      <c r="N215" s="587">
        <v>0</v>
      </c>
      <c r="P215" s="600" t="s">
        <v>1642</v>
      </c>
      <c r="R215" s="581" t="s">
        <v>1288</v>
      </c>
    </row>
    <row r="216" spans="1:18">
      <c r="A216" s="197"/>
      <c r="B216" s="414"/>
      <c r="D216" s="416"/>
      <c r="E216" s="417"/>
      <c r="F216" s="598"/>
      <c r="H216" s="597"/>
      <c r="I216" s="587"/>
      <c r="J216" s="587"/>
      <c r="K216" s="587"/>
      <c r="L216" s="587"/>
      <c r="M216" s="587"/>
      <c r="N216" s="587"/>
      <c r="P216" s="600"/>
    </row>
    <row r="217" spans="1:18">
      <c r="A217" s="197">
        <v>341</v>
      </c>
      <c r="B217" s="414"/>
      <c r="D217" s="419" t="s">
        <v>341</v>
      </c>
      <c r="E217" s="417"/>
      <c r="F217" s="601" t="s">
        <v>1687</v>
      </c>
      <c r="H217" s="599">
        <v>3.0438103236280409</v>
      </c>
      <c r="I217" s="608"/>
      <c r="J217" s="608"/>
      <c r="K217" s="608"/>
      <c r="L217" s="608"/>
      <c r="M217" s="608"/>
      <c r="N217" s="608"/>
      <c r="P217" s="600" t="str">
        <f>P215</f>
        <v>55-R4</v>
      </c>
      <c r="R217" s="581">
        <v>24.3</v>
      </c>
    </row>
    <row r="218" spans="1:18">
      <c r="A218" s="197"/>
      <c r="B218" s="414"/>
      <c r="D218" s="416"/>
      <c r="E218" s="417"/>
      <c r="F218" s="598"/>
      <c r="H218" s="597"/>
      <c r="I218" s="608"/>
      <c r="J218" s="608"/>
      <c r="K218" s="608"/>
      <c r="L218" s="608"/>
      <c r="M218" s="608"/>
      <c r="N218" s="608"/>
      <c r="P218" s="600"/>
    </row>
    <row r="219" spans="1:18">
      <c r="A219" s="197"/>
      <c r="B219" s="414">
        <v>342</v>
      </c>
      <c r="D219" s="401" t="s">
        <v>1337</v>
      </c>
      <c r="H219" s="587"/>
      <c r="I219" s="608"/>
      <c r="J219" s="608"/>
      <c r="K219" s="608"/>
      <c r="L219" s="608"/>
      <c r="M219" s="608"/>
      <c r="N219" s="608"/>
    </row>
    <row r="220" spans="1:18">
      <c r="A220" s="197"/>
      <c r="B220" s="414"/>
      <c r="D220" s="416" t="s">
        <v>1335</v>
      </c>
      <c r="E220" s="417"/>
      <c r="F220" s="598">
        <v>-4</v>
      </c>
      <c r="H220" s="599">
        <v>4.43</v>
      </c>
      <c r="I220" s="587"/>
      <c r="J220" s="587">
        <v>4.0599999999999996</v>
      </c>
      <c r="K220" s="587"/>
      <c r="L220" s="587">
        <v>0.37</v>
      </c>
      <c r="M220" s="587"/>
      <c r="N220" s="587">
        <v>0</v>
      </c>
      <c r="P220" s="600" t="s">
        <v>1346</v>
      </c>
      <c r="R220" s="581">
        <v>15</v>
      </c>
    </row>
    <row r="221" spans="1:18">
      <c r="A221" s="197"/>
      <c r="B221" s="414"/>
      <c r="D221" s="416" t="s">
        <v>339</v>
      </c>
      <c r="E221" s="417"/>
      <c r="F221" s="598">
        <v>-7</v>
      </c>
      <c r="H221" s="599">
        <v>6.7299999999999995</v>
      </c>
      <c r="I221" s="587"/>
      <c r="J221" s="587">
        <v>6.17</v>
      </c>
      <c r="K221" s="587"/>
      <c r="L221" s="587">
        <v>0.55999999999999994</v>
      </c>
      <c r="M221" s="587"/>
      <c r="N221" s="587">
        <v>0</v>
      </c>
      <c r="P221" s="600" t="s">
        <v>1346</v>
      </c>
      <c r="R221" s="581">
        <v>13.3</v>
      </c>
    </row>
    <row r="222" spans="1:18">
      <c r="A222" s="197"/>
      <c r="B222" s="414"/>
      <c r="D222" s="416" t="s">
        <v>340</v>
      </c>
      <c r="E222" s="417"/>
      <c r="F222" s="598">
        <v>-7</v>
      </c>
      <c r="H222" s="599">
        <v>7.8800000000000008</v>
      </c>
      <c r="I222" s="587"/>
      <c r="J222" s="587">
        <v>7.23</v>
      </c>
      <c r="K222" s="587"/>
      <c r="L222" s="587">
        <v>0.65</v>
      </c>
      <c r="M222" s="587"/>
      <c r="N222" s="587">
        <v>0</v>
      </c>
      <c r="P222" s="600" t="s">
        <v>1346</v>
      </c>
      <c r="R222" s="581">
        <v>13.3</v>
      </c>
    </row>
    <row r="223" spans="1:18">
      <c r="A223" s="197"/>
      <c r="B223" s="414"/>
      <c r="D223" s="416" t="s">
        <v>1643</v>
      </c>
      <c r="E223" s="417"/>
      <c r="F223" s="598"/>
      <c r="H223" s="599">
        <v>2.8499999999999996</v>
      </c>
      <c r="I223" s="587"/>
      <c r="J223" s="587">
        <v>2.6599999999999997</v>
      </c>
      <c r="K223" s="587"/>
      <c r="L223" s="587">
        <v>0.19</v>
      </c>
      <c r="M223" s="587"/>
      <c r="N223" s="587">
        <v>0</v>
      </c>
      <c r="P223" s="600" t="s">
        <v>1346</v>
      </c>
      <c r="R223" s="581">
        <v>37.1</v>
      </c>
    </row>
    <row r="224" spans="1:18">
      <c r="A224" s="197"/>
      <c r="B224" s="414"/>
      <c r="D224" s="416" t="s">
        <v>1330</v>
      </c>
      <c r="E224" s="417"/>
      <c r="F224" s="598">
        <v>-5</v>
      </c>
      <c r="H224" s="599">
        <v>19.79</v>
      </c>
      <c r="I224" s="587"/>
      <c r="J224" s="587">
        <v>19.03</v>
      </c>
      <c r="K224" s="587"/>
      <c r="L224" s="587">
        <v>0.76</v>
      </c>
      <c r="M224" s="587"/>
      <c r="N224" s="587">
        <v>0</v>
      </c>
      <c r="P224" s="600" t="s">
        <v>1346</v>
      </c>
      <c r="R224" s="581">
        <v>2.5</v>
      </c>
    </row>
    <row r="225" spans="1:18">
      <c r="A225" s="197"/>
      <c r="B225" s="414"/>
      <c r="D225" s="416" t="s">
        <v>1338</v>
      </c>
      <c r="E225" s="417"/>
      <c r="F225" s="598">
        <v>-9</v>
      </c>
      <c r="H225" s="599">
        <v>0</v>
      </c>
      <c r="I225" s="587"/>
      <c r="J225" s="587">
        <v>0</v>
      </c>
      <c r="K225" s="587"/>
      <c r="L225" s="587">
        <v>0</v>
      </c>
      <c r="M225" s="587"/>
      <c r="N225" s="587">
        <v>0</v>
      </c>
      <c r="P225" s="600" t="s">
        <v>1346</v>
      </c>
      <c r="R225" s="581" t="s">
        <v>1288</v>
      </c>
    </row>
    <row r="226" spans="1:18">
      <c r="A226" s="197"/>
      <c r="B226" s="414"/>
      <c r="D226" s="416" t="s">
        <v>1333</v>
      </c>
      <c r="E226" s="417"/>
      <c r="F226" s="598">
        <v>-9</v>
      </c>
      <c r="H226" s="599">
        <v>9.5399999999999991</v>
      </c>
      <c r="I226" s="587"/>
      <c r="J226" s="587">
        <v>8.75</v>
      </c>
      <c r="K226" s="587"/>
      <c r="L226" s="587">
        <v>0.79</v>
      </c>
      <c r="M226" s="587"/>
      <c r="N226" s="587">
        <v>0</v>
      </c>
      <c r="P226" s="600" t="s">
        <v>1346</v>
      </c>
      <c r="R226" s="581">
        <v>2.5</v>
      </c>
    </row>
    <row r="227" spans="1:18">
      <c r="A227" s="197"/>
      <c r="B227" s="414"/>
      <c r="D227" s="416" t="s">
        <v>1334</v>
      </c>
      <c r="E227" s="417"/>
      <c r="F227" s="598">
        <v>-9</v>
      </c>
      <c r="H227" s="599">
        <v>4</v>
      </c>
      <c r="I227" s="587"/>
      <c r="J227" s="587">
        <v>3.6700000000000004</v>
      </c>
      <c r="K227" s="587"/>
      <c r="L227" s="587">
        <v>0.33</v>
      </c>
      <c r="M227" s="587"/>
      <c r="N227" s="587">
        <v>0</v>
      </c>
      <c r="P227" s="600" t="s">
        <v>1346</v>
      </c>
      <c r="R227" s="581">
        <v>15</v>
      </c>
    </row>
    <row r="228" spans="1:18">
      <c r="A228" s="197"/>
      <c r="B228" s="414"/>
      <c r="D228" s="416" t="s">
        <v>338</v>
      </c>
      <c r="E228" s="417"/>
      <c r="F228" s="598">
        <v>-9</v>
      </c>
      <c r="H228" s="599">
        <v>3.7199999999999998</v>
      </c>
      <c r="I228" s="587"/>
      <c r="J228" s="587">
        <v>3.51</v>
      </c>
      <c r="K228" s="587"/>
      <c r="L228" s="587">
        <v>0.21</v>
      </c>
      <c r="M228" s="587"/>
      <c r="N228" s="587">
        <v>0</v>
      </c>
      <c r="P228" s="600" t="s">
        <v>1346</v>
      </c>
      <c r="R228" s="581">
        <v>17.899999999999999</v>
      </c>
    </row>
    <row r="229" spans="1:18">
      <c r="A229" s="197"/>
      <c r="B229" s="414"/>
      <c r="D229" s="416" t="s">
        <v>1336</v>
      </c>
      <c r="E229" s="417"/>
      <c r="F229" s="598">
        <v>-9</v>
      </c>
      <c r="H229" s="599">
        <v>3.7699999999999996</v>
      </c>
      <c r="I229" s="587"/>
      <c r="J229" s="587">
        <v>3.56</v>
      </c>
      <c r="K229" s="587"/>
      <c r="L229" s="587">
        <v>0.21</v>
      </c>
      <c r="M229" s="587"/>
      <c r="N229" s="587">
        <v>0</v>
      </c>
      <c r="P229" s="600" t="s">
        <v>1346</v>
      </c>
      <c r="R229" s="581">
        <v>16</v>
      </c>
    </row>
    <row r="230" spans="1:18">
      <c r="A230" s="197"/>
      <c r="B230" s="414"/>
      <c r="D230" s="416" t="s">
        <v>334</v>
      </c>
      <c r="E230" s="417"/>
      <c r="F230" s="598">
        <v>-9</v>
      </c>
      <c r="H230" s="599">
        <v>3.7699999999999996</v>
      </c>
      <c r="I230" s="587"/>
      <c r="J230" s="587">
        <v>3.56</v>
      </c>
      <c r="K230" s="587"/>
      <c r="L230" s="587">
        <v>0.21</v>
      </c>
      <c r="M230" s="587"/>
      <c r="N230" s="587">
        <v>0</v>
      </c>
      <c r="P230" s="600" t="s">
        <v>1346</v>
      </c>
      <c r="R230" s="581">
        <v>16</v>
      </c>
    </row>
    <row r="231" spans="1:18">
      <c r="A231" s="197"/>
      <c r="B231" s="414"/>
      <c r="D231" s="416" t="s">
        <v>335</v>
      </c>
      <c r="E231" s="417"/>
      <c r="F231" s="598">
        <v>-6</v>
      </c>
      <c r="H231" s="599">
        <v>3.6999999999999997</v>
      </c>
      <c r="I231" s="587"/>
      <c r="J231" s="587">
        <v>3.49</v>
      </c>
      <c r="K231" s="587"/>
      <c r="L231" s="587">
        <v>0.21</v>
      </c>
      <c r="M231" s="587"/>
      <c r="N231" s="587">
        <v>0</v>
      </c>
      <c r="P231" s="600" t="s">
        <v>1346</v>
      </c>
      <c r="R231" s="581">
        <v>17.899999999999999</v>
      </c>
    </row>
    <row r="232" spans="1:18">
      <c r="A232" s="197"/>
      <c r="B232" s="414"/>
      <c r="D232" s="416" t="s">
        <v>336</v>
      </c>
      <c r="E232" s="417"/>
      <c r="F232" s="598">
        <v>-6</v>
      </c>
      <c r="H232" s="599">
        <v>3.6999999999999997</v>
      </c>
      <c r="I232" s="587"/>
      <c r="J232" s="587">
        <v>3.49</v>
      </c>
      <c r="K232" s="587"/>
      <c r="L232" s="587">
        <v>0.21</v>
      </c>
      <c r="M232" s="587"/>
      <c r="N232" s="587">
        <v>0</v>
      </c>
      <c r="P232" s="600" t="s">
        <v>1346</v>
      </c>
      <c r="R232" s="581">
        <v>17.899999999999999</v>
      </c>
    </row>
    <row r="233" spans="1:18">
      <c r="A233" s="197"/>
      <c r="B233" s="414"/>
      <c r="D233" s="416" t="s">
        <v>337</v>
      </c>
      <c r="E233" s="417"/>
      <c r="F233" s="598">
        <v>-6</v>
      </c>
      <c r="H233" s="599">
        <v>3.71</v>
      </c>
      <c r="I233" s="587"/>
      <c r="J233" s="587">
        <v>3.5000000000000004</v>
      </c>
      <c r="K233" s="587"/>
      <c r="L233" s="587">
        <v>0.21</v>
      </c>
      <c r="M233" s="587"/>
      <c r="N233" s="587">
        <v>0</v>
      </c>
      <c r="P233" s="600" t="s">
        <v>1346</v>
      </c>
      <c r="R233" s="581">
        <v>17.899999999999999</v>
      </c>
    </row>
    <row r="234" spans="1:18">
      <c r="A234" s="197"/>
      <c r="B234" s="414"/>
      <c r="D234" s="416" t="s">
        <v>1882</v>
      </c>
      <c r="E234" s="417"/>
      <c r="F234" s="598">
        <v>-6</v>
      </c>
      <c r="H234" s="599">
        <v>2.73</v>
      </c>
      <c r="I234" s="587"/>
      <c r="J234" s="587">
        <v>2.6</v>
      </c>
      <c r="K234" s="587"/>
      <c r="L234" s="587">
        <v>0.13</v>
      </c>
      <c r="M234" s="587"/>
      <c r="N234" s="587">
        <v>0</v>
      </c>
      <c r="P234" s="600" t="s">
        <v>342</v>
      </c>
      <c r="R234" s="581">
        <v>15</v>
      </c>
    </row>
    <row r="235" spans="1:18">
      <c r="A235" s="401"/>
      <c r="B235" s="414"/>
      <c r="D235" s="416" t="s">
        <v>1644</v>
      </c>
      <c r="E235" s="417"/>
      <c r="F235" s="598">
        <v>-6</v>
      </c>
      <c r="H235" s="599">
        <v>2.8499999999999996</v>
      </c>
      <c r="I235" s="587"/>
      <c r="J235" s="587">
        <v>2.6599999999999997</v>
      </c>
      <c r="K235" s="587"/>
      <c r="L235" s="587">
        <v>0.19</v>
      </c>
      <c r="M235" s="587"/>
      <c r="N235" s="587">
        <v>0</v>
      </c>
      <c r="P235" s="600" t="s">
        <v>1346</v>
      </c>
      <c r="R235" s="581">
        <v>37.1</v>
      </c>
    </row>
    <row r="236" spans="1:18">
      <c r="A236" s="197"/>
      <c r="B236" s="414"/>
      <c r="D236" s="416" t="s">
        <v>1339</v>
      </c>
      <c r="E236" s="417"/>
      <c r="F236" s="598">
        <v>-6</v>
      </c>
      <c r="H236" s="599">
        <v>3.3999999999999995</v>
      </c>
      <c r="I236" s="587"/>
      <c r="J236" s="587">
        <v>3.2099999999999995</v>
      </c>
      <c r="K236" s="587"/>
      <c r="L236" s="587">
        <v>0.19</v>
      </c>
      <c r="M236" s="587"/>
      <c r="N236" s="587">
        <v>0</v>
      </c>
      <c r="P236" s="600" t="s">
        <v>1346</v>
      </c>
      <c r="R236" s="581">
        <v>17.8</v>
      </c>
    </row>
    <row r="237" spans="1:18">
      <c r="A237" s="197"/>
      <c r="B237" s="414"/>
      <c r="D237" s="416" t="s">
        <v>1332</v>
      </c>
      <c r="E237" s="417"/>
      <c r="F237" s="598">
        <v>-6</v>
      </c>
      <c r="H237" s="599">
        <v>9.31</v>
      </c>
      <c r="I237" s="587"/>
      <c r="J237" s="587">
        <v>8.870000000000001</v>
      </c>
      <c r="K237" s="587"/>
      <c r="L237" s="587">
        <v>0.44</v>
      </c>
      <c r="M237" s="587"/>
      <c r="N237" s="587">
        <v>0</v>
      </c>
      <c r="P237" s="600" t="s">
        <v>1346</v>
      </c>
      <c r="R237" s="581">
        <v>3.5</v>
      </c>
    </row>
    <row r="238" spans="1:18">
      <c r="A238" s="197"/>
      <c r="B238" s="414"/>
      <c r="E238" s="417"/>
      <c r="F238" s="598"/>
      <c r="H238" s="597"/>
      <c r="I238" s="587"/>
      <c r="J238" s="587"/>
      <c r="K238" s="587"/>
      <c r="L238" s="587"/>
      <c r="M238" s="587"/>
      <c r="N238" s="587"/>
      <c r="P238" s="600"/>
    </row>
    <row r="239" spans="1:18">
      <c r="A239" s="197">
        <v>342</v>
      </c>
      <c r="B239" s="414"/>
      <c r="D239" s="419" t="s">
        <v>343</v>
      </c>
      <c r="E239" s="417"/>
      <c r="F239" s="601" t="s">
        <v>1687</v>
      </c>
      <c r="H239" s="599">
        <v>3.2273234515366087</v>
      </c>
      <c r="I239" s="587"/>
      <c r="J239" s="587"/>
      <c r="K239" s="587"/>
      <c r="L239" s="587"/>
      <c r="M239" s="587"/>
      <c r="N239" s="587"/>
      <c r="P239" s="600" t="str">
        <f>P237</f>
        <v>55-R2.5</v>
      </c>
      <c r="R239" s="581">
        <v>30.5</v>
      </c>
    </row>
    <row r="240" spans="1:18">
      <c r="A240" s="197"/>
      <c r="B240" s="414"/>
      <c r="E240" s="417"/>
      <c r="F240" s="598"/>
      <c r="H240" s="597"/>
      <c r="I240" s="587"/>
      <c r="J240" s="587"/>
      <c r="K240" s="587"/>
      <c r="L240" s="587"/>
      <c r="M240" s="587"/>
      <c r="N240" s="587"/>
      <c r="P240" s="600"/>
    </row>
    <row r="241" spans="1:18">
      <c r="A241" s="197"/>
      <c r="B241" s="414">
        <v>343</v>
      </c>
      <c r="D241" s="401" t="s">
        <v>1340</v>
      </c>
      <c r="H241" s="587"/>
      <c r="I241" s="587"/>
      <c r="J241" s="587"/>
      <c r="K241" s="587"/>
      <c r="L241" s="587"/>
      <c r="M241" s="587"/>
      <c r="N241" s="587"/>
    </row>
    <row r="242" spans="1:18">
      <c r="A242" s="197"/>
      <c r="B242" s="414"/>
      <c r="D242" s="416" t="s">
        <v>1335</v>
      </c>
      <c r="E242" s="417"/>
      <c r="F242" s="598">
        <v>-7</v>
      </c>
      <c r="H242" s="599">
        <v>4.3999999999999995</v>
      </c>
      <c r="I242" s="587"/>
      <c r="J242" s="587">
        <v>4.04</v>
      </c>
      <c r="K242" s="587"/>
      <c r="L242" s="587">
        <v>0.4</v>
      </c>
      <c r="M242" s="587"/>
      <c r="N242" s="587">
        <v>-0.04</v>
      </c>
      <c r="P242" s="600" t="s">
        <v>348</v>
      </c>
      <c r="R242" s="581">
        <v>13.9</v>
      </c>
    </row>
    <row r="243" spans="1:18">
      <c r="A243" s="197"/>
      <c r="B243" s="414"/>
      <c r="D243" s="416" t="s">
        <v>339</v>
      </c>
      <c r="E243" s="417"/>
      <c r="F243" s="598">
        <v>-9</v>
      </c>
      <c r="H243" s="599">
        <v>6.169999999999999</v>
      </c>
      <c r="I243" s="587"/>
      <c r="J243" s="587">
        <v>5.66</v>
      </c>
      <c r="K243" s="587"/>
      <c r="L243" s="587">
        <v>0.57000000000000006</v>
      </c>
      <c r="M243" s="587"/>
      <c r="N243" s="587">
        <v>-0.06</v>
      </c>
      <c r="P243" s="600" t="s">
        <v>348</v>
      </c>
      <c r="R243" s="581">
        <v>12.4</v>
      </c>
    </row>
    <row r="244" spans="1:18">
      <c r="A244" s="197"/>
      <c r="B244" s="414"/>
      <c r="D244" s="416" t="s">
        <v>340</v>
      </c>
      <c r="E244" s="417"/>
      <c r="F244" s="598">
        <v>-9</v>
      </c>
      <c r="H244" s="599">
        <v>5.2</v>
      </c>
      <c r="I244" s="587"/>
      <c r="J244" s="587">
        <v>4.7699999999999996</v>
      </c>
      <c r="K244" s="587"/>
      <c r="L244" s="587">
        <v>0.48</v>
      </c>
      <c r="M244" s="587"/>
      <c r="N244" s="587">
        <v>-0.05</v>
      </c>
      <c r="P244" s="600" t="s">
        <v>348</v>
      </c>
      <c r="R244" s="581">
        <v>12.3</v>
      </c>
    </row>
    <row r="245" spans="1:18">
      <c r="A245" s="197"/>
      <c r="B245" s="414"/>
      <c r="D245" s="416" t="s">
        <v>1643</v>
      </c>
      <c r="E245" s="417"/>
      <c r="F245" s="598">
        <v>-9</v>
      </c>
      <c r="H245" s="599">
        <v>3.3299999999999996</v>
      </c>
      <c r="I245" s="587"/>
      <c r="J245" s="587">
        <v>3.11</v>
      </c>
      <c r="K245" s="587"/>
      <c r="L245" s="587">
        <v>0.25</v>
      </c>
      <c r="M245" s="587"/>
      <c r="N245" s="587">
        <v>-0.03</v>
      </c>
      <c r="P245" s="600" t="s">
        <v>348</v>
      </c>
      <c r="R245" s="581">
        <v>31.6</v>
      </c>
    </row>
    <row r="246" spans="1:18">
      <c r="A246" s="197"/>
      <c r="B246" s="414"/>
      <c r="D246" s="416" t="s">
        <v>1338</v>
      </c>
      <c r="E246" s="417"/>
      <c r="F246" s="598">
        <v>-9</v>
      </c>
      <c r="H246" s="599">
        <v>43.77</v>
      </c>
      <c r="I246" s="587"/>
      <c r="J246" s="587">
        <v>40.150000000000006</v>
      </c>
      <c r="K246" s="587"/>
      <c r="L246" s="587">
        <v>4.0199999999999996</v>
      </c>
      <c r="M246" s="587"/>
      <c r="N246" s="587">
        <v>-0.4</v>
      </c>
      <c r="P246" s="600" t="s">
        <v>348</v>
      </c>
      <c r="R246" s="581">
        <v>2.5</v>
      </c>
    </row>
    <row r="247" spans="1:18">
      <c r="A247" s="197"/>
      <c r="B247" s="414"/>
      <c r="D247" s="416" t="s">
        <v>1333</v>
      </c>
      <c r="E247" s="417"/>
      <c r="F247" s="598">
        <v>-9</v>
      </c>
      <c r="H247" s="599">
        <v>43.77</v>
      </c>
      <c r="I247" s="587"/>
      <c r="J247" s="587">
        <v>40.150000000000006</v>
      </c>
      <c r="K247" s="587"/>
      <c r="L247" s="587">
        <v>4.0199999999999996</v>
      </c>
      <c r="M247" s="587"/>
      <c r="N247" s="587">
        <v>-0.4</v>
      </c>
      <c r="P247" s="600" t="s">
        <v>348</v>
      </c>
      <c r="R247" s="581">
        <v>2.5</v>
      </c>
    </row>
    <row r="248" spans="1:18">
      <c r="A248" s="197"/>
      <c r="B248" s="414"/>
      <c r="D248" s="416" t="s">
        <v>1334</v>
      </c>
      <c r="E248" s="417"/>
      <c r="F248" s="598">
        <v>-9</v>
      </c>
      <c r="H248" s="599">
        <v>5.6000000000000005</v>
      </c>
      <c r="I248" s="587"/>
      <c r="J248" s="587">
        <v>5.1400000000000006</v>
      </c>
      <c r="K248" s="587"/>
      <c r="L248" s="587">
        <v>0.51</v>
      </c>
      <c r="M248" s="587"/>
      <c r="N248" s="587">
        <v>-0.05</v>
      </c>
      <c r="P248" s="600" t="s">
        <v>348</v>
      </c>
      <c r="R248" s="581">
        <v>14.1</v>
      </c>
    </row>
    <row r="249" spans="1:18">
      <c r="A249" s="401"/>
      <c r="B249" s="414"/>
      <c r="D249" s="416" t="s">
        <v>338</v>
      </c>
      <c r="E249" s="417"/>
      <c r="F249" s="598">
        <v>-6</v>
      </c>
      <c r="H249" s="599">
        <v>4.34</v>
      </c>
      <c r="I249" s="587"/>
      <c r="J249" s="587">
        <v>4.09</v>
      </c>
      <c r="K249" s="587"/>
      <c r="L249" s="587">
        <v>0.28999999999999998</v>
      </c>
      <c r="M249" s="587"/>
      <c r="N249" s="587">
        <v>-0.04</v>
      </c>
      <c r="P249" s="600" t="s">
        <v>348</v>
      </c>
      <c r="R249" s="581">
        <v>16.600000000000001</v>
      </c>
    </row>
    <row r="250" spans="1:18">
      <c r="A250" s="197"/>
      <c r="B250" s="414"/>
      <c r="D250" s="416" t="s">
        <v>1336</v>
      </c>
      <c r="E250" s="417"/>
      <c r="F250" s="598">
        <v>-6</v>
      </c>
      <c r="H250" s="599">
        <v>4.34</v>
      </c>
      <c r="I250" s="587"/>
      <c r="J250" s="587">
        <v>4.09</v>
      </c>
      <c r="K250" s="587"/>
      <c r="L250" s="587">
        <v>0.28999999999999998</v>
      </c>
      <c r="M250" s="587"/>
      <c r="N250" s="587">
        <v>-0.04</v>
      </c>
      <c r="P250" s="600" t="s">
        <v>348</v>
      </c>
      <c r="R250" s="581">
        <v>14.8</v>
      </c>
    </row>
    <row r="251" spans="1:18">
      <c r="A251" s="197"/>
      <c r="B251" s="414"/>
      <c r="D251" s="416" t="s">
        <v>334</v>
      </c>
      <c r="E251" s="417"/>
      <c r="F251" s="598">
        <v>-6</v>
      </c>
      <c r="H251" s="599">
        <v>4.3500000000000005</v>
      </c>
      <c r="I251" s="587"/>
      <c r="J251" s="587">
        <v>4.1000000000000005</v>
      </c>
      <c r="K251" s="587"/>
      <c r="L251" s="587">
        <v>0.28999999999999998</v>
      </c>
      <c r="M251" s="587"/>
      <c r="N251" s="587">
        <v>-0.04</v>
      </c>
      <c r="P251" s="600" t="s">
        <v>348</v>
      </c>
      <c r="R251" s="581">
        <v>14.8</v>
      </c>
    </row>
    <row r="252" spans="1:18">
      <c r="A252" s="197"/>
      <c r="B252" s="414"/>
      <c r="D252" s="416" t="s">
        <v>335</v>
      </c>
      <c r="E252" s="417"/>
      <c r="F252" s="598">
        <v>-6</v>
      </c>
      <c r="H252" s="599">
        <v>4.37</v>
      </c>
      <c r="I252" s="587"/>
      <c r="J252" s="587">
        <v>4.12</v>
      </c>
      <c r="K252" s="587"/>
      <c r="L252" s="587">
        <v>0.28999999999999998</v>
      </c>
      <c r="M252" s="587"/>
      <c r="N252" s="587">
        <v>-0.04</v>
      </c>
      <c r="P252" s="600" t="s">
        <v>348</v>
      </c>
      <c r="R252" s="581">
        <v>16.600000000000001</v>
      </c>
    </row>
    <row r="253" spans="1:18">
      <c r="A253" s="197"/>
      <c r="B253" s="414"/>
      <c r="D253" s="416" t="s">
        <v>336</v>
      </c>
      <c r="E253" s="417"/>
      <c r="F253" s="598">
        <v>-6</v>
      </c>
      <c r="H253" s="599">
        <v>4.42</v>
      </c>
      <c r="I253" s="587"/>
      <c r="J253" s="587">
        <v>4.17</v>
      </c>
      <c r="K253" s="587"/>
      <c r="L253" s="587">
        <v>0.28999999999999998</v>
      </c>
      <c r="M253" s="587"/>
      <c r="N253" s="587">
        <v>-0.04</v>
      </c>
      <c r="P253" s="600" t="s">
        <v>348</v>
      </c>
      <c r="R253" s="581">
        <v>16.600000000000001</v>
      </c>
    </row>
    <row r="254" spans="1:18">
      <c r="A254" s="197"/>
      <c r="B254" s="414"/>
      <c r="D254" s="416" t="s">
        <v>337</v>
      </c>
      <c r="E254" s="417"/>
      <c r="F254" s="598">
        <v>-6</v>
      </c>
      <c r="H254" s="599">
        <v>4.34</v>
      </c>
      <c r="I254" s="587"/>
      <c r="J254" s="587">
        <v>4.09</v>
      </c>
      <c r="K254" s="587"/>
      <c r="L254" s="587">
        <v>0.28999999999999998</v>
      </c>
      <c r="M254" s="587"/>
      <c r="N254" s="587">
        <v>-0.04</v>
      </c>
      <c r="P254" s="600" t="s">
        <v>348</v>
      </c>
      <c r="R254" s="581">
        <v>16.5</v>
      </c>
    </row>
    <row r="255" spans="1:18">
      <c r="A255" s="197"/>
      <c r="B255" s="414"/>
      <c r="E255" s="417"/>
      <c r="F255" s="598"/>
      <c r="H255" s="597"/>
      <c r="I255" s="587"/>
      <c r="J255" s="587"/>
      <c r="K255" s="587"/>
      <c r="L255" s="587"/>
      <c r="M255" s="587"/>
      <c r="N255" s="587"/>
      <c r="P255" s="600"/>
    </row>
    <row r="256" spans="1:18">
      <c r="A256" s="197">
        <v>343</v>
      </c>
      <c r="B256" s="414"/>
      <c r="D256" s="419" t="s">
        <v>344</v>
      </c>
      <c r="E256" s="417"/>
      <c r="F256" s="601" t="s">
        <v>1688</v>
      </c>
      <c r="H256" s="599">
        <v>4.7073962091322352</v>
      </c>
      <c r="I256" s="587"/>
      <c r="J256" s="587"/>
      <c r="K256" s="587"/>
      <c r="L256" s="587"/>
      <c r="M256" s="587"/>
      <c r="N256" s="587"/>
      <c r="P256" s="600" t="str">
        <f>P254</f>
        <v>35-R2</v>
      </c>
      <c r="R256" s="581">
        <v>15.9</v>
      </c>
    </row>
    <row r="257" spans="1:18">
      <c r="A257" s="197"/>
      <c r="B257" s="414"/>
      <c r="E257" s="417"/>
      <c r="F257" s="598"/>
      <c r="H257" s="597"/>
      <c r="I257" s="587"/>
      <c r="J257" s="587"/>
      <c r="K257" s="587"/>
      <c r="L257" s="587"/>
      <c r="M257" s="587"/>
      <c r="N257" s="587"/>
      <c r="P257" s="600"/>
    </row>
    <row r="258" spans="1:18">
      <c r="A258" s="197"/>
      <c r="B258" s="414">
        <v>344</v>
      </c>
      <c r="D258" s="401" t="s">
        <v>1341</v>
      </c>
      <c r="H258" s="587"/>
      <c r="I258" s="587"/>
      <c r="J258" s="587"/>
      <c r="K258" s="587"/>
      <c r="L258" s="587"/>
      <c r="M258" s="587"/>
      <c r="N258" s="587"/>
    </row>
    <row r="259" spans="1:18">
      <c r="A259" s="197"/>
      <c r="B259" s="414"/>
      <c r="D259" s="416" t="s">
        <v>1335</v>
      </c>
      <c r="E259" s="417"/>
      <c r="F259" s="598">
        <v>-4</v>
      </c>
      <c r="H259" s="599">
        <v>4.05</v>
      </c>
      <c r="I259" s="587"/>
      <c r="J259" s="587">
        <v>3.71</v>
      </c>
      <c r="K259" s="587"/>
      <c r="L259" s="587">
        <v>0.41000000000000003</v>
      </c>
      <c r="M259" s="587"/>
      <c r="N259" s="587">
        <v>-6.9999999999999993E-2</v>
      </c>
      <c r="P259" s="600" t="s">
        <v>1342</v>
      </c>
      <c r="R259" s="581">
        <v>15.4</v>
      </c>
    </row>
    <row r="260" spans="1:18">
      <c r="A260" s="197"/>
      <c r="B260" s="414"/>
      <c r="D260" s="416" t="s">
        <v>339</v>
      </c>
      <c r="E260" s="417"/>
      <c r="F260" s="598">
        <v>-7</v>
      </c>
      <c r="H260" s="599">
        <v>4.32</v>
      </c>
      <c r="I260" s="587"/>
      <c r="J260" s="587">
        <v>3.9600000000000004</v>
      </c>
      <c r="K260" s="587"/>
      <c r="L260" s="587">
        <v>0.44</v>
      </c>
      <c r="M260" s="587"/>
      <c r="N260" s="587">
        <v>-0.08</v>
      </c>
      <c r="P260" s="600" t="s">
        <v>1342</v>
      </c>
      <c r="R260" s="581">
        <v>13.5</v>
      </c>
    </row>
    <row r="261" spans="1:18">
      <c r="A261" s="197"/>
      <c r="B261" s="414"/>
      <c r="D261" s="416" t="s">
        <v>340</v>
      </c>
      <c r="E261" s="417"/>
      <c r="F261" s="598">
        <v>-5</v>
      </c>
      <c r="H261" s="599">
        <v>4.38</v>
      </c>
      <c r="I261" s="587"/>
      <c r="J261" s="587">
        <v>4.0199999999999996</v>
      </c>
      <c r="K261" s="587"/>
      <c r="L261" s="587">
        <v>0.44</v>
      </c>
      <c r="M261" s="587"/>
      <c r="N261" s="587">
        <v>-0.08</v>
      </c>
      <c r="P261" s="600" t="s">
        <v>1342</v>
      </c>
      <c r="R261" s="581">
        <v>13.5</v>
      </c>
    </row>
    <row r="262" spans="1:18">
      <c r="A262" s="197"/>
      <c r="B262" s="414"/>
      <c r="D262" s="416" t="s">
        <v>1880</v>
      </c>
      <c r="E262" s="417"/>
      <c r="F262" s="598">
        <v>-9</v>
      </c>
      <c r="H262" s="599">
        <v>4.6100000000000003</v>
      </c>
      <c r="I262" s="587"/>
      <c r="J262" s="587">
        <v>4.3900000000000006</v>
      </c>
      <c r="K262" s="587"/>
      <c r="L262" s="587">
        <v>0.26</v>
      </c>
      <c r="M262" s="587"/>
      <c r="N262" s="587">
        <v>-0.04</v>
      </c>
      <c r="P262" s="600" t="s">
        <v>1883</v>
      </c>
      <c r="R262" s="581">
        <v>30</v>
      </c>
    </row>
    <row r="263" spans="1:18">
      <c r="A263" s="197"/>
      <c r="B263" s="414"/>
      <c r="D263" s="416" t="s">
        <v>1643</v>
      </c>
      <c r="E263" s="417"/>
      <c r="F263" s="598">
        <v>-9</v>
      </c>
      <c r="H263" s="599">
        <v>2.7</v>
      </c>
      <c r="I263" s="587"/>
      <c r="J263" s="587">
        <v>2.52</v>
      </c>
      <c r="K263" s="587"/>
      <c r="L263" s="587">
        <v>0.22999999999999998</v>
      </c>
      <c r="M263" s="587"/>
      <c r="N263" s="587">
        <v>-0.05</v>
      </c>
      <c r="P263" s="600" t="s">
        <v>1342</v>
      </c>
      <c r="R263" s="581">
        <v>39</v>
      </c>
    </row>
    <row r="264" spans="1:18">
      <c r="A264" s="197"/>
      <c r="B264" s="414"/>
      <c r="D264" s="416" t="s">
        <v>1330</v>
      </c>
      <c r="E264" s="417"/>
      <c r="F264" s="598">
        <v>-9</v>
      </c>
      <c r="H264" s="599">
        <v>5.6800000000000006</v>
      </c>
      <c r="I264" s="587"/>
      <c r="J264" s="587">
        <v>5.46</v>
      </c>
      <c r="K264" s="587"/>
      <c r="L264" s="587">
        <v>0.33</v>
      </c>
      <c r="M264" s="587"/>
      <c r="N264" s="587">
        <v>-0.11</v>
      </c>
      <c r="P264" s="600" t="s">
        <v>1342</v>
      </c>
      <c r="R264" s="581">
        <v>2.5</v>
      </c>
    </row>
    <row r="265" spans="1:18">
      <c r="A265" s="197"/>
      <c r="B265" s="414"/>
      <c r="D265" s="416" t="s">
        <v>1338</v>
      </c>
      <c r="E265" s="417"/>
      <c r="F265" s="598">
        <v>-9</v>
      </c>
      <c r="H265" s="599">
        <v>0</v>
      </c>
      <c r="I265" s="587"/>
      <c r="J265" s="587">
        <v>0</v>
      </c>
      <c r="K265" s="587"/>
      <c r="L265" s="587">
        <v>0</v>
      </c>
      <c r="M265" s="587"/>
      <c r="N265" s="587">
        <v>0</v>
      </c>
      <c r="P265" s="600" t="s">
        <v>1342</v>
      </c>
      <c r="R265" s="581" t="s">
        <v>1288</v>
      </c>
    </row>
    <row r="266" spans="1:18">
      <c r="A266" s="197"/>
      <c r="B266" s="414"/>
      <c r="D266" s="416" t="s">
        <v>1333</v>
      </c>
      <c r="E266" s="417"/>
      <c r="F266" s="598"/>
      <c r="H266" s="599">
        <v>0</v>
      </c>
      <c r="I266" s="587"/>
      <c r="J266" s="587">
        <v>0</v>
      </c>
      <c r="K266" s="587"/>
      <c r="L266" s="587">
        <v>0</v>
      </c>
      <c r="M266" s="587"/>
      <c r="N266" s="587">
        <v>0</v>
      </c>
      <c r="P266" s="600" t="s">
        <v>1342</v>
      </c>
      <c r="R266" s="581" t="s">
        <v>1288</v>
      </c>
    </row>
    <row r="267" spans="1:18">
      <c r="A267" s="197"/>
      <c r="B267" s="414"/>
      <c r="D267" s="416" t="s">
        <v>1334</v>
      </c>
      <c r="E267" s="417"/>
      <c r="F267" s="598">
        <v>-9</v>
      </c>
      <c r="H267" s="599">
        <v>4.3600000000000003</v>
      </c>
      <c r="I267" s="587"/>
      <c r="J267" s="587">
        <v>4</v>
      </c>
      <c r="K267" s="587"/>
      <c r="L267" s="587">
        <v>0.44</v>
      </c>
      <c r="M267" s="587"/>
      <c r="N267" s="587">
        <v>-0.08</v>
      </c>
      <c r="P267" s="600" t="s">
        <v>1342</v>
      </c>
      <c r="R267" s="581">
        <v>15.4</v>
      </c>
    </row>
    <row r="268" spans="1:18">
      <c r="A268" s="197"/>
      <c r="B268" s="414"/>
      <c r="D268" s="416" t="s">
        <v>338</v>
      </c>
      <c r="E268" s="417"/>
      <c r="F268" s="598">
        <v>-9</v>
      </c>
      <c r="H268" s="599">
        <v>3.66</v>
      </c>
      <c r="I268" s="587"/>
      <c r="J268" s="587">
        <v>3.45</v>
      </c>
      <c r="K268" s="587"/>
      <c r="L268" s="587">
        <v>0.27999999999999997</v>
      </c>
      <c r="M268" s="587"/>
      <c r="N268" s="587">
        <v>-6.9999999999999993E-2</v>
      </c>
      <c r="P268" s="600" t="s">
        <v>1342</v>
      </c>
      <c r="R268" s="581">
        <v>18.399999999999999</v>
      </c>
    </row>
    <row r="269" spans="1:18">
      <c r="A269" s="401"/>
      <c r="B269" s="414"/>
      <c r="D269" s="416" t="s">
        <v>1336</v>
      </c>
      <c r="E269" s="417"/>
      <c r="F269" s="598">
        <v>-6</v>
      </c>
      <c r="H269" s="599">
        <v>3.73</v>
      </c>
      <c r="I269" s="587"/>
      <c r="J269" s="587">
        <v>3.52</v>
      </c>
      <c r="K269" s="587"/>
      <c r="L269" s="587">
        <v>0.27999999999999997</v>
      </c>
      <c r="M269" s="587"/>
      <c r="N269" s="587">
        <v>-6.9999999999999993E-2</v>
      </c>
      <c r="P269" s="600" t="s">
        <v>1342</v>
      </c>
      <c r="R269" s="581">
        <v>16.399999999999999</v>
      </c>
    </row>
    <row r="270" spans="1:18">
      <c r="A270" s="197"/>
      <c r="B270" s="414"/>
      <c r="D270" s="416" t="s">
        <v>334</v>
      </c>
      <c r="E270" s="417"/>
      <c r="F270" s="598">
        <v>-6</v>
      </c>
      <c r="H270" s="599">
        <v>3.73</v>
      </c>
      <c r="I270" s="587"/>
      <c r="J270" s="587">
        <v>3.52</v>
      </c>
      <c r="K270" s="587"/>
      <c r="L270" s="587">
        <v>0.27999999999999997</v>
      </c>
      <c r="M270" s="587"/>
      <c r="N270" s="587">
        <v>-6.9999999999999993E-2</v>
      </c>
      <c r="P270" s="600" t="s">
        <v>1342</v>
      </c>
      <c r="R270" s="581">
        <v>16.399999999999999</v>
      </c>
    </row>
    <row r="271" spans="1:18">
      <c r="A271" s="197"/>
      <c r="B271" s="414"/>
      <c r="D271" s="416" t="s">
        <v>335</v>
      </c>
      <c r="E271" s="417"/>
      <c r="F271" s="598">
        <v>-6</v>
      </c>
      <c r="H271" s="599">
        <v>3.6399999999999997</v>
      </c>
      <c r="I271" s="587"/>
      <c r="J271" s="587">
        <v>3.4299999999999997</v>
      </c>
      <c r="K271" s="587"/>
      <c r="L271" s="587">
        <v>0.27999999999999997</v>
      </c>
      <c r="M271" s="587"/>
      <c r="N271" s="587">
        <v>-6.9999999999999993E-2</v>
      </c>
      <c r="P271" s="600" t="s">
        <v>1342</v>
      </c>
      <c r="R271" s="581">
        <v>18.399999999999999</v>
      </c>
    </row>
    <row r="272" spans="1:18">
      <c r="A272" s="197"/>
      <c r="B272" s="414"/>
      <c r="D272" s="416" t="s">
        <v>336</v>
      </c>
      <c r="E272" s="417"/>
      <c r="F272" s="598">
        <v>-6</v>
      </c>
      <c r="H272" s="599">
        <v>3.6399999999999997</v>
      </c>
      <c r="I272" s="587"/>
      <c r="J272" s="587">
        <v>3.4299999999999997</v>
      </c>
      <c r="K272" s="587"/>
      <c r="L272" s="587">
        <v>0.27999999999999997</v>
      </c>
      <c r="M272" s="587"/>
      <c r="N272" s="587">
        <v>-6.9999999999999993E-2</v>
      </c>
      <c r="P272" s="600" t="s">
        <v>1342</v>
      </c>
      <c r="R272" s="581">
        <v>18.399999999999999</v>
      </c>
    </row>
    <row r="273" spans="1:18">
      <c r="A273" s="197"/>
      <c r="B273" s="414"/>
      <c r="D273" s="416" t="s">
        <v>337</v>
      </c>
      <c r="E273" s="417"/>
      <c r="F273" s="598">
        <v>-6</v>
      </c>
      <c r="H273" s="599">
        <v>3.66</v>
      </c>
      <c r="I273" s="587"/>
      <c r="J273" s="587">
        <v>3.45</v>
      </c>
      <c r="K273" s="587"/>
      <c r="L273" s="587">
        <v>0.27999999999999997</v>
      </c>
      <c r="M273" s="587"/>
      <c r="N273" s="587">
        <v>-6.9999999999999993E-2</v>
      </c>
      <c r="P273" s="600" t="s">
        <v>1342</v>
      </c>
      <c r="R273" s="581">
        <v>18.399999999999999</v>
      </c>
    </row>
    <row r="274" spans="1:18">
      <c r="A274" s="197"/>
      <c r="B274" s="414"/>
      <c r="D274" s="416" t="s">
        <v>1332</v>
      </c>
      <c r="E274" s="417"/>
      <c r="F274" s="598">
        <v>-6</v>
      </c>
      <c r="H274" s="599">
        <v>0</v>
      </c>
      <c r="I274" s="587"/>
      <c r="J274" s="587">
        <v>0</v>
      </c>
      <c r="K274" s="587"/>
      <c r="L274" s="587">
        <v>0</v>
      </c>
      <c r="M274" s="587"/>
      <c r="N274" s="587">
        <v>0</v>
      </c>
      <c r="P274" s="600" t="s">
        <v>1342</v>
      </c>
      <c r="R274" s="581">
        <v>0</v>
      </c>
    </row>
    <row r="275" spans="1:18">
      <c r="A275" s="197"/>
      <c r="B275" s="414"/>
      <c r="E275" s="417"/>
      <c r="F275" s="598"/>
      <c r="H275" s="597"/>
      <c r="I275" s="587"/>
      <c r="J275" s="587"/>
      <c r="K275" s="587"/>
      <c r="L275" s="587"/>
      <c r="M275" s="587"/>
      <c r="N275" s="587"/>
      <c r="P275" s="600"/>
    </row>
    <row r="276" spans="1:18">
      <c r="A276" s="197">
        <v>344</v>
      </c>
      <c r="B276" s="414"/>
      <c r="D276" s="419" t="s">
        <v>345</v>
      </c>
      <c r="E276" s="417"/>
      <c r="F276" s="601" t="s">
        <v>1687</v>
      </c>
      <c r="H276" s="599">
        <v>3.0642465844264475</v>
      </c>
      <c r="I276" s="587"/>
      <c r="J276" s="587"/>
      <c r="K276" s="587"/>
      <c r="L276" s="587"/>
      <c r="M276" s="587"/>
      <c r="N276" s="587"/>
      <c r="P276" s="600" t="str">
        <f>P274</f>
        <v>60-S3</v>
      </c>
      <c r="R276" s="581">
        <v>24.6</v>
      </c>
    </row>
    <row r="277" spans="1:18">
      <c r="A277" s="197"/>
      <c r="B277" s="414"/>
      <c r="E277" s="417"/>
      <c r="F277" s="598"/>
      <c r="H277" s="597"/>
      <c r="I277" s="587"/>
      <c r="J277" s="587"/>
      <c r="K277" s="587"/>
      <c r="L277" s="587"/>
      <c r="M277" s="587"/>
      <c r="N277" s="587"/>
      <c r="P277" s="600"/>
    </row>
    <row r="278" spans="1:18">
      <c r="A278" s="197"/>
      <c r="B278" s="414">
        <v>345</v>
      </c>
      <c r="D278" s="401" t="s">
        <v>346</v>
      </c>
      <c r="H278" s="587"/>
      <c r="I278" s="587"/>
      <c r="J278" s="587"/>
      <c r="K278" s="587"/>
      <c r="L278" s="587"/>
      <c r="M278" s="587"/>
      <c r="N278" s="587"/>
    </row>
    <row r="279" spans="1:18">
      <c r="A279" s="197"/>
      <c r="B279" s="414"/>
      <c r="D279" s="416" t="s">
        <v>1335</v>
      </c>
      <c r="E279" s="417"/>
      <c r="F279" s="598">
        <v>-4</v>
      </c>
      <c r="H279" s="599">
        <v>4.0199999999999996</v>
      </c>
      <c r="I279" s="587"/>
      <c r="J279" s="587">
        <v>3.6900000000000004</v>
      </c>
      <c r="K279" s="587"/>
      <c r="L279" s="587">
        <v>0.33</v>
      </c>
      <c r="M279" s="587"/>
      <c r="N279" s="587">
        <v>0</v>
      </c>
      <c r="P279" s="600" t="s">
        <v>1645</v>
      </c>
      <c r="R279" s="581">
        <v>14.9</v>
      </c>
    </row>
    <row r="280" spans="1:18">
      <c r="A280" s="197"/>
      <c r="B280" s="414"/>
      <c r="D280" s="416" t="s">
        <v>339</v>
      </c>
      <c r="E280" s="417"/>
      <c r="F280" s="598">
        <v>-7</v>
      </c>
      <c r="H280" s="599">
        <v>4.4799999999999995</v>
      </c>
      <c r="I280" s="587"/>
      <c r="J280" s="587">
        <v>4.1099999999999994</v>
      </c>
      <c r="K280" s="587"/>
      <c r="L280" s="587">
        <v>0.37</v>
      </c>
      <c r="M280" s="587"/>
      <c r="N280" s="587">
        <v>0</v>
      </c>
      <c r="P280" s="600" t="s">
        <v>1645</v>
      </c>
      <c r="R280" s="581">
        <v>13.1</v>
      </c>
    </row>
    <row r="281" spans="1:18">
      <c r="A281" s="197"/>
      <c r="B281" s="414"/>
      <c r="D281" s="416" t="s">
        <v>340</v>
      </c>
      <c r="E281" s="417"/>
      <c r="F281" s="598">
        <v>-5</v>
      </c>
      <c r="H281" s="599">
        <v>4.51</v>
      </c>
      <c r="I281" s="587"/>
      <c r="J281" s="587">
        <v>4.1399999999999997</v>
      </c>
      <c r="K281" s="587"/>
      <c r="L281" s="587">
        <v>0.37</v>
      </c>
      <c r="M281" s="587"/>
      <c r="N281" s="587">
        <v>0</v>
      </c>
      <c r="P281" s="600" t="s">
        <v>1645</v>
      </c>
      <c r="R281" s="581">
        <v>13</v>
      </c>
    </row>
    <row r="282" spans="1:18">
      <c r="A282" s="197"/>
      <c r="B282" s="414"/>
      <c r="D282" s="416" t="s">
        <v>1880</v>
      </c>
      <c r="E282" s="417"/>
      <c r="F282" s="598">
        <v>-9</v>
      </c>
      <c r="H282" s="599">
        <v>4.3600000000000003</v>
      </c>
      <c r="I282" s="587"/>
      <c r="J282" s="587">
        <v>4.1500000000000004</v>
      </c>
      <c r="K282" s="587"/>
      <c r="L282" s="587">
        <v>0.21</v>
      </c>
      <c r="M282" s="587"/>
      <c r="N282" s="587">
        <v>0</v>
      </c>
      <c r="P282" s="600" t="s">
        <v>342</v>
      </c>
      <c r="R282" s="581">
        <v>45</v>
      </c>
    </row>
    <row r="283" spans="1:18">
      <c r="A283" s="197"/>
      <c r="B283" s="414"/>
      <c r="D283" s="416" t="s">
        <v>1643</v>
      </c>
      <c r="E283" s="417"/>
      <c r="F283" s="598">
        <v>-9</v>
      </c>
      <c r="H283" s="599">
        <v>2.88</v>
      </c>
      <c r="I283" s="587"/>
      <c r="J283" s="587">
        <v>2.69</v>
      </c>
      <c r="K283" s="587"/>
      <c r="L283" s="587">
        <v>0.19</v>
      </c>
      <c r="M283" s="587"/>
      <c r="N283" s="587">
        <v>0</v>
      </c>
      <c r="P283" s="600" t="s">
        <v>1645</v>
      </c>
      <c r="R283" s="581">
        <v>36.5</v>
      </c>
    </row>
    <row r="284" spans="1:18">
      <c r="A284" s="197"/>
      <c r="B284" s="414"/>
      <c r="D284" s="416" t="s">
        <v>1330</v>
      </c>
      <c r="E284" s="417"/>
      <c r="F284" s="598">
        <v>-9</v>
      </c>
      <c r="H284" s="599">
        <v>5.37</v>
      </c>
      <c r="I284" s="587"/>
      <c r="J284" s="587">
        <v>5.16</v>
      </c>
      <c r="K284" s="587"/>
      <c r="L284" s="587">
        <v>0.21</v>
      </c>
      <c r="M284" s="587"/>
      <c r="N284" s="587">
        <v>0</v>
      </c>
      <c r="P284" s="600" t="s">
        <v>1645</v>
      </c>
      <c r="R284" s="581">
        <v>2.5</v>
      </c>
    </row>
    <row r="285" spans="1:18">
      <c r="A285" s="197"/>
      <c r="B285" s="414"/>
      <c r="D285" s="416" t="s">
        <v>1338</v>
      </c>
      <c r="E285" s="417"/>
      <c r="F285" s="598">
        <v>-9</v>
      </c>
      <c r="H285" s="599">
        <v>38.28</v>
      </c>
      <c r="I285" s="587"/>
      <c r="J285" s="587">
        <v>35.120000000000005</v>
      </c>
      <c r="K285" s="587"/>
      <c r="L285" s="587">
        <v>3.16</v>
      </c>
      <c r="M285" s="587"/>
      <c r="N285" s="587">
        <v>0</v>
      </c>
      <c r="P285" s="600" t="s">
        <v>1645</v>
      </c>
      <c r="R285" s="581">
        <v>2.5</v>
      </c>
    </row>
    <row r="286" spans="1:18">
      <c r="A286" s="197"/>
      <c r="B286" s="414"/>
      <c r="D286" s="416" t="s">
        <v>1333</v>
      </c>
      <c r="E286" s="417"/>
      <c r="F286" s="598"/>
      <c r="H286" s="599">
        <v>18.329999999999998</v>
      </c>
      <c r="I286" s="587"/>
      <c r="J286" s="587">
        <v>16.82</v>
      </c>
      <c r="K286" s="587"/>
      <c r="L286" s="587">
        <v>1.51</v>
      </c>
      <c r="M286" s="587"/>
      <c r="N286" s="587">
        <v>0</v>
      </c>
      <c r="P286" s="600" t="s">
        <v>1645</v>
      </c>
      <c r="R286" s="581">
        <v>2.5</v>
      </c>
    </row>
    <row r="287" spans="1:18">
      <c r="A287" s="197"/>
      <c r="B287" s="414"/>
      <c r="D287" s="416" t="s">
        <v>1334</v>
      </c>
      <c r="E287" s="417"/>
      <c r="F287" s="598">
        <v>-9</v>
      </c>
      <c r="H287" s="599">
        <v>4.1000000000000005</v>
      </c>
      <c r="I287" s="587"/>
      <c r="J287" s="587">
        <v>3.7600000000000002</v>
      </c>
      <c r="K287" s="587"/>
      <c r="L287" s="587">
        <v>0.33999999999999997</v>
      </c>
      <c r="M287" s="587"/>
      <c r="N287" s="587">
        <v>0</v>
      </c>
      <c r="P287" s="600" t="s">
        <v>1645</v>
      </c>
      <c r="R287" s="581">
        <v>14.9</v>
      </c>
    </row>
    <row r="288" spans="1:18">
      <c r="A288" s="401"/>
      <c r="B288" s="414"/>
      <c r="D288" s="416" t="s">
        <v>338</v>
      </c>
      <c r="E288" s="417"/>
      <c r="F288" s="598">
        <v>-9</v>
      </c>
      <c r="H288" s="599">
        <v>3.88</v>
      </c>
      <c r="I288" s="587"/>
      <c r="J288" s="587">
        <v>3.66</v>
      </c>
      <c r="K288" s="587"/>
      <c r="L288" s="587">
        <v>0.22</v>
      </c>
      <c r="M288" s="587"/>
      <c r="N288" s="587">
        <v>0</v>
      </c>
      <c r="P288" s="600" t="s">
        <v>1645</v>
      </c>
      <c r="R288" s="581">
        <v>17.899999999999999</v>
      </c>
    </row>
    <row r="289" spans="1:18">
      <c r="A289" s="197"/>
      <c r="B289" s="414"/>
      <c r="D289" s="416" t="s">
        <v>1336</v>
      </c>
      <c r="E289" s="417"/>
      <c r="F289" s="598">
        <v>-6</v>
      </c>
      <c r="H289" s="599">
        <v>4.26</v>
      </c>
      <c r="I289" s="587"/>
      <c r="J289" s="587">
        <v>4.0199999999999996</v>
      </c>
      <c r="K289" s="587"/>
      <c r="L289" s="587">
        <v>0.24</v>
      </c>
      <c r="M289" s="587"/>
      <c r="N289" s="587">
        <v>0</v>
      </c>
      <c r="P289" s="600" t="s">
        <v>1645</v>
      </c>
      <c r="R289" s="581">
        <v>16</v>
      </c>
    </row>
    <row r="290" spans="1:18">
      <c r="A290" s="197"/>
      <c r="B290" s="414"/>
      <c r="D290" s="416" t="s">
        <v>334</v>
      </c>
      <c r="E290" s="417"/>
      <c r="F290" s="598">
        <v>-6</v>
      </c>
      <c r="H290" s="599">
        <v>3.9800000000000004</v>
      </c>
      <c r="I290" s="587"/>
      <c r="J290" s="587">
        <v>3.75</v>
      </c>
      <c r="K290" s="587"/>
      <c r="L290" s="587">
        <v>0.22999999999999998</v>
      </c>
      <c r="M290" s="587"/>
      <c r="N290" s="587">
        <v>0</v>
      </c>
      <c r="P290" s="600" t="s">
        <v>1645</v>
      </c>
      <c r="R290" s="581">
        <v>15.9</v>
      </c>
    </row>
    <row r="291" spans="1:18">
      <c r="A291" s="197"/>
      <c r="B291" s="414"/>
      <c r="D291" s="416" t="s">
        <v>335</v>
      </c>
      <c r="E291" s="417"/>
      <c r="F291" s="598">
        <v>-6</v>
      </c>
      <c r="H291" s="599">
        <v>4.0599999999999996</v>
      </c>
      <c r="I291" s="587"/>
      <c r="J291" s="587">
        <v>3.83</v>
      </c>
      <c r="K291" s="587"/>
      <c r="L291" s="587">
        <v>0.22999999999999998</v>
      </c>
      <c r="M291" s="587"/>
      <c r="N291" s="587">
        <v>0</v>
      </c>
      <c r="P291" s="600" t="s">
        <v>1645</v>
      </c>
      <c r="R291" s="581">
        <v>18</v>
      </c>
    </row>
    <row r="292" spans="1:18">
      <c r="A292" s="197"/>
      <c r="B292" s="414"/>
      <c r="D292" s="416" t="s">
        <v>336</v>
      </c>
      <c r="E292" s="417"/>
      <c r="F292" s="598">
        <v>-6</v>
      </c>
      <c r="H292" s="599">
        <v>3.6799999999999997</v>
      </c>
      <c r="I292" s="587"/>
      <c r="J292" s="587">
        <v>3.47</v>
      </c>
      <c r="K292" s="587"/>
      <c r="L292" s="587">
        <v>0.21</v>
      </c>
      <c r="M292" s="587"/>
      <c r="N292" s="587">
        <v>0</v>
      </c>
      <c r="P292" s="600" t="s">
        <v>1645</v>
      </c>
      <c r="R292" s="581">
        <v>17.8</v>
      </c>
    </row>
    <row r="293" spans="1:18">
      <c r="A293" s="197"/>
      <c r="B293" s="414"/>
      <c r="D293" s="416" t="s">
        <v>337</v>
      </c>
      <c r="E293" s="417"/>
      <c r="F293" s="598">
        <v>-6</v>
      </c>
      <c r="H293" s="599">
        <v>3.8699999999999997</v>
      </c>
      <c r="I293" s="587"/>
      <c r="J293" s="587">
        <v>3.65</v>
      </c>
      <c r="K293" s="587"/>
      <c r="L293" s="587">
        <v>0.22</v>
      </c>
      <c r="M293" s="587"/>
      <c r="N293" s="587">
        <v>0</v>
      </c>
      <c r="P293" s="600" t="s">
        <v>1645</v>
      </c>
      <c r="R293" s="581">
        <v>17.899999999999999</v>
      </c>
    </row>
    <row r="294" spans="1:18">
      <c r="A294" s="197"/>
      <c r="B294" s="414"/>
      <c r="D294" s="416" t="s">
        <v>1332</v>
      </c>
      <c r="E294" s="417"/>
      <c r="F294" s="598">
        <v>-6</v>
      </c>
      <c r="H294" s="599">
        <v>14.600000000000001</v>
      </c>
      <c r="I294" s="587"/>
      <c r="J294" s="587">
        <v>13.900000000000002</v>
      </c>
      <c r="K294" s="587"/>
      <c r="L294" s="587">
        <v>0.70000000000000007</v>
      </c>
      <c r="M294" s="587"/>
      <c r="N294" s="587">
        <v>0</v>
      </c>
      <c r="P294" s="600" t="s">
        <v>1645</v>
      </c>
      <c r="R294" s="581">
        <v>3.4</v>
      </c>
    </row>
    <row r="295" spans="1:18">
      <c r="A295" s="197"/>
      <c r="B295" s="414"/>
      <c r="E295" s="417"/>
      <c r="F295" s="598"/>
      <c r="H295" s="597"/>
      <c r="I295" s="587"/>
      <c r="J295" s="587"/>
      <c r="K295" s="587"/>
      <c r="L295" s="587"/>
      <c r="M295" s="587"/>
      <c r="N295" s="587"/>
      <c r="P295" s="600"/>
    </row>
    <row r="296" spans="1:18">
      <c r="A296" s="197">
        <v>345</v>
      </c>
      <c r="B296" s="414"/>
      <c r="D296" s="419" t="s">
        <v>347</v>
      </c>
      <c r="E296" s="417"/>
      <c r="F296" s="601" t="s">
        <v>1687</v>
      </c>
      <c r="H296" s="599">
        <v>4.8924262122443825</v>
      </c>
      <c r="I296" s="587"/>
      <c r="J296" s="587"/>
      <c r="K296" s="587"/>
      <c r="L296" s="587"/>
      <c r="M296" s="587"/>
      <c r="N296" s="587"/>
      <c r="P296" s="600" t="str">
        <f>P294</f>
        <v>45-S2.5</v>
      </c>
      <c r="R296" s="581">
        <v>15.4</v>
      </c>
    </row>
    <row r="297" spans="1:18">
      <c r="A297" s="197"/>
      <c r="B297" s="414"/>
      <c r="E297" s="417"/>
      <c r="F297" s="598"/>
      <c r="H297" s="597"/>
      <c r="I297" s="587"/>
      <c r="J297" s="587"/>
      <c r="K297" s="587"/>
      <c r="L297" s="587"/>
      <c r="M297" s="587"/>
      <c r="N297" s="587"/>
      <c r="P297" s="600"/>
    </row>
    <row r="298" spans="1:18">
      <c r="A298" s="197"/>
      <c r="B298" s="414">
        <v>346</v>
      </c>
      <c r="D298" s="401" t="s">
        <v>1646</v>
      </c>
      <c r="H298" s="587"/>
      <c r="I298" s="587"/>
      <c r="J298" s="587"/>
      <c r="K298" s="587"/>
      <c r="L298" s="587"/>
      <c r="M298" s="587"/>
      <c r="N298" s="587"/>
    </row>
    <row r="299" spans="1:18">
      <c r="A299" s="197"/>
      <c r="B299" s="414"/>
      <c r="D299" s="416" t="s">
        <v>1335</v>
      </c>
      <c r="E299" s="417"/>
      <c r="F299" s="598">
        <v>-7</v>
      </c>
      <c r="H299" s="599">
        <v>4.01</v>
      </c>
      <c r="I299" s="587"/>
      <c r="J299" s="587">
        <v>3.6799999999999997</v>
      </c>
      <c r="K299" s="587"/>
      <c r="L299" s="587">
        <v>0.33</v>
      </c>
      <c r="M299" s="587"/>
      <c r="N299" s="587">
        <v>0</v>
      </c>
      <c r="P299" s="600" t="s">
        <v>1647</v>
      </c>
      <c r="R299" s="581">
        <v>15.3</v>
      </c>
    </row>
    <row r="300" spans="1:18">
      <c r="A300" s="197"/>
      <c r="B300" s="414"/>
      <c r="D300" s="416" t="s">
        <v>339</v>
      </c>
      <c r="E300" s="417"/>
      <c r="F300" s="598">
        <v>-5</v>
      </c>
      <c r="H300" s="599">
        <v>4.3600000000000003</v>
      </c>
      <c r="I300" s="587"/>
      <c r="J300" s="587">
        <v>4</v>
      </c>
      <c r="K300" s="587"/>
      <c r="L300" s="587">
        <v>0.36</v>
      </c>
      <c r="M300" s="587"/>
      <c r="N300" s="587">
        <v>0</v>
      </c>
      <c r="P300" s="600" t="s">
        <v>1647</v>
      </c>
      <c r="R300" s="581">
        <v>13.4</v>
      </c>
    </row>
    <row r="301" spans="1:18">
      <c r="A301" s="197"/>
      <c r="B301" s="414"/>
      <c r="D301" s="416" t="s">
        <v>340</v>
      </c>
      <c r="E301" s="417"/>
      <c r="F301" s="598">
        <v>-9</v>
      </c>
      <c r="H301" s="599">
        <v>4.42</v>
      </c>
      <c r="I301" s="587"/>
      <c r="J301" s="587">
        <v>4.0599999999999996</v>
      </c>
      <c r="K301" s="587"/>
      <c r="L301" s="587">
        <v>0.36</v>
      </c>
      <c r="M301" s="587"/>
      <c r="N301" s="587">
        <v>0</v>
      </c>
      <c r="P301" s="600" t="s">
        <v>1647</v>
      </c>
      <c r="R301" s="581">
        <v>13.4</v>
      </c>
    </row>
    <row r="302" spans="1:18">
      <c r="A302" s="197"/>
      <c r="B302" s="414"/>
      <c r="D302" s="416" t="s">
        <v>1880</v>
      </c>
      <c r="E302" s="417"/>
      <c r="F302" s="598"/>
      <c r="H302" s="599">
        <v>4.25</v>
      </c>
      <c r="I302" s="587"/>
      <c r="J302" s="587">
        <v>4.25</v>
      </c>
      <c r="K302" s="587"/>
      <c r="L302" s="587">
        <v>0</v>
      </c>
      <c r="M302" s="587"/>
      <c r="N302" s="587">
        <v>0</v>
      </c>
      <c r="P302" s="600" t="s">
        <v>1884</v>
      </c>
      <c r="R302" s="581">
        <v>32</v>
      </c>
    </row>
    <row r="303" spans="1:18">
      <c r="A303" s="197"/>
      <c r="B303" s="414"/>
      <c r="D303" s="427" t="s">
        <v>1643</v>
      </c>
      <c r="E303" s="417"/>
      <c r="F303" s="598">
        <v>-9</v>
      </c>
      <c r="H303" s="599">
        <v>2.79</v>
      </c>
      <c r="I303" s="587"/>
      <c r="J303" s="587">
        <v>2.6100000000000003</v>
      </c>
      <c r="K303" s="587"/>
      <c r="L303" s="587">
        <v>0.18</v>
      </c>
      <c r="M303" s="587"/>
      <c r="N303" s="587">
        <v>0</v>
      </c>
      <c r="P303" s="600" t="s">
        <v>1647</v>
      </c>
      <c r="R303" s="581">
        <v>38.299999999999997</v>
      </c>
    </row>
    <row r="304" spans="1:18">
      <c r="A304" s="401"/>
      <c r="B304" s="414"/>
      <c r="D304" s="416" t="s">
        <v>1338</v>
      </c>
      <c r="E304" s="417"/>
      <c r="F304" s="598">
        <v>-9</v>
      </c>
      <c r="H304" s="599">
        <v>23.74</v>
      </c>
      <c r="I304" s="587"/>
      <c r="J304" s="587">
        <v>21.78</v>
      </c>
      <c r="K304" s="587"/>
      <c r="L304" s="587">
        <v>1.96</v>
      </c>
      <c r="M304" s="587"/>
      <c r="N304" s="587">
        <v>0</v>
      </c>
      <c r="P304" s="600" t="s">
        <v>1647</v>
      </c>
      <c r="R304" s="581">
        <v>2.5</v>
      </c>
    </row>
    <row r="305" spans="1:18">
      <c r="A305" s="401"/>
      <c r="B305" s="414"/>
      <c r="D305" s="416" t="s">
        <v>1334</v>
      </c>
      <c r="E305" s="417"/>
      <c r="F305" s="598">
        <v>-9</v>
      </c>
      <c r="H305" s="599">
        <v>4</v>
      </c>
      <c r="I305" s="587"/>
      <c r="J305" s="587">
        <v>3.6700000000000004</v>
      </c>
      <c r="K305" s="587"/>
      <c r="L305" s="587">
        <v>0.33</v>
      </c>
      <c r="M305" s="587"/>
      <c r="N305" s="587">
        <v>0</v>
      </c>
      <c r="P305" s="600" t="s">
        <v>1647</v>
      </c>
      <c r="R305" s="581">
        <v>15.3</v>
      </c>
    </row>
    <row r="306" spans="1:18">
      <c r="A306" s="401"/>
      <c r="B306" s="414"/>
      <c r="D306" s="416" t="s">
        <v>338</v>
      </c>
      <c r="E306" s="417"/>
      <c r="F306" s="598">
        <v>-9</v>
      </c>
      <c r="H306" s="599">
        <v>4.4000000000000004</v>
      </c>
      <c r="I306" s="587"/>
      <c r="J306" s="587">
        <v>4.1500000000000004</v>
      </c>
      <c r="K306" s="587"/>
      <c r="L306" s="587">
        <v>0.25</v>
      </c>
      <c r="M306" s="587"/>
      <c r="N306" s="587">
        <v>0</v>
      </c>
      <c r="P306" s="600" t="s">
        <v>1647</v>
      </c>
      <c r="R306" s="581">
        <v>18.399999999999999</v>
      </c>
    </row>
    <row r="307" spans="1:18">
      <c r="A307" s="401"/>
      <c r="B307" s="414"/>
      <c r="D307" s="416" t="s">
        <v>1336</v>
      </c>
      <c r="E307" s="417"/>
      <c r="F307" s="598">
        <v>-6</v>
      </c>
      <c r="H307" s="599">
        <v>3.94</v>
      </c>
      <c r="I307" s="587"/>
      <c r="J307" s="587">
        <v>3.7199999999999998</v>
      </c>
      <c r="K307" s="587"/>
      <c r="L307" s="587">
        <v>0.22</v>
      </c>
      <c r="M307" s="587"/>
      <c r="N307" s="587">
        <v>0</v>
      </c>
      <c r="P307" s="600" t="s">
        <v>1647</v>
      </c>
      <c r="R307" s="581">
        <v>16.399999999999999</v>
      </c>
    </row>
    <row r="308" spans="1:18">
      <c r="A308" s="401"/>
      <c r="B308" s="414"/>
      <c r="D308" s="416" t="s">
        <v>335</v>
      </c>
      <c r="E308" s="417"/>
      <c r="F308" s="598">
        <v>-6</v>
      </c>
      <c r="H308" s="599">
        <v>3.6899999999999995</v>
      </c>
      <c r="I308" s="587"/>
      <c r="J308" s="587">
        <v>3.4799999999999995</v>
      </c>
      <c r="K308" s="587"/>
      <c r="L308" s="587">
        <v>0.21</v>
      </c>
      <c r="M308" s="587"/>
      <c r="N308" s="587">
        <v>0</v>
      </c>
      <c r="P308" s="600" t="s">
        <v>1647</v>
      </c>
      <c r="R308" s="581">
        <v>18.3</v>
      </c>
    </row>
    <row r="309" spans="1:18">
      <c r="A309" s="401"/>
      <c r="B309" s="414"/>
      <c r="D309" s="416" t="s">
        <v>336</v>
      </c>
      <c r="E309" s="417"/>
      <c r="F309" s="598">
        <v>-6</v>
      </c>
      <c r="H309" s="599">
        <v>3.6899999999999995</v>
      </c>
      <c r="I309" s="587"/>
      <c r="J309" s="587">
        <v>3.4799999999999995</v>
      </c>
      <c r="K309" s="587"/>
      <c r="L309" s="587">
        <v>0.21</v>
      </c>
      <c r="M309" s="587"/>
      <c r="N309" s="587">
        <v>0</v>
      </c>
      <c r="P309" s="600" t="s">
        <v>1647</v>
      </c>
      <c r="R309" s="581">
        <v>18.3</v>
      </c>
    </row>
    <row r="310" spans="1:18">
      <c r="A310" s="401"/>
      <c r="B310" s="414"/>
      <c r="D310" s="416" t="s">
        <v>337</v>
      </c>
      <c r="E310" s="417"/>
      <c r="F310" s="598">
        <v>-6</v>
      </c>
      <c r="H310" s="599">
        <v>3.6999999999999997</v>
      </c>
      <c r="I310" s="587"/>
      <c r="J310" s="587">
        <v>3.49</v>
      </c>
      <c r="K310" s="587"/>
      <c r="L310" s="587">
        <v>0.21</v>
      </c>
      <c r="M310" s="587"/>
      <c r="N310" s="587">
        <v>0</v>
      </c>
      <c r="P310" s="600" t="s">
        <v>1647</v>
      </c>
      <c r="R310" s="581">
        <v>18.3</v>
      </c>
    </row>
    <row r="311" spans="1:18">
      <c r="A311" s="401"/>
      <c r="B311" s="414"/>
      <c r="D311" s="416" t="s">
        <v>1332</v>
      </c>
      <c r="E311" s="417"/>
      <c r="F311" s="598">
        <v>-6</v>
      </c>
      <c r="H311" s="599">
        <v>17.559999999999999</v>
      </c>
      <c r="I311" s="587"/>
      <c r="J311" s="587">
        <v>16.72</v>
      </c>
      <c r="K311" s="587"/>
      <c r="L311" s="587">
        <v>0.84</v>
      </c>
      <c r="M311" s="587"/>
      <c r="N311" s="587">
        <v>0</v>
      </c>
      <c r="P311" s="600" t="s">
        <v>1647</v>
      </c>
      <c r="R311" s="581">
        <v>3.5</v>
      </c>
    </row>
    <row r="312" spans="1:18">
      <c r="A312" s="401"/>
      <c r="B312" s="414"/>
      <c r="E312" s="417"/>
      <c r="F312" s="598"/>
      <c r="H312" s="597"/>
      <c r="I312" s="587"/>
      <c r="J312" s="587"/>
      <c r="K312" s="587"/>
      <c r="L312" s="587"/>
      <c r="M312" s="587"/>
      <c r="N312" s="587"/>
      <c r="P312" s="600"/>
    </row>
    <row r="313" spans="1:18">
      <c r="A313" s="197">
        <v>346</v>
      </c>
      <c r="B313" s="414"/>
      <c r="D313" s="419" t="s">
        <v>1648</v>
      </c>
      <c r="E313" s="417"/>
      <c r="F313" s="601" t="s">
        <v>1686</v>
      </c>
      <c r="H313" s="599">
        <v>4.09</v>
      </c>
      <c r="I313" s="587"/>
      <c r="J313" s="587"/>
      <c r="K313" s="587"/>
      <c r="L313" s="587"/>
      <c r="M313" s="587"/>
      <c r="N313" s="587"/>
      <c r="P313" s="600" t="str">
        <f>P311</f>
        <v>50-R4</v>
      </c>
      <c r="R313" s="581">
        <v>15</v>
      </c>
    </row>
    <row r="314" spans="1:18">
      <c r="A314" s="197"/>
      <c r="B314" s="414"/>
      <c r="E314" s="417"/>
      <c r="F314" s="598"/>
      <c r="H314" s="597"/>
      <c r="I314" s="587"/>
      <c r="J314" s="587"/>
      <c r="K314" s="587"/>
      <c r="L314" s="587"/>
      <c r="M314" s="587"/>
      <c r="N314" s="587"/>
      <c r="P314" s="600"/>
    </row>
    <row r="315" spans="1:18">
      <c r="A315" s="197"/>
      <c r="B315" s="414"/>
      <c r="D315" s="423" t="s">
        <v>349</v>
      </c>
      <c r="F315" s="584"/>
      <c r="G315" s="609"/>
      <c r="H315" s="597"/>
      <c r="I315" s="587"/>
      <c r="J315" s="587"/>
      <c r="K315" s="587"/>
      <c r="L315" s="587"/>
      <c r="M315" s="587"/>
      <c r="N315" s="587"/>
      <c r="P315" s="600"/>
    </row>
    <row r="316" spans="1:18">
      <c r="A316" s="197"/>
      <c r="B316" s="414"/>
      <c r="D316" s="423"/>
      <c r="F316" s="584"/>
      <c r="G316" s="609"/>
      <c r="H316" s="597"/>
      <c r="I316" s="587"/>
      <c r="J316" s="587"/>
      <c r="K316" s="587"/>
      <c r="L316" s="587"/>
      <c r="M316" s="587"/>
      <c r="N316" s="587"/>
      <c r="P316" s="600"/>
    </row>
    <row r="317" spans="1:18">
      <c r="A317" s="197"/>
      <c r="B317" s="414"/>
      <c r="F317" s="598"/>
      <c r="H317" s="597"/>
      <c r="I317" s="587"/>
      <c r="J317" s="587"/>
      <c r="K317" s="587"/>
      <c r="L317" s="587"/>
      <c r="M317" s="587"/>
      <c r="N317" s="587"/>
      <c r="P317" s="600"/>
    </row>
    <row r="318" spans="1:18">
      <c r="A318" s="197"/>
      <c r="B318" s="414"/>
      <c r="D318" s="408" t="s">
        <v>350</v>
      </c>
      <c r="F318" s="598"/>
      <c r="H318" s="597"/>
      <c r="I318" s="587"/>
      <c r="J318" s="587"/>
      <c r="K318" s="587"/>
      <c r="L318" s="587"/>
      <c r="M318" s="587"/>
      <c r="N318" s="587"/>
      <c r="P318" s="600"/>
    </row>
    <row r="319" spans="1:18">
      <c r="A319" s="197"/>
      <c r="B319" s="414"/>
      <c r="D319" s="415"/>
      <c r="F319" s="598"/>
      <c r="H319" s="597"/>
      <c r="I319" s="587"/>
      <c r="J319" s="587"/>
      <c r="K319" s="587"/>
      <c r="L319" s="587"/>
      <c r="M319" s="587"/>
      <c r="N319" s="587"/>
      <c r="P319" s="610"/>
    </row>
    <row r="320" spans="1:18">
      <c r="A320" s="197">
        <v>350</v>
      </c>
      <c r="B320" s="414">
        <v>350.1</v>
      </c>
      <c r="D320" s="401" t="s">
        <v>1343</v>
      </c>
      <c r="E320" s="417"/>
      <c r="F320" s="598">
        <v>0</v>
      </c>
      <c r="H320" s="599">
        <v>1.1400000000000001</v>
      </c>
      <c r="I320" s="587"/>
      <c r="J320" s="587">
        <v>1.1400000000000001</v>
      </c>
      <c r="K320" s="587"/>
      <c r="L320" s="587">
        <v>0</v>
      </c>
      <c r="M320" s="587"/>
      <c r="N320" s="587">
        <v>0</v>
      </c>
      <c r="P320" s="600" t="s">
        <v>352</v>
      </c>
      <c r="R320" s="581">
        <v>57.4</v>
      </c>
    </row>
    <row r="321" spans="1:18">
      <c r="A321" s="197">
        <v>352</v>
      </c>
      <c r="B321" s="414">
        <v>352.1</v>
      </c>
      <c r="D321" s="401" t="s">
        <v>1344</v>
      </c>
      <c r="E321" s="417"/>
      <c r="F321" s="598">
        <v>-10</v>
      </c>
      <c r="H321" s="599">
        <v>1.7500000000000002</v>
      </c>
      <c r="I321" s="587"/>
      <c r="J321" s="587">
        <v>1.59</v>
      </c>
      <c r="K321" s="587"/>
      <c r="L321" s="587">
        <v>0.16</v>
      </c>
      <c r="M321" s="587"/>
      <c r="N321" s="587">
        <v>0</v>
      </c>
      <c r="P321" s="600" t="s">
        <v>1649</v>
      </c>
      <c r="R321" s="581">
        <v>54</v>
      </c>
    </row>
    <row r="322" spans="1:18">
      <c r="A322" s="197">
        <v>353</v>
      </c>
      <c r="B322" s="414">
        <v>353.1</v>
      </c>
      <c r="D322" s="401" t="s">
        <v>1345</v>
      </c>
      <c r="E322" s="417"/>
      <c r="F322" s="598">
        <v>-15</v>
      </c>
      <c r="H322" s="599">
        <v>1.6099999999999999</v>
      </c>
      <c r="I322" s="587"/>
      <c r="J322" s="587">
        <v>1.4000000000000001</v>
      </c>
      <c r="K322" s="587"/>
      <c r="L322" s="587">
        <v>0.25</v>
      </c>
      <c r="M322" s="587"/>
      <c r="N322" s="587">
        <v>-0.04</v>
      </c>
      <c r="P322" s="600" t="s">
        <v>1650</v>
      </c>
      <c r="R322" s="581">
        <v>47.8</v>
      </c>
    </row>
    <row r="323" spans="1:18">
      <c r="A323" s="197">
        <v>354</v>
      </c>
      <c r="B323" s="414">
        <v>354</v>
      </c>
      <c r="D323" s="401" t="s">
        <v>1347</v>
      </c>
      <c r="E323" s="417"/>
      <c r="F323" s="598">
        <v>-50</v>
      </c>
      <c r="H323" s="599">
        <v>1.8399999999999999</v>
      </c>
      <c r="I323" s="587"/>
      <c r="J323" s="587">
        <v>1.22</v>
      </c>
      <c r="K323" s="587"/>
      <c r="L323" s="587">
        <v>0.69</v>
      </c>
      <c r="M323" s="587"/>
      <c r="N323" s="587">
        <v>-6.9999999999999993E-2</v>
      </c>
      <c r="P323" s="600" t="s">
        <v>352</v>
      </c>
      <c r="R323" s="581">
        <v>51.2</v>
      </c>
    </row>
    <row r="324" spans="1:18">
      <c r="A324" s="197">
        <v>355</v>
      </c>
      <c r="B324" s="414">
        <v>355</v>
      </c>
      <c r="D324" s="401" t="s">
        <v>1348</v>
      </c>
      <c r="E324" s="417"/>
      <c r="F324" s="598">
        <v>-75</v>
      </c>
      <c r="H324" s="599">
        <v>2.98</v>
      </c>
      <c r="I324" s="587"/>
      <c r="J324" s="587">
        <v>1.7000000000000002</v>
      </c>
      <c r="K324" s="587"/>
      <c r="L324" s="587">
        <v>1.4500000000000002</v>
      </c>
      <c r="M324" s="587"/>
      <c r="N324" s="587">
        <v>-0.16999999999999998</v>
      </c>
      <c r="P324" s="600" t="s">
        <v>1651</v>
      </c>
      <c r="R324" s="581">
        <v>48.3</v>
      </c>
    </row>
    <row r="325" spans="1:18">
      <c r="A325" s="197">
        <v>356</v>
      </c>
      <c r="B325" s="414">
        <v>356</v>
      </c>
      <c r="D325" s="401" t="s">
        <v>1349</v>
      </c>
      <c r="E325" s="417"/>
      <c r="F325" s="598">
        <v>-75</v>
      </c>
      <c r="H325" s="599">
        <v>3.32</v>
      </c>
      <c r="I325" s="587"/>
      <c r="J325" s="587">
        <v>1.9</v>
      </c>
      <c r="K325" s="587"/>
      <c r="L325" s="587">
        <v>1.6099999999999999</v>
      </c>
      <c r="M325" s="587"/>
      <c r="N325" s="587">
        <v>-0.19</v>
      </c>
      <c r="P325" s="600" t="s">
        <v>1652</v>
      </c>
      <c r="R325" s="581">
        <v>37.799999999999997</v>
      </c>
    </row>
    <row r="326" spans="1:18">
      <c r="A326" s="197">
        <v>357</v>
      </c>
      <c r="B326" s="414">
        <v>357</v>
      </c>
      <c r="D326" s="401" t="s">
        <v>1350</v>
      </c>
      <c r="E326" s="417"/>
      <c r="F326" s="598">
        <v>-5</v>
      </c>
      <c r="H326" s="599">
        <v>1.83</v>
      </c>
      <c r="I326" s="587"/>
      <c r="J326" s="587">
        <v>1.7399999999999998</v>
      </c>
      <c r="K326" s="587"/>
      <c r="L326" s="587">
        <v>0.09</v>
      </c>
      <c r="M326" s="587"/>
      <c r="N326" s="587">
        <v>0</v>
      </c>
      <c r="P326" s="600" t="s">
        <v>1331</v>
      </c>
      <c r="R326" s="581">
        <v>41.9</v>
      </c>
    </row>
    <row r="327" spans="1:18">
      <c r="A327" s="197">
        <v>358</v>
      </c>
      <c r="B327" s="414">
        <v>358</v>
      </c>
      <c r="D327" s="401" t="s">
        <v>1351</v>
      </c>
      <c r="E327" s="417"/>
      <c r="F327" s="598">
        <v>-10</v>
      </c>
      <c r="H327" s="599">
        <v>2.44</v>
      </c>
      <c r="I327" s="587"/>
      <c r="J327" s="587">
        <v>2.2200000000000002</v>
      </c>
      <c r="K327" s="587"/>
      <c r="L327" s="587">
        <v>0.22</v>
      </c>
      <c r="M327" s="587"/>
      <c r="N327" s="587">
        <v>0</v>
      </c>
      <c r="P327" s="600" t="s">
        <v>1653</v>
      </c>
      <c r="R327" s="581">
        <v>29</v>
      </c>
    </row>
    <row r="328" spans="1:18">
      <c r="A328" s="197"/>
      <c r="B328" s="414"/>
      <c r="F328" s="598"/>
      <c r="H328" s="597"/>
      <c r="I328" s="587"/>
      <c r="J328" s="587"/>
      <c r="K328" s="587"/>
      <c r="L328" s="587"/>
      <c r="M328" s="587"/>
      <c r="N328" s="587"/>
      <c r="P328" s="600"/>
    </row>
    <row r="329" spans="1:18">
      <c r="A329" s="197"/>
      <c r="B329" s="414"/>
      <c r="D329" s="412" t="s">
        <v>353</v>
      </c>
      <c r="E329" s="428"/>
      <c r="F329" s="584"/>
      <c r="G329" s="609"/>
      <c r="H329" s="597"/>
      <c r="I329" s="587"/>
      <c r="J329" s="587"/>
      <c r="K329" s="587"/>
      <c r="L329" s="587"/>
      <c r="M329" s="587"/>
      <c r="N329" s="587"/>
      <c r="P329" s="585"/>
    </row>
    <row r="330" spans="1:18">
      <c r="A330" s="197"/>
      <c r="B330" s="414"/>
      <c r="D330" s="412"/>
      <c r="E330" s="428"/>
      <c r="F330" s="584"/>
      <c r="G330" s="609"/>
      <c r="H330" s="597"/>
      <c r="I330" s="587"/>
      <c r="J330" s="587"/>
      <c r="K330" s="587"/>
      <c r="L330" s="587"/>
      <c r="M330" s="587"/>
      <c r="N330" s="587"/>
      <c r="P330" s="585"/>
    </row>
    <row r="331" spans="1:18">
      <c r="A331" s="197"/>
      <c r="B331" s="414"/>
      <c r="F331" s="598"/>
      <c r="H331" s="597"/>
      <c r="I331" s="587"/>
      <c r="J331" s="587"/>
      <c r="K331" s="587"/>
      <c r="L331" s="587"/>
      <c r="M331" s="587"/>
      <c r="N331" s="587"/>
      <c r="P331" s="600"/>
    </row>
    <row r="332" spans="1:18">
      <c r="A332" s="197"/>
      <c r="B332" s="414"/>
      <c r="D332" s="408" t="s">
        <v>354</v>
      </c>
      <c r="E332" s="407"/>
      <c r="F332" s="598"/>
      <c r="G332" s="414"/>
      <c r="H332" s="597"/>
      <c r="I332" s="587"/>
      <c r="J332" s="587"/>
      <c r="K332" s="587"/>
      <c r="L332" s="587"/>
      <c r="M332" s="587"/>
      <c r="N332" s="587"/>
      <c r="P332" s="600"/>
    </row>
    <row r="333" spans="1:18">
      <c r="A333" s="197"/>
      <c r="B333" s="414"/>
      <c r="D333" s="415"/>
      <c r="F333" s="598"/>
      <c r="H333" s="597"/>
      <c r="I333" s="587"/>
      <c r="J333" s="587"/>
      <c r="K333" s="587"/>
      <c r="L333" s="587"/>
      <c r="M333" s="587"/>
      <c r="N333" s="587"/>
      <c r="P333" s="610"/>
    </row>
    <row r="334" spans="1:18">
      <c r="A334" s="197">
        <v>361</v>
      </c>
      <c r="B334" s="414">
        <v>361</v>
      </c>
      <c r="D334" s="429" t="s">
        <v>1352</v>
      </c>
      <c r="E334" s="417"/>
      <c r="F334" s="598">
        <v>-10</v>
      </c>
      <c r="H334" s="599">
        <v>2.0499999999999998</v>
      </c>
      <c r="I334" s="587"/>
      <c r="J334" s="587">
        <v>1.8599999999999999</v>
      </c>
      <c r="K334" s="587"/>
      <c r="L334" s="587">
        <v>0.19</v>
      </c>
      <c r="M334" s="587"/>
      <c r="N334" s="587">
        <v>0</v>
      </c>
      <c r="P334" s="600" t="s">
        <v>1654</v>
      </c>
      <c r="R334" s="581">
        <v>39.700000000000003</v>
      </c>
    </row>
    <row r="335" spans="1:18">
      <c r="A335" s="197">
        <v>362</v>
      </c>
      <c r="B335" s="414">
        <v>362</v>
      </c>
      <c r="D335" s="416" t="s">
        <v>1353</v>
      </c>
      <c r="E335" s="417"/>
      <c r="F335" s="598">
        <v>-15</v>
      </c>
      <c r="H335" s="599">
        <v>2.1</v>
      </c>
      <c r="I335" s="587"/>
      <c r="J335" s="587">
        <v>1.82</v>
      </c>
      <c r="K335" s="587"/>
      <c r="L335" s="587">
        <v>0.33</v>
      </c>
      <c r="M335" s="587"/>
      <c r="N335" s="587">
        <v>-0.05</v>
      </c>
      <c r="P335" s="600" t="s">
        <v>1655</v>
      </c>
      <c r="R335" s="581">
        <v>39.5</v>
      </c>
    </row>
    <row r="336" spans="1:18">
      <c r="A336" s="197">
        <v>364</v>
      </c>
      <c r="B336" s="414">
        <v>364</v>
      </c>
      <c r="D336" s="401" t="s">
        <v>1354</v>
      </c>
      <c r="E336" s="417"/>
      <c r="F336" s="598">
        <v>-80</v>
      </c>
      <c r="H336" s="599">
        <v>3.18</v>
      </c>
      <c r="I336" s="587"/>
      <c r="J336" s="587">
        <v>1.76</v>
      </c>
      <c r="K336" s="587"/>
      <c r="L336" s="587">
        <v>1.63</v>
      </c>
      <c r="M336" s="587"/>
      <c r="N336" s="587">
        <v>-0.21</v>
      </c>
      <c r="P336" s="600" t="s">
        <v>1656</v>
      </c>
      <c r="R336" s="581">
        <v>43.2</v>
      </c>
    </row>
    <row r="337" spans="1:18">
      <c r="A337" s="197">
        <v>365</v>
      </c>
      <c r="B337" s="414">
        <v>365</v>
      </c>
      <c r="D337" s="401" t="s">
        <v>1356</v>
      </c>
      <c r="E337" s="417"/>
      <c r="F337" s="598">
        <v>-75</v>
      </c>
      <c r="H337" s="599">
        <v>3.25</v>
      </c>
      <c r="I337" s="587"/>
      <c r="J337" s="587">
        <v>1.8599999999999999</v>
      </c>
      <c r="K337" s="587"/>
      <c r="L337" s="587">
        <v>1.54</v>
      </c>
      <c r="M337" s="587"/>
      <c r="N337" s="587">
        <v>-0.15</v>
      </c>
      <c r="P337" s="600" t="s">
        <v>1657</v>
      </c>
      <c r="R337" s="581">
        <v>42.1</v>
      </c>
    </row>
    <row r="338" spans="1:18">
      <c r="A338" s="197">
        <v>366</v>
      </c>
      <c r="B338" s="414">
        <v>366</v>
      </c>
      <c r="D338" s="429" t="s">
        <v>1357</v>
      </c>
      <c r="E338" s="417"/>
      <c r="F338" s="598">
        <v>-30</v>
      </c>
      <c r="H338" s="599">
        <v>1.6</v>
      </c>
      <c r="I338" s="587"/>
      <c r="J338" s="587">
        <v>1.23</v>
      </c>
      <c r="K338" s="587"/>
      <c r="L338" s="587">
        <v>0.37</v>
      </c>
      <c r="M338" s="587"/>
      <c r="N338" s="587">
        <v>0</v>
      </c>
      <c r="P338" s="600" t="s">
        <v>1658</v>
      </c>
      <c r="R338" s="581">
        <v>58.6</v>
      </c>
    </row>
    <row r="339" spans="1:18">
      <c r="A339" s="197">
        <v>367</v>
      </c>
      <c r="B339" s="414">
        <v>367</v>
      </c>
      <c r="D339" s="401" t="s">
        <v>1358</v>
      </c>
      <c r="E339" s="417"/>
      <c r="F339" s="598">
        <v>-40</v>
      </c>
      <c r="H339" s="599">
        <v>2.0599999999999996</v>
      </c>
      <c r="I339" s="587"/>
      <c r="J339" s="587">
        <v>1.47</v>
      </c>
      <c r="K339" s="587"/>
      <c r="L339" s="587">
        <v>0.63</v>
      </c>
      <c r="M339" s="587"/>
      <c r="N339" s="587">
        <v>-0.04</v>
      </c>
      <c r="P339" s="600" t="s">
        <v>1659</v>
      </c>
      <c r="R339" s="581">
        <v>54.2</v>
      </c>
    </row>
    <row r="340" spans="1:18">
      <c r="A340" s="197">
        <v>368</v>
      </c>
      <c r="B340" s="414">
        <v>368</v>
      </c>
      <c r="D340" s="401" t="s">
        <v>1359</v>
      </c>
      <c r="E340" s="417"/>
      <c r="F340" s="598">
        <v>-20</v>
      </c>
      <c r="H340" s="599">
        <v>2.3299999999999996</v>
      </c>
      <c r="I340" s="587"/>
      <c r="J340" s="587">
        <v>1.95</v>
      </c>
      <c r="K340" s="587"/>
      <c r="L340" s="587">
        <v>0.48</v>
      </c>
      <c r="M340" s="587"/>
      <c r="N340" s="587">
        <v>-0.1</v>
      </c>
      <c r="P340" s="600" t="s">
        <v>1660</v>
      </c>
      <c r="R340" s="581">
        <v>31.5</v>
      </c>
    </row>
    <row r="341" spans="1:18">
      <c r="A341" s="197"/>
      <c r="B341" s="414">
        <v>369.1</v>
      </c>
      <c r="D341" s="401" t="s">
        <v>1360</v>
      </c>
      <c r="E341" s="417"/>
      <c r="F341" s="598">
        <v>-50</v>
      </c>
      <c r="H341" s="599">
        <v>3.73</v>
      </c>
      <c r="I341" s="587"/>
      <c r="J341" s="587">
        <v>2.4899999999999998</v>
      </c>
      <c r="K341" s="587"/>
      <c r="L341" s="587">
        <v>1.24</v>
      </c>
      <c r="M341" s="587"/>
      <c r="N341" s="587">
        <v>0</v>
      </c>
      <c r="P341" s="600" t="s">
        <v>1661</v>
      </c>
      <c r="R341" s="581">
        <v>34.6</v>
      </c>
    </row>
    <row r="342" spans="1:18">
      <c r="A342" s="197"/>
      <c r="B342" s="414">
        <v>369.2</v>
      </c>
      <c r="D342" s="401" t="s">
        <v>1361</v>
      </c>
      <c r="E342" s="417"/>
      <c r="F342" s="598">
        <v>-100</v>
      </c>
      <c r="H342" s="599">
        <v>2.63</v>
      </c>
      <c r="I342" s="587"/>
      <c r="J342" s="587">
        <v>1.31</v>
      </c>
      <c r="K342" s="587"/>
      <c r="L342" s="587">
        <v>1.32</v>
      </c>
      <c r="M342" s="587"/>
      <c r="N342" s="587">
        <v>0</v>
      </c>
      <c r="P342" s="600" t="s">
        <v>1627</v>
      </c>
      <c r="R342" s="581">
        <v>37.4</v>
      </c>
    </row>
    <row r="343" spans="1:18">
      <c r="A343" s="197"/>
      <c r="B343" s="414">
        <v>370</v>
      </c>
      <c r="D343" s="401" t="s">
        <v>1885</v>
      </c>
      <c r="E343" s="417"/>
      <c r="F343" s="598">
        <v>0</v>
      </c>
      <c r="H343" s="599">
        <v>3.3000000000000003</v>
      </c>
      <c r="I343" s="587"/>
      <c r="J343" s="587">
        <v>3.3000000000000003</v>
      </c>
      <c r="K343" s="587"/>
      <c r="L343" s="587">
        <v>0</v>
      </c>
      <c r="M343" s="587"/>
      <c r="N343" s="587">
        <v>0</v>
      </c>
      <c r="P343" s="600" t="s">
        <v>1674</v>
      </c>
      <c r="R343" s="581">
        <v>15.7</v>
      </c>
    </row>
    <row r="344" spans="1:18">
      <c r="A344" s="197"/>
      <c r="B344" s="414">
        <v>370.01</v>
      </c>
      <c r="D344" s="401" t="s">
        <v>1662</v>
      </c>
      <c r="E344" s="417"/>
      <c r="F344" s="598">
        <v>0</v>
      </c>
      <c r="H344" s="599">
        <v>6.8500000000000005</v>
      </c>
      <c r="I344" s="587"/>
      <c r="J344" s="587">
        <v>6.8500000000000005</v>
      </c>
      <c r="K344" s="587"/>
      <c r="L344" s="587">
        <v>0</v>
      </c>
      <c r="M344" s="587"/>
      <c r="N344" s="587">
        <v>0</v>
      </c>
      <c r="P344" s="600" t="s">
        <v>1663</v>
      </c>
      <c r="R344" s="581">
        <v>14.5</v>
      </c>
    </row>
    <row r="345" spans="1:18">
      <c r="A345" s="197"/>
      <c r="B345" s="401">
        <v>370.2</v>
      </c>
      <c r="D345" s="401" t="s">
        <v>1886</v>
      </c>
      <c r="E345" s="417"/>
      <c r="F345" s="598">
        <v>0</v>
      </c>
      <c r="H345" s="599">
        <v>2.79</v>
      </c>
      <c r="I345" s="587"/>
      <c r="J345" s="587">
        <v>2.79</v>
      </c>
      <c r="K345" s="587"/>
      <c r="L345" s="587">
        <v>0</v>
      </c>
      <c r="M345" s="587"/>
      <c r="N345" s="587">
        <v>0</v>
      </c>
      <c r="P345" s="600" t="s">
        <v>1674</v>
      </c>
      <c r="R345" s="581">
        <v>4.3</v>
      </c>
    </row>
    <row r="346" spans="1:18">
      <c r="A346" s="197"/>
      <c r="B346" s="414">
        <v>373.1</v>
      </c>
      <c r="D346" s="401" t="s">
        <v>1362</v>
      </c>
      <c r="E346" s="417"/>
      <c r="F346" s="598">
        <v>-30</v>
      </c>
      <c r="H346" s="599">
        <v>5.38</v>
      </c>
      <c r="I346" s="587"/>
      <c r="J346" s="587">
        <v>4.1399999999999997</v>
      </c>
      <c r="K346" s="587"/>
      <c r="L346" s="587">
        <v>1.28</v>
      </c>
      <c r="M346" s="587"/>
      <c r="N346" s="587">
        <v>-0.04</v>
      </c>
      <c r="P346" s="600" t="s">
        <v>1664</v>
      </c>
      <c r="R346" s="581">
        <v>18.7</v>
      </c>
    </row>
    <row r="347" spans="1:18">
      <c r="A347" s="197"/>
      <c r="B347" s="414">
        <v>373.2</v>
      </c>
      <c r="D347" s="429" t="s">
        <v>1363</v>
      </c>
      <c r="E347" s="417"/>
      <c r="F347" s="598">
        <v>-40</v>
      </c>
      <c r="H347" s="599">
        <v>3.64</v>
      </c>
      <c r="I347" s="587"/>
      <c r="J347" s="587">
        <v>2.6100000000000003</v>
      </c>
      <c r="K347" s="587"/>
      <c r="L347" s="587">
        <v>1.06</v>
      </c>
      <c r="M347" s="587"/>
      <c r="N347" s="587">
        <v>-0.03</v>
      </c>
      <c r="P347" s="600" t="s">
        <v>1665</v>
      </c>
      <c r="R347" s="581">
        <v>25.8</v>
      </c>
    </row>
    <row r="348" spans="1:18">
      <c r="A348" s="197"/>
      <c r="B348" s="414"/>
      <c r="F348" s="598"/>
      <c r="H348" s="597"/>
      <c r="I348" s="587"/>
      <c r="J348" s="587"/>
      <c r="K348" s="587"/>
      <c r="L348" s="587"/>
      <c r="M348" s="587"/>
      <c r="N348" s="587"/>
      <c r="P348" s="600"/>
    </row>
    <row r="349" spans="1:18">
      <c r="A349" s="197"/>
      <c r="B349" s="414"/>
      <c r="D349" s="412" t="s">
        <v>355</v>
      </c>
      <c r="E349" s="428"/>
      <c r="F349" s="584"/>
      <c r="G349" s="609"/>
      <c r="H349" s="597"/>
      <c r="I349" s="587"/>
      <c r="J349" s="587"/>
      <c r="K349" s="587"/>
      <c r="L349" s="587"/>
      <c r="M349" s="587"/>
      <c r="N349" s="587"/>
      <c r="P349" s="585"/>
      <c r="R349" s="589"/>
    </row>
    <row r="350" spans="1:18">
      <c r="A350" s="203"/>
      <c r="B350" s="414"/>
      <c r="D350" s="412"/>
      <c r="E350" s="428"/>
      <c r="F350" s="584"/>
      <c r="G350" s="609"/>
      <c r="H350" s="597"/>
      <c r="I350" s="587"/>
      <c r="J350" s="587"/>
      <c r="K350" s="587"/>
      <c r="L350" s="587"/>
      <c r="M350" s="587"/>
      <c r="N350" s="587"/>
      <c r="P350" s="585"/>
      <c r="R350" s="589"/>
    </row>
    <row r="351" spans="1:18">
      <c r="A351" s="197"/>
      <c r="B351" s="414"/>
      <c r="F351" s="598"/>
      <c r="H351" s="597"/>
      <c r="I351" s="587"/>
      <c r="J351" s="587"/>
      <c r="K351" s="587"/>
      <c r="L351" s="587"/>
      <c r="M351" s="587"/>
      <c r="N351" s="587"/>
      <c r="P351" s="600"/>
    </row>
    <row r="352" spans="1:18">
      <c r="A352" s="401"/>
      <c r="B352" s="414"/>
      <c r="D352" s="420" t="s">
        <v>356</v>
      </c>
      <c r="F352" s="598"/>
      <c r="H352" s="597"/>
      <c r="I352" s="587"/>
      <c r="J352" s="587"/>
      <c r="K352" s="587"/>
      <c r="L352" s="587"/>
      <c r="M352" s="587"/>
      <c r="N352" s="587"/>
      <c r="P352" s="600"/>
    </row>
    <row r="353" spans="1:18">
      <c r="A353" s="401"/>
      <c r="B353" s="414"/>
      <c r="D353" s="421"/>
      <c r="F353" s="598"/>
      <c r="H353" s="597"/>
      <c r="I353" s="587"/>
      <c r="J353" s="587"/>
      <c r="K353" s="587"/>
      <c r="L353" s="587"/>
      <c r="M353" s="587"/>
      <c r="N353" s="587"/>
      <c r="P353" s="600"/>
    </row>
    <row r="354" spans="1:18">
      <c r="A354" s="401"/>
      <c r="B354" s="418">
        <v>392</v>
      </c>
      <c r="D354" s="421" t="s">
        <v>358</v>
      </c>
      <c r="E354" s="417"/>
      <c r="F354" s="598">
        <v>0</v>
      </c>
      <c r="H354" s="599">
        <v>4.12</v>
      </c>
      <c r="I354" s="587"/>
      <c r="J354" s="587">
        <v>4.12</v>
      </c>
      <c r="K354" s="587"/>
      <c r="L354" s="587">
        <v>0</v>
      </c>
      <c r="M354" s="587"/>
      <c r="N354" s="587">
        <v>0</v>
      </c>
      <c r="P354" s="600" t="s">
        <v>1666</v>
      </c>
      <c r="R354" s="581">
        <v>10.9</v>
      </c>
    </row>
    <row r="355" spans="1:18">
      <c r="A355" s="401"/>
      <c r="B355" s="418">
        <v>392.1</v>
      </c>
      <c r="D355" s="421" t="s">
        <v>359</v>
      </c>
      <c r="E355" s="417"/>
      <c r="F355" s="598">
        <v>0</v>
      </c>
      <c r="H355" s="599">
        <v>4.18</v>
      </c>
      <c r="I355" s="587"/>
      <c r="J355" s="587">
        <v>4.18</v>
      </c>
      <c r="K355" s="587"/>
      <c r="L355" s="587">
        <v>0</v>
      </c>
      <c r="M355" s="587"/>
      <c r="N355" s="587">
        <v>0</v>
      </c>
      <c r="P355" s="600" t="s">
        <v>1667</v>
      </c>
      <c r="R355" s="581">
        <v>10.7</v>
      </c>
    </row>
    <row r="356" spans="1:18">
      <c r="A356" s="401"/>
      <c r="B356" s="414">
        <v>392.2</v>
      </c>
      <c r="D356" s="421" t="s">
        <v>1364</v>
      </c>
      <c r="E356" s="417"/>
      <c r="F356" s="598">
        <v>0</v>
      </c>
      <c r="G356" s="611"/>
      <c r="H356" s="599">
        <v>5.33</v>
      </c>
      <c r="I356" s="587"/>
      <c r="J356" s="587">
        <v>5.33</v>
      </c>
      <c r="K356" s="587"/>
      <c r="L356" s="587">
        <v>0</v>
      </c>
      <c r="M356" s="587"/>
      <c r="N356" s="587">
        <v>0</v>
      </c>
      <c r="P356" s="600" t="s">
        <v>1668</v>
      </c>
      <c r="R356" s="581">
        <v>14.4</v>
      </c>
    </row>
    <row r="357" spans="1:18">
      <c r="A357" s="432">
        <v>394</v>
      </c>
      <c r="B357" s="414">
        <v>394</v>
      </c>
      <c r="D357" s="421" t="s">
        <v>1365</v>
      </c>
      <c r="E357" s="417"/>
      <c r="F357" s="598">
        <v>0</v>
      </c>
      <c r="H357" s="599">
        <v>4.2799999999999994</v>
      </c>
      <c r="I357" s="587"/>
      <c r="J357" s="587">
        <v>4.2799999999999994</v>
      </c>
      <c r="K357" s="587"/>
      <c r="L357" s="587">
        <v>0</v>
      </c>
      <c r="M357" s="587"/>
      <c r="N357" s="587">
        <v>0</v>
      </c>
      <c r="P357" s="600" t="s">
        <v>360</v>
      </c>
      <c r="R357" s="581">
        <v>14.8</v>
      </c>
    </row>
    <row r="358" spans="1:18">
      <c r="A358" s="432"/>
      <c r="B358" s="418">
        <v>396.1</v>
      </c>
      <c r="D358" s="416" t="s">
        <v>1366</v>
      </c>
      <c r="E358" s="417"/>
      <c r="F358" s="598">
        <v>0</v>
      </c>
      <c r="G358" s="611"/>
      <c r="H358" s="599">
        <v>0.38</v>
      </c>
      <c r="I358" s="587"/>
      <c r="J358" s="587">
        <v>0.38</v>
      </c>
      <c r="K358" s="587"/>
      <c r="L358" s="587">
        <v>0</v>
      </c>
      <c r="M358" s="587"/>
      <c r="N358" s="587">
        <v>0</v>
      </c>
      <c r="P358" s="600" t="s">
        <v>1669</v>
      </c>
      <c r="R358" s="581">
        <v>16.399999999999999</v>
      </c>
    </row>
    <row r="359" spans="1:18">
      <c r="A359" s="432"/>
      <c r="B359" s="414">
        <v>396.2</v>
      </c>
      <c r="D359" s="416" t="s">
        <v>1367</v>
      </c>
      <c r="E359" s="417"/>
      <c r="F359" s="598">
        <v>0</v>
      </c>
      <c r="G359" s="611"/>
      <c r="H359" s="599">
        <v>3.5700000000000003</v>
      </c>
      <c r="I359" s="587"/>
      <c r="J359" s="587">
        <v>3.5700000000000003</v>
      </c>
      <c r="K359" s="587"/>
      <c r="L359" s="587">
        <v>0</v>
      </c>
      <c r="M359" s="587"/>
      <c r="N359" s="587">
        <v>0</v>
      </c>
      <c r="P359" s="600" t="s">
        <v>1670</v>
      </c>
      <c r="R359" s="581">
        <v>17.100000000000001</v>
      </c>
    </row>
    <row r="360" spans="1:18">
      <c r="A360" s="432">
        <v>397</v>
      </c>
      <c r="B360" s="414">
        <v>397.2</v>
      </c>
      <c r="D360" s="416" t="s">
        <v>1671</v>
      </c>
      <c r="E360" s="417"/>
      <c r="F360" s="598">
        <v>0</v>
      </c>
      <c r="G360" s="611"/>
      <c r="H360" s="599">
        <v>12.280000000000001</v>
      </c>
      <c r="I360" s="587"/>
      <c r="J360" s="587">
        <v>12.280000000000001</v>
      </c>
      <c r="K360" s="587"/>
      <c r="L360" s="587">
        <v>0</v>
      </c>
      <c r="M360" s="587"/>
      <c r="N360" s="587">
        <v>0</v>
      </c>
      <c r="P360" s="600" t="s">
        <v>362</v>
      </c>
      <c r="R360" s="581">
        <v>6.5</v>
      </c>
    </row>
    <row r="361" spans="1:18">
      <c r="A361" s="401"/>
      <c r="B361" s="414"/>
      <c r="F361" s="598"/>
      <c r="H361" s="597"/>
      <c r="I361" s="587"/>
      <c r="J361" s="587"/>
      <c r="K361" s="587"/>
      <c r="L361" s="587"/>
      <c r="M361" s="587"/>
      <c r="N361" s="587"/>
      <c r="P361" s="600"/>
    </row>
    <row r="362" spans="1:18">
      <c r="A362" s="401"/>
      <c r="B362" s="407"/>
      <c r="D362" s="412"/>
      <c r="F362" s="598"/>
      <c r="H362" s="597"/>
      <c r="I362" s="587"/>
      <c r="J362" s="587"/>
      <c r="K362" s="587"/>
      <c r="L362" s="587"/>
      <c r="M362" s="587"/>
      <c r="N362" s="587"/>
    </row>
    <row r="363" spans="1:18">
      <c r="A363" s="401"/>
      <c r="B363" s="407"/>
      <c r="D363" s="412"/>
      <c r="F363" s="598"/>
      <c r="H363" s="597"/>
      <c r="I363" s="587"/>
      <c r="J363" s="587"/>
      <c r="K363" s="587"/>
      <c r="L363" s="587"/>
      <c r="M363" s="587"/>
      <c r="N363" s="587"/>
    </row>
    <row r="364" spans="1:18">
      <c r="A364" s="401"/>
      <c r="B364" s="414">
        <v>369.1</v>
      </c>
      <c r="D364" s="401" t="s">
        <v>1360</v>
      </c>
      <c r="E364" s="417"/>
      <c r="F364" s="598">
        <v>-50</v>
      </c>
      <c r="H364" s="599">
        <v>3.728420061896863</v>
      </c>
      <c r="I364" s="587"/>
      <c r="J364" s="587">
        <v>2.4884200618968633</v>
      </c>
      <c r="K364" s="587"/>
      <c r="L364" s="587">
        <v>1.24</v>
      </c>
      <c r="M364" s="587"/>
      <c r="N364" s="587">
        <v>0</v>
      </c>
      <c r="P364" s="600" t="s">
        <v>1661</v>
      </c>
      <c r="R364" s="581">
        <v>34.6</v>
      </c>
    </row>
    <row r="365" spans="1:18">
      <c r="A365" s="401"/>
      <c r="B365" s="414">
        <v>369.2</v>
      </c>
      <c r="D365" s="401" t="s">
        <v>1361</v>
      </c>
      <c r="E365" s="417"/>
      <c r="F365" s="598">
        <v>-100</v>
      </c>
      <c r="H365" s="599">
        <v>2.632519624082164</v>
      </c>
      <c r="I365" s="587"/>
      <c r="J365" s="587">
        <v>1.3125196240821639</v>
      </c>
      <c r="K365" s="587"/>
      <c r="L365" s="587">
        <v>1.32</v>
      </c>
      <c r="M365" s="587"/>
      <c r="N365" s="587">
        <v>0</v>
      </c>
      <c r="P365" s="600" t="s">
        <v>1627</v>
      </c>
      <c r="R365" s="581">
        <v>37.4</v>
      </c>
    </row>
    <row r="366" spans="1:18">
      <c r="A366" s="203">
        <v>369</v>
      </c>
      <c r="F366" s="598" t="s">
        <v>1695</v>
      </c>
      <c r="H366" s="599">
        <f>((287905+593539)/(7721903.52+22546422.62))*100</f>
        <v>2.9121002460560907</v>
      </c>
      <c r="I366" s="587"/>
      <c r="J366" s="587"/>
      <c r="K366" s="587"/>
      <c r="L366" s="587"/>
      <c r="M366" s="587"/>
      <c r="N366" s="587"/>
      <c r="P366" s="600" t="s">
        <v>1681</v>
      </c>
      <c r="R366" s="612" t="s">
        <v>1680</v>
      </c>
    </row>
    <row r="367" spans="1:18">
      <c r="F367" s="598"/>
      <c r="H367" s="599"/>
      <c r="I367" s="587"/>
      <c r="J367" s="587"/>
      <c r="K367" s="587"/>
      <c r="L367" s="587"/>
      <c r="M367" s="587"/>
      <c r="N367" s="587"/>
    </row>
    <row r="368" spans="1:18">
      <c r="A368" s="203"/>
      <c r="B368" s="430" t="s">
        <v>1672</v>
      </c>
      <c r="F368" s="598"/>
      <c r="H368" s="599"/>
      <c r="I368" s="587"/>
      <c r="J368" s="587"/>
      <c r="K368" s="587"/>
      <c r="L368" s="587"/>
      <c r="M368" s="587"/>
      <c r="N368" s="587"/>
    </row>
    <row r="369" spans="1:18">
      <c r="A369" s="197"/>
      <c r="B369" s="414">
        <v>370</v>
      </c>
      <c r="D369" s="429" t="s">
        <v>1673</v>
      </c>
      <c r="F369" s="598">
        <v>0</v>
      </c>
      <c r="H369" s="599">
        <v>2.7877020971613096</v>
      </c>
      <c r="I369" s="587"/>
      <c r="J369" s="599">
        <v>2.7877020971613096</v>
      </c>
      <c r="K369" s="587"/>
      <c r="L369" s="587">
        <v>0</v>
      </c>
      <c r="M369" s="587"/>
      <c r="N369" s="587">
        <v>0</v>
      </c>
      <c r="P369" s="600" t="s">
        <v>1674</v>
      </c>
      <c r="R369" s="581">
        <v>4.3</v>
      </c>
    </row>
    <row r="370" spans="1:18">
      <c r="A370" s="203"/>
      <c r="B370" s="414">
        <v>370.01</v>
      </c>
      <c r="D370" s="429" t="s">
        <v>1675</v>
      </c>
      <c r="F370" s="598">
        <v>0</v>
      </c>
      <c r="H370" s="599">
        <v>3.3027776396742912</v>
      </c>
      <c r="I370" s="587"/>
      <c r="J370" s="599">
        <v>3.3027776396742912</v>
      </c>
      <c r="K370" s="587"/>
      <c r="L370" s="587">
        <v>0</v>
      </c>
      <c r="M370" s="587"/>
      <c r="N370" s="587">
        <v>0</v>
      </c>
      <c r="P370" s="600" t="s">
        <v>1674</v>
      </c>
      <c r="R370" s="581">
        <v>15.7</v>
      </c>
    </row>
    <row r="371" spans="1:18">
      <c r="A371" s="197"/>
      <c r="B371" s="401">
        <v>370.01</v>
      </c>
      <c r="D371" s="401" t="s">
        <v>1662</v>
      </c>
      <c r="E371" s="417"/>
      <c r="F371" s="598">
        <v>0</v>
      </c>
      <c r="H371" s="599">
        <v>6.8476743961260196</v>
      </c>
      <c r="I371" s="587"/>
      <c r="J371" s="587">
        <v>6.8476743961260231</v>
      </c>
      <c r="K371" s="587"/>
      <c r="L371" s="587">
        <v>0</v>
      </c>
      <c r="M371" s="587"/>
      <c r="N371" s="587">
        <v>0</v>
      </c>
      <c r="P371" s="600" t="s">
        <v>1663</v>
      </c>
      <c r="R371" s="581">
        <v>14.5</v>
      </c>
    </row>
    <row r="372" spans="1:18">
      <c r="A372" s="197">
        <v>370</v>
      </c>
      <c r="F372" s="598">
        <v>0</v>
      </c>
      <c r="H372" s="599">
        <f>((978050+220824+81896)/(35084451.85+6686008.69+1195968.08)*100)</f>
        <v>2.9808621315196482</v>
      </c>
      <c r="I372" s="587"/>
      <c r="J372" s="587"/>
      <c r="K372" s="587"/>
      <c r="L372" s="587"/>
      <c r="M372" s="587"/>
      <c r="N372" s="587"/>
      <c r="P372" s="432" t="s">
        <v>1682</v>
      </c>
      <c r="R372" s="612" t="s">
        <v>1679</v>
      </c>
    </row>
    <row r="373" spans="1:18">
      <c r="A373" s="197"/>
      <c r="F373" s="598"/>
      <c r="H373" s="599"/>
      <c r="I373" s="587"/>
      <c r="J373" s="587"/>
      <c r="K373" s="587"/>
      <c r="L373" s="587"/>
      <c r="M373" s="587"/>
      <c r="N373" s="587"/>
    </row>
    <row r="374" spans="1:18">
      <c r="A374" s="203"/>
      <c r="F374" s="598"/>
      <c r="H374" s="587"/>
      <c r="I374" s="587"/>
      <c r="J374" s="587"/>
      <c r="K374" s="587"/>
      <c r="L374" s="587"/>
      <c r="M374" s="587"/>
      <c r="N374" s="587"/>
    </row>
    <row r="375" spans="1:18">
      <c r="A375" s="197"/>
      <c r="B375" s="414">
        <v>373.1</v>
      </c>
      <c r="D375" s="401" t="s">
        <v>1362</v>
      </c>
      <c r="E375" s="417"/>
      <c r="F375" s="598">
        <v>-30</v>
      </c>
      <c r="H375" s="599">
        <v>5.384484462423309</v>
      </c>
      <c r="I375" s="587"/>
      <c r="J375" s="587">
        <v>4.1444844624233088</v>
      </c>
      <c r="K375" s="587"/>
      <c r="L375" s="587">
        <v>1.28</v>
      </c>
      <c r="M375" s="587"/>
      <c r="N375" s="587">
        <v>-0.04</v>
      </c>
      <c r="P375" s="600" t="s">
        <v>1664</v>
      </c>
      <c r="R375" s="581">
        <v>18.7</v>
      </c>
    </row>
    <row r="376" spans="1:18">
      <c r="A376" s="197"/>
      <c r="B376" s="414">
        <v>373.2</v>
      </c>
      <c r="D376" s="429" t="s">
        <v>1363</v>
      </c>
      <c r="E376" s="417"/>
      <c r="F376" s="598">
        <v>-40</v>
      </c>
      <c r="H376" s="599">
        <v>3.6358370395320021</v>
      </c>
      <c r="I376" s="587"/>
      <c r="J376" s="587">
        <v>2.6058370395320019</v>
      </c>
      <c r="K376" s="587"/>
      <c r="L376" s="587">
        <v>1.06</v>
      </c>
      <c r="M376" s="587"/>
      <c r="N376" s="587">
        <v>-0.03</v>
      </c>
      <c r="P376" s="600" t="s">
        <v>1665</v>
      </c>
      <c r="R376" s="581">
        <v>25.8</v>
      </c>
    </row>
    <row r="377" spans="1:18">
      <c r="A377" s="197">
        <v>373</v>
      </c>
      <c r="F377" s="598" t="s">
        <v>1696</v>
      </c>
      <c r="H377" s="599">
        <f>((2222181+2052285)/(41270079.16+56446011.68)*100)</f>
        <v>4.3743726987595073</v>
      </c>
      <c r="I377" s="587"/>
      <c r="J377" s="587"/>
      <c r="K377" s="587"/>
      <c r="L377" s="587"/>
      <c r="M377" s="587"/>
      <c r="N377" s="587"/>
      <c r="P377" s="600" t="s">
        <v>1683</v>
      </c>
      <c r="R377" s="612" t="s">
        <v>1676</v>
      </c>
    </row>
    <row r="378" spans="1:18">
      <c r="A378" s="197"/>
      <c r="F378" s="598"/>
      <c r="H378" s="587"/>
      <c r="I378" s="587"/>
      <c r="J378" s="587"/>
      <c r="K378" s="587"/>
      <c r="L378" s="587"/>
      <c r="M378" s="587"/>
      <c r="N378" s="587"/>
    </row>
    <row r="379" spans="1:18">
      <c r="A379" s="203"/>
      <c r="B379" s="418">
        <v>392</v>
      </c>
      <c r="D379" s="421" t="s">
        <v>358</v>
      </c>
      <c r="E379" s="417"/>
      <c r="F379" s="598">
        <v>0</v>
      </c>
      <c r="H379" s="599">
        <v>4.1178598807081164</v>
      </c>
      <c r="I379" s="587"/>
      <c r="J379" s="587">
        <v>4.1178598807081164</v>
      </c>
      <c r="K379" s="587"/>
      <c r="L379" s="587">
        <v>0</v>
      </c>
      <c r="M379" s="587"/>
      <c r="N379" s="587">
        <v>0</v>
      </c>
      <c r="P379" s="600" t="s">
        <v>1666</v>
      </c>
      <c r="R379" s="581">
        <v>10.9</v>
      </c>
    </row>
    <row r="380" spans="1:18">
      <c r="A380" s="197"/>
      <c r="B380" s="418">
        <v>392.1</v>
      </c>
      <c r="D380" s="421" t="s">
        <v>359</v>
      </c>
      <c r="E380" s="417"/>
      <c r="F380" s="598">
        <v>0</v>
      </c>
      <c r="H380" s="599">
        <v>4.1811997694579617</v>
      </c>
      <c r="I380" s="587"/>
      <c r="J380" s="587">
        <v>4.1811997694579617</v>
      </c>
      <c r="K380" s="587"/>
      <c r="L380" s="587">
        <v>0</v>
      </c>
      <c r="M380" s="587"/>
      <c r="N380" s="587">
        <v>0</v>
      </c>
      <c r="P380" s="600" t="s">
        <v>1667</v>
      </c>
      <c r="R380" s="581">
        <v>10.7</v>
      </c>
    </row>
    <row r="381" spans="1:18">
      <c r="A381" s="197"/>
      <c r="B381" s="414">
        <v>392.2</v>
      </c>
      <c r="D381" s="421" t="s">
        <v>1364</v>
      </c>
      <c r="E381" s="417"/>
      <c r="F381" s="598">
        <v>0</v>
      </c>
      <c r="G381" s="611"/>
      <c r="H381" s="599">
        <v>5.3341494514580488</v>
      </c>
      <c r="I381" s="587"/>
      <c r="J381" s="587">
        <v>5.3341494514580488</v>
      </c>
      <c r="K381" s="587"/>
      <c r="L381" s="587">
        <v>0</v>
      </c>
      <c r="M381" s="587"/>
      <c r="N381" s="587">
        <v>0</v>
      </c>
      <c r="P381" s="600" t="s">
        <v>1668</v>
      </c>
      <c r="R381" s="581">
        <v>14.4</v>
      </c>
    </row>
    <row r="382" spans="1:18">
      <c r="A382" s="197">
        <v>392</v>
      </c>
      <c r="F382" s="598">
        <v>0</v>
      </c>
      <c r="H382" s="599">
        <f>((30479+126695+26639)/(740166.03+3030111.14+499404.83)*100)</f>
        <v>4.3050747104819518</v>
      </c>
      <c r="I382" s="587"/>
      <c r="J382" s="587"/>
      <c r="K382" s="587"/>
      <c r="L382" s="587"/>
      <c r="M382" s="587"/>
      <c r="N382" s="587"/>
      <c r="P382" s="432" t="s">
        <v>1684</v>
      </c>
      <c r="R382" s="612" t="s">
        <v>1678</v>
      </c>
    </row>
    <row r="383" spans="1:18">
      <c r="A383" s="184"/>
      <c r="F383" s="598"/>
      <c r="H383" s="587"/>
      <c r="I383" s="587"/>
      <c r="J383" s="587"/>
      <c r="K383" s="587"/>
      <c r="L383" s="587"/>
      <c r="M383" s="587"/>
      <c r="N383" s="587"/>
    </row>
    <row r="384" spans="1:18">
      <c r="A384" s="184"/>
      <c r="B384" s="418">
        <v>396.1</v>
      </c>
      <c r="D384" s="416" t="s">
        <v>1366</v>
      </c>
      <c r="E384" s="417"/>
      <c r="F384" s="598">
        <v>0</v>
      </c>
      <c r="G384" s="611"/>
      <c r="H384" s="599">
        <v>0.3809108322994344</v>
      </c>
      <c r="I384" s="587"/>
      <c r="J384" s="587">
        <v>0.3809108322994344</v>
      </c>
      <c r="K384" s="587"/>
      <c r="L384" s="587">
        <v>0</v>
      </c>
      <c r="M384" s="587"/>
      <c r="N384" s="587">
        <v>0</v>
      </c>
      <c r="P384" s="600" t="s">
        <v>1669</v>
      </c>
      <c r="R384" s="581">
        <v>16.399999999999999</v>
      </c>
    </row>
    <row r="385" spans="1:18">
      <c r="A385" s="184"/>
      <c r="B385" s="414">
        <v>396.2</v>
      </c>
      <c r="D385" s="416" t="s">
        <v>1367</v>
      </c>
      <c r="E385" s="417"/>
      <c r="F385" s="598">
        <v>0</v>
      </c>
      <c r="G385" s="611"/>
      <c r="H385" s="599">
        <v>3.5739268904332495</v>
      </c>
      <c r="I385" s="587"/>
      <c r="J385" s="587">
        <v>3.5739268904332495</v>
      </c>
      <c r="K385" s="587"/>
      <c r="L385" s="587">
        <v>0</v>
      </c>
      <c r="M385" s="587"/>
      <c r="N385" s="587">
        <v>0</v>
      </c>
      <c r="P385" s="600" t="s">
        <v>1670</v>
      </c>
      <c r="R385" s="581">
        <v>17.100000000000001</v>
      </c>
    </row>
    <row r="386" spans="1:18">
      <c r="A386" s="197">
        <v>396</v>
      </c>
      <c r="F386" s="598">
        <v>0</v>
      </c>
      <c r="H386" s="599">
        <f>((7153+7309)/(1877867.31+204508.94)*100)</f>
        <v>0.6944950510264416</v>
      </c>
      <c r="I386" s="587"/>
      <c r="J386" s="587"/>
      <c r="K386" s="587"/>
      <c r="L386" s="587"/>
      <c r="M386" s="587"/>
      <c r="N386" s="587"/>
      <c r="P386" s="432" t="s">
        <v>1685</v>
      </c>
      <c r="R386" s="612" t="s">
        <v>1677</v>
      </c>
    </row>
  </sheetData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rowBreaks count="8" manualBreakCount="8">
    <brk id="48" max="16383" man="1"/>
    <brk id="88" max="16383" man="1"/>
    <brk id="122" max="16383" man="1"/>
    <brk id="157" max="16383" man="1"/>
    <brk id="194" max="16383" man="1"/>
    <brk id="271" max="16383" man="1"/>
    <brk id="309" max="16383" man="1"/>
    <brk id="34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9"/>
  <sheetViews>
    <sheetView topLeftCell="A61" zoomScale="85" zoomScaleNormal="85" workbookViewId="0">
      <selection activeCell="J33" sqref="J33"/>
    </sheetView>
  </sheetViews>
  <sheetFormatPr defaultColWidth="9" defaultRowHeight="15.75"/>
  <cols>
    <col min="1" max="1" width="8.77734375" style="407" customWidth="1"/>
    <col min="2" max="2" width="1.6640625" style="407" customWidth="1"/>
    <col min="3" max="3" width="68.21875" style="407" bestFit="1" customWidth="1"/>
    <col min="4" max="4" width="1.6640625" style="407" customWidth="1"/>
    <col min="5" max="5" width="10.109375" style="578" bestFit="1" customWidth="1"/>
    <col min="6" max="6" width="1.6640625" style="407" customWidth="1"/>
    <col min="7" max="7" width="14.33203125" style="407" bestFit="1" customWidth="1"/>
    <col min="8" max="8" width="1.6640625" style="407" customWidth="1"/>
    <col min="9" max="9" width="11.88671875" style="407" bestFit="1" customWidth="1"/>
    <col min="10" max="10" width="1.6640625" style="407" customWidth="1"/>
    <col min="11" max="11" width="11.109375" style="407" bestFit="1" customWidth="1"/>
    <col min="12" max="12" width="1.6640625" style="407" customWidth="1"/>
    <col min="13" max="13" width="10.44140625" style="407" bestFit="1" customWidth="1"/>
    <col min="14" max="14" width="1.6640625" style="407" customWidth="1"/>
    <col min="15" max="15" width="19.77734375" style="407" bestFit="1" customWidth="1"/>
    <col min="16" max="16" width="1.6640625" style="407" customWidth="1"/>
    <col min="17" max="17" width="13.109375" style="407" bestFit="1" customWidth="1"/>
    <col min="18" max="16384" width="9" style="182"/>
  </cols>
  <sheetData>
    <row r="1" spans="1:17">
      <c r="A1" s="857" t="s">
        <v>784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</row>
    <row r="2" spans="1:17">
      <c r="A2" s="857" t="s">
        <v>1368</v>
      </c>
      <c r="B2" s="857"/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</row>
    <row r="3" spans="1:17">
      <c r="A3" s="857" t="s">
        <v>1876</v>
      </c>
      <c r="B3" s="857"/>
      <c r="C3" s="857"/>
      <c r="D3" s="857"/>
      <c r="E3" s="857"/>
      <c r="F3" s="857"/>
      <c r="G3" s="857"/>
      <c r="H3" s="857"/>
      <c r="I3" s="857"/>
      <c r="J3" s="857"/>
      <c r="K3" s="857"/>
      <c r="L3" s="857"/>
      <c r="M3" s="857"/>
      <c r="N3" s="857"/>
      <c r="O3" s="857"/>
      <c r="P3" s="857"/>
      <c r="Q3" s="857"/>
    </row>
    <row r="4" spans="1:17">
      <c r="A4" s="185"/>
      <c r="B4" s="186"/>
      <c r="C4" s="186"/>
      <c r="D4" s="186"/>
      <c r="E4" s="565"/>
      <c r="F4" s="186"/>
      <c r="G4" s="198"/>
      <c r="H4" s="198"/>
      <c r="I4" s="198"/>
      <c r="J4" s="198"/>
      <c r="K4" s="198"/>
      <c r="L4" s="198"/>
      <c r="M4" s="198"/>
      <c r="N4" s="184"/>
      <c r="O4" s="198"/>
      <c r="P4" s="198"/>
      <c r="Q4" s="198"/>
    </row>
    <row r="5" spans="1:17">
      <c r="A5" s="185"/>
      <c r="B5" s="186"/>
      <c r="C5" s="186"/>
      <c r="D5" s="186"/>
      <c r="E5" s="566"/>
      <c r="F5" s="186"/>
      <c r="G5" s="496" t="s">
        <v>1286</v>
      </c>
      <c r="H5" s="198"/>
      <c r="I5" s="187" t="s">
        <v>286</v>
      </c>
      <c r="J5" s="188"/>
      <c r="K5" s="187" t="s">
        <v>287</v>
      </c>
      <c r="L5" s="188"/>
      <c r="M5" s="187" t="s">
        <v>288</v>
      </c>
      <c r="N5" s="184"/>
      <c r="O5" s="187"/>
      <c r="P5" s="187"/>
      <c r="Q5" s="187"/>
    </row>
    <row r="6" spans="1:17">
      <c r="A6" s="184"/>
      <c r="B6" s="189"/>
      <c r="C6" s="190"/>
      <c r="D6" s="496"/>
      <c r="E6" s="567" t="s">
        <v>289</v>
      </c>
      <c r="F6" s="496"/>
      <c r="G6" s="496" t="s">
        <v>290</v>
      </c>
      <c r="H6" s="191"/>
      <c r="I6" s="187" t="s">
        <v>291</v>
      </c>
      <c r="J6" s="188"/>
      <c r="K6" s="187" t="s">
        <v>292</v>
      </c>
      <c r="L6" s="188"/>
      <c r="M6" s="187" t="s">
        <v>293</v>
      </c>
      <c r="N6" s="184"/>
      <c r="O6" s="187"/>
      <c r="P6" s="187"/>
      <c r="Q6" s="187" t="s">
        <v>294</v>
      </c>
    </row>
    <row r="7" spans="1:17">
      <c r="A7" s="184"/>
      <c r="B7" s="189"/>
      <c r="C7" s="496"/>
      <c r="D7" s="496"/>
      <c r="E7" s="567" t="s">
        <v>293</v>
      </c>
      <c r="F7" s="496"/>
      <c r="G7" s="192" t="s">
        <v>295</v>
      </c>
      <c r="H7" s="191"/>
      <c r="I7" s="193" t="s">
        <v>295</v>
      </c>
      <c r="J7" s="194"/>
      <c r="K7" s="193" t="s">
        <v>295</v>
      </c>
      <c r="L7" s="194"/>
      <c r="M7" s="193" t="s">
        <v>295</v>
      </c>
      <c r="N7" s="184"/>
      <c r="O7" s="187" t="s">
        <v>296</v>
      </c>
      <c r="P7" s="187"/>
      <c r="Q7" s="187" t="s">
        <v>297</v>
      </c>
    </row>
    <row r="8" spans="1:17">
      <c r="A8" s="858" t="s">
        <v>298</v>
      </c>
      <c r="B8" s="858"/>
      <c r="C8" s="858"/>
      <c r="D8" s="496"/>
      <c r="E8" s="568" t="s">
        <v>299</v>
      </c>
      <c r="F8" s="496"/>
      <c r="G8" s="195" t="s">
        <v>300</v>
      </c>
      <c r="H8" s="191"/>
      <c r="I8" s="497" t="s">
        <v>300</v>
      </c>
      <c r="J8" s="188"/>
      <c r="K8" s="497" t="s">
        <v>300</v>
      </c>
      <c r="L8" s="188"/>
      <c r="M8" s="497" t="s">
        <v>300</v>
      </c>
      <c r="N8" s="184"/>
      <c r="O8" s="206" t="s">
        <v>301</v>
      </c>
      <c r="P8" s="187"/>
      <c r="Q8" s="206" t="s">
        <v>302</v>
      </c>
    </row>
    <row r="9" spans="1:17">
      <c r="A9" s="184"/>
      <c r="B9" s="198"/>
      <c r="C9" s="190" t="s">
        <v>1369</v>
      </c>
      <c r="D9" s="198"/>
      <c r="E9" s="566"/>
      <c r="F9" s="198"/>
      <c r="G9" s="205"/>
      <c r="H9" s="198"/>
      <c r="I9" s="207"/>
      <c r="J9" s="198"/>
      <c r="K9" s="207"/>
      <c r="L9" s="198"/>
      <c r="M9" s="207"/>
      <c r="N9" s="184"/>
      <c r="O9" s="198"/>
      <c r="P9" s="198"/>
      <c r="Q9" s="198"/>
    </row>
    <row r="10" spans="1:17">
      <c r="A10" s="198"/>
      <c r="B10" s="198"/>
      <c r="C10" s="208"/>
      <c r="D10" s="198"/>
      <c r="E10" s="566"/>
      <c r="F10" s="198"/>
      <c r="G10" s="209"/>
      <c r="H10" s="198"/>
      <c r="I10" s="209"/>
      <c r="J10" s="198"/>
      <c r="K10" s="209"/>
      <c r="L10" s="198"/>
      <c r="M10" s="209"/>
      <c r="N10" s="198"/>
      <c r="O10" s="198"/>
      <c r="P10" s="198"/>
      <c r="Q10" s="198"/>
    </row>
    <row r="11" spans="1:17">
      <c r="A11" s="198"/>
      <c r="B11" s="198"/>
      <c r="C11" s="195" t="s">
        <v>191</v>
      </c>
      <c r="D11" s="198"/>
      <c r="E11" s="566"/>
      <c r="F11" s="198"/>
      <c r="G11" s="209"/>
      <c r="H11" s="198"/>
      <c r="I11" s="209"/>
      <c r="J11" s="198"/>
      <c r="K11" s="209"/>
      <c r="L11" s="198"/>
      <c r="M11" s="209"/>
      <c r="N11" s="198"/>
      <c r="O11" s="191"/>
      <c r="P11" s="191"/>
      <c r="Q11" s="191"/>
    </row>
    <row r="12" spans="1:17">
      <c r="A12" s="210"/>
      <c r="B12" s="198"/>
      <c r="C12" s="208" t="s">
        <v>1370</v>
      </c>
      <c r="D12" s="198"/>
      <c r="E12" s="566">
        <v>0</v>
      </c>
      <c r="F12" s="198"/>
      <c r="G12" s="197">
        <v>21.72</v>
      </c>
      <c r="H12" s="213"/>
      <c r="I12" s="197">
        <v>21.72</v>
      </c>
      <c r="J12" s="213"/>
      <c r="K12" s="197">
        <v>0</v>
      </c>
      <c r="L12" s="213"/>
      <c r="M12" s="197">
        <v>0</v>
      </c>
      <c r="N12" s="213"/>
      <c r="O12" s="569" t="s">
        <v>305</v>
      </c>
      <c r="P12" s="569"/>
      <c r="Q12" s="569">
        <v>3</v>
      </c>
    </row>
    <row r="13" spans="1:17">
      <c r="A13" s="210">
        <v>303.10000000000002</v>
      </c>
      <c r="B13" s="198"/>
      <c r="C13" s="208" t="s">
        <v>306</v>
      </c>
      <c r="D13" s="198"/>
      <c r="E13" s="566">
        <v>0</v>
      </c>
      <c r="F13" s="198"/>
      <c r="G13" s="197">
        <v>10.039999999999999</v>
      </c>
      <c r="H13" s="213"/>
      <c r="I13" s="197">
        <v>10.039999999999999</v>
      </c>
      <c r="J13" s="213"/>
      <c r="K13" s="197">
        <v>0</v>
      </c>
      <c r="L13" s="213"/>
      <c r="M13" s="197">
        <v>0</v>
      </c>
      <c r="N13" s="213"/>
      <c r="O13" s="569" t="s">
        <v>307</v>
      </c>
      <c r="P13" s="569"/>
      <c r="Q13" s="569">
        <v>3.5</v>
      </c>
    </row>
    <row r="14" spans="1:17">
      <c r="A14" s="210">
        <v>303</v>
      </c>
      <c r="B14" s="198"/>
      <c r="C14" s="196" t="s">
        <v>308</v>
      </c>
      <c r="D14" s="198"/>
      <c r="E14" s="566"/>
      <c r="F14" s="198"/>
      <c r="G14" s="211">
        <v>16.178079557887692</v>
      </c>
      <c r="H14" s="570"/>
      <c r="I14" s="211">
        <v>0</v>
      </c>
      <c r="J14" s="570"/>
      <c r="K14" s="211">
        <v>0</v>
      </c>
      <c r="L14" s="570"/>
      <c r="M14" s="211">
        <v>0</v>
      </c>
      <c r="N14" s="213"/>
      <c r="O14" s="202" t="s">
        <v>1899</v>
      </c>
      <c r="P14" s="569"/>
      <c r="Q14" s="202" t="s">
        <v>1904</v>
      </c>
    </row>
    <row r="15" spans="1:17">
      <c r="A15" s="198"/>
      <c r="B15" s="198"/>
      <c r="C15" s="208"/>
      <c r="D15" s="198"/>
      <c r="E15" s="566"/>
      <c r="F15" s="198"/>
      <c r="G15" s="213"/>
      <c r="H15" s="213"/>
      <c r="I15" s="213"/>
      <c r="J15" s="213"/>
      <c r="K15" s="213"/>
      <c r="L15" s="213"/>
      <c r="M15" s="213"/>
      <c r="N15" s="213"/>
      <c r="O15" s="569"/>
      <c r="P15" s="569"/>
      <c r="Q15" s="569"/>
    </row>
    <row r="16" spans="1:17">
      <c r="A16" s="198"/>
      <c r="B16" s="198"/>
      <c r="C16" s="195" t="s">
        <v>356</v>
      </c>
      <c r="D16" s="198"/>
      <c r="E16" s="566"/>
      <c r="F16" s="198"/>
      <c r="G16" s="213"/>
      <c r="H16" s="213"/>
      <c r="I16" s="213"/>
      <c r="J16" s="213"/>
      <c r="K16" s="213"/>
      <c r="L16" s="213"/>
      <c r="M16" s="213"/>
      <c r="N16" s="213"/>
      <c r="O16" s="569"/>
      <c r="P16" s="569"/>
      <c r="Q16" s="569"/>
    </row>
    <row r="17" spans="1:17">
      <c r="A17" s="198"/>
      <c r="B17" s="198"/>
      <c r="C17" s="208" t="s">
        <v>323</v>
      </c>
      <c r="D17" s="198"/>
      <c r="E17" s="566"/>
      <c r="F17" s="198"/>
      <c r="G17" s="213"/>
      <c r="H17" s="213"/>
      <c r="I17" s="213"/>
      <c r="J17" s="213"/>
      <c r="K17" s="213"/>
      <c r="L17" s="213"/>
      <c r="M17" s="213"/>
      <c r="N17" s="213"/>
      <c r="O17" s="569"/>
      <c r="P17" s="569"/>
      <c r="Q17" s="569"/>
    </row>
    <row r="18" spans="1:17">
      <c r="A18" s="210">
        <v>390.1</v>
      </c>
      <c r="B18" s="198"/>
      <c r="C18" s="204" t="s">
        <v>1371</v>
      </c>
      <c r="D18" s="198"/>
      <c r="E18" s="566">
        <v>-10</v>
      </c>
      <c r="F18" s="198"/>
      <c r="G18" s="197">
        <v>2.75</v>
      </c>
      <c r="H18" s="213"/>
      <c r="I18" s="197">
        <v>2.39</v>
      </c>
      <c r="J18" s="213"/>
      <c r="K18" s="197">
        <v>0.36</v>
      </c>
      <c r="L18" s="213"/>
      <c r="M18" s="197">
        <v>0</v>
      </c>
      <c r="N18" s="213"/>
      <c r="O18" s="569" t="s">
        <v>1700</v>
      </c>
      <c r="P18" s="569"/>
      <c r="Q18" s="569">
        <v>27.6</v>
      </c>
    </row>
    <row r="19" spans="1:17">
      <c r="A19" s="197">
        <v>390.2</v>
      </c>
      <c r="B19" s="198"/>
      <c r="C19" s="204" t="s">
        <v>1372</v>
      </c>
      <c r="D19" s="198"/>
      <c r="E19" s="566">
        <v>-5</v>
      </c>
      <c r="F19" s="198"/>
      <c r="G19" s="197">
        <v>2.56</v>
      </c>
      <c r="H19" s="213"/>
      <c r="I19" s="197">
        <v>2.44</v>
      </c>
      <c r="J19" s="213"/>
      <c r="K19" s="197">
        <v>0.12</v>
      </c>
      <c r="L19" s="213"/>
      <c r="M19" s="197">
        <v>0</v>
      </c>
      <c r="N19" s="213"/>
      <c r="O19" s="569" t="s">
        <v>1701</v>
      </c>
      <c r="P19" s="569"/>
      <c r="Q19" s="569">
        <v>18.100000000000001</v>
      </c>
    </row>
    <row r="20" spans="1:17">
      <c r="A20" s="197">
        <v>390.3</v>
      </c>
      <c r="B20" s="198"/>
      <c r="C20" s="204" t="s">
        <v>1373</v>
      </c>
      <c r="D20" s="198"/>
      <c r="E20" s="566">
        <v>-10</v>
      </c>
      <c r="F20" s="198"/>
      <c r="G20" s="197">
        <v>1.9399999999999997</v>
      </c>
      <c r="H20" s="213"/>
      <c r="I20" s="197">
        <v>1.69</v>
      </c>
      <c r="J20" s="213"/>
      <c r="K20" s="197">
        <v>0.25</v>
      </c>
      <c r="L20" s="213"/>
      <c r="M20" s="197">
        <v>0</v>
      </c>
      <c r="N20" s="213"/>
      <c r="O20" s="569" t="s">
        <v>1702</v>
      </c>
      <c r="P20" s="569"/>
      <c r="Q20" s="569">
        <v>27.6</v>
      </c>
    </row>
    <row r="21" spans="1:17">
      <c r="A21" s="213">
        <v>390.4</v>
      </c>
      <c r="B21" s="199"/>
      <c r="C21" s="204" t="s">
        <v>1374</v>
      </c>
      <c r="D21" s="198"/>
      <c r="E21" s="566">
        <v>-5</v>
      </c>
      <c r="F21" s="198"/>
      <c r="G21" s="197">
        <v>2.6100000000000003</v>
      </c>
      <c r="H21" s="213"/>
      <c r="I21" s="197">
        <v>2.27</v>
      </c>
      <c r="J21" s="213"/>
      <c r="K21" s="197">
        <v>0.33999999999999997</v>
      </c>
      <c r="L21" s="213"/>
      <c r="M21" s="197">
        <v>0</v>
      </c>
      <c r="N21" s="213"/>
      <c r="O21" s="569" t="s">
        <v>1703</v>
      </c>
      <c r="P21" s="569"/>
      <c r="Q21" s="569">
        <v>34</v>
      </c>
    </row>
    <row r="22" spans="1:17">
      <c r="A22" s="213">
        <v>390.6</v>
      </c>
      <c r="B22" s="199"/>
      <c r="C22" s="204" t="s">
        <v>1375</v>
      </c>
      <c r="D22" s="198"/>
      <c r="E22" s="566">
        <v>-5</v>
      </c>
      <c r="F22" s="198"/>
      <c r="G22" s="214">
        <v>1.9700000000000002</v>
      </c>
      <c r="H22" s="213"/>
      <c r="I22" s="197">
        <v>1.8800000000000001</v>
      </c>
      <c r="J22" s="213"/>
      <c r="K22" s="197">
        <v>0.09</v>
      </c>
      <c r="L22" s="213"/>
      <c r="M22" s="197">
        <v>0</v>
      </c>
      <c r="N22" s="213"/>
      <c r="O22" s="569" t="s">
        <v>1647</v>
      </c>
      <c r="P22" s="569"/>
      <c r="Q22" s="569">
        <v>37.1</v>
      </c>
    </row>
    <row r="23" spans="1:17">
      <c r="A23" s="213">
        <v>390</v>
      </c>
      <c r="B23" s="199"/>
      <c r="C23" s="204"/>
      <c r="D23" s="198"/>
      <c r="E23" s="566"/>
      <c r="F23" s="198"/>
      <c r="G23" s="197">
        <v>2.64</v>
      </c>
      <c r="H23" s="213"/>
      <c r="I23" s="197"/>
      <c r="J23" s="213"/>
      <c r="K23" s="197"/>
      <c r="L23" s="213"/>
      <c r="M23" s="197"/>
      <c r="N23" s="213"/>
      <c r="O23" s="202" t="s">
        <v>1900</v>
      </c>
      <c r="P23" s="569"/>
      <c r="Q23" s="202" t="s">
        <v>1903</v>
      </c>
    </row>
    <row r="24" spans="1:17">
      <c r="A24" s="213"/>
      <c r="B24" s="199"/>
      <c r="C24" s="204" t="s">
        <v>1376</v>
      </c>
      <c r="D24" s="198"/>
      <c r="E24" s="566"/>
      <c r="F24" s="198"/>
      <c r="G24" s="197"/>
      <c r="H24" s="213"/>
      <c r="I24" s="197"/>
      <c r="J24" s="213"/>
      <c r="K24" s="197"/>
      <c r="L24" s="213"/>
      <c r="M24" s="197"/>
      <c r="N24" s="213"/>
      <c r="O24" s="569"/>
      <c r="P24" s="569"/>
      <c r="Q24" s="569"/>
    </row>
    <row r="25" spans="1:17">
      <c r="A25" s="213">
        <v>391.1</v>
      </c>
      <c r="B25" s="199"/>
      <c r="C25" s="204" t="s">
        <v>1377</v>
      </c>
      <c r="D25" s="198"/>
      <c r="E25" s="566">
        <v>0</v>
      </c>
      <c r="F25" s="198"/>
      <c r="G25" s="197">
        <v>1.41</v>
      </c>
      <c r="H25" s="213"/>
      <c r="I25" s="197">
        <v>1.41</v>
      </c>
      <c r="J25" s="213"/>
      <c r="K25" s="197">
        <v>0</v>
      </c>
      <c r="L25" s="213"/>
      <c r="M25" s="197">
        <v>0</v>
      </c>
      <c r="N25" s="213"/>
      <c r="O25" s="569" t="s">
        <v>304</v>
      </c>
      <c r="P25" s="569"/>
      <c r="Q25" s="569">
        <v>18</v>
      </c>
    </row>
    <row r="26" spans="1:17">
      <c r="A26" s="213">
        <v>391.2</v>
      </c>
      <c r="B26" s="199"/>
      <c r="C26" s="204" t="s">
        <v>1378</v>
      </c>
      <c r="D26" s="198"/>
      <c r="E26" s="566">
        <v>0</v>
      </c>
      <c r="F26" s="198"/>
      <c r="G26" s="197">
        <v>13.530000000000001</v>
      </c>
      <c r="H26" s="213"/>
      <c r="I26" s="197">
        <v>13.530000000000001</v>
      </c>
      <c r="J26" s="213"/>
      <c r="K26" s="197">
        <v>0</v>
      </c>
      <c r="L26" s="213"/>
      <c r="M26" s="197">
        <v>0</v>
      </c>
      <c r="N26" s="213"/>
      <c r="O26" s="569" t="s">
        <v>1379</v>
      </c>
      <c r="P26" s="569"/>
      <c r="Q26" s="569">
        <v>4.9000000000000004</v>
      </c>
    </row>
    <row r="27" spans="1:17">
      <c r="A27" s="213">
        <v>391.3</v>
      </c>
      <c r="B27" s="199"/>
      <c r="C27" s="204" t="s">
        <v>1380</v>
      </c>
      <c r="D27" s="198"/>
      <c r="E27" s="566">
        <v>0</v>
      </c>
      <c r="F27" s="198"/>
      <c r="G27" s="197">
        <v>18.59</v>
      </c>
      <c r="H27" s="213"/>
      <c r="I27" s="197">
        <v>18.59</v>
      </c>
      <c r="J27" s="213"/>
      <c r="K27" s="197">
        <v>0</v>
      </c>
      <c r="L27" s="213"/>
      <c r="M27" s="197">
        <v>0</v>
      </c>
      <c r="N27" s="213"/>
      <c r="O27" s="569" t="s">
        <v>305</v>
      </c>
      <c r="P27" s="569"/>
      <c r="Q27" s="569">
        <v>3.1</v>
      </c>
    </row>
    <row r="28" spans="1:17">
      <c r="A28" s="213">
        <v>391.31</v>
      </c>
      <c r="B28" s="199"/>
      <c r="C28" s="204" t="s">
        <v>1381</v>
      </c>
      <c r="D28" s="198"/>
      <c r="E28" s="566">
        <v>0</v>
      </c>
      <c r="F28" s="198"/>
      <c r="G28" s="197">
        <v>21.71</v>
      </c>
      <c r="H28" s="213"/>
      <c r="I28" s="197">
        <v>21.71</v>
      </c>
      <c r="J28" s="213"/>
      <c r="K28" s="197">
        <v>0</v>
      </c>
      <c r="L28" s="213"/>
      <c r="M28" s="197">
        <v>0</v>
      </c>
      <c r="N28" s="213"/>
      <c r="O28" s="569" t="s">
        <v>357</v>
      </c>
      <c r="P28" s="569"/>
      <c r="Q28" s="569">
        <v>2.8</v>
      </c>
    </row>
    <row r="29" spans="1:17">
      <c r="A29" s="213">
        <v>391.4</v>
      </c>
      <c r="B29" s="199"/>
      <c r="C29" s="204" t="s">
        <v>1382</v>
      </c>
      <c r="D29" s="198"/>
      <c r="E29" s="566">
        <v>0</v>
      </c>
      <c r="F29" s="198"/>
      <c r="G29" s="214">
        <v>0</v>
      </c>
      <c r="H29" s="213"/>
      <c r="I29" s="197">
        <v>0</v>
      </c>
      <c r="J29" s="213"/>
      <c r="K29" s="197">
        <v>0</v>
      </c>
      <c r="L29" s="213"/>
      <c r="M29" s="197">
        <v>0</v>
      </c>
      <c r="N29" s="213"/>
      <c r="O29" s="202"/>
      <c r="P29" s="569"/>
      <c r="Q29" s="202"/>
    </row>
    <row r="30" spans="1:17">
      <c r="A30" s="213">
        <v>391</v>
      </c>
      <c r="B30" s="199"/>
      <c r="C30" s="204"/>
      <c r="D30" s="198"/>
      <c r="E30" s="566"/>
      <c r="F30" s="198"/>
      <c r="G30" s="197">
        <v>15.79</v>
      </c>
      <c r="H30" s="213"/>
      <c r="I30" s="197"/>
      <c r="J30" s="213"/>
      <c r="K30" s="197"/>
      <c r="L30" s="213"/>
      <c r="M30" s="197"/>
      <c r="N30" s="213"/>
      <c r="O30" s="202" t="s">
        <v>1902</v>
      </c>
      <c r="P30" s="569"/>
      <c r="Q30" s="202" t="s">
        <v>1906</v>
      </c>
    </row>
    <row r="31" spans="1:17">
      <c r="A31" s="213"/>
      <c r="B31" s="199"/>
      <c r="C31" s="204"/>
      <c r="D31" s="198"/>
      <c r="E31" s="566"/>
      <c r="F31" s="198"/>
      <c r="G31" s="197"/>
      <c r="H31" s="213"/>
      <c r="I31" s="197"/>
      <c r="J31" s="213"/>
      <c r="K31" s="197"/>
      <c r="L31" s="213"/>
      <c r="M31" s="197"/>
      <c r="N31" s="213"/>
      <c r="O31" s="569"/>
      <c r="P31" s="569"/>
      <c r="Q31" s="569"/>
    </row>
    <row r="32" spans="1:17">
      <c r="A32" s="197"/>
      <c r="B32" s="198"/>
      <c r="C32" s="204" t="s">
        <v>1383</v>
      </c>
      <c r="D32" s="198"/>
      <c r="E32" s="566"/>
      <c r="F32" s="198"/>
      <c r="G32" s="571">
        <v>1.21</v>
      </c>
      <c r="H32" s="213"/>
      <c r="I32" s="197">
        <v>1.21</v>
      </c>
      <c r="J32" s="213"/>
      <c r="K32" s="197">
        <v>0</v>
      </c>
      <c r="L32" s="213"/>
      <c r="M32" s="197">
        <v>0</v>
      </c>
      <c r="N32" s="213"/>
      <c r="O32" s="569" t="s">
        <v>1704</v>
      </c>
      <c r="P32" s="569"/>
      <c r="Q32" s="569">
        <v>3.3</v>
      </c>
    </row>
    <row r="33" spans="1:17">
      <c r="A33" s="213">
        <v>392.1</v>
      </c>
      <c r="B33" s="199"/>
      <c r="C33" s="204" t="s">
        <v>1384</v>
      </c>
      <c r="D33" s="198"/>
      <c r="E33" s="566">
        <v>0</v>
      </c>
      <c r="F33" s="198"/>
      <c r="G33" s="197">
        <v>3.47</v>
      </c>
      <c r="H33" s="213"/>
      <c r="I33" s="197">
        <v>3.47</v>
      </c>
      <c r="J33" s="213"/>
      <c r="K33" s="197">
        <v>0</v>
      </c>
      <c r="L33" s="213"/>
      <c r="M33" s="197">
        <v>0</v>
      </c>
      <c r="N33" s="213"/>
      <c r="O33" s="569" t="s">
        <v>1705</v>
      </c>
      <c r="P33" s="569"/>
      <c r="Q33" s="569">
        <v>8.6</v>
      </c>
    </row>
    <row r="34" spans="1:17">
      <c r="A34" s="213">
        <v>392.2</v>
      </c>
      <c r="B34" s="199"/>
      <c r="C34" s="204" t="s">
        <v>1385</v>
      </c>
      <c r="D34" s="198"/>
      <c r="E34" s="566">
        <v>5</v>
      </c>
      <c r="F34" s="198"/>
      <c r="G34" s="197">
        <v>5.63</v>
      </c>
      <c r="H34" s="213"/>
      <c r="I34" s="197">
        <v>5.63</v>
      </c>
      <c r="J34" s="213"/>
      <c r="K34" s="197">
        <v>0</v>
      </c>
      <c r="L34" s="213"/>
      <c r="M34" s="197">
        <v>0</v>
      </c>
      <c r="N34" s="213"/>
      <c r="O34" s="569" t="s">
        <v>1706</v>
      </c>
      <c r="P34" s="569"/>
      <c r="Q34" s="569">
        <v>13.9</v>
      </c>
    </row>
    <row r="35" spans="1:17">
      <c r="A35" s="213">
        <v>393</v>
      </c>
      <c r="B35" s="199"/>
      <c r="C35" s="204" t="s">
        <v>1386</v>
      </c>
      <c r="D35" s="198"/>
      <c r="E35" s="566">
        <v>0</v>
      </c>
      <c r="F35" s="198"/>
      <c r="G35" s="197">
        <v>5.15</v>
      </c>
      <c r="H35" s="213"/>
      <c r="I35" s="197">
        <v>5.15</v>
      </c>
      <c r="J35" s="213"/>
      <c r="K35" s="197">
        <v>0</v>
      </c>
      <c r="L35" s="213"/>
      <c r="M35" s="197">
        <v>0</v>
      </c>
      <c r="N35" s="213"/>
      <c r="O35" s="569" t="s">
        <v>360</v>
      </c>
      <c r="P35" s="569"/>
      <c r="Q35" s="569">
        <v>8.6999999999999993</v>
      </c>
    </row>
    <row r="36" spans="1:17">
      <c r="A36" s="213">
        <v>394</v>
      </c>
      <c r="B36" s="199"/>
      <c r="C36" s="204" t="s">
        <v>1365</v>
      </c>
      <c r="D36" s="198"/>
      <c r="E36" s="566">
        <v>0</v>
      </c>
      <c r="F36" s="198"/>
      <c r="G36" s="197">
        <v>4.25</v>
      </c>
      <c r="H36" s="213"/>
      <c r="I36" s="197">
        <v>4.25</v>
      </c>
      <c r="J36" s="213"/>
      <c r="K36" s="197">
        <v>0</v>
      </c>
      <c r="L36" s="213"/>
      <c r="M36" s="197">
        <v>0</v>
      </c>
      <c r="N36" s="213"/>
      <c r="O36" s="569" t="s">
        <v>360</v>
      </c>
      <c r="P36" s="569"/>
      <c r="Q36" s="569">
        <v>11.7</v>
      </c>
    </row>
    <row r="37" spans="1:17">
      <c r="A37" s="213"/>
      <c r="B37" s="199"/>
      <c r="C37" s="204" t="s">
        <v>1387</v>
      </c>
      <c r="D37" s="198"/>
      <c r="E37" s="566">
        <v>0</v>
      </c>
      <c r="F37" s="198"/>
      <c r="G37" s="197">
        <v>1.4</v>
      </c>
      <c r="H37" s="213"/>
      <c r="I37" s="197">
        <v>1.4</v>
      </c>
      <c r="J37" s="213"/>
      <c r="K37" s="197">
        <v>0</v>
      </c>
      <c r="L37" s="213"/>
      <c r="M37" s="197">
        <v>0</v>
      </c>
      <c r="N37" s="197"/>
      <c r="O37" s="569" t="s">
        <v>1708</v>
      </c>
      <c r="P37" s="569"/>
      <c r="Q37" s="569">
        <v>7.6</v>
      </c>
    </row>
    <row r="38" spans="1:17">
      <c r="A38" s="197">
        <v>396.2</v>
      </c>
      <c r="B38" s="198"/>
      <c r="C38" s="204" t="s">
        <v>1388</v>
      </c>
      <c r="D38" s="198"/>
      <c r="E38" s="566">
        <v>10</v>
      </c>
      <c r="F38" s="198"/>
      <c r="G38" s="197">
        <v>0.33</v>
      </c>
      <c r="H38" s="213"/>
      <c r="I38" s="197">
        <v>0.33</v>
      </c>
      <c r="J38" s="213"/>
      <c r="K38" s="197">
        <v>0</v>
      </c>
      <c r="L38" s="213"/>
      <c r="M38" s="197">
        <v>0</v>
      </c>
      <c r="N38" s="213"/>
      <c r="O38" s="569" t="s">
        <v>1707</v>
      </c>
      <c r="P38" s="569"/>
      <c r="Q38" s="569">
        <v>16</v>
      </c>
    </row>
    <row r="39" spans="1:17">
      <c r="A39" s="213"/>
      <c r="B39" s="199"/>
      <c r="C39" s="204" t="s">
        <v>361</v>
      </c>
      <c r="D39" s="198"/>
      <c r="E39" s="566">
        <v>0</v>
      </c>
      <c r="F39" s="198"/>
      <c r="G39" s="197">
        <v>0.79</v>
      </c>
      <c r="H39" s="213"/>
      <c r="I39" s="197">
        <v>0.79</v>
      </c>
      <c r="J39" s="213"/>
      <c r="K39" s="197">
        <v>0</v>
      </c>
      <c r="L39" s="213"/>
      <c r="M39" s="197">
        <v>0</v>
      </c>
      <c r="N39" s="213"/>
      <c r="O39" s="569" t="s">
        <v>1709</v>
      </c>
      <c r="P39" s="569"/>
      <c r="Q39" s="569">
        <v>20.9</v>
      </c>
    </row>
    <row r="40" spans="1:17">
      <c r="A40" s="213">
        <v>397.1</v>
      </c>
      <c r="B40" s="199"/>
      <c r="C40" s="204" t="s">
        <v>1389</v>
      </c>
      <c r="D40" s="198"/>
      <c r="E40" s="566">
        <v>0</v>
      </c>
      <c r="F40" s="198"/>
      <c r="G40" s="407">
        <v>3.13</v>
      </c>
      <c r="I40" s="407">
        <v>3.13</v>
      </c>
      <c r="K40" s="407">
        <v>0</v>
      </c>
      <c r="M40" s="407">
        <v>0</v>
      </c>
      <c r="O40" s="572" t="s">
        <v>362</v>
      </c>
      <c r="P40" s="572"/>
      <c r="Q40" s="572">
        <v>8.1999999999999993</v>
      </c>
    </row>
    <row r="41" spans="1:17">
      <c r="A41" s="213"/>
      <c r="B41" s="199"/>
      <c r="C41" s="204"/>
      <c r="D41" s="198"/>
      <c r="E41" s="566"/>
      <c r="F41" s="198"/>
      <c r="G41" s="573">
        <v>1.98</v>
      </c>
      <c r="O41" s="572"/>
      <c r="P41" s="572"/>
      <c r="Q41" s="572"/>
    </row>
    <row r="42" spans="1:17">
      <c r="A42" s="213"/>
      <c r="B42" s="199"/>
      <c r="C42" s="204"/>
      <c r="D42" s="198"/>
      <c r="E42" s="566"/>
      <c r="F42" s="198"/>
      <c r="G42" s="574"/>
      <c r="O42" s="572"/>
      <c r="P42" s="572"/>
      <c r="Q42" s="572"/>
    </row>
    <row r="43" spans="1:17">
      <c r="A43" s="213"/>
      <c r="B43" s="198"/>
      <c r="C43" s="196" t="s">
        <v>363</v>
      </c>
      <c r="D43" s="198"/>
      <c r="E43" s="566"/>
      <c r="F43" s="198"/>
      <c r="G43" s="211">
        <v>4.5599999999999996</v>
      </c>
      <c r="H43" s="189"/>
      <c r="I43" s="212"/>
      <c r="J43" s="189"/>
      <c r="K43" s="212"/>
      <c r="L43" s="189"/>
      <c r="M43" s="212"/>
      <c r="N43" s="198"/>
      <c r="O43" s="191"/>
      <c r="P43" s="191"/>
      <c r="Q43" s="191"/>
    </row>
    <row r="44" spans="1:17">
      <c r="A44" s="213"/>
      <c r="B44" s="198"/>
      <c r="C44" s="204"/>
      <c r="D44" s="198"/>
      <c r="E44" s="566" t="s">
        <v>1390</v>
      </c>
      <c r="F44" s="198"/>
      <c r="G44" s="209"/>
      <c r="H44" s="198"/>
      <c r="I44" s="209"/>
      <c r="J44" s="198"/>
      <c r="K44" s="209"/>
      <c r="L44" s="198"/>
      <c r="M44" s="209"/>
      <c r="N44" s="198"/>
      <c r="O44" s="191"/>
      <c r="P44" s="198"/>
      <c r="Q44" s="191"/>
    </row>
    <row r="45" spans="1:17">
      <c r="A45" s="213"/>
      <c r="B45" s="198"/>
      <c r="C45" s="196" t="s">
        <v>364</v>
      </c>
      <c r="D45" s="198"/>
      <c r="E45" s="566"/>
      <c r="F45" s="198"/>
      <c r="G45" s="211"/>
      <c r="H45" s="189"/>
      <c r="I45" s="212"/>
      <c r="J45" s="189"/>
      <c r="K45" s="212"/>
      <c r="L45" s="189"/>
      <c r="M45" s="212"/>
      <c r="N45" s="198"/>
      <c r="O45" s="191"/>
      <c r="P45" s="198"/>
      <c r="Q45" s="191"/>
    </row>
    <row r="46" spans="1:17">
      <c r="A46" s="184"/>
      <c r="B46" s="198"/>
      <c r="C46" s="196"/>
      <c r="D46" s="198"/>
      <c r="E46" s="566"/>
      <c r="F46" s="198"/>
      <c r="G46" s="205"/>
      <c r="H46" s="198"/>
      <c r="I46" s="198"/>
      <c r="J46" s="198"/>
      <c r="K46" s="198"/>
      <c r="L46" s="198"/>
      <c r="M46" s="198"/>
      <c r="N46" s="184"/>
      <c r="O46" s="191"/>
      <c r="P46" s="198"/>
      <c r="Q46" s="191"/>
    </row>
    <row r="47" spans="1:17">
      <c r="A47" s="184"/>
      <c r="B47" s="198"/>
      <c r="C47" s="196"/>
      <c r="D47" s="198"/>
      <c r="E47" s="566"/>
      <c r="F47" s="198"/>
      <c r="G47" s="205"/>
      <c r="H47" s="198"/>
      <c r="I47" s="198"/>
      <c r="J47" s="198"/>
      <c r="K47" s="198"/>
      <c r="L47" s="198"/>
      <c r="M47" s="198"/>
      <c r="N47" s="184"/>
      <c r="O47" s="191"/>
      <c r="P47" s="198"/>
      <c r="Q47" s="191"/>
    </row>
    <row r="48" spans="1:17">
      <c r="A48" s="197"/>
      <c r="B48" s="198"/>
      <c r="C48" s="204" t="s">
        <v>1383</v>
      </c>
      <c r="D48" s="198"/>
      <c r="E48" s="566">
        <v>0</v>
      </c>
      <c r="F48" s="198"/>
      <c r="G48" s="197">
        <f>G32</f>
        <v>1.21</v>
      </c>
      <c r="H48" s="197"/>
      <c r="I48" s="197">
        <f t="shared" ref="I48:Q48" si="0">I32</f>
        <v>1.21</v>
      </c>
      <c r="J48" s="197"/>
      <c r="K48" s="197">
        <f t="shared" si="0"/>
        <v>0</v>
      </c>
      <c r="L48" s="197"/>
      <c r="M48" s="197">
        <f t="shared" si="0"/>
        <v>0</v>
      </c>
      <c r="N48" s="197"/>
      <c r="O48" s="569" t="str">
        <f t="shared" si="0"/>
        <v>9-S2.5</v>
      </c>
      <c r="P48" s="197"/>
      <c r="Q48" s="569">
        <f t="shared" si="0"/>
        <v>3.3</v>
      </c>
    </row>
    <row r="49" spans="1:17">
      <c r="A49" s="213">
        <v>392.1</v>
      </c>
      <c r="B49" s="199"/>
      <c r="C49" s="204" t="s">
        <v>1384</v>
      </c>
      <c r="D49" s="198"/>
      <c r="E49" s="566">
        <v>0</v>
      </c>
      <c r="F49" s="198"/>
      <c r="G49" s="197">
        <f t="shared" ref="G49:Q50" si="1">G33</f>
        <v>3.47</v>
      </c>
      <c r="H49" s="197"/>
      <c r="I49" s="197">
        <f t="shared" si="1"/>
        <v>3.47</v>
      </c>
      <c r="J49" s="197"/>
      <c r="K49" s="197">
        <f t="shared" si="1"/>
        <v>0</v>
      </c>
      <c r="L49" s="197"/>
      <c r="M49" s="197">
        <f t="shared" si="1"/>
        <v>0</v>
      </c>
      <c r="N49" s="197"/>
      <c r="O49" s="569" t="str">
        <f t="shared" si="1"/>
        <v>12-S0.5</v>
      </c>
      <c r="P49" s="197"/>
      <c r="Q49" s="569">
        <f t="shared" si="1"/>
        <v>8.6</v>
      </c>
    </row>
    <row r="50" spans="1:17">
      <c r="A50" s="213">
        <v>392.2</v>
      </c>
      <c r="B50" s="199"/>
      <c r="C50" s="204" t="s">
        <v>1385</v>
      </c>
      <c r="D50" s="198"/>
      <c r="E50" s="566">
        <v>5</v>
      </c>
      <c r="F50" s="198"/>
      <c r="G50" s="197">
        <f t="shared" si="1"/>
        <v>5.63</v>
      </c>
      <c r="H50" s="197"/>
      <c r="I50" s="197">
        <f t="shared" si="1"/>
        <v>5.63</v>
      </c>
      <c r="J50" s="197"/>
      <c r="K50" s="197">
        <f t="shared" si="1"/>
        <v>0</v>
      </c>
      <c r="L50" s="197"/>
      <c r="M50" s="197">
        <f t="shared" si="1"/>
        <v>0</v>
      </c>
      <c r="N50" s="197"/>
      <c r="O50" s="569" t="str">
        <f t="shared" si="1"/>
        <v>23-L1.5</v>
      </c>
      <c r="P50" s="197"/>
      <c r="Q50" s="569">
        <f t="shared" si="1"/>
        <v>13.9</v>
      </c>
    </row>
    <row r="51" spans="1:17">
      <c r="A51" s="213">
        <v>392</v>
      </c>
      <c r="B51" s="199"/>
      <c r="C51" s="204"/>
      <c r="D51" s="198"/>
      <c r="E51" s="566"/>
      <c r="F51" s="198"/>
      <c r="G51" s="575">
        <v>3.68</v>
      </c>
      <c r="H51" s="198"/>
      <c r="I51" s="197"/>
      <c r="J51" s="198"/>
      <c r="K51" s="200"/>
      <c r="L51" s="198"/>
      <c r="M51" s="200"/>
      <c r="N51" s="198"/>
      <c r="O51" s="191" t="s">
        <v>1887</v>
      </c>
      <c r="P51" s="198"/>
      <c r="Q51" s="223" t="s">
        <v>1394</v>
      </c>
    </row>
    <row r="52" spans="1:17">
      <c r="A52" s="213"/>
      <c r="B52" s="199"/>
      <c r="C52" s="204"/>
      <c r="D52" s="198"/>
      <c r="E52" s="566"/>
      <c r="F52" s="198"/>
      <c r="G52" s="197"/>
      <c r="H52" s="198"/>
      <c r="I52" s="197"/>
      <c r="J52" s="198"/>
      <c r="K52" s="200"/>
      <c r="L52" s="198"/>
      <c r="M52" s="200"/>
      <c r="N52" s="198"/>
      <c r="O52" s="191"/>
      <c r="P52" s="198"/>
      <c r="Q52" s="191"/>
    </row>
    <row r="53" spans="1:17">
      <c r="A53" s="213"/>
      <c r="B53" s="199"/>
      <c r="C53" s="204" t="s">
        <v>1387</v>
      </c>
      <c r="D53" s="198"/>
      <c r="E53" s="566">
        <v>0</v>
      </c>
      <c r="F53" s="198"/>
      <c r="G53" s="197">
        <f>G37</f>
        <v>1.4</v>
      </c>
      <c r="H53" s="197"/>
      <c r="I53" s="197">
        <f t="shared" ref="I53:Q54" si="2">I37</f>
        <v>1.4</v>
      </c>
      <c r="J53" s="197"/>
      <c r="K53" s="197">
        <f t="shared" si="2"/>
        <v>0</v>
      </c>
      <c r="L53" s="197"/>
      <c r="M53" s="197">
        <f t="shared" si="2"/>
        <v>0</v>
      </c>
      <c r="N53" s="197"/>
      <c r="O53" s="569" t="str">
        <f t="shared" si="2"/>
        <v>24-L2.5</v>
      </c>
      <c r="P53" s="197"/>
      <c r="Q53" s="569">
        <f t="shared" si="2"/>
        <v>7.6</v>
      </c>
    </row>
    <row r="54" spans="1:17">
      <c r="A54" s="197">
        <v>396.2</v>
      </c>
      <c r="B54" s="198"/>
      <c r="C54" s="204" t="s">
        <v>1388</v>
      </c>
      <c r="D54" s="198"/>
      <c r="E54" s="566">
        <v>10</v>
      </c>
      <c r="F54" s="198"/>
      <c r="G54" s="197">
        <f>G38</f>
        <v>0.33</v>
      </c>
      <c r="H54" s="197"/>
      <c r="I54" s="197">
        <f t="shared" si="2"/>
        <v>0.33</v>
      </c>
      <c r="J54" s="197"/>
      <c r="K54" s="197">
        <f t="shared" si="2"/>
        <v>0</v>
      </c>
      <c r="L54" s="197"/>
      <c r="M54" s="197">
        <f t="shared" si="2"/>
        <v>0</v>
      </c>
      <c r="N54" s="197"/>
      <c r="O54" s="569" t="str">
        <f t="shared" si="2"/>
        <v>22-L4</v>
      </c>
      <c r="P54" s="197"/>
      <c r="Q54" s="569">
        <f t="shared" si="2"/>
        <v>16</v>
      </c>
    </row>
    <row r="55" spans="1:17">
      <c r="A55" s="213">
        <v>396</v>
      </c>
      <c r="B55" s="198"/>
      <c r="C55" s="198"/>
      <c r="D55" s="198"/>
      <c r="E55" s="576"/>
      <c r="F55" s="198"/>
      <c r="G55" s="577">
        <v>0.38</v>
      </c>
      <c r="H55" s="198"/>
      <c r="I55" s="198"/>
      <c r="J55" s="198"/>
      <c r="K55" s="198"/>
      <c r="L55" s="198"/>
      <c r="M55" s="198"/>
      <c r="N55" s="198"/>
      <c r="O55" s="191" t="s">
        <v>1711</v>
      </c>
      <c r="P55" s="198"/>
      <c r="Q55" s="223" t="s">
        <v>1393</v>
      </c>
    </row>
    <row r="56" spans="1:17">
      <c r="O56" s="572"/>
      <c r="Q56" s="572"/>
    </row>
    <row r="57" spans="1:17">
      <c r="A57" s="213"/>
      <c r="B57" s="199"/>
      <c r="C57" s="204" t="s">
        <v>361</v>
      </c>
      <c r="D57" s="198"/>
      <c r="E57" s="566">
        <v>0</v>
      </c>
      <c r="F57" s="198"/>
      <c r="G57" s="197">
        <f>G39</f>
        <v>0.79</v>
      </c>
      <c r="H57" s="197"/>
      <c r="I57" s="197">
        <f t="shared" ref="I57:Q58" si="3">I39</f>
        <v>0.79</v>
      </c>
      <c r="J57" s="197"/>
      <c r="K57" s="197">
        <f t="shared" si="3"/>
        <v>0</v>
      </c>
      <c r="L57" s="197"/>
      <c r="M57" s="197">
        <f t="shared" si="3"/>
        <v>0</v>
      </c>
      <c r="N57" s="197"/>
      <c r="O57" s="569" t="str">
        <f t="shared" si="3"/>
        <v>22-L2</v>
      </c>
      <c r="P57" s="197"/>
      <c r="Q57" s="569">
        <f t="shared" si="3"/>
        <v>20.9</v>
      </c>
    </row>
    <row r="58" spans="1:17">
      <c r="A58" s="213">
        <v>397.1</v>
      </c>
      <c r="B58" s="199"/>
      <c r="C58" s="204" t="s">
        <v>1389</v>
      </c>
      <c r="D58" s="198"/>
      <c r="E58" s="566">
        <v>0</v>
      </c>
      <c r="F58" s="198"/>
      <c r="G58" s="197">
        <f>G40</f>
        <v>3.13</v>
      </c>
      <c r="H58" s="197"/>
      <c r="I58" s="197">
        <f t="shared" si="3"/>
        <v>3.13</v>
      </c>
      <c r="J58" s="197"/>
      <c r="K58" s="197">
        <f t="shared" si="3"/>
        <v>0</v>
      </c>
      <c r="L58" s="197"/>
      <c r="M58" s="197">
        <f t="shared" si="3"/>
        <v>0</v>
      </c>
      <c r="N58" s="197"/>
      <c r="O58" s="569" t="str">
        <f t="shared" si="3"/>
        <v>10-SQ</v>
      </c>
      <c r="P58" s="197"/>
      <c r="Q58" s="569">
        <f t="shared" si="3"/>
        <v>8.1999999999999993</v>
      </c>
    </row>
    <row r="59" spans="1:17">
      <c r="A59" s="213">
        <v>397</v>
      </c>
      <c r="B59" s="198"/>
      <c r="C59" s="198"/>
      <c r="D59" s="198"/>
      <c r="E59" s="576"/>
      <c r="F59" s="198"/>
      <c r="G59" s="577">
        <v>1.69</v>
      </c>
      <c r="H59" s="198"/>
      <c r="I59" s="198"/>
      <c r="J59" s="198"/>
      <c r="K59" s="198"/>
      <c r="L59" s="198"/>
      <c r="M59" s="198"/>
      <c r="N59" s="198"/>
      <c r="O59" s="191" t="s">
        <v>1710</v>
      </c>
      <c r="P59" s="198"/>
      <c r="Q59" s="223" t="s">
        <v>1392</v>
      </c>
    </row>
    <row r="60" spans="1:17">
      <c r="O60" s="572"/>
      <c r="Q60" s="572"/>
    </row>
    <row r="61" spans="1:17">
      <c r="O61" s="572"/>
      <c r="Q61" s="572"/>
    </row>
    <row r="62" spans="1:17">
      <c r="O62" s="572"/>
      <c r="Q62" s="572"/>
    </row>
    <row r="63" spans="1:17">
      <c r="O63" s="572"/>
      <c r="Q63" s="572"/>
    </row>
    <row r="64" spans="1:17">
      <c r="Q64" s="572"/>
    </row>
    <row r="65" spans="17:17">
      <c r="Q65" s="572"/>
    </row>
    <row r="66" spans="17:17">
      <c r="Q66" s="572"/>
    </row>
    <row r="67" spans="17:17">
      <c r="Q67" s="572"/>
    </row>
    <row r="68" spans="17:17">
      <c r="Q68" s="572"/>
    </row>
    <row r="69" spans="17:17">
      <c r="Q69" s="572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Q413"/>
  <sheetViews>
    <sheetView zoomScale="75" zoomScaleNormal="75" workbookViewId="0">
      <selection activeCell="C37" sqref="C37"/>
    </sheetView>
  </sheetViews>
  <sheetFormatPr defaultColWidth="11" defaultRowHeight="15.75"/>
  <cols>
    <col min="1" max="1" width="11" style="401" customWidth="1"/>
    <col min="2" max="2" width="3.109375" style="401" customWidth="1"/>
    <col min="3" max="3" width="69.33203125" style="401" customWidth="1"/>
    <col min="4" max="4" width="4.21875" style="401" customWidth="1"/>
    <col min="5" max="5" width="11" style="615" customWidth="1"/>
    <col min="6" max="6" width="4.21875" style="401" customWidth="1"/>
    <col min="7" max="7" width="13.21875" style="401" customWidth="1"/>
    <col min="8" max="8" width="5.33203125" style="401" customWidth="1"/>
    <col min="9" max="9" width="11.6640625" style="401" bestFit="1" customWidth="1"/>
    <col min="10" max="10" width="4.109375" style="401" customWidth="1"/>
    <col min="11" max="11" width="14.109375" style="401" bestFit="1" customWidth="1"/>
    <col min="12" max="12" width="4.109375" style="401" customWidth="1"/>
    <col min="13" max="13" width="13.88671875" style="401" bestFit="1" customWidth="1"/>
    <col min="14" max="14" width="2.77734375" style="401" customWidth="1"/>
    <col min="15" max="15" width="11" style="401"/>
    <col min="16" max="16" width="3.6640625" style="401" customWidth="1"/>
    <col min="17" max="17" width="12.44140625" style="572" bestFit="1" customWidth="1"/>
    <col min="18" max="16384" width="11" style="436"/>
  </cols>
  <sheetData>
    <row r="1" spans="1:17">
      <c r="A1" s="856" t="s">
        <v>1603</v>
      </c>
      <c r="B1" s="856"/>
      <c r="C1" s="856"/>
      <c r="D1" s="856"/>
      <c r="E1" s="856"/>
      <c r="F1" s="856"/>
      <c r="G1" s="856"/>
      <c r="H1" s="856"/>
      <c r="I1" s="856"/>
      <c r="J1" s="856"/>
      <c r="K1" s="856"/>
      <c r="L1" s="856"/>
      <c r="M1" s="856"/>
      <c r="N1" s="856"/>
      <c r="O1" s="856"/>
      <c r="P1" s="856"/>
      <c r="Q1" s="856"/>
    </row>
    <row r="2" spans="1:17">
      <c r="A2" s="856" t="s">
        <v>1368</v>
      </c>
      <c r="B2" s="856"/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  <c r="Q2" s="856"/>
    </row>
    <row r="3" spans="1:17">
      <c r="A3" s="403"/>
      <c r="B3" s="403"/>
      <c r="C3" s="403"/>
      <c r="D3" s="403"/>
      <c r="E3" s="404"/>
      <c r="F3" s="403"/>
      <c r="G3" s="403"/>
      <c r="N3" s="407"/>
    </row>
    <row r="4" spans="1:17">
      <c r="A4" s="403"/>
      <c r="B4" s="403"/>
      <c r="C4" s="403"/>
      <c r="D4" s="403"/>
      <c r="E4" s="404"/>
      <c r="F4" s="403"/>
      <c r="G4" s="403"/>
      <c r="N4" s="407"/>
    </row>
    <row r="5" spans="1:17">
      <c r="A5" s="856" t="s">
        <v>1699</v>
      </c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Q5" s="856"/>
    </row>
    <row r="6" spans="1:17">
      <c r="A6" s="856" t="s">
        <v>1888</v>
      </c>
      <c r="B6" s="856"/>
      <c r="C6" s="856"/>
      <c r="D6" s="856"/>
      <c r="E6" s="856"/>
      <c r="F6" s="856"/>
      <c r="G6" s="856"/>
      <c r="H6" s="856"/>
      <c r="I6" s="856"/>
      <c r="J6" s="856"/>
      <c r="K6" s="856"/>
      <c r="L6" s="856"/>
      <c r="M6" s="856"/>
      <c r="N6" s="856"/>
      <c r="O6" s="856"/>
      <c r="P6" s="856"/>
      <c r="Q6" s="856"/>
    </row>
    <row r="7" spans="1:17">
      <c r="A7" s="404"/>
      <c r="B7" s="406"/>
      <c r="C7" s="406"/>
      <c r="D7" s="406"/>
      <c r="E7" s="406"/>
      <c r="F7" s="406"/>
      <c r="N7" s="407"/>
    </row>
    <row r="8" spans="1:17">
      <c r="A8" s="185"/>
      <c r="B8" s="186"/>
      <c r="C8" s="186"/>
      <c r="D8" s="186"/>
      <c r="E8" s="186"/>
      <c r="F8" s="186"/>
      <c r="G8" s="198"/>
      <c r="H8" s="198"/>
      <c r="I8" s="198"/>
      <c r="J8" s="198"/>
      <c r="K8" s="198"/>
      <c r="L8" s="198"/>
      <c r="M8" s="198"/>
      <c r="N8" s="184"/>
      <c r="O8" s="198"/>
      <c r="P8" s="198"/>
      <c r="Q8" s="191"/>
    </row>
    <row r="9" spans="1:17">
      <c r="A9" s="185"/>
      <c r="B9" s="186"/>
      <c r="C9" s="186"/>
      <c r="D9" s="186"/>
      <c r="E9" s="201"/>
      <c r="F9" s="186"/>
      <c r="G9" s="496" t="s">
        <v>1286</v>
      </c>
      <c r="H9" s="198"/>
      <c r="I9" s="187" t="s">
        <v>286</v>
      </c>
      <c r="J9" s="188"/>
      <c r="K9" s="187" t="s">
        <v>287</v>
      </c>
      <c r="L9" s="188"/>
      <c r="M9" s="187" t="s">
        <v>288</v>
      </c>
      <c r="N9" s="184"/>
      <c r="O9" s="187"/>
      <c r="P9" s="187"/>
      <c r="Q9" s="187"/>
    </row>
    <row r="10" spans="1:17">
      <c r="A10" s="184"/>
      <c r="B10" s="189"/>
      <c r="C10" s="190"/>
      <c r="D10" s="496"/>
      <c r="E10" s="190" t="s">
        <v>289</v>
      </c>
      <c r="F10" s="496"/>
      <c r="G10" s="496" t="s">
        <v>290</v>
      </c>
      <c r="H10" s="191"/>
      <c r="I10" s="187" t="s">
        <v>291</v>
      </c>
      <c r="J10" s="188"/>
      <c r="K10" s="187" t="s">
        <v>292</v>
      </c>
      <c r="L10" s="188"/>
      <c r="M10" s="187" t="s">
        <v>293</v>
      </c>
      <c r="N10" s="184"/>
      <c r="O10" s="187"/>
      <c r="P10" s="187"/>
      <c r="Q10" s="187" t="s">
        <v>294</v>
      </c>
    </row>
    <row r="11" spans="1:17">
      <c r="A11" s="184"/>
      <c r="B11" s="189"/>
      <c r="C11" s="496"/>
      <c r="D11" s="496"/>
      <c r="E11" s="190" t="s">
        <v>293</v>
      </c>
      <c r="F11" s="496"/>
      <c r="G11" s="192" t="s">
        <v>295</v>
      </c>
      <c r="H11" s="191"/>
      <c r="I11" s="193" t="s">
        <v>295</v>
      </c>
      <c r="J11" s="194"/>
      <c r="K11" s="193" t="s">
        <v>295</v>
      </c>
      <c r="L11" s="194"/>
      <c r="M11" s="193" t="s">
        <v>295</v>
      </c>
      <c r="N11" s="184"/>
      <c r="O11" s="187" t="s">
        <v>296</v>
      </c>
      <c r="P11" s="187"/>
      <c r="Q11" s="187" t="s">
        <v>297</v>
      </c>
    </row>
    <row r="12" spans="1:17">
      <c r="A12" s="858" t="s">
        <v>298</v>
      </c>
      <c r="B12" s="858"/>
      <c r="C12" s="858"/>
      <c r="D12" s="496"/>
      <c r="E12" s="195" t="s">
        <v>299</v>
      </c>
      <c r="F12" s="496"/>
      <c r="G12" s="195" t="s">
        <v>300</v>
      </c>
      <c r="H12" s="191"/>
      <c r="I12" s="497" t="s">
        <v>300</v>
      </c>
      <c r="J12" s="188"/>
      <c r="K12" s="497" t="s">
        <v>300</v>
      </c>
      <c r="L12" s="188"/>
      <c r="M12" s="497" t="s">
        <v>300</v>
      </c>
      <c r="N12" s="184"/>
      <c r="O12" s="206" t="s">
        <v>301</v>
      </c>
      <c r="P12" s="187"/>
      <c r="Q12" s="206" t="s">
        <v>302</v>
      </c>
    </row>
    <row r="13" spans="1:17">
      <c r="A13" s="184"/>
      <c r="B13" s="198"/>
      <c r="C13" s="190" t="s">
        <v>1369</v>
      </c>
      <c r="D13" s="198"/>
      <c r="E13" s="201"/>
      <c r="F13" s="198"/>
      <c r="G13" s="205"/>
      <c r="H13" s="198"/>
      <c r="I13" s="207"/>
      <c r="J13" s="198"/>
      <c r="K13" s="207"/>
      <c r="L13" s="198"/>
      <c r="M13" s="207"/>
      <c r="N13" s="184"/>
      <c r="O13" s="198"/>
      <c r="P13" s="198"/>
      <c r="Q13" s="191"/>
    </row>
    <row r="14" spans="1:17">
      <c r="A14" s="198"/>
      <c r="B14" s="198"/>
      <c r="C14" s="208"/>
      <c r="D14" s="198"/>
      <c r="E14" s="201"/>
      <c r="F14" s="198"/>
      <c r="G14" s="209"/>
      <c r="H14" s="198"/>
      <c r="I14" s="209"/>
      <c r="J14" s="198"/>
      <c r="K14" s="209"/>
      <c r="L14" s="198"/>
      <c r="M14" s="209"/>
      <c r="N14" s="198"/>
      <c r="O14" s="198"/>
      <c r="P14" s="198"/>
      <c r="Q14" s="191"/>
    </row>
    <row r="15" spans="1:17">
      <c r="A15" s="198"/>
      <c r="B15" s="198"/>
      <c r="C15" s="195" t="s">
        <v>191</v>
      </c>
      <c r="D15" s="198"/>
      <c r="E15" s="201"/>
      <c r="F15" s="198"/>
      <c r="G15" s="209"/>
      <c r="H15" s="198"/>
      <c r="I15" s="209"/>
      <c r="J15" s="198"/>
      <c r="K15" s="209"/>
      <c r="L15" s="198"/>
      <c r="M15" s="209"/>
      <c r="N15" s="198"/>
      <c r="O15" s="191"/>
      <c r="P15" s="191"/>
      <c r="Q15" s="191"/>
    </row>
    <row r="16" spans="1:17">
      <c r="A16" s="210"/>
      <c r="B16" s="198"/>
      <c r="C16" s="208" t="s">
        <v>1370</v>
      </c>
      <c r="D16" s="198"/>
      <c r="E16" s="201">
        <v>0</v>
      </c>
      <c r="F16" s="198"/>
      <c r="G16" s="197">
        <v>21.72</v>
      </c>
      <c r="H16" s="213"/>
      <c r="I16" s="197">
        <v>21.72</v>
      </c>
      <c r="J16" s="213"/>
      <c r="K16" s="197">
        <v>0</v>
      </c>
      <c r="L16" s="213"/>
      <c r="M16" s="197">
        <v>0</v>
      </c>
      <c r="N16" s="213"/>
      <c r="O16" s="569" t="s">
        <v>305</v>
      </c>
      <c r="P16" s="569"/>
      <c r="Q16" s="569">
        <v>3</v>
      </c>
    </row>
    <row r="17" spans="1:17">
      <c r="A17" s="210">
        <v>303.10000000000002</v>
      </c>
      <c r="B17" s="198"/>
      <c r="C17" s="208" t="s">
        <v>306</v>
      </c>
      <c r="D17" s="198"/>
      <c r="E17" s="201">
        <v>0</v>
      </c>
      <c r="F17" s="198"/>
      <c r="G17" s="197">
        <v>10.039999999999999</v>
      </c>
      <c r="H17" s="213"/>
      <c r="I17" s="197">
        <v>10.039999999999999</v>
      </c>
      <c r="J17" s="213"/>
      <c r="K17" s="197">
        <v>0</v>
      </c>
      <c r="L17" s="213"/>
      <c r="M17" s="197">
        <v>0</v>
      </c>
      <c r="N17" s="213"/>
      <c r="O17" s="569" t="s">
        <v>307</v>
      </c>
      <c r="P17" s="569"/>
      <c r="Q17" s="569">
        <v>3.5</v>
      </c>
    </row>
    <row r="18" spans="1:17">
      <c r="A18" s="210">
        <v>303</v>
      </c>
      <c r="B18" s="198"/>
      <c r="C18" s="196" t="s">
        <v>308</v>
      </c>
      <c r="D18" s="198"/>
      <c r="E18" s="201"/>
      <c r="F18" s="198"/>
      <c r="G18" s="613">
        <v>16.178079557887692</v>
      </c>
      <c r="H18" s="570"/>
      <c r="I18" s="211">
        <v>0</v>
      </c>
      <c r="J18" s="570"/>
      <c r="K18" s="211">
        <v>0</v>
      </c>
      <c r="L18" s="570"/>
      <c r="M18" s="211">
        <v>0</v>
      </c>
      <c r="N18" s="213"/>
      <c r="O18" s="202" t="s">
        <v>1899</v>
      </c>
      <c r="P18" s="569"/>
      <c r="Q18" s="202" t="s">
        <v>1904</v>
      </c>
    </row>
    <row r="19" spans="1:17">
      <c r="A19" s="198"/>
      <c r="B19" s="198"/>
      <c r="C19" s="208"/>
      <c r="D19" s="198"/>
      <c r="E19" s="201"/>
      <c r="F19" s="198"/>
      <c r="G19" s="213"/>
      <c r="H19" s="213"/>
      <c r="I19" s="213"/>
      <c r="J19" s="213"/>
      <c r="K19" s="213"/>
      <c r="L19" s="213"/>
      <c r="M19" s="213"/>
      <c r="N19" s="213"/>
      <c r="O19" s="569"/>
      <c r="P19" s="569"/>
      <c r="Q19" s="569"/>
    </row>
    <row r="20" spans="1:17">
      <c r="A20" s="198"/>
      <c r="B20" s="198"/>
      <c r="C20" s="195" t="s">
        <v>356</v>
      </c>
      <c r="D20" s="198"/>
      <c r="E20" s="201"/>
      <c r="F20" s="198"/>
      <c r="G20" s="213"/>
      <c r="H20" s="213"/>
      <c r="I20" s="213"/>
      <c r="J20" s="213"/>
      <c r="K20" s="213"/>
      <c r="L20" s="213"/>
      <c r="M20" s="213"/>
      <c r="N20" s="213"/>
      <c r="O20" s="569"/>
      <c r="P20" s="569"/>
      <c r="Q20" s="569"/>
    </row>
    <row r="21" spans="1:17">
      <c r="A21" s="198"/>
      <c r="B21" s="198"/>
      <c r="C21" s="208" t="s">
        <v>323</v>
      </c>
      <c r="D21" s="198"/>
      <c r="E21" s="201"/>
      <c r="F21" s="198"/>
      <c r="G21" s="213"/>
      <c r="H21" s="213"/>
      <c r="I21" s="213"/>
      <c r="J21" s="213"/>
      <c r="K21" s="213"/>
      <c r="L21" s="213"/>
      <c r="M21" s="213"/>
      <c r="N21" s="213"/>
      <c r="O21" s="569"/>
      <c r="P21" s="569"/>
      <c r="Q21" s="569"/>
    </row>
    <row r="22" spans="1:17">
      <c r="A22" s="210">
        <v>390.1</v>
      </c>
      <c r="B22" s="198"/>
      <c r="C22" s="204" t="s">
        <v>1371</v>
      </c>
      <c r="D22" s="198"/>
      <c r="E22" s="201">
        <v>-10</v>
      </c>
      <c r="F22" s="198"/>
      <c r="G22" s="197">
        <v>2.75</v>
      </c>
      <c r="H22" s="213"/>
      <c r="I22" s="197">
        <v>2.39</v>
      </c>
      <c r="J22" s="213"/>
      <c r="K22" s="197">
        <v>0.36</v>
      </c>
      <c r="L22" s="213"/>
      <c r="M22" s="197">
        <v>0</v>
      </c>
      <c r="N22" s="213"/>
      <c r="O22" s="569" t="s">
        <v>1700</v>
      </c>
      <c r="P22" s="569"/>
      <c r="Q22" s="569">
        <v>27.6</v>
      </c>
    </row>
    <row r="23" spans="1:17">
      <c r="A23" s="197">
        <v>390.2</v>
      </c>
      <c r="B23" s="198"/>
      <c r="C23" s="204" t="s">
        <v>1372</v>
      </c>
      <c r="D23" s="198"/>
      <c r="E23" s="201">
        <v>-5</v>
      </c>
      <c r="F23" s="198"/>
      <c r="G23" s="197">
        <v>2.56</v>
      </c>
      <c r="H23" s="213"/>
      <c r="I23" s="197">
        <v>2.44</v>
      </c>
      <c r="J23" s="213"/>
      <c r="K23" s="197">
        <v>0.12</v>
      </c>
      <c r="L23" s="213"/>
      <c r="M23" s="197">
        <v>0</v>
      </c>
      <c r="N23" s="213"/>
      <c r="O23" s="569" t="s">
        <v>1701</v>
      </c>
      <c r="P23" s="569"/>
      <c r="Q23" s="569">
        <v>18.100000000000001</v>
      </c>
    </row>
    <row r="24" spans="1:17">
      <c r="A24" s="197">
        <v>390.3</v>
      </c>
      <c r="B24" s="198"/>
      <c r="C24" s="204" t="s">
        <v>1373</v>
      </c>
      <c r="D24" s="198"/>
      <c r="E24" s="201">
        <v>-10</v>
      </c>
      <c r="F24" s="198"/>
      <c r="G24" s="197">
        <v>1.9399999999999997</v>
      </c>
      <c r="H24" s="213"/>
      <c r="I24" s="197">
        <v>1.69</v>
      </c>
      <c r="J24" s="213"/>
      <c r="K24" s="197">
        <v>0.25</v>
      </c>
      <c r="L24" s="213"/>
      <c r="M24" s="197">
        <v>0</v>
      </c>
      <c r="N24" s="213"/>
      <c r="O24" s="569" t="s">
        <v>1702</v>
      </c>
      <c r="P24" s="569"/>
      <c r="Q24" s="569">
        <v>27.6</v>
      </c>
    </row>
    <row r="25" spans="1:17">
      <c r="A25" s="213">
        <v>390.4</v>
      </c>
      <c r="B25" s="199"/>
      <c r="C25" s="204" t="s">
        <v>1374</v>
      </c>
      <c r="D25" s="198"/>
      <c r="E25" s="201">
        <v>-5</v>
      </c>
      <c r="F25" s="198"/>
      <c r="G25" s="197">
        <v>2.6100000000000003</v>
      </c>
      <c r="H25" s="213"/>
      <c r="I25" s="197">
        <v>2.27</v>
      </c>
      <c r="J25" s="213"/>
      <c r="K25" s="197">
        <v>0.33999999999999997</v>
      </c>
      <c r="L25" s="213"/>
      <c r="M25" s="197">
        <v>0</v>
      </c>
      <c r="N25" s="213"/>
      <c r="O25" s="569" t="s">
        <v>1703</v>
      </c>
      <c r="P25" s="569"/>
      <c r="Q25" s="569">
        <v>34</v>
      </c>
    </row>
    <row r="26" spans="1:17">
      <c r="A26" s="213">
        <v>390.6</v>
      </c>
      <c r="B26" s="199"/>
      <c r="C26" s="204" t="s">
        <v>1375</v>
      </c>
      <c r="D26" s="198"/>
      <c r="E26" s="201">
        <v>-5</v>
      </c>
      <c r="F26" s="198"/>
      <c r="G26" s="214">
        <v>1.9700000000000002</v>
      </c>
      <c r="H26" s="213"/>
      <c r="I26" s="197">
        <v>1.8800000000000001</v>
      </c>
      <c r="J26" s="213"/>
      <c r="K26" s="197">
        <v>0.09</v>
      </c>
      <c r="L26" s="213"/>
      <c r="M26" s="197">
        <v>0</v>
      </c>
      <c r="N26" s="213"/>
      <c r="O26" s="569" t="s">
        <v>1647</v>
      </c>
      <c r="P26" s="569"/>
      <c r="Q26" s="569">
        <v>37.1</v>
      </c>
    </row>
    <row r="27" spans="1:17">
      <c r="A27" s="213">
        <v>390</v>
      </c>
      <c r="B27" s="199"/>
      <c r="C27" s="204"/>
      <c r="D27" s="198"/>
      <c r="E27" s="201"/>
      <c r="F27" s="198"/>
      <c r="G27" s="197">
        <v>2.64</v>
      </c>
      <c r="H27" s="213"/>
      <c r="I27" s="197"/>
      <c r="J27" s="213"/>
      <c r="K27" s="197"/>
      <c r="L27" s="213"/>
      <c r="M27" s="197"/>
      <c r="N27" s="213"/>
      <c r="O27" s="202" t="s">
        <v>1900</v>
      </c>
      <c r="P27" s="569"/>
      <c r="Q27" s="202" t="s">
        <v>1903</v>
      </c>
    </row>
    <row r="28" spans="1:17">
      <c r="A28" s="213"/>
      <c r="B28" s="199"/>
      <c r="C28" s="204" t="s">
        <v>1376</v>
      </c>
      <c r="D28" s="198"/>
      <c r="E28" s="201"/>
      <c r="F28" s="198"/>
      <c r="G28" s="197"/>
      <c r="H28" s="213"/>
      <c r="I28" s="197"/>
      <c r="J28" s="213"/>
      <c r="K28" s="197"/>
      <c r="L28" s="213"/>
      <c r="M28" s="197"/>
      <c r="N28" s="213"/>
      <c r="O28" s="569"/>
      <c r="P28" s="569"/>
      <c r="Q28" s="569"/>
    </row>
    <row r="29" spans="1:17">
      <c r="A29" s="213">
        <v>391.1</v>
      </c>
      <c r="B29" s="199"/>
      <c r="C29" s="204" t="s">
        <v>1377</v>
      </c>
      <c r="D29" s="198"/>
      <c r="E29" s="201">
        <v>0</v>
      </c>
      <c r="F29" s="198"/>
      <c r="G29" s="197">
        <v>1.41</v>
      </c>
      <c r="H29" s="213"/>
      <c r="I29" s="197">
        <v>1.41</v>
      </c>
      <c r="J29" s="213"/>
      <c r="K29" s="197">
        <v>0</v>
      </c>
      <c r="L29" s="213"/>
      <c r="M29" s="197">
        <v>0</v>
      </c>
      <c r="N29" s="213"/>
      <c r="O29" s="569" t="s">
        <v>304</v>
      </c>
      <c r="P29" s="569"/>
      <c r="Q29" s="569">
        <v>18</v>
      </c>
    </row>
    <row r="30" spans="1:17">
      <c r="A30" s="213">
        <v>391.2</v>
      </c>
      <c r="B30" s="199"/>
      <c r="C30" s="204" t="s">
        <v>1378</v>
      </c>
      <c r="D30" s="198"/>
      <c r="E30" s="201">
        <v>0</v>
      </c>
      <c r="F30" s="198"/>
      <c r="G30" s="197">
        <v>13.530000000000001</v>
      </c>
      <c r="H30" s="213"/>
      <c r="I30" s="197">
        <v>13.530000000000001</v>
      </c>
      <c r="J30" s="213"/>
      <c r="K30" s="197">
        <v>0</v>
      </c>
      <c r="L30" s="213"/>
      <c r="M30" s="197">
        <v>0</v>
      </c>
      <c r="N30" s="213"/>
      <c r="O30" s="569" t="s">
        <v>1379</v>
      </c>
      <c r="P30" s="569"/>
      <c r="Q30" s="569">
        <v>4.9000000000000004</v>
      </c>
    </row>
    <row r="31" spans="1:17">
      <c r="A31" s="213">
        <v>391.3</v>
      </c>
      <c r="B31" s="199"/>
      <c r="C31" s="204" t="s">
        <v>1380</v>
      </c>
      <c r="D31" s="198"/>
      <c r="E31" s="201">
        <v>0</v>
      </c>
      <c r="F31" s="198"/>
      <c r="G31" s="197">
        <v>18.59</v>
      </c>
      <c r="H31" s="213"/>
      <c r="I31" s="197">
        <v>18.59</v>
      </c>
      <c r="J31" s="213"/>
      <c r="K31" s="197">
        <v>0</v>
      </c>
      <c r="L31" s="213"/>
      <c r="M31" s="197">
        <v>0</v>
      </c>
      <c r="N31" s="213"/>
      <c r="O31" s="569" t="s">
        <v>305</v>
      </c>
      <c r="P31" s="569"/>
      <c r="Q31" s="569">
        <v>3.1</v>
      </c>
    </row>
    <row r="32" spans="1:17">
      <c r="A32" s="213">
        <v>391.31</v>
      </c>
      <c r="B32" s="199"/>
      <c r="C32" s="204" t="s">
        <v>1381</v>
      </c>
      <c r="D32" s="198"/>
      <c r="E32" s="201">
        <v>0</v>
      </c>
      <c r="F32" s="198"/>
      <c r="G32" s="197">
        <v>21.71</v>
      </c>
      <c r="H32" s="213"/>
      <c r="I32" s="197">
        <v>21.71</v>
      </c>
      <c r="J32" s="213"/>
      <c r="K32" s="197">
        <v>0</v>
      </c>
      <c r="L32" s="213"/>
      <c r="M32" s="197">
        <v>0</v>
      </c>
      <c r="N32" s="213"/>
      <c r="O32" s="569" t="s">
        <v>357</v>
      </c>
      <c r="P32" s="569"/>
      <c r="Q32" s="569">
        <v>2.8</v>
      </c>
    </row>
    <row r="33" spans="1:17">
      <c r="A33" s="213">
        <v>391.4</v>
      </c>
      <c r="B33" s="199"/>
      <c r="C33" s="204" t="s">
        <v>1382</v>
      </c>
      <c r="D33" s="198"/>
      <c r="E33" s="201">
        <v>0</v>
      </c>
      <c r="F33" s="198"/>
      <c r="G33" s="214">
        <v>0</v>
      </c>
      <c r="H33" s="213"/>
      <c r="I33" s="197">
        <v>0</v>
      </c>
      <c r="J33" s="213"/>
      <c r="K33" s="197">
        <v>0</v>
      </c>
      <c r="L33" s="213"/>
      <c r="M33" s="197">
        <v>0</v>
      </c>
      <c r="N33" s="213"/>
      <c r="O33" s="569"/>
      <c r="P33" s="569"/>
      <c r="Q33" s="569"/>
    </row>
    <row r="34" spans="1:17">
      <c r="A34" s="213">
        <v>391</v>
      </c>
      <c r="B34" s="199"/>
      <c r="C34" s="204"/>
      <c r="D34" s="198"/>
      <c r="E34" s="201"/>
      <c r="F34" s="198"/>
      <c r="G34" s="197">
        <v>15.79</v>
      </c>
      <c r="H34" s="213"/>
      <c r="I34" s="197"/>
      <c r="J34" s="213"/>
      <c r="K34" s="197"/>
      <c r="L34" s="213"/>
      <c r="M34" s="197"/>
      <c r="N34" s="213"/>
      <c r="O34" s="202" t="s">
        <v>1902</v>
      </c>
      <c r="P34" s="569"/>
      <c r="Q34" s="202" t="s">
        <v>1901</v>
      </c>
    </row>
    <row r="35" spans="1:17">
      <c r="A35" s="213"/>
      <c r="B35" s="199"/>
      <c r="C35" s="204"/>
      <c r="D35" s="198"/>
      <c r="E35" s="201"/>
      <c r="F35" s="198"/>
      <c r="G35" s="197"/>
      <c r="H35" s="213"/>
      <c r="I35" s="197"/>
      <c r="J35" s="213"/>
      <c r="K35" s="197"/>
      <c r="L35" s="213"/>
      <c r="M35" s="197"/>
      <c r="N35" s="213"/>
      <c r="O35" s="569"/>
      <c r="P35" s="569"/>
      <c r="Q35" s="569"/>
    </row>
    <row r="36" spans="1:17">
      <c r="A36" s="197"/>
      <c r="B36" s="198"/>
      <c r="C36" s="204" t="s">
        <v>1383</v>
      </c>
      <c r="D36" s="198"/>
      <c r="E36" s="201"/>
      <c r="F36" s="198"/>
      <c r="G36" s="571">
        <v>1.21</v>
      </c>
      <c r="H36" s="213"/>
      <c r="I36" s="197">
        <v>1.21</v>
      </c>
      <c r="J36" s="213"/>
      <c r="K36" s="197">
        <v>0</v>
      </c>
      <c r="L36" s="213"/>
      <c r="M36" s="197">
        <v>0</v>
      </c>
      <c r="N36" s="213"/>
      <c r="O36" s="569" t="s">
        <v>1704</v>
      </c>
      <c r="P36" s="569"/>
      <c r="Q36" s="569">
        <v>3.3</v>
      </c>
    </row>
    <row r="37" spans="1:17">
      <c r="A37" s="213">
        <v>392.1</v>
      </c>
      <c r="B37" s="199"/>
      <c r="C37" s="204" t="s">
        <v>1384</v>
      </c>
      <c r="D37" s="198"/>
      <c r="E37" s="201">
        <v>0</v>
      </c>
      <c r="F37" s="198"/>
      <c r="G37" s="197">
        <v>3.47</v>
      </c>
      <c r="H37" s="213"/>
      <c r="I37" s="197">
        <v>3.47</v>
      </c>
      <c r="J37" s="213"/>
      <c r="K37" s="197">
        <v>0</v>
      </c>
      <c r="L37" s="213"/>
      <c r="M37" s="197">
        <v>0</v>
      </c>
      <c r="N37" s="213"/>
      <c r="O37" s="569" t="s">
        <v>1705</v>
      </c>
      <c r="P37" s="569"/>
      <c r="Q37" s="569">
        <v>8.6</v>
      </c>
    </row>
    <row r="38" spans="1:17">
      <c r="A38" s="213">
        <v>392.2</v>
      </c>
      <c r="B38" s="199"/>
      <c r="C38" s="204" t="s">
        <v>1385</v>
      </c>
      <c r="D38" s="198"/>
      <c r="E38" s="201">
        <v>5</v>
      </c>
      <c r="F38" s="198"/>
      <c r="G38" s="197">
        <v>5.63</v>
      </c>
      <c r="H38" s="213"/>
      <c r="I38" s="197">
        <v>5.63</v>
      </c>
      <c r="J38" s="213"/>
      <c r="K38" s="197">
        <v>0</v>
      </c>
      <c r="L38" s="213"/>
      <c r="M38" s="197">
        <v>0</v>
      </c>
      <c r="N38" s="213"/>
      <c r="O38" s="569" t="s">
        <v>1706</v>
      </c>
      <c r="P38" s="569"/>
      <c r="Q38" s="569">
        <v>13.9</v>
      </c>
    </row>
    <row r="39" spans="1:17">
      <c r="A39" s="213">
        <v>393</v>
      </c>
      <c r="B39" s="199"/>
      <c r="C39" s="204" t="s">
        <v>1386</v>
      </c>
      <c r="D39" s="198"/>
      <c r="E39" s="201">
        <v>0</v>
      </c>
      <c r="F39" s="198"/>
      <c r="G39" s="197">
        <v>5.15</v>
      </c>
      <c r="H39" s="213"/>
      <c r="I39" s="197">
        <v>5.15</v>
      </c>
      <c r="J39" s="213"/>
      <c r="K39" s="197">
        <v>0</v>
      </c>
      <c r="L39" s="213"/>
      <c r="M39" s="197">
        <v>0</v>
      </c>
      <c r="N39" s="213"/>
      <c r="O39" s="569" t="s">
        <v>360</v>
      </c>
      <c r="P39" s="569"/>
      <c r="Q39" s="569">
        <v>8.6999999999999993</v>
      </c>
    </row>
    <row r="40" spans="1:17">
      <c r="A40" s="213">
        <v>394</v>
      </c>
      <c r="B40" s="199"/>
      <c r="C40" s="204" t="s">
        <v>1365</v>
      </c>
      <c r="D40" s="198"/>
      <c r="E40" s="201">
        <v>0</v>
      </c>
      <c r="F40" s="198"/>
      <c r="G40" s="197">
        <v>4.25</v>
      </c>
      <c r="H40" s="213"/>
      <c r="I40" s="197">
        <v>4.25</v>
      </c>
      <c r="J40" s="213"/>
      <c r="K40" s="197">
        <v>0</v>
      </c>
      <c r="L40" s="213"/>
      <c r="M40" s="197">
        <v>0</v>
      </c>
      <c r="N40" s="213"/>
      <c r="O40" s="569" t="s">
        <v>360</v>
      </c>
      <c r="P40" s="569"/>
      <c r="Q40" s="569">
        <v>11.7</v>
      </c>
    </row>
    <row r="41" spans="1:17">
      <c r="A41" s="213"/>
      <c r="B41" s="199"/>
      <c r="C41" s="204" t="s">
        <v>1387</v>
      </c>
      <c r="D41" s="198"/>
      <c r="E41" s="201">
        <v>0</v>
      </c>
      <c r="F41" s="198"/>
      <c r="G41" s="197">
        <v>1.4</v>
      </c>
      <c r="H41" s="213"/>
      <c r="I41" s="197">
        <v>1.4</v>
      </c>
      <c r="J41" s="213"/>
      <c r="K41" s="197">
        <v>0</v>
      </c>
      <c r="L41" s="213"/>
      <c r="M41" s="197">
        <v>0</v>
      </c>
      <c r="N41" s="197"/>
      <c r="O41" s="569" t="s">
        <v>1708</v>
      </c>
      <c r="P41" s="569"/>
      <c r="Q41" s="569">
        <v>7.6</v>
      </c>
    </row>
    <row r="42" spans="1:17">
      <c r="A42" s="197">
        <v>396.2</v>
      </c>
      <c r="B42" s="198"/>
      <c r="C42" s="204" t="s">
        <v>1388</v>
      </c>
      <c r="D42" s="198"/>
      <c r="E42" s="201">
        <v>10</v>
      </c>
      <c r="F42" s="198"/>
      <c r="G42" s="197">
        <v>0.33</v>
      </c>
      <c r="H42" s="213"/>
      <c r="I42" s="197">
        <v>0.33</v>
      </c>
      <c r="J42" s="213"/>
      <c r="K42" s="197">
        <v>0</v>
      </c>
      <c r="L42" s="213"/>
      <c r="M42" s="197">
        <v>0</v>
      </c>
      <c r="N42" s="213"/>
      <c r="O42" s="569" t="s">
        <v>1707</v>
      </c>
      <c r="P42" s="569"/>
      <c r="Q42" s="569">
        <v>16</v>
      </c>
    </row>
    <row r="43" spans="1:17">
      <c r="A43" s="213"/>
      <c r="B43" s="199"/>
      <c r="C43" s="204" t="s">
        <v>361</v>
      </c>
      <c r="D43" s="198"/>
      <c r="E43" s="201">
        <v>0</v>
      </c>
      <c r="F43" s="198"/>
      <c r="G43" s="197">
        <v>0.79</v>
      </c>
      <c r="H43" s="213"/>
      <c r="I43" s="197">
        <v>0.79</v>
      </c>
      <c r="J43" s="213"/>
      <c r="K43" s="197">
        <v>0</v>
      </c>
      <c r="L43" s="213"/>
      <c r="M43" s="197">
        <v>0</v>
      </c>
      <c r="N43" s="213"/>
      <c r="O43" s="569" t="s">
        <v>1709</v>
      </c>
      <c r="P43" s="569"/>
      <c r="Q43" s="569">
        <v>20.9</v>
      </c>
    </row>
    <row r="44" spans="1:17">
      <c r="A44" s="213">
        <v>397.1</v>
      </c>
      <c r="B44" s="199"/>
      <c r="C44" s="204" t="s">
        <v>1389</v>
      </c>
      <c r="D44" s="198"/>
      <c r="E44" s="201">
        <v>0</v>
      </c>
      <c r="F44" s="198"/>
      <c r="G44" s="407">
        <v>3.13</v>
      </c>
      <c r="H44" s="407"/>
      <c r="I44" s="407">
        <v>3.13</v>
      </c>
      <c r="J44" s="407"/>
      <c r="K44" s="407">
        <v>0</v>
      </c>
      <c r="L44" s="407"/>
      <c r="M44" s="407">
        <v>0</v>
      </c>
      <c r="N44" s="407"/>
      <c r="O44" s="572" t="s">
        <v>362</v>
      </c>
      <c r="P44" s="572"/>
      <c r="Q44" s="572">
        <v>8.1999999999999993</v>
      </c>
    </row>
    <row r="45" spans="1:17">
      <c r="A45" s="213"/>
      <c r="B45" s="199"/>
      <c r="C45" s="204"/>
      <c r="D45" s="198"/>
      <c r="E45" s="201"/>
      <c r="F45" s="198"/>
      <c r="G45" s="573">
        <v>1.98</v>
      </c>
      <c r="H45" s="407"/>
      <c r="I45" s="407"/>
      <c r="J45" s="407"/>
      <c r="K45" s="407"/>
      <c r="L45" s="407"/>
      <c r="M45" s="407"/>
      <c r="N45" s="407"/>
      <c r="O45" s="572"/>
      <c r="P45" s="572"/>
    </row>
    <row r="46" spans="1:17">
      <c r="A46" s="213"/>
      <c r="B46" s="199"/>
      <c r="C46" s="204"/>
      <c r="D46" s="198"/>
      <c r="E46" s="201"/>
      <c r="F46" s="198"/>
      <c r="G46" s="574"/>
      <c r="H46" s="407"/>
      <c r="I46" s="407"/>
      <c r="J46" s="407"/>
      <c r="K46" s="407"/>
      <c r="L46" s="407"/>
      <c r="M46" s="407"/>
      <c r="N46" s="407"/>
      <c r="O46" s="572"/>
      <c r="P46" s="572"/>
    </row>
    <row r="47" spans="1:17">
      <c r="A47" s="213"/>
      <c r="B47" s="198"/>
      <c r="C47" s="196" t="s">
        <v>363</v>
      </c>
      <c r="D47" s="198"/>
      <c r="E47" s="201"/>
      <c r="F47" s="198"/>
      <c r="G47" s="211">
        <v>4.5599999999999996</v>
      </c>
      <c r="H47" s="189"/>
      <c r="I47" s="212"/>
      <c r="J47" s="189"/>
      <c r="K47" s="212"/>
      <c r="L47" s="189"/>
      <c r="M47" s="212"/>
      <c r="N47" s="198"/>
      <c r="O47" s="191"/>
      <c r="P47" s="191"/>
      <c r="Q47" s="191"/>
    </row>
    <row r="48" spans="1:17">
      <c r="A48" s="213"/>
      <c r="B48" s="198"/>
      <c r="C48" s="204"/>
      <c r="D48" s="198"/>
      <c r="E48" s="201" t="s">
        <v>1390</v>
      </c>
      <c r="F48" s="198"/>
      <c r="G48" s="209"/>
      <c r="H48" s="198"/>
      <c r="I48" s="209"/>
      <c r="J48" s="198"/>
      <c r="K48" s="209"/>
      <c r="L48" s="198"/>
      <c r="M48" s="209"/>
      <c r="N48" s="198"/>
      <c r="O48" s="198"/>
      <c r="P48" s="198"/>
      <c r="Q48" s="191"/>
    </row>
    <row r="49" spans="1:17">
      <c r="A49" s="213"/>
      <c r="B49" s="198"/>
      <c r="C49" s="196" t="s">
        <v>364</v>
      </c>
      <c r="D49" s="198"/>
      <c r="E49" s="201"/>
      <c r="F49" s="198"/>
      <c r="G49" s="211"/>
      <c r="H49" s="189"/>
      <c r="I49" s="212"/>
      <c r="J49" s="189"/>
      <c r="K49" s="212"/>
      <c r="L49" s="189"/>
      <c r="M49" s="212"/>
      <c r="N49" s="198"/>
      <c r="O49" s="198"/>
      <c r="P49" s="198"/>
      <c r="Q49" s="191"/>
    </row>
    <row r="50" spans="1:17">
      <c r="A50" s="184"/>
      <c r="B50" s="198"/>
      <c r="C50" s="196"/>
      <c r="D50" s="198"/>
      <c r="E50" s="201"/>
      <c r="F50" s="198"/>
      <c r="G50" s="205"/>
      <c r="H50" s="198"/>
      <c r="I50" s="198"/>
      <c r="J50" s="198"/>
      <c r="K50" s="198"/>
      <c r="L50" s="198"/>
      <c r="M50" s="198"/>
      <c r="N50" s="184"/>
      <c r="O50" s="198"/>
      <c r="P50" s="198"/>
      <c r="Q50" s="191"/>
    </row>
    <row r="51" spans="1:17">
      <c r="A51" s="184"/>
      <c r="B51" s="198"/>
      <c r="C51" s="196"/>
      <c r="D51" s="198"/>
      <c r="E51" s="201"/>
      <c r="F51" s="198"/>
      <c r="G51" s="205"/>
      <c r="H51" s="198"/>
      <c r="I51" s="198"/>
      <c r="J51" s="198"/>
      <c r="K51" s="198"/>
      <c r="L51" s="198"/>
      <c r="M51" s="198"/>
      <c r="N51" s="184"/>
      <c r="O51" s="198"/>
      <c r="P51" s="198"/>
      <c r="Q51" s="191"/>
    </row>
    <row r="52" spans="1:17">
      <c r="A52" s="197"/>
      <c r="B52" s="198"/>
      <c r="C52" s="204" t="s">
        <v>1383</v>
      </c>
      <c r="D52" s="198"/>
      <c r="E52" s="201">
        <v>0</v>
      </c>
      <c r="F52" s="198"/>
      <c r="G52" s="197">
        <f>G36</f>
        <v>1.21</v>
      </c>
      <c r="H52" s="197"/>
      <c r="I52" s="197">
        <f t="shared" ref="I52:Q52" si="0">I36</f>
        <v>1.21</v>
      </c>
      <c r="J52" s="197"/>
      <c r="K52" s="197">
        <f t="shared" si="0"/>
        <v>0</v>
      </c>
      <c r="L52" s="197"/>
      <c r="M52" s="197">
        <f t="shared" si="0"/>
        <v>0</v>
      </c>
      <c r="N52" s="197"/>
      <c r="O52" s="197" t="str">
        <f t="shared" si="0"/>
        <v>9-S2.5</v>
      </c>
      <c r="P52" s="197"/>
      <c r="Q52" s="569">
        <f t="shared" si="0"/>
        <v>3.3</v>
      </c>
    </row>
    <row r="53" spans="1:17">
      <c r="A53" s="213">
        <v>392.1</v>
      </c>
      <c r="B53" s="199"/>
      <c r="C53" s="204" t="s">
        <v>1384</v>
      </c>
      <c r="D53" s="198"/>
      <c r="E53" s="201">
        <v>0</v>
      </c>
      <c r="F53" s="198"/>
      <c r="G53" s="197">
        <f t="shared" ref="G53:Q54" si="1">G37</f>
        <v>3.47</v>
      </c>
      <c r="H53" s="197"/>
      <c r="I53" s="197">
        <f t="shared" si="1"/>
        <v>3.47</v>
      </c>
      <c r="J53" s="197"/>
      <c r="K53" s="197">
        <f t="shared" si="1"/>
        <v>0</v>
      </c>
      <c r="L53" s="197"/>
      <c r="M53" s="197">
        <f t="shared" si="1"/>
        <v>0</v>
      </c>
      <c r="N53" s="197"/>
      <c r="O53" s="197" t="str">
        <f t="shared" si="1"/>
        <v>12-S0.5</v>
      </c>
      <c r="P53" s="197"/>
      <c r="Q53" s="569">
        <f t="shared" si="1"/>
        <v>8.6</v>
      </c>
    </row>
    <row r="54" spans="1:17">
      <c r="A54" s="213">
        <v>392.2</v>
      </c>
      <c r="B54" s="199"/>
      <c r="C54" s="204" t="s">
        <v>1385</v>
      </c>
      <c r="D54" s="198"/>
      <c r="E54" s="201">
        <v>5</v>
      </c>
      <c r="F54" s="198"/>
      <c r="G54" s="197">
        <f t="shared" si="1"/>
        <v>5.63</v>
      </c>
      <c r="H54" s="197"/>
      <c r="I54" s="197">
        <f t="shared" si="1"/>
        <v>5.63</v>
      </c>
      <c r="J54" s="197"/>
      <c r="K54" s="197">
        <f t="shared" si="1"/>
        <v>0</v>
      </c>
      <c r="L54" s="197"/>
      <c r="M54" s="197">
        <f t="shared" si="1"/>
        <v>0</v>
      </c>
      <c r="N54" s="197"/>
      <c r="O54" s="197" t="str">
        <f t="shared" si="1"/>
        <v>23-L1.5</v>
      </c>
      <c r="P54" s="197"/>
      <c r="Q54" s="569">
        <f t="shared" si="1"/>
        <v>13.9</v>
      </c>
    </row>
    <row r="55" spans="1:17">
      <c r="A55" s="213">
        <v>392</v>
      </c>
      <c r="B55" s="199"/>
      <c r="C55" s="204"/>
      <c r="D55" s="198"/>
      <c r="E55" s="201"/>
      <c r="F55" s="198"/>
      <c r="G55" s="575">
        <v>3.68</v>
      </c>
      <c r="H55" s="198"/>
      <c r="I55" s="197"/>
      <c r="J55" s="198"/>
      <c r="K55" s="200"/>
      <c r="L55" s="198"/>
      <c r="M55" s="200"/>
      <c r="N55" s="198"/>
      <c r="O55" s="191" t="s">
        <v>1887</v>
      </c>
      <c r="P55" s="198"/>
      <c r="Q55" s="223" t="s">
        <v>1394</v>
      </c>
    </row>
    <row r="56" spans="1:17">
      <c r="A56" s="213"/>
      <c r="B56" s="199"/>
      <c r="C56" s="204"/>
      <c r="D56" s="198"/>
      <c r="E56" s="201"/>
      <c r="F56" s="198"/>
      <c r="G56" s="197"/>
      <c r="H56" s="198"/>
      <c r="I56" s="197"/>
      <c r="J56" s="198"/>
      <c r="K56" s="200"/>
      <c r="L56" s="198"/>
      <c r="M56" s="200"/>
      <c r="N56" s="198"/>
      <c r="O56" s="198"/>
      <c r="P56" s="198"/>
      <c r="Q56" s="191"/>
    </row>
    <row r="57" spans="1:17">
      <c r="A57" s="213"/>
      <c r="B57" s="199"/>
      <c r="C57" s="204" t="s">
        <v>1387</v>
      </c>
      <c r="D57" s="198"/>
      <c r="E57" s="201">
        <v>0</v>
      </c>
      <c r="F57" s="198"/>
      <c r="G57" s="197">
        <f>G41</f>
        <v>1.4</v>
      </c>
      <c r="H57" s="197"/>
      <c r="I57" s="197">
        <f t="shared" ref="I57:Q58" si="2">I41</f>
        <v>1.4</v>
      </c>
      <c r="J57" s="197"/>
      <c r="K57" s="197">
        <f t="shared" si="2"/>
        <v>0</v>
      </c>
      <c r="L57" s="197"/>
      <c r="M57" s="197">
        <f t="shared" si="2"/>
        <v>0</v>
      </c>
      <c r="N57" s="197"/>
      <c r="O57" s="197" t="str">
        <f t="shared" si="2"/>
        <v>24-L2.5</v>
      </c>
      <c r="P57" s="197"/>
      <c r="Q57" s="569">
        <f t="shared" si="2"/>
        <v>7.6</v>
      </c>
    </row>
    <row r="58" spans="1:17">
      <c r="A58" s="197">
        <v>396.2</v>
      </c>
      <c r="B58" s="198"/>
      <c r="C58" s="204" t="s">
        <v>1388</v>
      </c>
      <c r="D58" s="198"/>
      <c r="E58" s="201">
        <v>10</v>
      </c>
      <c r="F58" s="198"/>
      <c r="G58" s="197">
        <f>G42</f>
        <v>0.33</v>
      </c>
      <c r="H58" s="197"/>
      <c r="I58" s="197">
        <f t="shared" si="2"/>
        <v>0.33</v>
      </c>
      <c r="J58" s="197"/>
      <c r="K58" s="197">
        <f t="shared" si="2"/>
        <v>0</v>
      </c>
      <c r="L58" s="197"/>
      <c r="M58" s="197">
        <f t="shared" si="2"/>
        <v>0</v>
      </c>
      <c r="N58" s="197"/>
      <c r="O58" s="197" t="str">
        <f t="shared" si="2"/>
        <v>22-L4</v>
      </c>
      <c r="P58" s="197"/>
      <c r="Q58" s="569">
        <f t="shared" si="2"/>
        <v>16</v>
      </c>
    </row>
    <row r="59" spans="1:17">
      <c r="A59" s="213">
        <v>396</v>
      </c>
      <c r="B59" s="198"/>
      <c r="C59" s="198"/>
      <c r="D59" s="198"/>
      <c r="E59" s="199"/>
      <c r="F59" s="198"/>
      <c r="G59" s="577">
        <v>0.38</v>
      </c>
      <c r="H59" s="198"/>
      <c r="I59" s="198"/>
      <c r="J59" s="198"/>
      <c r="K59" s="198"/>
      <c r="L59" s="198"/>
      <c r="M59" s="198"/>
      <c r="N59" s="198"/>
      <c r="O59" s="191" t="s">
        <v>1711</v>
      </c>
      <c r="P59" s="198"/>
      <c r="Q59" s="223" t="s">
        <v>1393</v>
      </c>
    </row>
    <row r="60" spans="1:17">
      <c r="A60" s="407"/>
      <c r="B60" s="407"/>
      <c r="C60" s="407"/>
      <c r="D60" s="407"/>
      <c r="E60" s="614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</row>
    <row r="61" spans="1:17">
      <c r="A61" s="213"/>
      <c r="B61" s="199"/>
      <c r="C61" s="204" t="s">
        <v>361</v>
      </c>
      <c r="D61" s="198"/>
      <c r="E61" s="201">
        <v>0</v>
      </c>
      <c r="F61" s="198"/>
      <c r="G61" s="197">
        <f>G43</f>
        <v>0.79</v>
      </c>
      <c r="H61" s="197"/>
      <c r="I61" s="197">
        <f t="shared" ref="I61:Q62" si="3">I43</f>
        <v>0.79</v>
      </c>
      <c r="J61" s="197"/>
      <c r="K61" s="197">
        <f t="shared" si="3"/>
        <v>0</v>
      </c>
      <c r="L61" s="197"/>
      <c r="M61" s="197">
        <f t="shared" si="3"/>
        <v>0</v>
      </c>
      <c r="N61" s="197"/>
      <c r="O61" s="197" t="str">
        <f t="shared" si="3"/>
        <v>22-L2</v>
      </c>
      <c r="P61" s="197"/>
      <c r="Q61" s="569">
        <f t="shared" si="3"/>
        <v>20.9</v>
      </c>
    </row>
    <row r="62" spans="1:17">
      <c r="A62" s="213">
        <v>397.1</v>
      </c>
      <c r="B62" s="199"/>
      <c r="C62" s="204" t="s">
        <v>1389</v>
      </c>
      <c r="D62" s="198"/>
      <c r="E62" s="201">
        <v>0</v>
      </c>
      <c r="F62" s="198"/>
      <c r="G62" s="197">
        <f>G44</f>
        <v>3.13</v>
      </c>
      <c r="H62" s="197"/>
      <c r="I62" s="197">
        <f t="shared" si="3"/>
        <v>3.13</v>
      </c>
      <c r="J62" s="197"/>
      <c r="K62" s="197">
        <f t="shared" si="3"/>
        <v>0</v>
      </c>
      <c r="L62" s="197"/>
      <c r="M62" s="197">
        <f t="shared" si="3"/>
        <v>0</v>
      </c>
      <c r="N62" s="197"/>
      <c r="O62" s="197" t="str">
        <f t="shared" si="3"/>
        <v>10-SQ</v>
      </c>
      <c r="P62" s="197"/>
      <c r="Q62" s="569">
        <f t="shared" si="3"/>
        <v>8.1999999999999993</v>
      </c>
    </row>
    <row r="63" spans="1:17">
      <c r="A63" s="213">
        <v>397</v>
      </c>
      <c r="B63" s="198"/>
      <c r="C63" s="198"/>
      <c r="D63" s="198"/>
      <c r="E63" s="199"/>
      <c r="F63" s="198"/>
      <c r="G63" s="577">
        <v>1.69</v>
      </c>
      <c r="H63" s="198"/>
      <c r="I63" s="198"/>
      <c r="J63" s="198"/>
      <c r="K63" s="198"/>
      <c r="L63" s="198"/>
      <c r="M63" s="198"/>
      <c r="N63" s="198"/>
      <c r="O63" s="191" t="s">
        <v>1710</v>
      </c>
      <c r="P63" s="198"/>
      <c r="Q63" s="223" t="s">
        <v>1392</v>
      </c>
    </row>
    <row r="64" spans="1:17">
      <c r="I64" s="413"/>
      <c r="J64" s="413"/>
      <c r="K64" s="413"/>
      <c r="L64" s="413"/>
      <c r="M64" s="413"/>
    </row>
    <row r="65" spans="9:13">
      <c r="I65" s="413"/>
      <c r="J65" s="413"/>
      <c r="K65" s="413"/>
      <c r="L65" s="413"/>
      <c r="M65" s="413"/>
    </row>
    <row r="66" spans="9:13">
      <c r="I66" s="413"/>
      <c r="J66" s="413"/>
      <c r="K66" s="413"/>
      <c r="L66" s="413"/>
      <c r="M66" s="413"/>
    </row>
    <row r="67" spans="9:13">
      <c r="I67" s="413"/>
      <c r="J67" s="413"/>
      <c r="K67" s="413"/>
      <c r="L67" s="413"/>
      <c r="M67" s="413"/>
    </row>
    <row r="68" spans="9:13">
      <c r="I68" s="413"/>
      <c r="J68" s="413"/>
      <c r="K68" s="413"/>
      <c r="L68" s="413"/>
      <c r="M68" s="413"/>
    </row>
    <row r="69" spans="9:13">
      <c r="I69" s="413"/>
      <c r="J69" s="413"/>
      <c r="K69" s="413"/>
      <c r="L69" s="413"/>
      <c r="M69" s="413"/>
    </row>
    <row r="70" spans="9:13">
      <c r="I70" s="413"/>
      <c r="J70" s="413"/>
      <c r="K70" s="413"/>
      <c r="L70" s="413"/>
      <c r="M70" s="413"/>
    </row>
    <row r="71" spans="9:13">
      <c r="I71" s="413"/>
      <c r="J71" s="413"/>
      <c r="K71" s="413"/>
      <c r="L71" s="413"/>
      <c r="M71" s="413"/>
    </row>
    <row r="72" spans="9:13">
      <c r="I72" s="413"/>
      <c r="J72" s="413"/>
      <c r="K72" s="413"/>
      <c r="L72" s="413"/>
      <c r="M72" s="413"/>
    </row>
    <row r="73" spans="9:13">
      <c r="I73" s="413"/>
      <c r="J73" s="413"/>
      <c r="K73" s="413"/>
      <c r="L73" s="413"/>
      <c r="M73" s="413"/>
    </row>
    <row r="74" spans="9:13">
      <c r="I74" s="413"/>
      <c r="J74" s="413"/>
      <c r="K74" s="413"/>
      <c r="L74" s="413"/>
      <c r="M74" s="413"/>
    </row>
    <row r="75" spans="9:13">
      <c r="I75" s="413"/>
      <c r="J75" s="413"/>
      <c r="K75" s="413"/>
      <c r="L75" s="413"/>
      <c r="M75" s="413"/>
    </row>
    <row r="76" spans="9:13">
      <c r="I76" s="413"/>
      <c r="J76" s="413"/>
      <c r="K76" s="413"/>
      <c r="L76" s="413"/>
      <c r="M76" s="413"/>
    </row>
    <row r="77" spans="9:13">
      <c r="I77" s="413"/>
      <c r="J77" s="413"/>
      <c r="K77" s="413"/>
      <c r="L77" s="413"/>
      <c r="M77" s="413"/>
    </row>
    <row r="78" spans="9:13">
      <c r="I78" s="413"/>
      <c r="J78" s="413"/>
      <c r="K78" s="413"/>
      <c r="L78" s="413"/>
      <c r="M78" s="413"/>
    </row>
    <row r="79" spans="9:13">
      <c r="I79" s="413"/>
      <c r="J79" s="413"/>
      <c r="K79" s="413"/>
      <c r="L79" s="413"/>
      <c r="M79" s="413"/>
    </row>
    <row r="80" spans="9:13">
      <c r="I80" s="413"/>
      <c r="J80" s="413"/>
      <c r="K80" s="413"/>
      <c r="L80" s="413"/>
      <c r="M80" s="413"/>
    </row>
    <row r="81" spans="9:13">
      <c r="I81" s="413"/>
      <c r="J81" s="413"/>
      <c r="K81" s="413"/>
      <c r="L81" s="413"/>
      <c r="M81" s="413"/>
    </row>
    <row r="82" spans="9:13">
      <c r="I82" s="413"/>
      <c r="J82" s="413"/>
      <c r="K82" s="413"/>
      <c r="L82" s="413"/>
      <c r="M82" s="413"/>
    </row>
    <row r="83" spans="9:13">
      <c r="I83" s="413"/>
      <c r="J83" s="413"/>
      <c r="K83" s="413"/>
      <c r="L83" s="413"/>
      <c r="M83" s="413"/>
    </row>
    <row r="84" spans="9:13">
      <c r="I84" s="413"/>
      <c r="J84" s="413"/>
      <c r="K84" s="413"/>
      <c r="L84" s="413"/>
      <c r="M84" s="413"/>
    </row>
    <row r="85" spans="9:13">
      <c r="I85" s="413"/>
      <c r="J85" s="413"/>
      <c r="K85" s="413"/>
      <c r="L85" s="413"/>
      <c r="M85" s="413"/>
    </row>
    <row r="86" spans="9:13">
      <c r="I86" s="413"/>
      <c r="J86" s="413"/>
      <c r="K86" s="413"/>
      <c r="L86" s="413"/>
      <c r="M86" s="413"/>
    </row>
    <row r="87" spans="9:13">
      <c r="I87" s="413"/>
      <c r="J87" s="413"/>
      <c r="K87" s="413"/>
      <c r="L87" s="413"/>
      <c r="M87" s="413"/>
    </row>
    <row r="88" spans="9:13">
      <c r="I88" s="413"/>
      <c r="J88" s="413"/>
      <c r="K88" s="413"/>
      <c r="L88" s="413"/>
      <c r="M88" s="413"/>
    </row>
    <row r="89" spans="9:13">
      <c r="I89" s="413"/>
      <c r="J89" s="413"/>
      <c r="K89" s="413"/>
      <c r="L89" s="413"/>
      <c r="M89" s="413"/>
    </row>
    <row r="90" spans="9:13">
      <c r="I90" s="413"/>
      <c r="J90" s="413"/>
      <c r="K90" s="413"/>
      <c r="L90" s="413"/>
      <c r="M90" s="413"/>
    </row>
    <row r="91" spans="9:13">
      <c r="I91" s="413"/>
      <c r="J91" s="413"/>
      <c r="K91" s="413"/>
      <c r="L91" s="413"/>
      <c r="M91" s="413"/>
    </row>
    <row r="92" spans="9:13">
      <c r="I92" s="413"/>
      <c r="J92" s="413"/>
      <c r="K92" s="413"/>
      <c r="L92" s="413"/>
      <c r="M92" s="413"/>
    </row>
    <row r="93" spans="9:13">
      <c r="I93" s="413"/>
      <c r="J93" s="413"/>
      <c r="K93" s="413"/>
      <c r="L93" s="413"/>
      <c r="M93" s="413"/>
    </row>
    <row r="94" spans="9:13">
      <c r="I94" s="413"/>
      <c r="J94" s="413"/>
      <c r="K94" s="413"/>
      <c r="L94" s="413"/>
      <c r="M94" s="413"/>
    </row>
    <row r="95" spans="9:13">
      <c r="I95" s="413"/>
      <c r="J95" s="413"/>
      <c r="K95" s="413"/>
      <c r="L95" s="413"/>
      <c r="M95" s="413"/>
    </row>
    <row r="96" spans="9:13">
      <c r="I96" s="413"/>
      <c r="J96" s="413"/>
      <c r="K96" s="413"/>
      <c r="L96" s="413"/>
      <c r="M96" s="413"/>
    </row>
    <row r="97" spans="9:13">
      <c r="I97" s="413"/>
      <c r="J97" s="413"/>
      <c r="K97" s="413"/>
      <c r="L97" s="413"/>
      <c r="M97" s="413"/>
    </row>
    <row r="98" spans="9:13">
      <c r="I98" s="413"/>
      <c r="J98" s="413"/>
      <c r="K98" s="413"/>
      <c r="L98" s="413"/>
      <c r="M98" s="413"/>
    </row>
    <row r="99" spans="9:13">
      <c r="I99" s="413"/>
      <c r="J99" s="413"/>
      <c r="K99" s="413"/>
      <c r="L99" s="413"/>
      <c r="M99" s="413"/>
    </row>
    <row r="100" spans="9:13">
      <c r="I100" s="413"/>
      <c r="J100" s="413"/>
      <c r="K100" s="413"/>
      <c r="L100" s="413"/>
      <c r="M100" s="413"/>
    </row>
    <row r="101" spans="9:13">
      <c r="I101" s="413"/>
      <c r="J101" s="413"/>
      <c r="K101" s="413"/>
      <c r="L101" s="413"/>
      <c r="M101" s="413"/>
    </row>
    <row r="102" spans="9:13">
      <c r="I102" s="413"/>
      <c r="J102" s="413"/>
      <c r="K102" s="413"/>
      <c r="L102" s="413"/>
      <c r="M102" s="413"/>
    </row>
    <row r="103" spans="9:13">
      <c r="I103" s="413"/>
      <c r="J103" s="413"/>
      <c r="K103" s="413"/>
      <c r="L103" s="413"/>
      <c r="M103" s="413"/>
    </row>
    <row r="104" spans="9:13">
      <c r="I104" s="413"/>
      <c r="J104" s="413"/>
      <c r="K104" s="413"/>
      <c r="L104" s="413"/>
      <c r="M104" s="413"/>
    </row>
    <row r="105" spans="9:13">
      <c r="I105" s="413"/>
      <c r="J105" s="413"/>
      <c r="K105" s="413"/>
      <c r="L105" s="413"/>
      <c r="M105" s="413"/>
    </row>
    <row r="106" spans="9:13">
      <c r="I106" s="413"/>
      <c r="J106" s="413"/>
      <c r="K106" s="413"/>
      <c r="L106" s="413"/>
      <c r="M106" s="413"/>
    </row>
    <row r="107" spans="9:13">
      <c r="I107" s="413"/>
      <c r="J107" s="413"/>
      <c r="K107" s="413"/>
      <c r="L107" s="413"/>
      <c r="M107" s="413"/>
    </row>
    <row r="108" spans="9:13">
      <c r="I108" s="413"/>
      <c r="J108" s="413"/>
      <c r="K108" s="413"/>
      <c r="L108" s="413"/>
      <c r="M108" s="413"/>
    </row>
    <row r="109" spans="9:13">
      <c r="I109" s="413"/>
      <c r="J109" s="413"/>
      <c r="K109" s="413"/>
      <c r="L109" s="413"/>
      <c r="M109" s="413"/>
    </row>
    <row r="110" spans="9:13">
      <c r="I110" s="413"/>
      <c r="J110" s="413"/>
      <c r="K110" s="413"/>
      <c r="L110" s="413"/>
      <c r="M110" s="413"/>
    </row>
    <row r="111" spans="9:13">
      <c r="I111" s="413"/>
      <c r="J111" s="413"/>
      <c r="K111" s="413"/>
      <c r="L111" s="413"/>
      <c r="M111" s="413"/>
    </row>
    <row r="112" spans="9:13">
      <c r="I112" s="413"/>
      <c r="J112" s="413"/>
      <c r="K112" s="413"/>
      <c r="L112" s="413"/>
      <c r="M112" s="413"/>
    </row>
    <row r="113" spans="9:13">
      <c r="I113" s="413"/>
      <c r="J113" s="413"/>
      <c r="K113" s="413"/>
      <c r="L113" s="413"/>
      <c r="M113" s="413"/>
    </row>
    <row r="114" spans="9:13">
      <c r="I114" s="413"/>
      <c r="J114" s="413"/>
      <c r="K114" s="413"/>
      <c r="L114" s="413"/>
      <c r="M114" s="413"/>
    </row>
    <row r="115" spans="9:13">
      <c r="I115" s="413"/>
      <c r="J115" s="413"/>
      <c r="K115" s="413"/>
      <c r="L115" s="413"/>
      <c r="M115" s="413"/>
    </row>
    <row r="116" spans="9:13">
      <c r="I116" s="413"/>
      <c r="J116" s="413"/>
      <c r="K116" s="413"/>
      <c r="L116" s="413"/>
      <c r="M116" s="413"/>
    </row>
    <row r="117" spans="9:13">
      <c r="I117" s="413"/>
      <c r="J117" s="413"/>
      <c r="K117" s="413"/>
      <c r="L117" s="413"/>
      <c r="M117" s="413"/>
    </row>
    <row r="118" spans="9:13">
      <c r="I118" s="413"/>
      <c r="J118" s="413"/>
      <c r="K118" s="413"/>
      <c r="L118" s="413"/>
      <c r="M118" s="413"/>
    </row>
    <row r="119" spans="9:13">
      <c r="I119" s="413"/>
      <c r="J119" s="413"/>
      <c r="K119" s="413"/>
      <c r="L119" s="413"/>
      <c r="M119" s="413"/>
    </row>
    <row r="120" spans="9:13">
      <c r="I120" s="413"/>
      <c r="J120" s="413"/>
      <c r="K120" s="413"/>
      <c r="L120" s="413"/>
      <c r="M120" s="413"/>
    </row>
    <row r="121" spans="9:13">
      <c r="I121" s="413"/>
      <c r="J121" s="413"/>
      <c r="K121" s="413"/>
      <c r="L121" s="413"/>
      <c r="M121" s="413"/>
    </row>
    <row r="122" spans="9:13">
      <c r="I122" s="413"/>
      <c r="J122" s="413"/>
      <c r="K122" s="413"/>
      <c r="L122" s="413"/>
      <c r="M122" s="413"/>
    </row>
    <row r="123" spans="9:13">
      <c r="I123" s="413"/>
      <c r="J123" s="413"/>
      <c r="K123" s="413"/>
      <c r="L123" s="413"/>
      <c r="M123" s="413"/>
    </row>
    <row r="124" spans="9:13">
      <c r="I124" s="413"/>
      <c r="J124" s="413"/>
      <c r="K124" s="413"/>
      <c r="L124" s="413"/>
      <c r="M124" s="413"/>
    </row>
    <row r="125" spans="9:13">
      <c r="I125" s="413"/>
      <c r="J125" s="413"/>
      <c r="K125" s="413"/>
      <c r="L125" s="413"/>
      <c r="M125" s="413"/>
    </row>
    <row r="126" spans="9:13">
      <c r="I126" s="413"/>
      <c r="J126" s="413"/>
      <c r="K126" s="413"/>
      <c r="L126" s="413"/>
      <c r="M126" s="413"/>
    </row>
    <row r="127" spans="9:13">
      <c r="I127" s="413"/>
      <c r="J127" s="413"/>
      <c r="K127" s="413"/>
      <c r="L127" s="413"/>
      <c r="M127" s="413"/>
    </row>
    <row r="128" spans="9:13">
      <c r="I128" s="413"/>
      <c r="J128" s="413"/>
      <c r="K128" s="413"/>
      <c r="L128" s="413"/>
      <c r="M128" s="413"/>
    </row>
    <row r="129" spans="9:13">
      <c r="I129" s="413"/>
      <c r="J129" s="413"/>
      <c r="K129" s="413"/>
      <c r="L129" s="413"/>
      <c r="M129" s="413"/>
    </row>
    <row r="130" spans="9:13">
      <c r="I130" s="413"/>
      <c r="J130" s="413"/>
      <c r="K130" s="413"/>
      <c r="L130" s="413"/>
      <c r="M130" s="413"/>
    </row>
    <row r="131" spans="9:13">
      <c r="I131" s="413"/>
      <c r="J131" s="413"/>
      <c r="K131" s="413"/>
      <c r="L131" s="413"/>
      <c r="M131" s="413"/>
    </row>
    <row r="132" spans="9:13">
      <c r="I132" s="413"/>
      <c r="J132" s="413"/>
      <c r="K132" s="413"/>
      <c r="L132" s="413"/>
      <c r="M132" s="413"/>
    </row>
    <row r="133" spans="9:13">
      <c r="I133" s="413"/>
      <c r="J133" s="413"/>
      <c r="K133" s="413"/>
      <c r="L133" s="413"/>
      <c r="M133" s="413"/>
    </row>
    <row r="134" spans="9:13">
      <c r="I134" s="413"/>
      <c r="J134" s="413"/>
      <c r="K134" s="413"/>
      <c r="L134" s="413"/>
      <c r="M134" s="413"/>
    </row>
    <row r="135" spans="9:13">
      <c r="I135" s="413"/>
      <c r="J135" s="413"/>
      <c r="K135" s="413"/>
      <c r="L135" s="413"/>
      <c r="M135" s="413"/>
    </row>
    <row r="136" spans="9:13">
      <c r="I136" s="413"/>
      <c r="J136" s="413"/>
      <c r="K136" s="413"/>
      <c r="L136" s="413"/>
      <c r="M136" s="413"/>
    </row>
    <row r="137" spans="9:13">
      <c r="I137" s="413"/>
      <c r="J137" s="413"/>
      <c r="K137" s="413"/>
      <c r="L137" s="413"/>
      <c r="M137" s="413"/>
    </row>
    <row r="138" spans="9:13">
      <c r="I138" s="413"/>
      <c r="J138" s="413"/>
      <c r="K138" s="413"/>
      <c r="L138" s="413"/>
      <c r="M138" s="413"/>
    </row>
    <row r="139" spans="9:13">
      <c r="I139" s="413"/>
      <c r="J139" s="413"/>
      <c r="K139" s="413"/>
      <c r="L139" s="413"/>
      <c r="M139" s="413"/>
    </row>
    <row r="140" spans="9:13">
      <c r="I140" s="413"/>
      <c r="J140" s="413"/>
      <c r="K140" s="413"/>
      <c r="L140" s="413"/>
      <c r="M140" s="413"/>
    </row>
    <row r="141" spans="9:13">
      <c r="I141" s="413"/>
      <c r="J141" s="413"/>
      <c r="K141" s="413"/>
      <c r="L141" s="413"/>
      <c r="M141" s="413"/>
    </row>
    <row r="142" spans="9:13">
      <c r="I142" s="413"/>
      <c r="J142" s="413"/>
      <c r="K142" s="413"/>
      <c r="L142" s="413"/>
      <c r="M142" s="413"/>
    </row>
    <row r="143" spans="9:13">
      <c r="I143" s="413"/>
      <c r="J143" s="413"/>
      <c r="K143" s="413"/>
      <c r="L143" s="413"/>
      <c r="M143" s="413"/>
    </row>
    <row r="144" spans="9:13">
      <c r="I144" s="413"/>
      <c r="J144" s="413"/>
      <c r="K144" s="413"/>
      <c r="L144" s="413"/>
      <c r="M144" s="413"/>
    </row>
    <row r="145" spans="9:13">
      <c r="I145" s="413"/>
      <c r="J145" s="413"/>
      <c r="K145" s="413"/>
      <c r="L145" s="413"/>
      <c r="M145" s="413"/>
    </row>
    <row r="146" spans="9:13">
      <c r="I146" s="413"/>
      <c r="J146" s="413"/>
      <c r="K146" s="413"/>
      <c r="L146" s="413"/>
      <c r="M146" s="413"/>
    </row>
    <row r="147" spans="9:13">
      <c r="I147" s="413"/>
      <c r="J147" s="413"/>
      <c r="K147" s="413"/>
      <c r="L147" s="413"/>
      <c r="M147" s="413"/>
    </row>
    <row r="148" spans="9:13">
      <c r="I148" s="413"/>
      <c r="J148" s="413"/>
      <c r="K148" s="413"/>
      <c r="L148" s="413"/>
      <c r="M148" s="413"/>
    </row>
    <row r="149" spans="9:13">
      <c r="I149" s="413"/>
      <c r="J149" s="413"/>
      <c r="K149" s="413"/>
      <c r="L149" s="413"/>
      <c r="M149" s="413"/>
    </row>
    <row r="150" spans="9:13">
      <c r="I150" s="413"/>
      <c r="J150" s="413"/>
      <c r="K150" s="413"/>
      <c r="L150" s="413"/>
      <c r="M150" s="413"/>
    </row>
    <row r="151" spans="9:13">
      <c r="I151" s="413"/>
      <c r="J151" s="413"/>
      <c r="K151" s="413"/>
      <c r="L151" s="413"/>
      <c r="M151" s="413"/>
    </row>
    <row r="152" spans="9:13">
      <c r="I152" s="413"/>
      <c r="J152" s="413"/>
      <c r="K152" s="413"/>
      <c r="L152" s="413"/>
      <c r="M152" s="413"/>
    </row>
    <row r="153" spans="9:13">
      <c r="I153" s="413"/>
      <c r="J153" s="413"/>
      <c r="K153" s="413"/>
      <c r="L153" s="413"/>
      <c r="M153" s="413"/>
    </row>
    <row r="154" spans="9:13">
      <c r="I154" s="413"/>
      <c r="J154" s="413"/>
      <c r="K154" s="413"/>
      <c r="L154" s="413"/>
      <c r="M154" s="413"/>
    </row>
    <row r="155" spans="9:13">
      <c r="I155" s="413"/>
      <c r="J155" s="413"/>
      <c r="K155" s="413"/>
      <c r="L155" s="413"/>
      <c r="M155" s="413"/>
    </row>
    <row r="156" spans="9:13">
      <c r="I156" s="413"/>
      <c r="J156" s="413"/>
      <c r="K156" s="413"/>
      <c r="L156" s="413"/>
      <c r="M156" s="413"/>
    </row>
    <row r="157" spans="9:13">
      <c r="I157" s="413"/>
      <c r="J157" s="413"/>
      <c r="K157" s="413"/>
      <c r="L157" s="413"/>
      <c r="M157" s="413"/>
    </row>
    <row r="158" spans="9:13">
      <c r="I158" s="413"/>
      <c r="J158" s="413"/>
      <c r="K158" s="413"/>
      <c r="L158" s="413"/>
      <c r="M158" s="413"/>
    </row>
    <row r="159" spans="9:13">
      <c r="I159" s="413"/>
      <c r="J159" s="413"/>
      <c r="K159" s="413"/>
      <c r="L159" s="413"/>
      <c r="M159" s="413"/>
    </row>
    <row r="160" spans="9:13">
      <c r="I160" s="413"/>
      <c r="J160" s="413"/>
      <c r="K160" s="413"/>
      <c r="L160" s="413"/>
      <c r="M160" s="413"/>
    </row>
    <row r="161" spans="9:13">
      <c r="I161" s="413"/>
      <c r="J161" s="413"/>
      <c r="K161" s="413"/>
      <c r="L161" s="413"/>
      <c r="M161" s="413"/>
    </row>
    <row r="162" spans="9:13">
      <c r="I162" s="413"/>
      <c r="J162" s="413"/>
      <c r="K162" s="413"/>
      <c r="L162" s="413"/>
      <c r="M162" s="413"/>
    </row>
    <row r="163" spans="9:13">
      <c r="I163" s="413"/>
      <c r="J163" s="413"/>
      <c r="K163" s="413"/>
      <c r="L163" s="413"/>
      <c r="M163" s="413"/>
    </row>
    <row r="164" spans="9:13">
      <c r="I164" s="413"/>
      <c r="J164" s="413"/>
      <c r="K164" s="413"/>
      <c r="L164" s="413"/>
      <c r="M164" s="413"/>
    </row>
    <row r="165" spans="9:13">
      <c r="I165" s="413"/>
      <c r="J165" s="413"/>
      <c r="K165" s="413"/>
      <c r="L165" s="413"/>
      <c r="M165" s="413"/>
    </row>
    <row r="166" spans="9:13">
      <c r="I166" s="413"/>
      <c r="J166" s="413"/>
      <c r="K166" s="413"/>
      <c r="L166" s="413"/>
      <c r="M166" s="413"/>
    </row>
    <row r="167" spans="9:13">
      <c r="I167" s="413"/>
      <c r="J167" s="413"/>
      <c r="K167" s="413"/>
      <c r="L167" s="413"/>
      <c r="M167" s="413"/>
    </row>
    <row r="168" spans="9:13">
      <c r="I168" s="413"/>
      <c r="J168" s="413"/>
      <c r="K168" s="413"/>
      <c r="L168" s="413"/>
      <c r="M168" s="413"/>
    </row>
    <row r="169" spans="9:13">
      <c r="I169" s="413"/>
      <c r="J169" s="413"/>
      <c r="K169" s="413"/>
      <c r="L169" s="413"/>
      <c r="M169" s="413"/>
    </row>
    <row r="170" spans="9:13">
      <c r="I170" s="413"/>
      <c r="J170" s="413"/>
      <c r="K170" s="413"/>
      <c r="L170" s="413"/>
      <c r="M170" s="413"/>
    </row>
    <row r="171" spans="9:13">
      <c r="I171" s="413"/>
      <c r="J171" s="413"/>
      <c r="K171" s="413"/>
      <c r="L171" s="413"/>
      <c r="M171" s="413"/>
    </row>
    <row r="172" spans="9:13">
      <c r="I172" s="413"/>
      <c r="J172" s="413"/>
      <c r="K172" s="413"/>
      <c r="L172" s="413"/>
      <c r="M172" s="413"/>
    </row>
    <row r="173" spans="9:13">
      <c r="I173" s="413"/>
      <c r="J173" s="413"/>
      <c r="K173" s="413"/>
      <c r="L173" s="413"/>
      <c r="M173" s="413"/>
    </row>
    <row r="174" spans="9:13">
      <c r="I174" s="413"/>
      <c r="J174" s="413"/>
      <c r="K174" s="413"/>
      <c r="L174" s="413"/>
      <c r="M174" s="413"/>
    </row>
    <row r="175" spans="9:13">
      <c r="I175" s="413"/>
      <c r="J175" s="413"/>
      <c r="K175" s="413"/>
      <c r="L175" s="413"/>
      <c r="M175" s="413"/>
    </row>
    <row r="176" spans="9:13">
      <c r="I176" s="413"/>
      <c r="J176" s="413"/>
      <c r="K176" s="413"/>
      <c r="L176" s="413"/>
      <c r="M176" s="413"/>
    </row>
    <row r="177" spans="9:13">
      <c r="I177" s="413"/>
      <c r="J177" s="413"/>
      <c r="K177" s="413"/>
      <c r="L177" s="413"/>
      <c r="M177" s="413"/>
    </row>
    <row r="178" spans="9:13">
      <c r="I178" s="413"/>
      <c r="J178" s="413"/>
      <c r="K178" s="413"/>
      <c r="L178" s="413"/>
      <c r="M178" s="413"/>
    </row>
    <row r="179" spans="9:13">
      <c r="I179" s="413"/>
      <c r="J179" s="413"/>
      <c r="K179" s="413"/>
      <c r="L179" s="413"/>
      <c r="M179" s="413"/>
    </row>
    <row r="180" spans="9:13">
      <c r="I180" s="413"/>
      <c r="J180" s="413"/>
      <c r="K180" s="413"/>
      <c r="L180" s="413"/>
      <c r="M180" s="413"/>
    </row>
    <row r="181" spans="9:13">
      <c r="I181" s="413"/>
      <c r="J181" s="413"/>
      <c r="K181" s="413"/>
      <c r="L181" s="413"/>
      <c r="M181" s="413"/>
    </row>
    <row r="182" spans="9:13">
      <c r="I182" s="413"/>
      <c r="J182" s="413"/>
      <c r="K182" s="413"/>
      <c r="L182" s="413"/>
      <c r="M182" s="413"/>
    </row>
    <row r="183" spans="9:13">
      <c r="I183" s="413"/>
      <c r="J183" s="413"/>
      <c r="K183" s="413"/>
      <c r="L183" s="413"/>
      <c r="M183" s="413"/>
    </row>
    <row r="184" spans="9:13">
      <c r="I184" s="413"/>
      <c r="J184" s="413"/>
      <c r="K184" s="413"/>
      <c r="L184" s="413"/>
      <c r="M184" s="413"/>
    </row>
    <row r="185" spans="9:13">
      <c r="I185" s="413"/>
      <c r="J185" s="413"/>
      <c r="K185" s="413"/>
      <c r="L185" s="413"/>
      <c r="M185" s="413"/>
    </row>
    <row r="186" spans="9:13">
      <c r="I186" s="413"/>
      <c r="J186" s="413"/>
      <c r="K186" s="413"/>
      <c r="L186" s="413"/>
      <c r="M186" s="413"/>
    </row>
    <row r="187" spans="9:13">
      <c r="I187" s="413"/>
      <c r="J187" s="413"/>
      <c r="K187" s="413"/>
      <c r="L187" s="413"/>
      <c r="M187" s="413"/>
    </row>
    <row r="188" spans="9:13">
      <c r="I188" s="413"/>
      <c r="J188" s="413"/>
      <c r="K188" s="413"/>
      <c r="L188" s="413"/>
      <c r="M188" s="413"/>
    </row>
    <row r="189" spans="9:13">
      <c r="I189" s="413"/>
      <c r="J189" s="413"/>
      <c r="K189" s="413"/>
      <c r="L189" s="413"/>
      <c r="M189" s="413"/>
    </row>
    <row r="190" spans="9:13">
      <c r="I190" s="413"/>
      <c r="J190" s="413"/>
      <c r="K190" s="413"/>
      <c r="L190" s="413"/>
      <c r="M190" s="413"/>
    </row>
    <row r="191" spans="9:13">
      <c r="I191" s="413"/>
      <c r="J191" s="413"/>
      <c r="K191" s="413"/>
      <c r="L191" s="413"/>
      <c r="M191" s="413"/>
    </row>
    <row r="192" spans="9:13">
      <c r="I192" s="413"/>
      <c r="J192" s="413"/>
      <c r="K192" s="413"/>
      <c r="L192" s="413"/>
      <c r="M192" s="413"/>
    </row>
    <row r="193" spans="8:13">
      <c r="I193" s="413"/>
      <c r="J193" s="413"/>
      <c r="K193" s="413"/>
      <c r="L193" s="413"/>
      <c r="M193" s="413"/>
    </row>
    <row r="194" spans="8:13">
      <c r="I194" s="413"/>
      <c r="J194" s="413"/>
      <c r="K194" s="413"/>
      <c r="L194" s="413"/>
      <c r="M194" s="413"/>
    </row>
    <row r="195" spans="8:13">
      <c r="I195" s="413"/>
      <c r="J195" s="413"/>
      <c r="K195" s="413"/>
      <c r="L195" s="413"/>
      <c r="M195" s="413"/>
    </row>
    <row r="196" spans="8:13">
      <c r="I196" s="413"/>
      <c r="J196" s="413"/>
      <c r="K196" s="413"/>
      <c r="L196" s="413"/>
      <c r="M196" s="413"/>
    </row>
    <row r="197" spans="8:13">
      <c r="I197" s="413"/>
      <c r="J197" s="413"/>
      <c r="K197" s="413"/>
      <c r="L197" s="413"/>
      <c r="M197" s="413"/>
    </row>
    <row r="198" spans="8:13">
      <c r="I198" s="413"/>
      <c r="J198" s="413"/>
      <c r="K198" s="413"/>
      <c r="L198" s="413"/>
      <c r="M198" s="413"/>
    </row>
    <row r="199" spans="8:13">
      <c r="I199" s="413"/>
      <c r="J199" s="413"/>
      <c r="K199" s="413"/>
      <c r="L199" s="413"/>
      <c r="M199" s="413"/>
    </row>
    <row r="200" spans="8:13">
      <c r="I200" s="413"/>
      <c r="J200" s="413"/>
      <c r="K200" s="413"/>
      <c r="L200" s="413"/>
      <c r="M200" s="413"/>
    </row>
    <row r="201" spans="8:13">
      <c r="I201" s="413"/>
      <c r="J201" s="413"/>
      <c r="K201" s="413"/>
      <c r="L201" s="413"/>
      <c r="M201" s="413"/>
    </row>
    <row r="202" spans="8:13">
      <c r="I202" s="413"/>
      <c r="J202" s="413"/>
      <c r="K202" s="413"/>
      <c r="L202" s="413"/>
      <c r="M202" s="413"/>
    </row>
    <row r="203" spans="8:13">
      <c r="I203" s="413"/>
      <c r="J203" s="413"/>
      <c r="K203" s="413"/>
      <c r="L203" s="413"/>
      <c r="M203" s="413"/>
    </row>
    <row r="204" spans="8:13">
      <c r="I204" s="413"/>
      <c r="J204" s="413"/>
      <c r="K204" s="413"/>
      <c r="L204" s="413"/>
      <c r="M204" s="413"/>
    </row>
    <row r="205" spans="8:13">
      <c r="I205" s="413"/>
      <c r="J205" s="413"/>
      <c r="K205" s="413"/>
      <c r="L205" s="413"/>
      <c r="M205" s="413"/>
    </row>
    <row r="206" spans="8:13">
      <c r="I206" s="413"/>
      <c r="J206" s="413"/>
      <c r="K206" s="413"/>
      <c r="L206" s="413"/>
      <c r="M206" s="413"/>
    </row>
    <row r="207" spans="8:13">
      <c r="H207" s="425"/>
      <c r="I207" s="426"/>
      <c r="J207" s="426"/>
      <c r="K207" s="426"/>
      <c r="L207" s="426"/>
      <c r="M207" s="426"/>
    </row>
    <row r="208" spans="8:13">
      <c r="H208" s="425"/>
      <c r="I208" s="426"/>
      <c r="J208" s="426"/>
      <c r="K208" s="426"/>
      <c r="L208" s="426"/>
      <c r="M208" s="426"/>
    </row>
    <row r="209" spans="8:13">
      <c r="H209" s="425"/>
      <c r="I209" s="426"/>
      <c r="J209" s="426"/>
      <c r="K209" s="426"/>
      <c r="L209" s="426"/>
      <c r="M209" s="426"/>
    </row>
    <row r="210" spans="8:13">
      <c r="I210" s="413"/>
      <c r="J210" s="413"/>
      <c r="K210" s="413"/>
      <c r="L210" s="413"/>
      <c r="M210" s="413"/>
    </row>
    <row r="211" spans="8:13">
      <c r="I211" s="413"/>
      <c r="J211" s="413"/>
      <c r="K211" s="413"/>
      <c r="L211" s="413"/>
      <c r="M211" s="413"/>
    </row>
    <row r="212" spans="8:13">
      <c r="I212" s="413"/>
      <c r="J212" s="413"/>
      <c r="K212" s="413"/>
      <c r="L212" s="413"/>
      <c r="M212" s="413"/>
    </row>
    <row r="213" spans="8:13">
      <c r="I213" s="413"/>
      <c r="J213" s="413"/>
      <c r="K213" s="413"/>
      <c r="L213" s="413"/>
      <c r="M213" s="413"/>
    </row>
    <row r="214" spans="8:13">
      <c r="I214" s="413"/>
      <c r="J214" s="413"/>
      <c r="K214" s="413"/>
      <c r="L214" s="413"/>
      <c r="M214" s="413"/>
    </row>
    <row r="215" spans="8:13">
      <c r="I215" s="413"/>
      <c r="J215" s="413"/>
      <c r="K215" s="413"/>
      <c r="L215" s="413"/>
      <c r="M215" s="413"/>
    </row>
    <row r="216" spans="8:13">
      <c r="I216" s="413"/>
      <c r="J216" s="413"/>
      <c r="K216" s="413"/>
      <c r="L216" s="413"/>
      <c r="M216" s="413"/>
    </row>
    <row r="217" spans="8:13">
      <c r="I217" s="413"/>
      <c r="J217" s="413"/>
      <c r="K217" s="413"/>
      <c r="L217" s="413"/>
      <c r="M217" s="413"/>
    </row>
    <row r="218" spans="8:13">
      <c r="I218" s="413"/>
      <c r="J218" s="413"/>
      <c r="K218" s="413"/>
      <c r="L218" s="413"/>
      <c r="M218" s="413"/>
    </row>
    <row r="219" spans="8:13">
      <c r="I219" s="413"/>
      <c r="J219" s="413"/>
      <c r="K219" s="413"/>
      <c r="L219" s="413"/>
      <c r="M219" s="413"/>
    </row>
    <row r="220" spans="8:13">
      <c r="I220" s="413"/>
      <c r="J220" s="413"/>
      <c r="K220" s="413"/>
      <c r="L220" s="413"/>
      <c r="M220" s="413"/>
    </row>
    <row r="221" spans="8:13">
      <c r="I221" s="413"/>
      <c r="J221" s="413"/>
      <c r="K221" s="413"/>
      <c r="L221" s="413"/>
      <c r="M221" s="413"/>
    </row>
    <row r="222" spans="8:13">
      <c r="I222" s="413"/>
      <c r="J222" s="413"/>
      <c r="K222" s="413"/>
      <c r="L222" s="413"/>
      <c r="M222" s="413"/>
    </row>
    <row r="223" spans="8:13">
      <c r="I223" s="413"/>
      <c r="J223" s="413"/>
      <c r="K223" s="413"/>
      <c r="L223" s="413"/>
      <c r="M223" s="413"/>
    </row>
    <row r="224" spans="8:13">
      <c r="I224" s="413"/>
      <c r="J224" s="413"/>
      <c r="K224" s="413"/>
      <c r="L224" s="413"/>
      <c r="M224" s="413"/>
    </row>
    <row r="225" spans="9:13">
      <c r="I225" s="413"/>
      <c r="J225" s="413"/>
      <c r="K225" s="413"/>
      <c r="L225" s="413"/>
      <c r="M225" s="413"/>
    </row>
    <row r="226" spans="9:13">
      <c r="I226" s="413"/>
      <c r="J226" s="413"/>
      <c r="K226" s="413"/>
      <c r="L226" s="413"/>
      <c r="M226" s="413"/>
    </row>
    <row r="227" spans="9:13">
      <c r="I227" s="413"/>
      <c r="J227" s="413"/>
      <c r="K227" s="413"/>
      <c r="L227" s="413"/>
      <c r="M227" s="413"/>
    </row>
    <row r="228" spans="9:13">
      <c r="I228" s="413"/>
      <c r="J228" s="413"/>
      <c r="K228" s="413"/>
      <c r="L228" s="413"/>
      <c r="M228" s="413"/>
    </row>
    <row r="229" spans="9:13">
      <c r="I229" s="413"/>
      <c r="J229" s="413"/>
      <c r="K229" s="413"/>
      <c r="L229" s="413"/>
      <c r="M229" s="413"/>
    </row>
    <row r="230" spans="9:13">
      <c r="I230" s="413"/>
      <c r="J230" s="413"/>
      <c r="K230" s="413"/>
      <c r="L230" s="413"/>
      <c r="M230" s="413"/>
    </row>
    <row r="231" spans="9:13">
      <c r="I231" s="413"/>
      <c r="J231" s="413"/>
      <c r="K231" s="413"/>
      <c r="L231" s="413"/>
      <c r="M231" s="413"/>
    </row>
    <row r="232" spans="9:13">
      <c r="I232" s="413"/>
      <c r="J232" s="413"/>
      <c r="K232" s="413"/>
      <c r="L232" s="413"/>
      <c r="M232" s="413"/>
    </row>
    <row r="233" spans="9:13">
      <c r="I233" s="413"/>
      <c r="J233" s="413"/>
      <c r="K233" s="413"/>
      <c r="L233" s="413"/>
      <c r="M233" s="413"/>
    </row>
    <row r="234" spans="9:13">
      <c r="I234" s="413"/>
      <c r="J234" s="413"/>
      <c r="K234" s="413"/>
      <c r="L234" s="413"/>
      <c r="M234" s="413"/>
    </row>
    <row r="235" spans="9:13">
      <c r="I235" s="413"/>
      <c r="J235" s="413"/>
      <c r="K235" s="413"/>
      <c r="L235" s="413"/>
      <c r="M235" s="413"/>
    </row>
    <row r="236" spans="9:13">
      <c r="I236" s="413"/>
      <c r="J236" s="413"/>
      <c r="K236" s="413"/>
      <c r="L236" s="413"/>
      <c r="M236" s="413"/>
    </row>
    <row r="237" spans="9:13">
      <c r="I237" s="413"/>
      <c r="J237" s="413"/>
      <c r="K237" s="413"/>
      <c r="L237" s="413"/>
      <c r="M237" s="413"/>
    </row>
    <row r="238" spans="9:13">
      <c r="I238" s="413"/>
      <c r="J238" s="413"/>
      <c r="K238" s="413"/>
      <c r="L238" s="413"/>
      <c r="M238" s="413"/>
    </row>
    <row r="239" spans="9:13">
      <c r="I239" s="413"/>
      <c r="J239" s="413"/>
      <c r="K239" s="413"/>
      <c r="L239" s="413"/>
      <c r="M239" s="413"/>
    </row>
    <row r="240" spans="9:13">
      <c r="I240" s="413"/>
      <c r="J240" s="413"/>
      <c r="K240" s="413"/>
      <c r="L240" s="413"/>
      <c r="M240" s="413"/>
    </row>
    <row r="241" spans="9:13">
      <c r="I241" s="413"/>
      <c r="J241" s="413"/>
      <c r="K241" s="413"/>
      <c r="L241" s="413"/>
      <c r="M241" s="413"/>
    </row>
    <row r="242" spans="9:13">
      <c r="I242" s="413"/>
      <c r="J242" s="413"/>
      <c r="K242" s="413"/>
      <c r="L242" s="413"/>
      <c r="M242" s="413"/>
    </row>
    <row r="243" spans="9:13">
      <c r="I243" s="413"/>
      <c r="J243" s="413"/>
      <c r="K243" s="413"/>
      <c r="L243" s="413"/>
      <c r="M243" s="413"/>
    </row>
    <row r="244" spans="9:13">
      <c r="I244" s="413"/>
      <c r="J244" s="413"/>
      <c r="K244" s="413"/>
      <c r="L244" s="413"/>
      <c r="M244" s="413"/>
    </row>
    <row r="245" spans="9:13">
      <c r="I245" s="413"/>
      <c r="J245" s="413"/>
      <c r="K245" s="413"/>
      <c r="L245" s="413"/>
      <c r="M245" s="413"/>
    </row>
    <row r="246" spans="9:13">
      <c r="I246" s="413"/>
      <c r="J246" s="413"/>
      <c r="K246" s="413"/>
      <c r="L246" s="413"/>
      <c r="M246" s="413"/>
    </row>
    <row r="247" spans="9:13">
      <c r="I247" s="413"/>
      <c r="J247" s="413"/>
      <c r="K247" s="413"/>
      <c r="L247" s="413"/>
      <c r="M247" s="413"/>
    </row>
    <row r="248" spans="9:13">
      <c r="I248" s="413"/>
      <c r="J248" s="413"/>
      <c r="K248" s="413"/>
      <c r="L248" s="413"/>
      <c r="M248" s="413"/>
    </row>
    <row r="249" spans="9:13">
      <c r="I249" s="413"/>
      <c r="J249" s="413"/>
      <c r="K249" s="413"/>
      <c r="L249" s="413"/>
      <c r="M249" s="413"/>
    </row>
    <row r="250" spans="9:13">
      <c r="I250" s="413"/>
      <c r="J250" s="413"/>
      <c r="K250" s="413"/>
      <c r="L250" s="413"/>
      <c r="M250" s="413"/>
    </row>
    <row r="251" spans="9:13">
      <c r="I251" s="413"/>
      <c r="J251" s="413"/>
      <c r="K251" s="413"/>
      <c r="L251" s="413"/>
      <c r="M251" s="413"/>
    </row>
    <row r="252" spans="9:13">
      <c r="I252" s="413"/>
      <c r="J252" s="413"/>
      <c r="K252" s="413"/>
      <c r="L252" s="413"/>
      <c r="M252" s="413"/>
    </row>
    <row r="253" spans="9:13">
      <c r="I253" s="413"/>
      <c r="J253" s="413"/>
      <c r="K253" s="413"/>
      <c r="L253" s="413"/>
      <c r="M253" s="413"/>
    </row>
    <row r="254" spans="9:13">
      <c r="I254" s="413"/>
      <c r="J254" s="413"/>
      <c r="K254" s="413"/>
      <c r="L254" s="413"/>
      <c r="M254" s="413"/>
    </row>
    <row r="255" spans="9:13">
      <c r="I255" s="413"/>
      <c r="J255" s="413"/>
      <c r="K255" s="413"/>
      <c r="L255" s="413"/>
      <c r="M255" s="413"/>
    </row>
    <row r="256" spans="9:13">
      <c r="I256" s="413"/>
      <c r="J256" s="413"/>
      <c r="K256" s="413"/>
      <c r="L256" s="413"/>
      <c r="M256" s="413"/>
    </row>
    <row r="257" spans="9:13">
      <c r="I257" s="413"/>
      <c r="J257" s="413"/>
      <c r="K257" s="413"/>
      <c r="L257" s="413"/>
      <c r="M257" s="413"/>
    </row>
    <row r="258" spans="9:13">
      <c r="I258" s="413"/>
      <c r="J258" s="413"/>
      <c r="K258" s="413"/>
      <c r="L258" s="413"/>
      <c r="M258" s="413"/>
    </row>
    <row r="259" spans="9:13">
      <c r="I259" s="413"/>
      <c r="J259" s="413"/>
      <c r="K259" s="413"/>
      <c r="L259" s="413"/>
      <c r="M259" s="413"/>
    </row>
    <row r="260" spans="9:13">
      <c r="I260" s="413"/>
      <c r="J260" s="413"/>
      <c r="K260" s="413"/>
      <c r="L260" s="413"/>
      <c r="M260" s="413"/>
    </row>
    <row r="261" spans="9:13">
      <c r="I261" s="413"/>
      <c r="J261" s="413"/>
      <c r="K261" s="413"/>
      <c r="L261" s="413"/>
      <c r="M261" s="413"/>
    </row>
    <row r="262" spans="9:13">
      <c r="I262" s="413"/>
      <c r="J262" s="413"/>
      <c r="K262" s="413"/>
      <c r="L262" s="413"/>
      <c r="M262" s="413"/>
    </row>
    <row r="263" spans="9:13">
      <c r="I263" s="413"/>
      <c r="J263" s="413"/>
      <c r="K263" s="413"/>
      <c r="L263" s="413"/>
      <c r="M263" s="413"/>
    </row>
    <row r="264" spans="9:13">
      <c r="I264" s="413"/>
      <c r="J264" s="413"/>
      <c r="K264" s="413"/>
      <c r="L264" s="413"/>
      <c r="M264" s="413"/>
    </row>
    <row r="265" spans="9:13">
      <c r="I265" s="413"/>
      <c r="J265" s="413"/>
      <c r="K265" s="413"/>
      <c r="L265" s="413"/>
      <c r="M265" s="413"/>
    </row>
    <row r="266" spans="9:13">
      <c r="I266" s="413"/>
      <c r="J266" s="413"/>
      <c r="K266" s="413"/>
      <c r="L266" s="413"/>
      <c r="M266" s="413"/>
    </row>
    <row r="267" spans="9:13">
      <c r="I267" s="413"/>
      <c r="J267" s="413"/>
      <c r="K267" s="413"/>
      <c r="L267" s="413"/>
      <c r="M267" s="413"/>
    </row>
    <row r="268" spans="9:13">
      <c r="I268" s="413"/>
      <c r="J268" s="413"/>
      <c r="K268" s="413"/>
      <c r="L268" s="413"/>
      <c r="M268" s="413"/>
    </row>
    <row r="269" spans="9:13">
      <c r="I269" s="413"/>
      <c r="J269" s="413"/>
      <c r="K269" s="413"/>
      <c r="L269" s="413"/>
      <c r="M269" s="413"/>
    </row>
    <row r="270" spans="9:13">
      <c r="I270" s="413"/>
      <c r="J270" s="413"/>
      <c r="K270" s="413"/>
      <c r="L270" s="413"/>
      <c r="M270" s="413"/>
    </row>
    <row r="271" spans="9:13">
      <c r="I271" s="413"/>
      <c r="J271" s="413"/>
      <c r="K271" s="413"/>
      <c r="L271" s="413"/>
      <c r="M271" s="413"/>
    </row>
    <row r="272" spans="9:13">
      <c r="I272" s="413"/>
      <c r="J272" s="413"/>
      <c r="K272" s="413"/>
      <c r="L272" s="413"/>
      <c r="M272" s="413"/>
    </row>
    <row r="273" spans="9:13">
      <c r="I273" s="413"/>
      <c r="J273" s="413"/>
      <c r="K273" s="413"/>
      <c r="L273" s="413"/>
      <c r="M273" s="413"/>
    </row>
    <row r="274" spans="9:13">
      <c r="I274" s="413"/>
      <c r="J274" s="413"/>
      <c r="K274" s="413"/>
      <c r="L274" s="413"/>
      <c r="M274" s="413"/>
    </row>
    <row r="275" spans="9:13">
      <c r="I275" s="413"/>
      <c r="J275" s="413"/>
      <c r="K275" s="413"/>
      <c r="L275" s="413"/>
      <c r="M275" s="413"/>
    </row>
    <row r="276" spans="9:13">
      <c r="I276" s="413"/>
      <c r="J276" s="413"/>
      <c r="K276" s="413"/>
      <c r="L276" s="413"/>
      <c r="M276" s="413"/>
    </row>
    <row r="277" spans="9:13">
      <c r="I277" s="413"/>
      <c r="J277" s="413"/>
      <c r="K277" s="413"/>
      <c r="L277" s="413"/>
      <c r="M277" s="413"/>
    </row>
    <row r="278" spans="9:13">
      <c r="I278" s="413"/>
      <c r="J278" s="413"/>
      <c r="K278" s="413"/>
      <c r="L278" s="413"/>
      <c r="M278" s="413"/>
    </row>
    <row r="279" spans="9:13">
      <c r="I279" s="413"/>
      <c r="J279" s="413"/>
      <c r="K279" s="413"/>
      <c r="L279" s="413"/>
      <c r="M279" s="413"/>
    </row>
    <row r="280" spans="9:13">
      <c r="I280" s="413"/>
      <c r="J280" s="413"/>
      <c r="K280" s="413"/>
      <c r="L280" s="413"/>
      <c r="M280" s="413"/>
    </row>
    <row r="281" spans="9:13">
      <c r="I281" s="413"/>
      <c r="J281" s="413"/>
      <c r="K281" s="413"/>
      <c r="L281" s="413"/>
      <c r="M281" s="413"/>
    </row>
    <row r="282" spans="9:13">
      <c r="I282" s="413"/>
      <c r="J282" s="413"/>
      <c r="K282" s="413"/>
      <c r="L282" s="413"/>
      <c r="M282" s="413"/>
    </row>
    <row r="283" spans="9:13">
      <c r="I283" s="413"/>
      <c r="J283" s="413"/>
      <c r="K283" s="413"/>
      <c r="L283" s="413"/>
      <c r="M283" s="413"/>
    </row>
    <row r="284" spans="9:13">
      <c r="I284" s="413"/>
      <c r="J284" s="413"/>
      <c r="K284" s="413"/>
      <c r="L284" s="413"/>
      <c r="M284" s="413"/>
    </row>
    <row r="285" spans="9:13">
      <c r="I285" s="413"/>
      <c r="J285" s="413"/>
      <c r="K285" s="413"/>
      <c r="L285" s="413"/>
      <c r="M285" s="413"/>
    </row>
    <row r="286" spans="9:13">
      <c r="I286" s="413"/>
      <c r="J286" s="413"/>
      <c r="K286" s="413"/>
      <c r="L286" s="413"/>
      <c r="M286" s="413"/>
    </row>
    <row r="287" spans="9:13">
      <c r="I287" s="413"/>
      <c r="J287" s="413"/>
      <c r="K287" s="413"/>
      <c r="L287" s="413"/>
      <c r="M287" s="413"/>
    </row>
    <row r="288" spans="9:13">
      <c r="I288" s="413"/>
      <c r="J288" s="413"/>
      <c r="K288" s="413"/>
      <c r="L288" s="413"/>
      <c r="M288" s="413"/>
    </row>
    <row r="289" spans="9:13">
      <c r="I289" s="413"/>
      <c r="J289" s="413"/>
      <c r="K289" s="413"/>
      <c r="L289" s="413"/>
      <c r="M289" s="413"/>
    </row>
    <row r="290" spans="9:13">
      <c r="I290" s="413"/>
      <c r="J290" s="413"/>
      <c r="K290" s="413"/>
      <c r="L290" s="413"/>
      <c r="M290" s="413"/>
    </row>
    <row r="291" spans="9:13">
      <c r="I291" s="413"/>
      <c r="J291" s="413"/>
      <c r="K291" s="413"/>
      <c r="L291" s="413"/>
      <c r="M291" s="413"/>
    </row>
    <row r="292" spans="9:13">
      <c r="I292" s="413"/>
      <c r="J292" s="413"/>
      <c r="K292" s="413"/>
      <c r="L292" s="413"/>
      <c r="M292" s="413"/>
    </row>
    <row r="293" spans="9:13">
      <c r="I293" s="413"/>
      <c r="J293" s="413"/>
      <c r="K293" s="413"/>
      <c r="L293" s="413"/>
      <c r="M293" s="413"/>
    </row>
    <row r="294" spans="9:13">
      <c r="I294" s="413"/>
      <c r="J294" s="413"/>
      <c r="K294" s="413"/>
      <c r="L294" s="413"/>
      <c r="M294" s="413"/>
    </row>
    <row r="295" spans="9:13">
      <c r="I295" s="413"/>
      <c r="J295" s="413"/>
      <c r="K295" s="413"/>
      <c r="L295" s="413"/>
      <c r="M295" s="413"/>
    </row>
    <row r="296" spans="9:13">
      <c r="I296" s="413"/>
      <c r="J296" s="413"/>
      <c r="K296" s="413"/>
      <c r="L296" s="413"/>
      <c r="M296" s="413"/>
    </row>
    <row r="297" spans="9:13">
      <c r="I297" s="413"/>
      <c r="J297" s="413"/>
      <c r="K297" s="413"/>
      <c r="L297" s="413"/>
      <c r="M297" s="413"/>
    </row>
    <row r="298" spans="9:13">
      <c r="I298" s="413"/>
      <c r="J298" s="413"/>
      <c r="K298" s="413"/>
      <c r="L298" s="413"/>
      <c r="M298" s="413"/>
    </row>
    <row r="299" spans="9:13">
      <c r="I299" s="413"/>
      <c r="J299" s="413"/>
      <c r="K299" s="413"/>
      <c r="L299" s="413"/>
      <c r="M299" s="413"/>
    </row>
    <row r="300" spans="9:13">
      <c r="I300" s="413"/>
      <c r="J300" s="413"/>
      <c r="K300" s="413"/>
      <c r="L300" s="413"/>
      <c r="M300" s="413"/>
    </row>
    <row r="301" spans="9:13">
      <c r="I301" s="413"/>
      <c r="J301" s="413"/>
      <c r="K301" s="413"/>
      <c r="L301" s="413"/>
      <c r="M301" s="413"/>
    </row>
    <row r="302" spans="9:13">
      <c r="I302" s="413"/>
      <c r="J302" s="413"/>
      <c r="K302" s="413"/>
      <c r="L302" s="413"/>
      <c r="M302" s="413"/>
    </row>
    <row r="303" spans="9:13">
      <c r="I303" s="413"/>
      <c r="J303" s="413"/>
      <c r="K303" s="413"/>
      <c r="L303" s="413"/>
      <c r="M303" s="413"/>
    </row>
    <row r="304" spans="9:13">
      <c r="I304" s="413"/>
      <c r="J304" s="413"/>
      <c r="K304" s="413"/>
      <c r="L304" s="413"/>
      <c r="M304" s="413"/>
    </row>
    <row r="305" spans="9:13">
      <c r="I305" s="413"/>
      <c r="J305" s="413"/>
      <c r="K305" s="413"/>
      <c r="L305" s="413"/>
      <c r="M305" s="413"/>
    </row>
    <row r="306" spans="9:13">
      <c r="I306" s="413"/>
      <c r="J306" s="413"/>
      <c r="K306" s="413"/>
      <c r="L306" s="413"/>
      <c r="M306" s="413"/>
    </row>
    <row r="307" spans="9:13">
      <c r="I307" s="413"/>
      <c r="J307" s="413"/>
      <c r="K307" s="413"/>
      <c r="L307" s="413"/>
      <c r="M307" s="413"/>
    </row>
    <row r="308" spans="9:13">
      <c r="I308" s="413"/>
      <c r="J308" s="413"/>
      <c r="K308" s="413"/>
      <c r="L308" s="413"/>
      <c r="M308" s="413"/>
    </row>
    <row r="309" spans="9:13">
      <c r="I309" s="413"/>
      <c r="J309" s="413"/>
      <c r="K309" s="413"/>
      <c r="L309" s="413"/>
      <c r="M309" s="413"/>
    </row>
    <row r="310" spans="9:13">
      <c r="I310" s="413"/>
      <c r="J310" s="413"/>
      <c r="K310" s="413"/>
      <c r="L310" s="413"/>
      <c r="M310" s="413"/>
    </row>
    <row r="311" spans="9:13">
      <c r="I311" s="413"/>
      <c r="J311" s="413"/>
      <c r="K311" s="413"/>
      <c r="L311" s="413"/>
      <c r="M311" s="413"/>
    </row>
    <row r="312" spans="9:13">
      <c r="I312" s="413"/>
      <c r="J312" s="413"/>
      <c r="K312" s="413"/>
      <c r="L312" s="413"/>
      <c r="M312" s="413"/>
    </row>
    <row r="313" spans="9:13">
      <c r="I313" s="413"/>
      <c r="J313" s="413"/>
      <c r="K313" s="413"/>
      <c r="L313" s="413"/>
      <c r="M313" s="413"/>
    </row>
    <row r="314" spans="9:13">
      <c r="I314" s="413"/>
      <c r="J314" s="413"/>
      <c r="K314" s="413"/>
      <c r="L314" s="413"/>
      <c r="M314" s="413"/>
    </row>
    <row r="315" spans="9:13">
      <c r="I315" s="413"/>
      <c r="J315" s="413"/>
      <c r="K315" s="413"/>
      <c r="L315" s="413"/>
      <c r="M315" s="413"/>
    </row>
    <row r="316" spans="9:13">
      <c r="I316" s="413"/>
      <c r="J316" s="413"/>
      <c r="K316" s="413"/>
      <c r="L316" s="413"/>
      <c r="M316" s="413"/>
    </row>
    <row r="317" spans="9:13">
      <c r="I317" s="413"/>
      <c r="J317" s="413"/>
      <c r="K317" s="413"/>
      <c r="L317" s="413"/>
      <c r="M317" s="413"/>
    </row>
    <row r="318" spans="9:13">
      <c r="I318" s="413"/>
      <c r="J318" s="413"/>
      <c r="K318" s="413"/>
      <c r="L318" s="413"/>
      <c r="M318" s="413"/>
    </row>
    <row r="319" spans="9:13">
      <c r="I319" s="413"/>
      <c r="J319" s="413"/>
      <c r="K319" s="413"/>
      <c r="L319" s="413"/>
      <c r="M319" s="413"/>
    </row>
    <row r="320" spans="9:13">
      <c r="I320" s="413"/>
      <c r="J320" s="413"/>
      <c r="K320" s="413"/>
      <c r="L320" s="413"/>
      <c r="M320" s="413"/>
    </row>
    <row r="321" spans="9:13">
      <c r="I321" s="413"/>
      <c r="J321" s="413"/>
      <c r="K321" s="413"/>
      <c r="L321" s="413"/>
      <c r="M321" s="413"/>
    </row>
    <row r="322" spans="9:13">
      <c r="I322" s="413"/>
      <c r="J322" s="413"/>
      <c r="K322" s="413"/>
      <c r="L322" s="413"/>
      <c r="M322" s="413"/>
    </row>
    <row r="323" spans="9:13">
      <c r="I323" s="413"/>
      <c r="J323" s="413"/>
      <c r="K323" s="413"/>
      <c r="L323" s="413"/>
      <c r="M323" s="413"/>
    </row>
    <row r="324" spans="9:13">
      <c r="I324" s="413"/>
      <c r="J324" s="413"/>
      <c r="K324" s="413"/>
      <c r="L324" s="413"/>
      <c r="M324" s="413"/>
    </row>
    <row r="325" spans="9:13">
      <c r="I325" s="413"/>
      <c r="J325" s="413"/>
      <c r="K325" s="413"/>
      <c r="L325" s="413"/>
      <c r="M325" s="413"/>
    </row>
    <row r="326" spans="9:13">
      <c r="I326" s="413"/>
      <c r="J326" s="413"/>
      <c r="K326" s="413"/>
      <c r="L326" s="413"/>
      <c r="M326" s="413"/>
    </row>
    <row r="327" spans="9:13">
      <c r="I327" s="413"/>
      <c r="J327" s="413"/>
      <c r="K327" s="413"/>
      <c r="L327" s="413"/>
      <c r="M327" s="413"/>
    </row>
    <row r="328" spans="9:13">
      <c r="I328" s="413"/>
      <c r="J328" s="413"/>
      <c r="K328" s="413"/>
      <c r="L328" s="413"/>
      <c r="M328" s="413"/>
    </row>
    <row r="329" spans="9:13">
      <c r="I329" s="413"/>
      <c r="J329" s="413"/>
      <c r="K329" s="413"/>
      <c r="L329" s="413"/>
      <c r="M329" s="413"/>
    </row>
    <row r="330" spans="9:13">
      <c r="I330" s="413"/>
      <c r="J330" s="413"/>
      <c r="K330" s="413"/>
      <c r="L330" s="413"/>
      <c r="M330" s="413"/>
    </row>
    <row r="331" spans="9:13">
      <c r="I331" s="413"/>
      <c r="J331" s="413"/>
      <c r="K331" s="413"/>
      <c r="L331" s="413"/>
      <c r="M331" s="413"/>
    </row>
    <row r="332" spans="9:13">
      <c r="I332" s="413"/>
      <c r="J332" s="413"/>
      <c r="K332" s="413"/>
      <c r="L332" s="413"/>
      <c r="M332" s="413"/>
    </row>
    <row r="333" spans="9:13">
      <c r="I333" s="413"/>
      <c r="J333" s="413"/>
      <c r="K333" s="413"/>
      <c r="L333" s="413"/>
      <c r="M333" s="413"/>
    </row>
    <row r="334" spans="9:13">
      <c r="I334" s="413"/>
      <c r="J334" s="413"/>
      <c r="K334" s="413"/>
      <c r="L334" s="413"/>
      <c r="M334" s="413"/>
    </row>
    <row r="335" spans="9:13">
      <c r="I335" s="413"/>
      <c r="J335" s="413"/>
      <c r="K335" s="413"/>
      <c r="L335" s="413"/>
      <c r="M335" s="413"/>
    </row>
    <row r="336" spans="9:13">
      <c r="I336" s="413"/>
      <c r="J336" s="413"/>
      <c r="K336" s="413"/>
      <c r="L336" s="413"/>
      <c r="M336" s="413"/>
    </row>
    <row r="337" spans="9:13">
      <c r="I337" s="413"/>
      <c r="J337" s="413"/>
      <c r="K337" s="413"/>
      <c r="L337" s="413"/>
      <c r="M337" s="413"/>
    </row>
    <row r="338" spans="9:13">
      <c r="I338" s="413"/>
      <c r="J338" s="413"/>
      <c r="K338" s="413"/>
      <c r="L338" s="413"/>
      <c r="M338" s="413"/>
    </row>
    <row r="339" spans="9:13">
      <c r="I339" s="413"/>
      <c r="J339" s="413"/>
      <c r="K339" s="413"/>
      <c r="L339" s="413"/>
      <c r="M339" s="413"/>
    </row>
    <row r="340" spans="9:13">
      <c r="I340" s="413"/>
      <c r="J340" s="413"/>
      <c r="K340" s="413"/>
      <c r="L340" s="413"/>
      <c r="M340" s="413"/>
    </row>
    <row r="341" spans="9:13">
      <c r="I341" s="413"/>
      <c r="J341" s="413"/>
      <c r="K341" s="413"/>
      <c r="L341" s="413"/>
      <c r="M341" s="413"/>
    </row>
    <row r="342" spans="9:13">
      <c r="I342" s="413"/>
      <c r="J342" s="413"/>
      <c r="K342" s="413"/>
      <c r="L342" s="413"/>
      <c r="M342" s="413"/>
    </row>
    <row r="343" spans="9:13">
      <c r="I343" s="413"/>
      <c r="J343" s="413"/>
      <c r="K343" s="413"/>
      <c r="L343" s="413"/>
      <c r="M343" s="413"/>
    </row>
    <row r="344" spans="9:13">
      <c r="I344" s="413"/>
      <c r="J344" s="413"/>
      <c r="K344" s="413"/>
      <c r="L344" s="413"/>
      <c r="M344" s="413"/>
    </row>
    <row r="345" spans="9:13">
      <c r="I345" s="413"/>
      <c r="J345" s="413"/>
      <c r="K345" s="413"/>
      <c r="L345" s="413"/>
      <c r="M345" s="413"/>
    </row>
    <row r="346" spans="9:13">
      <c r="I346" s="413"/>
      <c r="J346" s="413"/>
      <c r="K346" s="413"/>
      <c r="L346" s="413"/>
      <c r="M346" s="413"/>
    </row>
    <row r="347" spans="9:13">
      <c r="I347" s="413"/>
      <c r="J347" s="413"/>
      <c r="K347" s="413"/>
      <c r="L347" s="413"/>
      <c r="M347" s="413"/>
    </row>
    <row r="348" spans="9:13">
      <c r="I348" s="413"/>
      <c r="J348" s="413"/>
      <c r="K348" s="413"/>
      <c r="L348" s="413"/>
      <c r="M348" s="413"/>
    </row>
    <row r="349" spans="9:13">
      <c r="I349" s="413"/>
      <c r="J349" s="413"/>
      <c r="K349" s="413"/>
      <c r="L349" s="413"/>
      <c r="M349" s="413"/>
    </row>
    <row r="350" spans="9:13">
      <c r="I350" s="413"/>
      <c r="J350" s="413"/>
      <c r="K350" s="413"/>
      <c r="L350" s="413"/>
      <c r="M350" s="413"/>
    </row>
    <row r="351" spans="9:13">
      <c r="I351" s="413"/>
      <c r="J351" s="413"/>
      <c r="K351" s="413"/>
      <c r="L351" s="413"/>
      <c r="M351" s="413"/>
    </row>
    <row r="352" spans="9:13">
      <c r="I352" s="413"/>
      <c r="J352" s="413"/>
      <c r="K352" s="413"/>
      <c r="L352" s="413"/>
      <c r="M352" s="413"/>
    </row>
    <row r="353" spans="9:13">
      <c r="I353" s="413"/>
      <c r="J353" s="413"/>
      <c r="K353" s="413"/>
      <c r="L353" s="413"/>
      <c r="M353" s="413"/>
    </row>
    <row r="354" spans="9:13">
      <c r="I354" s="413"/>
      <c r="J354" s="413"/>
      <c r="K354" s="413"/>
      <c r="L354" s="413"/>
      <c r="M354" s="413"/>
    </row>
    <row r="355" spans="9:13">
      <c r="I355" s="413"/>
      <c r="J355" s="413"/>
      <c r="K355" s="413"/>
      <c r="L355" s="413"/>
      <c r="M355" s="413"/>
    </row>
    <row r="356" spans="9:13">
      <c r="I356" s="413"/>
      <c r="J356" s="413"/>
      <c r="K356" s="413"/>
      <c r="L356" s="413"/>
      <c r="M356" s="413"/>
    </row>
    <row r="357" spans="9:13">
      <c r="I357" s="413"/>
      <c r="J357" s="413"/>
      <c r="K357" s="413"/>
      <c r="L357" s="413"/>
      <c r="M357" s="413"/>
    </row>
    <row r="358" spans="9:13">
      <c r="I358" s="413"/>
      <c r="J358" s="413"/>
      <c r="K358" s="413"/>
      <c r="L358" s="413"/>
      <c r="M358" s="413"/>
    </row>
    <row r="359" spans="9:13">
      <c r="I359" s="413"/>
      <c r="J359" s="413"/>
      <c r="K359" s="413"/>
      <c r="L359" s="413"/>
      <c r="M359" s="413"/>
    </row>
    <row r="360" spans="9:13">
      <c r="I360" s="413"/>
      <c r="J360" s="413"/>
      <c r="K360" s="413"/>
      <c r="L360" s="413"/>
      <c r="M360" s="413"/>
    </row>
    <row r="361" spans="9:13">
      <c r="I361" s="413"/>
      <c r="J361" s="413"/>
      <c r="K361" s="413"/>
      <c r="L361" s="413"/>
      <c r="M361" s="413"/>
    </row>
    <row r="362" spans="9:13">
      <c r="I362" s="413"/>
      <c r="J362" s="413"/>
      <c r="K362" s="413"/>
      <c r="L362" s="413"/>
      <c r="M362" s="413"/>
    </row>
    <row r="363" spans="9:13">
      <c r="I363" s="413"/>
      <c r="J363" s="413"/>
      <c r="K363" s="413"/>
      <c r="L363" s="413"/>
      <c r="M363" s="413"/>
    </row>
    <row r="364" spans="9:13">
      <c r="I364" s="413"/>
      <c r="J364" s="413"/>
      <c r="K364" s="413"/>
      <c r="L364" s="413"/>
      <c r="M364" s="413"/>
    </row>
    <row r="365" spans="9:13">
      <c r="I365" s="413"/>
      <c r="J365" s="413"/>
      <c r="K365" s="413"/>
      <c r="L365" s="413"/>
      <c r="M365" s="413"/>
    </row>
    <row r="366" spans="9:13">
      <c r="I366" s="413"/>
      <c r="J366" s="413"/>
      <c r="K366" s="413"/>
      <c r="L366" s="413"/>
      <c r="M366" s="413"/>
    </row>
    <row r="367" spans="9:13">
      <c r="I367" s="413"/>
      <c r="J367" s="413"/>
      <c r="K367" s="413"/>
      <c r="L367" s="413"/>
      <c r="M367" s="413"/>
    </row>
    <row r="368" spans="9:13">
      <c r="I368" s="413"/>
      <c r="J368" s="413"/>
      <c r="K368" s="413"/>
      <c r="L368" s="413"/>
      <c r="M368" s="413"/>
    </row>
    <row r="369" spans="9:13">
      <c r="I369" s="413"/>
      <c r="J369" s="413"/>
      <c r="K369" s="413"/>
      <c r="L369" s="413"/>
      <c r="M369" s="413"/>
    </row>
    <row r="370" spans="9:13">
      <c r="I370" s="413"/>
      <c r="J370" s="413"/>
      <c r="K370" s="413"/>
      <c r="L370" s="413"/>
      <c r="M370" s="413"/>
    </row>
    <row r="371" spans="9:13">
      <c r="I371" s="413"/>
      <c r="J371" s="413"/>
      <c r="K371" s="413"/>
      <c r="L371" s="413"/>
      <c r="M371" s="413"/>
    </row>
    <row r="372" spans="9:13">
      <c r="I372" s="413"/>
      <c r="J372" s="413"/>
      <c r="K372" s="413"/>
      <c r="L372" s="413"/>
      <c r="M372" s="413"/>
    </row>
    <row r="373" spans="9:13">
      <c r="I373" s="413"/>
      <c r="J373" s="413"/>
      <c r="K373" s="413"/>
      <c r="L373" s="413"/>
      <c r="M373" s="413"/>
    </row>
    <row r="374" spans="9:13">
      <c r="I374" s="413"/>
      <c r="J374" s="413"/>
      <c r="K374" s="413"/>
      <c r="L374" s="413"/>
      <c r="M374" s="413"/>
    </row>
    <row r="375" spans="9:13">
      <c r="I375" s="413"/>
      <c r="J375" s="413"/>
      <c r="K375" s="413"/>
      <c r="L375" s="413"/>
      <c r="M375" s="413"/>
    </row>
    <row r="376" spans="9:13">
      <c r="I376" s="413"/>
      <c r="J376" s="413"/>
      <c r="K376" s="413"/>
      <c r="L376" s="413"/>
      <c r="M376" s="413"/>
    </row>
    <row r="377" spans="9:13">
      <c r="I377" s="413"/>
      <c r="J377" s="413"/>
      <c r="K377" s="413"/>
      <c r="L377" s="413"/>
      <c r="M377" s="413"/>
    </row>
    <row r="378" spans="9:13">
      <c r="I378" s="413"/>
      <c r="J378" s="413"/>
      <c r="K378" s="413"/>
      <c r="L378" s="413"/>
      <c r="M378" s="413"/>
    </row>
    <row r="379" spans="9:13">
      <c r="I379" s="413"/>
      <c r="J379" s="413"/>
      <c r="K379" s="413"/>
      <c r="L379" s="413"/>
      <c r="M379" s="413"/>
    </row>
    <row r="380" spans="9:13">
      <c r="I380" s="413"/>
      <c r="J380" s="413"/>
      <c r="K380" s="413"/>
      <c r="L380" s="413"/>
      <c r="M380" s="413"/>
    </row>
    <row r="381" spans="9:13">
      <c r="I381" s="413"/>
      <c r="J381" s="413"/>
      <c r="K381" s="413"/>
      <c r="L381" s="413"/>
      <c r="M381" s="413"/>
    </row>
    <row r="382" spans="9:13">
      <c r="I382" s="413"/>
      <c r="J382" s="413"/>
      <c r="K382" s="413"/>
      <c r="L382" s="413"/>
      <c r="M382" s="413"/>
    </row>
    <row r="383" spans="9:13">
      <c r="I383" s="413"/>
      <c r="J383" s="413"/>
      <c r="K383" s="413"/>
      <c r="L383" s="413"/>
      <c r="M383" s="413"/>
    </row>
    <row r="384" spans="9:13">
      <c r="I384" s="413"/>
      <c r="J384" s="413"/>
      <c r="K384" s="413"/>
      <c r="L384" s="413"/>
      <c r="M384" s="413"/>
    </row>
    <row r="385" spans="8:13">
      <c r="I385" s="413"/>
      <c r="J385" s="413"/>
      <c r="K385" s="413"/>
      <c r="L385" s="413"/>
      <c r="M385" s="413"/>
    </row>
    <row r="386" spans="8:13">
      <c r="I386" s="413"/>
      <c r="J386" s="413"/>
      <c r="K386" s="413"/>
      <c r="L386" s="413"/>
      <c r="M386" s="413"/>
    </row>
    <row r="387" spans="8:13">
      <c r="I387" s="413"/>
      <c r="J387" s="413"/>
      <c r="K387" s="413"/>
      <c r="L387" s="413"/>
      <c r="M387" s="413"/>
    </row>
    <row r="388" spans="8:13">
      <c r="I388" s="413"/>
      <c r="J388" s="413"/>
      <c r="K388" s="413"/>
      <c r="L388" s="413"/>
      <c r="M388" s="413"/>
    </row>
    <row r="389" spans="8:13">
      <c r="I389" s="413"/>
      <c r="J389" s="413"/>
      <c r="K389" s="413"/>
      <c r="L389" s="413"/>
      <c r="M389" s="413"/>
    </row>
    <row r="390" spans="8:13">
      <c r="I390" s="413"/>
      <c r="J390" s="413"/>
      <c r="K390" s="413"/>
      <c r="L390" s="413"/>
      <c r="M390" s="413"/>
    </row>
    <row r="391" spans="8:13">
      <c r="I391" s="413"/>
      <c r="J391" s="413"/>
      <c r="K391" s="413"/>
      <c r="L391" s="413"/>
      <c r="M391" s="413"/>
    </row>
    <row r="392" spans="8:13">
      <c r="I392" s="413"/>
      <c r="J392" s="413"/>
      <c r="K392" s="413"/>
      <c r="L392" s="413"/>
      <c r="M392" s="413"/>
    </row>
    <row r="393" spans="8:13">
      <c r="I393" s="413"/>
      <c r="J393" s="413"/>
      <c r="K393" s="413"/>
      <c r="L393" s="413"/>
      <c r="M393" s="413"/>
    </row>
    <row r="394" spans="8:13">
      <c r="I394" s="413"/>
      <c r="J394" s="413"/>
      <c r="K394" s="413"/>
      <c r="L394" s="413"/>
      <c r="M394" s="413"/>
    </row>
    <row r="395" spans="8:13">
      <c r="I395" s="413"/>
      <c r="J395" s="413"/>
      <c r="K395" s="413"/>
      <c r="L395" s="413"/>
      <c r="M395" s="413"/>
    </row>
    <row r="396" spans="8:13">
      <c r="I396" s="413"/>
      <c r="J396" s="413"/>
      <c r="K396" s="413"/>
      <c r="L396" s="413"/>
      <c r="M396" s="413"/>
    </row>
    <row r="397" spans="8:13">
      <c r="I397" s="413"/>
      <c r="J397" s="413"/>
      <c r="K397" s="413"/>
      <c r="L397" s="413"/>
      <c r="M397" s="413"/>
    </row>
    <row r="398" spans="8:13">
      <c r="I398" s="413"/>
      <c r="J398" s="413"/>
      <c r="K398" s="413"/>
      <c r="L398" s="413"/>
      <c r="M398" s="413"/>
    </row>
    <row r="399" spans="8:13">
      <c r="H399" s="429"/>
      <c r="I399" s="431"/>
      <c r="J399" s="431"/>
      <c r="K399" s="431"/>
      <c r="L399" s="431"/>
      <c r="M399" s="431"/>
    </row>
    <row r="400" spans="8:13">
      <c r="I400" s="413"/>
      <c r="J400" s="413"/>
      <c r="K400" s="413"/>
      <c r="L400" s="413"/>
      <c r="M400" s="413"/>
    </row>
    <row r="401" spans="9:13">
      <c r="I401" s="413"/>
      <c r="J401" s="413"/>
      <c r="K401" s="413"/>
      <c r="L401" s="413"/>
      <c r="M401" s="413"/>
    </row>
    <row r="402" spans="9:13">
      <c r="I402" s="413"/>
      <c r="J402" s="413"/>
      <c r="K402" s="413"/>
      <c r="L402" s="413"/>
      <c r="M402" s="413"/>
    </row>
    <row r="403" spans="9:13">
      <c r="I403" s="413"/>
      <c r="J403" s="413"/>
      <c r="K403" s="413"/>
      <c r="L403" s="413"/>
      <c r="M403" s="413"/>
    </row>
    <row r="404" spans="9:13">
      <c r="I404" s="413"/>
      <c r="J404" s="413"/>
      <c r="K404" s="413"/>
      <c r="L404" s="413"/>
      <c r="M404" s="413"/>
    </row>
    <row r="405" spans="9:13">
      <c r="I405" s="413"/>
      <c r="J405" s="413"/>
      <c r="K405" s="413"/>
      <c r="L405" s="413"/>
      <c r="M405" s="413"/>
    </row>
    <row r="406" spans="9:13">
      <c r="I406" s="413"/>
      <c r="J406" s="413"/>
      <c r="K406" s="413"/>
      <c r="L406" s="413"/>
      <c r="M406" s="413"/>
    </row>
    <row r="407" spans="9:13">
      <c r="I407" s="413"/>
      <c r="J407" s="413"/>
      <c r="K407" s="413"/>
      <c r="L407" s="413"/>
      <c r="M407" s="413"/>
    </row>
    <row r="408" spans="9:13">
      <c r="I408" s="413"/>
      <c r="J408" s="413"/>
      <c r="K408" s="413"/>
      <c r="L408" s="413"/>
      <c r="M408" s="413"/>
    </row>
    <row r="409" spans="9:13">
      <c r="I409" s="413"/>
      <c r="J409" s="413"/>
      <c r="K409" s="413"/>
      <c r="L409" s="413"/>
      <c r="M409" s="413"/>
    </row>
    <row r="410" spans="9:13">
      <c r="I410" s="413"/>
      <c r="J410" s="413"/>
      <c r="K410" s="413"/>
      <c r="L410" s="413"/>
      <c r="M410" s="413"/>
    </row>
    <row r="411" spans="9:13">
      <c r="I411" s="413"/>
      <c r="J411" s="413"/>
      <c r="K411" s="413"/>
      <c r="L411" s="413"/>
      <c r="M411" s="413"/>
    </row>
    <row r="412" spans="9:13">
      <c r="I412" s="413"/>
      <c r="J412" s="413"/>
      <c r="K412" s="413"/>
      <c r="L412" s="413"/>
      <c r="M412" s="413"/>
    </row>
    <row r="413" spans="9:13">
      <c r="I413" s="413"/>
      <c r="J413" s="413"/>
      <c r="K413" s="413"/>
      <c r="L413" s="413"/>
      <c r="M413" s="413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K23" sqref="K23"/>
    </sheetView>
  </sheetViews>
  <sheetFormatPr defaultColWidth="9" defaultRowHeight="12.75"/>
  <cols>
    <col min="1" max="1" width="34.21875" style="14" bestFit="1" customWidth="1"/>
    <col min="2" max="2" width="1.44140625" style="14" customWidth="1"/>
    <col min="3" max="3" width="50.21875" style="14" bestFit="1" customWidth="1"/>
    <col min="4" max="16384" width="9" style="14"/>
  </cols>
  <sheetData>
    <row r="1" spans="1:3" ht="15.75">
      <c r="A1" s="835" t="s">
        <v>784</v>
      </c>
      <c r="B1" s="835"/>
      <c r="C1" s="835"/>
    </row>
    <row r="2" spans="1:3" ht="15.75">
      <c r="A2" s="835" t="s">
        <v>81</v>
      </c>
      <c r="B2" s="835"/>
      <c r="C2" s="835"/>
    </row>
    <row r="3" spans="1:3" ht="15.75">
      <c r="A3" s="835" t="s">
        <v>1801</v>
      </c>
      <c r="B3" s="835"/>
      <c r="C3" s="835"/>
    </row>
    <row r="4" spans="1:3">
      <c r="A4" s="379"/>
      <c r="B4" s="379"/>
      <c r="C4" s="379"/>
    </row>
    <row r="5" spans="1:3">
      <c r="A5" s="379"/>
      <c r="B5" s="379"/>
      <c r="C5" s="379"/>
    </row>
    <row r="6" spans="1:3">
      <c r="A6" s="379"/>
      <c r="B6" s="379"/>
      <c r="C6" s="379"/>
    </row>
    <row r="7" spans="1:3">
      <c r="A7" s="379"/>
      <c r="B7" s="379"/>
      <c r="C7" s="379"/>
    </row>
    <row r="8" spans="1:3">
      <c r="A8" s="499" t="s">
        <v>82</v>
      </c>
      <c r="B8" s="379"/>
      <c r="C8" s="379"/>
    </row>
    <row r="9" spans="1:3">
      <c r="A9" s="379" t="s">
        <v>83</v>
      </c>
      <c r="B9" s="379"/>
      <c r="C9" s="500" t="s">
        <v>784</v>
      </c>
    </row>
    <row r="10" spans="1:3">
      <c r="A10" s="14" t="s">
        <v>84</v>
      </c>
      <c r="C10" s="45" t="s">
        <v>2533</v>
      </c>
    </row>
    <row r="11" spans="1:3">
      <c r="A11" s="14" t="s">
        <v>85</v>
      </c>
      <c r="C11" s="500" t="s">
        <v>1802</v>
      </c>
    </row>
    <row r="12" spans="1:3">
      <c r="C12" s="500" t="s">
        <v>1803</v>
      </c>
    </row>
    <row r="13" spans="1:3">
      <c r="C13" s="500" t="s">
        <v>1804</v>
      </c>
    </row>
    <row r="14" spans="1:3">
      <c r="C14" s="500" t="s">
        <v>1805</v>
      </c>
    </row>
    <row r="15" spans="1:3">
      <c r="C15" s="500" t="s">
        <v>1806</v>
      </c>
    </row>
    <row r="16" spans="1:3">
      <c r="C16" s="500" t="s">
        <v>1807</v>
      </c>
    </row>
    <row r="17" spans="1:3">
      <c r="A17" s="14" t="s">
        <v>86</v>
      </c>
      <c r="C17" s="501" t="s">
        <v>1808</v>
      </c>
    </row>
    <row r="18" spans="1:3">
      <c r="C18" s="500" t="s">
        <v>1809</v>
      </c>
    </row>
    <row r="19" spans="1:3">
      <c r="C19" s="500" t="s">
        <v>1810</v>
      </c>
    </row>
    <row r="20" spans="1:3">
      <c r="C20" s="500" t="s">
        <v>1811</v>
      </c>
    </row>
    <row r="21" spans="1:3">
      <c r="C21" s="500" t="s">
        <v>1812</v>
      </c>
    </row>
    <row r="22" spans="1:3">
      <c r="C22" s="500" t="s">
        <v>1813</v>
      </c>
    </row>
    <row r="24" spans="1:3">
      <c r="C24" s="46"/>
    </row>
    <row r="25" spans="1:3">
      <c r="C25" s="46"/>
    </row>
    <row r="26" spans="1:3">
      <c r="C26" s="46"/>
    </row>
    <row r="28" spans="1:3">
      <c r="A28" s="44" t="s">
        <v>87</v>
      </c>
      <c r="C28" s="47"/>
    </row>
    <row r="29" spans="1:3">
      <c r="A29" s="379" t="s">
        <v>90</v>
      </c>
      <c r="B29" s="379"/>
      <c r="C29" s="379" t="s">
        <v>127</v>
      </c>
    </row>
    <row r="30" spans="1:3">
      <c r="A30" s="379" t="s">
        <v>89</v>
      </c>
      <c r="B30" s="379"/>
      <c r="C30" s="379" t="s">
        <v>126</v>
      </c>
    </row>
    <row r="31" spans="1:3">
      <c r="A31" s="379" t="s">
        <v>88</v>
      </c>
      <c r="B31" s="379"/>
      <c r="C31" s="379" t="s">
        <v>125</v>
      </c>
    </row>
    <row r="35" spans="1:4">
      <c r="A35" s="44" t="s">
        <v>91</v>
      </c>
    </row>
    <row r="36" spans="1:4">
      <c r="A36" s="14" t="s">
        <v>1535</v>
      </c>
      <c r="C36" s="14" t="str">
        <f>CONCATENATE($A$35,"   ", A36)</f>
        <v>WITNESS:   C. M. GARRETT</v>
      </c>
    </row>
    <row r="37" spans="1:4">
      <c r="C37" s="14" t="str">
        <f t="shared" ref="C37:C48" si="0">CONCATENATE($A$35,"   ", A37)</f>
        <v xml:space="preserve">WITNESS:   </v>
      </c>
    </row>
    <row r="38" spans="1:4">
      <c r="A38" s="14" t="s">
        <v>1535</v>
      </c>
      <c r="C38" s="14" t="str">
        <f t="shared" si="0"/>
        <v>WITNESS:   C. M. GARRETT</v>
      </c>
      <c r="D38" s="14" t="s">
        <v>1800</v>
      </c>
    </row>
    <row r="39" spans="1:4">
      <c r="C39" s="14" t="str">
        <f t="shared" si="0"/>
        <v xml:space="preserve">WITNESS:   </v>
      </c>
    </row>
    <row r="40" spans="1:4">
      <c r="C40" s="14" t="str">
        <f t="shared" si="0"/>
        <v xml:space="preserve">WITNESS:   </v>
      </c>
    </row>
    <row r="41" spans="1:4">
      <c r="C41" s="14" t="str">
        <f t="shared" si="0"/>
        <v xml:space="preserve">WITNESS:   </v>
      </c>
    </row>
    <row r="42" spans="1:4">
      <c r="C42" s="14" t="str">
        <f t="shared" si="0"/>
        <v xml:space="preserve">WITNESS:   </v>
      </c>
    </row>
    <row r="43" spans="1:4">
      <c r="C43" s="14" t="str">
        <f t="shared" si="0"/>
        <v xml:space="preserve">WITNESS:   </v>
      </c>
    </row>
    <row r="44" spans="1:4">
      <c r="C44" s="14" t="str">
        <f t="shared" si="0"/>
        <v xml:space="preserve">WITNESS:   </v>
      </c>
    </row>
    <row r="45" spans="1:4">
      <c r="C45" s="14" t="str">
        <f t="shared" si="0"/>
        <v xml:space="preserve">WITNESS:   </v>
      </c>
    </row>
    <row r="46" spans="1:4">
      <c r="C46" s="14" t="str">
        <f t="shared" si="0"/>
        <v xml:space="preserve">WITNESS:   </v>
      </c>
    </row>
    <row r="47" spans="1:4">
      <c r="C47" s="14" t="str">
        <f t="shared" si="0"/>
        <v xml:space="preserve">WITNESS:   </v>
      </c>
    </row>
    <row r="48" spans="1:4">
      <c r="C48" s="1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zoomScaleNormal="100" workbookViewId="0">
      <selection activeCell="C25" sqref="C25"/>
    </sheetView>
  </sheetViews>
  <sheetFormatPr defaultColWidth="7.33203125" defaultRowHeight="12.75"/>
  <cols>
    <col min="1" max="1" width="25.77734375" style="139" customWidth="1"/>
    <col min="2" max="2" width="1.44140625" style="139" customWidth="1"/>
    <col min="3" max="3" width="68.77734375" style="139" customWidth="1"/>
    <col min="4" max="9" width="7.33203125" style="139"/>
    <col min="10" max="10" width="7.33203125" style="139" customWidth="1"/>
    <col min="11" max="11" width="7.33203125" style="139"/>
    <col min="12" max="12" width="1.33203125" style="139" customWidth="1"/>
    <col min="13" max="13" width="5.88671875" style="139" customWidth="1"/>
    <col min="14" max="14" width="5.109375" style="139" customWidth="1"/>
    <col min="15" max="256" width="7.33203125" style="139"/>
    <col min="257" max="257" width="23.44140625" style="139" customWidth="1"/>
    <col min="258" max="258" width="1.44140625" style="139" customWidth="1"/>
    <col min="259" max="259" width="61.21875" style="139" customWidth="1"/>
    <col min="260" max="265" width="7.33203125" style="139"/>
    <col min="266" max="266" width="7.33203125" style="139" customWidth="1"/>
    <col min="267" max="267" width="7.33203125" style="139"/>
    <col min="268" max="268" width="1.33203125" style="139" customWidth="1"/>
    <col min="269" max="269" width="5.88671875" style="139" customWidth="1"/>
    <col min="270" max="270" width="5.109375" style="139" customWidth="1"/>
    <col min="271" max="512" width="7.33203125" style="139"/>
    <col min="513" max="513" width="23.44140625" style="139" customWidth="1"/>
    <col min="514" max="514" width="1.44140625" style="139" customWidth="1"/>
    <col min="515" max="515" width="61.21875" style="139" customWidth="1"/>
    <col min="516" max="521" width="7.33203125" style="139"/>
    <col min="522" max="522" width="7.33203125" style="139" customWidth="1"/>
    <col min="523" max="523" width="7.33203125" style="139"/>
    <col min="524" max="524" width="1.33203125" style="139" customWidth="1"/>
    <col min="525" max="525" width="5.88671875" style="139" customWidth="1"/>
    <col min="526" max="526" width="5.109375" style="139" customWidth="1"/>
    <col min="527" max="768" width="7.33203125" style="139"/>
    <col min="769" max="769" width="23.44140625" style="139" customWidth="1"/>
    <col min="770" max="770" width="1.44140625" style="139" customWidth="1"/>
    <col min="771" max="771" width="61.21875" style="139" customWidth="1"/>
    <col min="772" max="777" width="7.33203125" style="139"/>
    <col min="778" max="778" width="7.33203125" style="139" customWidth="1"/>
    <col min="779" max="779" width="7.33203125" style="139"/>
    <col min="780" max="780" width="1.33203125" style="139" customWidth="1"/>
    <col min="781" max="781" width="5.88671875" style="139" customWidth="1"/>
    <col min="782" max="782" width="5.109375" style="139" customWidth="1"/>
    <col min="783" max="1024" width="7.33203125" style="139"/>
    <col min="1025" max="1025" width="23.44140625" style="139" customWidth="1"/>
    <col min="1026" max="1026" width="1.44140625" style="139" customWidth="1"/>
    <col min="1027" max="1027" width="61.21875" style="139" customWidth="1"/>
    <col min="1028" max="1033" width="7.33203125" style="139"/>
    <col min="1034" max="1034" width="7.33203125" style="139" customWidth="1"/>
    <col min="1035" max="1035" width="7.33203125" style="139"/>
    <col min="1036" max="1036" width="1.33203125" style="139" customWidth="1"/>
    <col min="1037" max="1037" width="5.88671875" style="139" customWidth="1"/>
    <col min="1038" max="1038" width="5.109375" style="139" customWidth="1"/>
    <col min="1039" max="1280" width="7.33203125" style="139"/>
    <col min="1281" max="1281" width="23.44140625" style="139" customWidth="1"/>
    <col min="1282" max="1282" width="1.44140625" style="139" customWidth="1"/>
    <col min="1283" max="1283" width="61.21875" style="139" customWidth="1"/>
    <col min="1284" max="1289" width="7.33203125" style="139"/>
    <col min="1290" max="1290" width="7.33203125" style="139" customWidth="1"/>
    <col min="1291" max="1291" width="7.33203125" style="139"/>
    <col min="1292" max="1292" width="1.33203125" style="139" customWidth="1"/>
    <col min="1293" max="1293" width="5.88671875" style="139" customWidth="1"/>
    <col min="1294" max="1294" width="5.109375" style="139" customWidth="1"/>
    <col min="1295" max="1536" width="7.33203125" style="139"/>
    <col min="1537" max="1537" width="23.44140625" style="139" customWidth="1"/>
    <col min="1538" max="1538" width="1.44140625" style="139" customWidth="1"/>
    <col min="1539" max="1539" width="61.21875" style="139" customWidth="1"/>
    <col min="1540" max="1545" width="7.33203125" style="139"/>
    <col min="1546" max="1546" width="7.33203125" style="139" customWidth="1"/>
    <col min="1547" max="1547" width="7.33203125" style="139"/>
    <col min="1548" max="1548" width="1.33203125" style="139" customWidth="1"/>
    <col min="1549" max="1549" width="5.88671875" style="139" customWidth="1"/>
    <col min="1550" max="1550" width="5.109375" style="139" customWidth="1"/>
    <col min="1551" max="1792" width="7.33203125" style="139"/>
    <col min="1793" max="1793" width="23.44140625" style="139" customWidth="1"/>
    <col min="1794" max="1794" width="1.44140625" style="139" customWidth="1"/>
    <col min="1795" max="1795" width="61.21875" style="139" customWidth="1"/>
    <col min="1796" max="1801" width="7.33203125" style="139"/>
    <col min="1802" max="1802" width="7.33203125" style="139" customWidth="1"/>
    <col min="1803" max="1803" width="7.33203125" style="139"/>
    <col min="1804" max="1804" width="1.33203125" style="139" customWidth="1"/>
    <col min="1805" max="1805" width="5.88671875" style="139" customWidth="1"/>
    <col min="1806" max="1806" width="5.109375" style="139" customWidth="1"/>
    <col min="1807" max="2048" width="7.33203125" style="139"/>
    <col min="2049" max="2049" width="23.44140625" style="139" customWidth="1"/>
    <col min="2050" max="2050" width="1.44140625" style="139" customWidth="1"/>
    <col min="2051" max="2051" width="61.21875" style="139" customWidth="1"/>
    <col min="2052" max="2057" width="7.33203125" style="139"/>
    <col min="2058" max="2058" width="7.33203125" style="139" customWidth="1"/>
    <col min="2059" max="2059" width="7.33203125" style="139"/>
    <col min="2060" max="2060" width="1.33203125" style="139" customWidth="1"/>
    <col min="2061" max="2061" width="5.88671875" style="139" customWidth="1"/>
    <col min="2062" max="2062" width="5.109375" style="139" customWidth="1"/>
    <col min="2063" max="2304" width="7.33203125" style="139"/>
    <col min="2305" max="2305" width="23.44140625" style="139" customWidth="1"/>
    <col min="2306" max="2306" width="1.44140625" style="139" customWidth="1"/>
    <col min="2307" max="2307" width="61.21875" style="139" customWidth="1"/>
    <col min="2308" max="2313" width="7.33203125" style="139"/>
    <col min="2314" max="2314" width="7.33203125" style="139" customWidth="1"/>
    <col min="2315" max="2315" width="7.33203125" style="139"/>
    <col min="2316" max="2316" width="1.33203125" style="139" customWidth="1"/>
    <col min="2317" max="2317" width="5.88671875" style="139" customWidth="1"/>
    <col min="2318" max="2318" width="5.109375" style="139" customWidth="1"/>
    <col min="2319" max="2560" width="7.33203125" style="139"/>
    <col min="2561" max="2561" width="23.44140625" style="139" customWidth="1"/>
    <col min="2562" max="2562" width="1.44140625" style="139" customWidth="1"/>
    <col min="2563" max="2563" width="61.21875" style="139" customWidth="1"/>
    <col min="2564" max="2569" width="7.33203125" style="139"/>
    <col min="2570" max="2570" width="7.33203125" style="139" customWidth="1"/>
    <col min="2571" max="2571" width="7.33203125" style="139"/>
    <col min="2572" max="2572" width="1.33203125" style="139" customWidth="1"/>
    <col min="2573" max="2573" width="5.88671875" style="139" customWidth="1"/>
    <col min="2574" max="2574" width="5.109375" style="139" customWidth="1"/>
    <col min="2575" max="2816" width="7.33203125" style="139"/>
    <col min="2817" max="2817" width="23.44140625" style="139" customWidth="1"/>
    <col min="2818" max="2818" width="1.44140625" style="139" customWidth="1"/>
    <col min="2819" max="2819" width="61.21875" style="139" customWidth="1"/>
    <col min="2820" max="2825" width="7.33203125" style="139"/>
    <col min="2826" max="2826" width="7.33203125" style="139" customWidth="1"/>
    <col min="2827" max="2827" width="7.33203125" style="139"/>
    <col min="2828" max="2828" width="1.33203125" style="139" customWidth="1"/>
    <col min="2829" max="2829" width="5.88671875" style="139" customWidth="1"/>
    <col min="2830" max="2830" width="5.109375" style="139" customWidth="1"/>
    <col min="2831" max="3072" width="7.33203125" style="139"/>
    <col min="3073" max="3073" width="23.44140625" style="139" customWidth="1"/>
    <col min="3074" max="3074" width="1.44140625" style="139" customWidth="1"/>
    <col min="3075" max="3075" width="61.21875" style="139" customWidth="1"/>
    <col min="3076" max="3081" width="7.33203125" style="139"/>
    <col min="3082" max="3082" width="7.33203125" style="139" customWidth="1"/>
    <col min="3083" max="3083" width="7.33203125" style="139"/>
    <col min="3084" max="3084" width="1.33203125" style="139" customWidth="1"/>
    <col min="3085" max="3085" width="5.88671875" style="139" customWidth="1"/>
    <col min="3086" max="3086" width="5.109375" style="139" customWidth="1"/>
    <col min="3087" max="3328" width="7.33203125" style="139"/>
    <col min="3329" max="3329" width="23.44140625" style="139" customWidth="1"/>
    <col min="3330" max="3330" width="1.44140625" style="139" customWidth="1"/>
    <col min="3331" max="3331" width="61.21875" style="139" customWidth="1"/>
    <col min="3332" max="3337" width="7.33203125" style="139"/>
    <col min="3338" max="3338" width="7.33203125" style="139" customWidth="1"/>
    <col min="3339" max="3339" width="7.33203125" style="139"/>
    <col min="3340" max="3340" width="1.33203125" style="139" customWidth="1"/>
    <col min="3341" max="3341" width="5.88671875" style="139" customWidth="1"/>
    <col min="3342" max="3342" width="5.109375" style="139" customWidth="1"/>
    <col min="3343" max="3584" width="7.33203125" style="139"/>
    <col min="3585" max="3585" width="23.44140625" style="139" customWidth="1"/>
    <col min="3586" max="3586" width="1.44140625" style="139" customWidth="1"/>
    <col min="3587" max="3587" width="61.21875" style="139" customWidth="1"/>
    <col min="3588" max="3593" width="7.33203125" style="139"/>
    <col min="3594" max="3594" width="7.33203125" style="139" customWidth="1"/>
    <col min="3595" max="3595" width="7.33203125" style="139"/>
    <col min="3596" max="3596" width="1.33203125" style="139" customWidth="1"/>
    <col min="3597" max="3597" width="5.88671875" style="139" customWidth="1"/>
    <col min="3598" max="3598" width="5.109375" style="139" customWidth="1"/>
    <col min="3599" max="3840" width="7.33203125" style="139"/>
    <col min="3841" max="3841" width="23.44140625" style="139" customWidth="1"/>
    <col min="3842" max="3842" width="1.44140625" style="139" customWidth="1"/>
    <col min="3843" max="3843" width="61.21875" style="139" customWidth="1"/>
    <col min="3844" max="3849" width="7.33203125" style="139"/>
    <col min="3850" max="3850" width="7.33203125" style="139" customWidth="1"/>
    <col min="3851" max="3851" width="7.33203125" style="139"/>
    <col min="3852" max="3852" width="1.33203125" style="139" customWidth="1"/>
    <col min="3853" max="3853" width="5.88671875" style="139" customWidth="1"/>
    <col min="3854" max="3854" width="5.109375" style="139" customWidth="1"/>
    <col min="3855" max="4096" width="7.33203125" style="139"/>
    <col min="4097" max="4097" width="23.44140625" style="139" customWidth="1"/>
    <col min="4098" max="4098" width="1.44140625" style="139" customWidth="1"/>
    <col min="4099" max="4099" width="61.21875" style="139" customWidth="1"/>
    <col min="4100" max="4105" width="7.33203125" style="139"/>
    <col min="4106" max="4106" width="7.33203125" style="139" customWidth="1"/>
    <col min="4107" max="4107" width="7.33203125" style="139"/>
    <col min="4108" max="4108" width="1.33203125" style="139" customWidth="1"/>
    <col min="4109" max="4109" width="5.88671875" style="139" customWidth="1"/>
    <col min="4110" max="4110" width="5.109375" style="139" customWidth="1"/>
    <col min="4111" max="4352" width="7.33203125" style="139"/>
    <col min="4353" max="4353" width="23.44140625" style="139" customWidth="1"/>
    <col min="4354" max="4354" width="1.44140625" style="139" customWidth="1"/>
    <col min="4355" max="4355" width="61.21875" style="139" customWidth="1"/>
    <col min="4356" max="4361" width="7.33203125" style="139"/>
    <col min="4362" max="4362" width="7.33203125" style="139" customWidth="1"/>
    <col min="4363" max="4363" width="7.33203125" style="139"/>
    <col min="4364" max="4364" width="1.33203125" style="139" customWidth="1"/>
    <col min="4365" max="4365" width="5.88671875" style="139" customWidth="1"/>
    <col min="4366" max="4366" width="5.109375" style="139" customWidth="1"/>
    <col min="4367" max="4608" width="7.33203125" style="139"/>
    <col min="4609" max="4609" width="23.44140625" style="139" customWidth="1"/>
    <col min="4610" max="4610" width="1.44140625" style="139" customWidth="1"/>
    <col min="4611" max="4611" width="61.21875" style="139" customWidth="1"/>
    <col min="4612" max="4617" width="7.33203125" style="139"/>
    <col min="4618" max="4618" width="7.33203125" style="139" customWidth="1"/>
    <col min="4619" max="4619" width="7.33203125" style="139"/>
    <col min="4620" max="4620" width="1.33203125" style="139" customWidth="1"/>
    <col min="4621" max="4621" width="5.88671875" style="139" customWidth="1"/>
    <col min="4622" max="4622" width="5.109375" style="139" customWidth="1"/>
    <col min="4623" max="4864" width="7.33203125" style="139"/>
    <col min="4865" max="4865" width="23.44140625" style="139" customWidth="1"/>
    <col min="4866" max="4866" width="1.44140625" style="139" customWidth="1"/>
    <col min="4867" max="4867" width="61.21875" style="139" customWidth="1"/>
    <col min="4868" max="4873" width="7.33203125" style="139"/>
    <col min="4874" max="4874" width="7.33203125" style="139" customWidth="1"/>
    <col min="4875" max="4875" width="7.33203125" style="139"/>
    <col min="4876" max="4876" width="1.33203125" style="139" customWidth="1"/>
    <col min="4877" max="4877" width="5.88671875" style="139" customWidth="1"/>
    <col min="4878" max="4878" width="5.109375" style="139" customWidth="1"/>
    <col min="4879" max="5120" width="7.33203125" style="139"/>
    <col min="5121" max="5121" width="23.44140625" style="139" customWidth="1"/>
    <col min="5122" max="5122" width="1.44140625" style="139" customWidth="1"/>
    <col min="5123" max="5123" width="61.21875" style="139" customWidth="1"/>
    <col min="5124" max="5129" width="7.33203125" style="139"/>
    <col min="5130" max="5130" width="7.33203125" style="139" customWidth="1"/>
    <col min="5131" max="5131" width="7.33203125" style="139"/>
    <col min="5132" max="5132" width="1.33203125" style="139" customWidth="1"/>
    <col min="5133" max="5133" width="5.88671875" style="139" customWidth="1"/>
    <col min="5134" max="5134" width="5.109375" style="139" customWidth="1"/>
    <col min="5135" max="5376" width="7.33203125" style="139"/>
    <col min="5377" max="5377" width="23.44140625" style="139" customWidth="1"/>
    <col min="5378" max="5378" width="1.44140625" style="139" customWidth="1"/>
    <col min="5379" max="5379" width="61.21875" style="139" customWidth="1"/>
    <col min="5380" max="5385" width="7.33203125" style="139"/>
    <col min="5386" max="5386" width="7.33203125" style="139" customWidth="1"/>
    <col min="5387" max="5387" width="7.33203125" style="139"/>
    <col min="5388" max="5388" width="1.33203125" style="139" customWidth="1"/>
    <col min="5389" max="5389" width="5.88671875" style="139" customWidth="1"/>
    <col min="5390" max="5390" width="5.109375" style="139" customWidth="1"/>
    <col min="5391" max="5632" width="7.33203125" style="139"/>
    <col min="5633" max="5633" width="23.44140625" style="139" customWidth="1"/>
    <col min="5634" max="5634" width="1.44140625" style="139" customWidth="1"/>
    <col min="5635" max="5635" width="61.21875" style="139" customWidth="1"/>
    <col min="5636" max="5641" width="7.33203125" style="139"/>
    <col min="5642" max="5642" width="7.33203125" style="139" customWidth="1"/>
    <col min="5643" max="5643" width="7.33203125" style="139"/>
    <col min="5644" max="5644" width="1.33203125" style="139" customWidth="1"/>
    <col min="5645" max="5645" width="5.88671875" style="139" customWidth="1"/>
    <col min="5646" max="5646" width="5.109375" style="139" customWidth="1"/>
    <col min="5647" max="5888" width="7.33203125" style="139"/>
    <col min="5889" max="5889" width="23.44140625" style="139" customWidth="1"/>
    <col min="5890" max="5890" width="1.44140625" style="139" customWidth="1"/>
    <col min="5891" max="5891" width="61.21875" style="139" customWidth="1"/>
    <col min="5892" max="5897" width="7.33203125" style="139"/>
    <col min="5898" max="5898" width="7.33203125" style="139" customWidth="1"/>
    <col min="5899" max="5899" width="7.33203125" style="139"/>
    <col min="5900" max="5900" width="1.33203125" style="139" customWidth="1"/>
    <col min="5901" max="5901" width="5.88671875" style="139" customWidth="1"/>
    <col min="5902" max="5902" width="5.109375" style="139" customWidth="1"/>
    <col min="5903" max="6144" width="7.33203125" style="139"/>
    <col min="6145" max="6145" width="23.44140625" style="139" customWidth="1"/>
    <col min="6146" max="6146" width="1.44140625" style="139" customWidth="1"/>
    <col min="6147" max="6147" width="61.21875" style="139" customWidth="1"/>
    <col min="6148" max="6153" width="7.33203125" style="139"/>
    <col min="6154" max="6154" width="7.33203125" style="139" customWidth="1"/>
    <col min="6155" max="6155" width="7.33203125" style="139"/>
    <col min="6156" max="6156" width="1.33203125" style="139" customWidth="1"/>
    <col min="6157" max="6157" width="5.88671875" style="139" customWidth="1"/>
    <col min="6158" max="6158" width="5.109375" style="139" customWidth="1"/>
    <col min="6159" max="6400" width="7.33203125" style="139"/>
    <col min="6401" max="6401" width="23.44140625" style="139" customWidth="1"/>
    <col min="6402" max="6402" width="1.44140625" style="139" customWidth="1"/>
    <col min="6403" max="6403" width="61.21875" style="139" customWidth="1"/>
    <col min="6404" max="6409" width="7.33203125" style="139"/>
    <col min="6410" max="6410" width="7.33203125" style="139" customWidth="1"/>
    <col min="6411" max="6411" width="7.33203125" style="139"/>
    <col min="6412" max="6412" width="1.33203125" style="139" customWidth="1"/>
    <col min="6413" max="6413" width="5.88671875" style="139" customWidth="1"/>
    <col min="6414" max="6414" width="5.109375" style="139" customWidth="1"/>
    <col min="6415" max="6656" width="7.33203125" style="139"/>
    <col min="6657" max="6657" width="23.44140625" style="139" customWidth="1"/>
    <col min="6658" max="6658" width="1.44140625" style="139" customWidth="1"/>
    <col min="6659" max="6659" width="61.21875" style="139" customWidth="1"/>
    <col min="6660" max="6665" width="7.33203125" style="139"/>
    <col min="6666" max="6666" width="7.33203125" style="139" customWidth="1"/>
    <col min="6667" max="6667" width="7.33203125" style="139"/>
    <col min="6668" max="6668" width="1.33203125" style="139" customWidth="1"/>
    <col min="6669" max="6669" width="5.88671875" style="139" customWidth="1"/>
    <col min="6670" max="6670" width="5.109375" style="139" customWidth="1"/>
    <col min="6671" max="6912" width="7.33203125" style="139"/>
    <col min="6913" max="6913" width="23.44140625" style="139" customWidth="1"/>
    <col min="6914" max="6914" width="1.44140625" style="139" customWidth="1"/>
    <col min="6915" max="6915" width="61.21875" style="139" customWidth="1"/>
    <col min="6916" max="6921" width="7.33203125" style="139"/>
    <col min="6922" max="6922" width="7.33203125" style="139" customWidth="1"/>
    <col min="6923" max="6923" width="7.33203125" style="139"/>
    <col min="6924" max="6924" width="1.33203125" style="139" customWidth="1"/>
    <col min="6925" max="6925" width="5.88671875" style="139" customWidth="1"/>
    <col min="6926" max="6926" width="5.109375" style="139" customWidth="1"/>
    <col min="6927" max="7168" width="7.33203125" style="139"/>
    <col min="7169" max="7169" width="23.44140625" style="139" customWidth="1"/>
    <col min="7170" max="7170" width="1.44140625" style="139" customWidth="1"/>
    <col min="7171" max="7171" width="61.21875" style="139" customWidth="1"/>
    <col min="7172" max="7177" width="7.33203125" style="139"/>
    <col min="7178" max="7178" width="7.33203125" style="139" customWidth="1"/>
    <col min="7179" max="7179" width="7.33203125" style="139"/>
    <col min="7180" max="7180" width="1.33203125" style="139" customWidth="1"/>
    <col min="7181" max="7181" width="5.88671875" style="139" customWidth="1"/>
    <col min="7182" max="7182" width="5.109375" style="139" customWidth="1"/>
    <col min="7183" max="7424" width="7.33203125" style="139"/>
    <col min="7425" max="7425" width="23.44140625" style="139" customWidth="1"/>
    <col min="7426" max="7426" width="1.44140625" style="139" customWidth="1"/>
    <col min="7427" max="7427" width="61.21875" style="139" customWidth="1"/>
    <col min="7428" max="7433" width="7.33203125" style="139"/>
    <col min="7434" max="7434" width="7.33203125" style="139" customWidth="1"/>
    <col min="7435" max="7435" width="7.33203125" style="139"/>
    <col min="7436" max="7436" width="1.33203125" style="139" customWidth="1"/>
    <col min="7437" max="7437" width="5.88671875" style="139" customWidth="1"/>
    <col min="7438" max="7438" width="5.109375" style="139" customWidth="1"/>
    <col min="7439" max="7680" width="7.33203125" style="139"/>
    <col min="7681" max="7681" width="23.44140625" style="139" customWidth="1"/>
    <col min="7682" max="7682" width="1.44140625" style="139" customWidth="1"/>
    <col min="7683" max="7683" width="61.21875" style="139" customWidth="1"/>
    <col min="7684" max="7689" width="7.33203125" style="139"/>
    <col min="7690" max="7690" width="7.33203125" style="139" customWidth="1"/>
    <col min="7691" max="7691" width="7.33203125" style="139"/>
    <col min="7692" max="7692" width="1.33203125" style="139" customWidth="1"/>
    <col min="7693" max="7693" width="5.88671875" style="139" customWidth="1"/>
    <col min="7694" max="7694" width="5.109375" style="139" customWidth="1"/>
    <col min="7695" max="7936" width="7.33203125" style="139"/>
    <col min="7937" max="7937" width="23.44140625" style="139" customWidth="1"/>
    <col min="7938" max="7938" width="1.44140625" style="139" customWidth="1"/>
    <col min="7939" max="7939" width="61.21875" style="139" customWidth="1"/>
    <col min="7940" max="7945" width="7.33203125" style="139"/>
    <col min="7946" max="7946" width="7.33203125" style="139" customWidth="1"/>
    <col min="7947" max="7947" width="7.33203125" style="139"/>
    <col min="7948" max="7948" width="1.33203125" style="139" customWidth="1"/>
    <col min="7949" max="7949" width="5.88671875" style="139" customWidth="1"/>
    <col min="7950" max="7950" width="5.109375" style="139" customWidth="1"/>
    <col min="7951" max="8192" width="7.33203125" style="139"/>
    <col min="8193" max="8193" width="23.44140625" style="139" customWidth="1"/>
    <col min="8194" max="8194" width="1.44140625" style="139" customWidth="1"/>
    <col min="8195" max="8195" width="61.21875" style="139" customWidth="1"/>
    <col min="8196" max="8201" width="7.33203125" style="139"/>
    <col min="8202" max="8202" width="7.33203125" style="139" customWidth="1"/>
    <col min="8203" max="8203" width="7.33203125" style="139"/>
    <col min="8204" max="8204" width="1.33203125" style="139" customWidth="1"/>
    <col min="8205" max="8205" width="5.88671875" style="139" customWidth="1"/>
    <col min="8206" max="8206" width="5.109375" style="139" customWidth="1"/>
    <col min="8207" max="8448" width="7.33203125" style="139"/>
    <col min="8449" max="8449" width="23.44140625" style="139" customWidth="1"/>
    <col min="8450" max="8450" width="1.44140625" style="139" customWidth="1"/>
    <col min="8451" max="8451" width="61.21875" style="139" customWidth="1"/>
    <col min="8452" max="8457" width="7.33203125" style="139"/>
    <col min="8458" max="8458" width="7.33203125" style="139" customWidth="1"/>
    <col min="8459" max="8459" width="7.33203125" style="139"/>
    <col min="8460" max="8460" width="1.33203125" style="139" customWidth="1"/>
    <col min="8461" max="8461" width="5.88671875" style="139" customWidth="1"/>
    <col min="8462" max="8462" width="5.109375" style="139" customWidth="1"/>
    <col min="8463" max="8704" width="7.33203125" style="139"/>
    <col min="8705" max="8705" width="23.44140625" style="139" customWidth="1"/>
    <col min="8706" max="8706" width="1.44140625" style="139" customWidth="1"/>
    <col min="8707" max="8707" width="61.21875" style="139" customWidth="1"/>
    <col min="8708" max="8713" width="7.33203125" style="139"/>
    <col min="8714" max="8714" width="7.33203125" style="139" customWidth="1"/>
    <col min="8715" max="8715" width="7.33203125" style="139"/>
    <col min="8716" max="8716" width="1.33203125" style="139" customWidth="1"/>
    <col min="8717" max="8717" width="5.88671875" style="139" customWidth="1"/>
    <col min="8718" max="8718" width="5.109375" style="139" customWidth="1"/>
    <col min="8719" max="8960" width="7.33203125" style="139"/>
    <col min="8961" max="8961" width="23.44140625" style="139" customWidth="1"/>
    <col min="8962" max="8962" width="1.44140625" style="139" customWidth="1"/>
    <col min="8963" max="8963" width="61.21875" style="139" customWidth="1"/>
    <col min="8964" max="8969" width="7.33203125" style="139"/>
    <col min="8970" max="8970" width="7.33203125" style="139" customWidth="1"/>
    <col min="8971" max="8971" width="7.33203125" style="139"/>
    <col min="8972" max="8972" width="1.33203125" style="139" customWidth="1"/>
    <col min="8973" max="8973" width="5.88671875" style="139" customWidth="1"/>
    <col min="8974" max="8974" width="5.109375" style="139" customWidth="1"/>
    <col min="8975" max="9216" width="7.33203125" style="139"/>
    <col min="9217" max="9217" width="23.44140625" style="139" customWidth="1"/>
    <col min="9218" max="9218" width="1.44140625" style="139" customWidth="1"/>
    <col min="9219" max="9219" width="61.21875" style="139" customWidth="1"/>
    <col min="9220" max="9225" width="7.33203125" style="139"/>
    <col min="9226" max="9226" width="7.33203125" style="139" customWidth="1"/>
    <col min="9227" max="9227" width="7.33203125" style="139"/>
    <col min="9228" max="9228" width="1.33203125" style="139" customWidth="1"/>
    <col min="9229" max="9229" width="5.88671875" style="139" customWidth="1"/>
    <col min="9230" max="9230" width="5.109375" style="139" customWidth="1"/>
    <col min="9231" max="9472" width="7.33203125" style="139"/>
    <col min="9473" max="9473" width="23.44140625" style="139" customWidth="1"/>
    <col min="9474" max="9474" width="1.44140625" style="139" customWidth="1"/>
    <col min="9475" max="9475" width="61.21875" style="139" customWidth="1"/>
    <col min="9476" max="9481" width="7.33203125" style="139"/>
    <col min="9482" max="9482" width="7.33203125" style="139" customWidth="1"/>
    <col min="9483" max="9483" width="7.33203125" style="139"/>
    <col min="9484" max="9484" width="1.33203125" style="139" customWidth="1"/>
    <col min="9485" max="9485" width="5.88671875" style="139" customWidth="1"/>
    <col min="9486" max="9486" width="5.109375" style="139" customWidth="1"/>
    <col min="9487" max="9728" width="7.33203125" style="139"/>
    <col min="9729" max="9729" width="23.44140625" style="139" customWidth="1"/>
    <col min="9730" max="9730" width="1.44140625" style="139" customWidth="1"/>
    <col min="9731" max="9731" width="61.21875" style="139" customWidth="1"/>
    <col min="9732" max="9737" width="7.33203125" style="139"/>
    <col min="9738" max="9738" width="7.33203125" style="139" customWidth="1"/>
    <col min="9739" max="9739" width="7.33203125" style="139"/>
    <col min="9740" max="9740" width="1.33203125" style="139" customWidth="1"/>
    <col min="9741" max="9741" width="5.88671875" style="139" customWidth="1"/>
    <col min="9742" max="9742" width="5.109375" style="139" customWidth="1"/>
    <col min="9743" max="9984" width="7.33203125" style="139"/>
    <col min="9985" max="9985" width="23.44140625" style="139" customWidth="1"/>
    <col min="9986" max="9986" width="1.44140625" style="139" customWidth="1"/>
    <col min="9987" max="9987" width="61.21875" style="139" customWidth="1"/>
    <col min="9988" max="9993" width="7.33203125" style="139"/>
    <col min="9994" max="9994" width="7.33203125" style="139" customWidth="1"/>
    <col min="9995" max="9995" width="7.33203125" style="139"/>
    <col min="9996" max="9996" width="1.33203125" style="139" customWidth="1"/>
    <col min="9997" max="9997" width="5.88671875" style="139" customWidth="1"/>
    <col min="9998" max="9998" width="5.109375" style="139" customWidth="1"/>
    <col min="9999" max="10240" width="7.33203125" style="139"/>
    <col min="10241" max="10241" width="23.44140625" style="139" customWidth="1"/>
    <col min="10242" max="10242" width="1.44140625" style="139" customWidth="1"/>
    <col min="10243" max="10243" width="61.21875" style="139" customWidth="1"/>
    <col min="10244" max="10249" width="7.33203125" style="139"/>
    <col min="10250" max="10250" width="7.33203125" style="139" customWidth="1"/>
    <col min="10251" max="10251" width="7.33203125" style="139"/>
    <col min="10252" max="10252" width="1.33203125" style="139" customWidth="1"/>
    <col min="10253" max="10253" width="5.88671875" style="139" customWidth="1"/>
    <col min="10254" max="10254" width="5.109375" style="139" customWidth="1"/>
    <col min="10255" max="10496" width="7.33203125" style="139"/>
    <col min="10497" max="10497" width="23.44140625" style="139" customWidth="1"/>
    <col min="10498" max="10498" width="1.44140625" style="139" customWidth="1"/>
    <col min="10499" max="10499" width="61.21875" style="139" customWidth="1"/>
    <col min="10500" max="10505" width="7.33203125" style="139"/>
    <col min="10506" max="10506" width="7.33203125" style="139" customWidth="1"/>
    <col min="10507" max="10507" width="7.33203125" style="139"/>
    <col min="10508" max="10508" width="1.33203125" style="139" customWidth="1"/>
    <col min="10509" max="10509" width="5.88671875" style="139" customWidth="1"/>
    <col min="10510" max="10510" width="5.109375" style="139" customWidth="1"/>
    <col min="10511" max="10752" width="7.33203125" style="139"/>
    <col min="10753" max="10753" width="23.44140625" style="139" customWidth="1"/>
    <col min="10754" max="10754" width="1.44140625" style="139" customWidth="1"/>
    <col min="10755" max="10755" width="61.21875" style="139" customWidth="1"/>
    <col min="10756" max="10761" width="7.33203125" style="139"/>
    <col min="10762" max="10762" width="7.33203125" style="139" customWidth="1"/>
    <col min="10763" max="10763" width="7.33203125" style="139"/>
    <col min="10764" max="10764" width="1.33203125" style="139" customWidth="1"/>
    <col min="10765" max="10765" width="5.88671875" style="139" customWidth="1"/>
    <col min="10766" max="10766" width="5.109375" style="139" customWidth="1"/>
    <col min="10767" max="11008" width="7.33203125" style="139"/>
    <col min="11009" max="11009" width="23.44140625" style="139" customWidth="1"/>
    <col min="11010" max="11010" width="1.44140625" style="139" customWidth="1"/>
    <col min="11011" max="11011" width="61.21875" style="139" customWidth="1"/>
    <col min="11012" max="11017" width="7.33203125" style="139"/>
    <col min="11018" max="11018" width="7.33203125" style="139" customWidth="1"/>
    <col min="11019" max="11019" width="7.33203125" style="139"/>
    <col min="11020" max="11020" width="1.33203125" style="139" customWidth="1"/>
    <col min="11021" max="11021" width="5.88671875" style="139" customWidth="1"/>
    <col min="11022" max="11022" width="5.109375" style="139" customWidth="1"/>
    <col min="11023" max="11264" width="7.33203125" style="139"/>
    <col min="11265" max="11265" width="23.44140625" style="139" customWidth="1"/>
    <col min="11266" max="11266" width="1.44140625" style="139" customWidth="1"/>
    <col min="11267" max="11267" width="61.21875" style="139" customWidth="1"/>
    <col min="11268" max="11273" width="7.33203125" style="139"/>
    <col min="11274" max="11274" width="7.33203125" style="139" customWidth="1"/>
    <col min="11275" max="11275" width="7.33203125" style="139"/>
    <col min="11276" max="11276" width="1.33203125" style="139" customWidth="1"/>
    <col min="11277" max="11277" width="5.88671875" style="139" customWidth="1"/>
    <col min="11278" max="11278" width="5.109375" style="139" customWidth="1"/>
    <col min="11279" max="11520" width="7.33203125" style="139"/>
    <col min="11521" max="11521" width="23.44140625" style="139" customWidth="1"/>
    <col min="11522" max="11522" width="1.44140625" style="139" customWidth="1"/>
    <col min="11523" max="11523" width="61.21875" style="139" customWidth="1"/>
    <col min="11524" max="11529" width="7.33203125" style="139"/>
    <col min="11530" max="11530" width="7.33203125" style="139" customWidth="1"/>
    <col min="11531" max="11531" width="7.33203125" style="139"/>
    <col min="11532" max="11532" width="1.33203125" style="139" customWidth="1"/>
    <col min="11533" max="11533" width="5.88671875" style="139" customWidth="1"/>
    <col min="11534" max="11534" width="5.109375" style="139" customWidth="1"/>
    <col min="11535" max="11776" width="7.33203125" style="139"/>
    <col min="11777" max="11777" width="23.44140625" style="139" customWidth="1"/>
    <col min="11778" max="11778" width="1.44140625" style="139" customWidth="1"/>
    <col min="11779" max="11779" width="61.21875" style="139" customWidth="1"/>
    <col min="11780" max="11785" width="7.33203125" style="139"/>
    <col min="11786" max="11786" width="7.33203125" style="139" customWidth="1"/>
    <col min="11787" max="11787" width="7.33203125" style="139"/>
    <col min="11788" max="11788" width="1.33203125" style="139" customWidth="1"/>
    <col min="11789" max="11789" width="5.88671875" style="139" customWidth="1"/>
    <col min="11790" max="11790" width="5.109375" style="139" customWidth="1"/>
    <col min="11791" max="12032" width="7.33203125" style="139"/>
    <col min="12033" max="12033" width="23.44140625" style="139" customWidth="1"/>
    <col min="12034" max="12034" width="1.44140625" style="139" customWidth="1"/>
    <col min="12035" max="12035" width="61.21875" style="139" customWidth="1"/>
    <col min="12036" max="12041" width="7.33203125" style="139"/>
    <col min="12042" max="12042" width="7.33203125" style="139" customWidth="1"/>
    <col min="12043" max="12043" width="7.33203125" style="139"/>
    <col min="12044" max="12044" width="1.33203125" style="139" customWidth="1"/>
    <col min="12045" max="12045" width="5.88671875" style="139" customWidth="1"/>
    <col min="12046" max="12046" width="5.109375" style="139" customWidth="1"/>
    <col min="12047" max="12288" width="7.33203125" style="139"/>
    <col min="12289" max="12289" width="23.44140625" style="139" customWidth="1"/>
    <col min="12290" max="12290" width="1.44140625" style="139" customWidth="1"/>
    <col min="12291" max="12291" width="61.21875" style="139" customWidth="1"/>
    <col min="12292" max="12297" width="7.33203125" style="139"/>
    <col min="12298" max="12298" width="7.33203125" style="139" customWidth="1"/>
    <col min="12299" max="12299" width="7.33203125" style="139"/>
    <col min="12300" max="12300" width="1.33203125" style="139" customWidth="1"/>
    <col min="12301" max="12301" width="5.88671875" style="139" customWidth="1"/>
    <col min="12302" max="12302" width="5.109375" style="139" customWidth="1"/>
    <col min="12303" max="12544" width="7.33203125" style="139"/>
    <col min="12545" max="12545" width="23.44140625" style="139" customWidth="1"/>
    <col min="12546" max="12546" width="1.44140625" style="139" customWidth="1"/>
    <col min="12547" max="12547" width="61.21875" style="139" customWidth="1"/>
    <col min="12548" max="12553" width="7.33203125" style="139"/>
    <col min="12554" max="12554" width="7.33203125" style="139" customWidth="1"/>
    <col min="12555" max="12555" width="7.33203125" style="139"/>
    <col min="12556" max="12556" width="1.33203125" style="139" customWidth="1"/>
    <col min="12557" max="12557" width="5.88671875" style="139" customWidth="1"/>
    <col min="12558" max="12558" width="5.109375" style="139" customWidth="1"/>
    <col min="12559" max="12800" width="7.33203125" style="139"/>
    <col min="12801" max="12801" width="23.44140625" style="139" customWidth="1"/>
    <col min="12802" max="12802" width="1.44140625" style="139" customWidth="1"/>
    <col min="12803" max="12803" width="61.21875" style="139" customWidth="1"/>
    <col min="12804" max="12809" width="7.33203125" style="139"/>
    <col min="12810" max="12810" width="7.33203125" style="139" customWidth="1"/>
    <col min="12811" max="12811" width="7.33203125" style="139"/>
    <col min="12812" max="12812" width="1.33203125" style="139" customWidth="1"/>
    <col min="12813" max="12813" width="5.88671875" style="139" customWidth="1"/>
    <col min="12814" max="12814" width="5.109375" style="139" customWidth="1"/>
    <col min="12815" max="13056" width="7.33203125" style="139"/>
    <col min="13057" max="13057" width="23.44140625" style="139" customWidth="1"/>
    <col min="13058" max="13058" width="1.44140625" style="139" customWidth="1"/>
    <col min="13059" max="13059" width="61.21875" style="139" customWidth="1"/>
    <col min="13060" max="13065" width="7.33203125" style="139"/>
    <col min="13066" max="13066" width="7.33203125" style="139" customWidth="1"/>
    <col min="13067" max="13067" width="7.33203125" style="139"/>
    <col min="13068" max="13068" width="1.33203125" style="139" customWidth="1"/>
    <col min="13069" max="13069" width="5.88671875" style="139" customWidth="1"/>
    <col min="13070" max="13070" width="5.109375" style="139" customWidth="1"/>
    <col min="13071" max="13312" width="7.33203125" style="139"/>
    <col min="13313" max="13313" width="23.44140625" style="139" customWidth="1"/>
    <col min="13314" max="13314" width="1.44140625" style="139" customWidth="1"/>
    <col min="13315" max="13315" width="61.21875" style="139" customWidth="1"/>
    <col min="13316" max="13321" width="7.33203125" style="139"/>
    <col min="13322" max="13322" width="7.33203125" style="139" customWidth="1"/>
    <col min="13323" max="13323" width="7.33203125" style="139"/>
    <col min="13324" max="13324" width="1.33203125" style="139" customWidth="1"/>
    <col min="13325" max="13325" width="5.88671875" style="139" customWidth="1"/>
    <col min="13326" max="13326" width="5.109375" style="139" customWidth="1"/>
    <col min="13327" max="13568" width="7.33203125" style="139"/>
    <col min="13569" max="13569" width="23.44140625" style="139" customWidth="1"/>
    <col min="13570" max="13570" width="1.44140625" style="139" customWidth="1"/>
    <col min="13571" max="13571" width="61.21875" style="139" customWidth="1"/>
    <col min="13572" max="13577" width="7.33203125" style="139"/>
    <col min="13578" max="13578" width="7.33203125" style="139" customWidth="1"/>
    <col min="13579" max="13579" width="7.33203125" style="139"/>
    <col min="13580" max="13580" width="1.33203125" style="139" customWidth="1"/>
    <col min="13581" max="13581" width="5.88671875" style="139" customWidth="1"/>
    <col min="13582" max="13582" width="5.109375" style="139" customWidth="1"/>
    <col min="13583" max="13824" width="7.33203125" style="139"/>
    <col min="13825" max="13825" width="23.44140625" style="139" customWidth="1"/>
    <col min="13826" max="13826" width="1.44140625" style="139" customWidth="1"/>
    <col min="13827" max="13827" width="61.21875" style="139" customWidth="1"/>
    <col min="13828" max="13833" width="7.33203125" style="139"/>
    <col min="13834" max="13834" width="7.33203125" style="139" customWidth="1"/>
    <col min="13835" max="13835" width="7.33203125" style="139"/>
    <col min="13836" max="13836" width="1.33203125" style="139" customWidth="1"/>
    <col min="13837" max="13837" width="5.88671875" style="139" customWidth="1"/>
    <col min="13838" max="13838" width="5.109375" style="139" customWidth="1"/>
    <col min="13839" max="14080" width="7.33203125" style="139"/>
    <col min="14081" max="14081" width="23.44140625" style="139" customWidth="1"/>
    <col min="14082" max="14082" width="1.44140625" style="139" customWidth="1"/>
    <col min="14083" max="14083" width="61.21875" style="139" customWidth="1"/>
    <col min="14084" max="14089" width="7.33203125" style="139"/>
    <col min="14090" max="14090" width="7.33203125" style="139" customWidth="1"/>
    <col min="14091" max="14091" width="7.33203125" style="139"/>
    <col min="14092" max="14092" width="1.33203125" style="139" customWidth="1"/>
    <col min="14093" max="14093" width="5.88671875" style="139" customWidth="1"/>
    <col min="14094" max="14094" width="5.109375" style="139" customWidth="1"/>
    <col min="14095" max="14336" width="7.33203125" style="139"/>
    <col min="14337" max="14337" width="23.44140625" style="139" customWidth="1"/>
    <col min="14338" max="14338" width="1.44140625" style="139" customWidth="1"/>
    <col min="14339" max="14339" width="61.21875" style="139" customWidth="1"/>
    <col min="14340" max="14345" width="7.33203125" style="139"/>
    <col min="14346" max="14346" width="7.33203125" style="139" customWidth="1"/>
    <col min="14347" max="14347" width="7.33203125" style="139"/>
    <col min="14348" max="14348" width="1.33203125" style="139" customWidth="1"/>
    <col min="14349" max="14349" width="5.88671875" style="139" customWidth="1"/>
    <col min="14350" max="14350" width="5.109375" style="139" customWidth="1"/>
    <col min="14351" max="14592" width="7.33203125" style="139"/>
    <col min="14593" max="14593" width="23.44140625" style="139" customWidth="1"/>
    <col min="14594" max="14594" width="1.44140625" style="139" customWidth="1"/>
    <col min="14595" max="14595" width="61.21875" style="139" customWidth="1"/>
    <col min="14596" max="14601" width="7.33203125" style="139"/>
    <col min="14602" max="14602" width="7.33203125" style="139" customWidth="1"/>
    <col min="14603" max="14603" width="7.33203125" style="139"/>
    <col min="14604" max="14604" width="1.33203125" style="139" customWidth="1"/>
    <col min="14605" max="14605" width="5.88671875" style="139" customWidth="1"/>
    <col min="14606" max="14606" width="5.109375" style="139" customWidth="1"/>
    <col min="14607" max="14848" width="7.33203125" style="139"/>
    <col min="14849" max="14849" width="23.44140625" style="139" customWidth="1"/>
    <col min="14850" max="14850" width="1.44140625" style="139" customWidth="1"/>
    <col min="14851" max="14851" width="61.21875" style="139" customWidth="1"/>
    <col min="14852" max="14857" width="7.33203125" style="139"/>
    <col min="14858" max="14858" width="7.33203125" style="139" customWidth="1"/>
    <col min="14859" max="14859" width="7.33203125" style="139"/>
    <col min="14860" max="14860" width="1.33203125" style="139" customWidth="1"/>
    <col min="14861" max="14861" width="5.88671875" style="139" customWidth="1"/>
    <col min="14862" max="14862" width="5.109375" style="139" customWidth="1"/>
    <col min="14863" max="15104" width="7.33203125" style="139"/>
    <col min="15105" max="15105" width="23.44140625" style="139" customWidth="1"/>
    <col min="15106" max="15106" width="1.44140625" style="139" customWidth="1"/>
    <col min="15107" max="15107" width="61.21875" style="139" customWidth="1"/>
    <col min="15108" max="15113" width="7.33203125" style="139"/>
    <col min="15114" max="15114" width="7.33203125" style="139" customWidth="1"/>
    <col min="15115" max="15115" width="7.33203125" style="139"/>
    <col min="15116" max="15116" width="1.33203125" style="139" customWidth="1"/>
    <col min="15117" max="15117" width="5.88671875" style="139" customWidth="1"/>
    <col min="15118" max="15118" width="5.109375" style="139" customWidth="1"/>
    <col min="15119" max="15360" width="7.33203125" style="139"/>
    <col min="15361" max="15361" width="23.44140625" style="139" customWidth="1"/>
    <col min="15362" max="15362" width="1.44140625" style="139" customWidth="1"/>
    <col min="15363" max="15363" width="61.21875" style="139" customWidth="1"/>
    <col min="15364" max="15369" width="7.33203125" style="139"/>
    <col min="15370" max="15370" width="7.33203125" style="139" customWidth="1"/>
    <col min="15371" max="15371" width="7.33203125" style="139"/>
    <col min="15372" max="15372" width="1.33203125" style="139" customWidth="1"/>
    <col min="15373" max="15373" width="5.88671875" style="139" customWidth="1"/>
    <col min="15374" max="15374" width="5.109375" style="139" customWidth="1"/>
    <col min="15375" max="15616" width="7.33203125" style="139"/>
    <col min="15617" max="15617" width="23.44140625" style="139" customWidth="1"/>
    <col min="15618" max="15618" width="1.44140625" style="139" customWidth="1"/>
    <col min="15619" max="15619" width="61.21875" style="139" customWidth="1"/>
    <col min="15620" max="15625" width="7.33203125" style="139"/>
    <col min="15626" max="15626" width="7.33203125" style="139" customWidth="1"/>
    <col min="15627" max="15627" width="7.33203125" style="139"/>
    <col min="15628" max="15628" width="1.33203125" style="139" customWidth="1"/>
    <col min="15629" max="15629" width="5.88671875" style="139" customWidth="1"/>
    <col min="15630" max="15630" width="5.109375" style="139" customWidth="1"/>
    <col min="15631" max="15872" width="7.33203125" style="139"/>
    <col min="15873" max="15873" width="23.44140625" style="139" customWidth="1"/>
    <col min="15874" max="15874" width="1.44140625" style="139" customWidth="1"/>
    <col min="15875" max="15875" width="61.21875" style="139" customWidth="1"/>
    <col min="15876" max="15881" width="7.33203125" style="139"/>
    <col min="15882" max="15882" width="7.33203125" style="139" customWidth="1"/>
    <col min="15883" max="15883" width="7.33203125" style="139"/>
    <col min="15884" max="15884" width="1.33203125" style="139" customWidth="1"/>
    <col min="15885" max="15885" width="5.88671875" style="139" customWidth="1"/>
    <col min="15886" max="15886" width="5.109375" style="139" customWidth="1"/>
    <col min="15887" max="16128" width="7.33203125" style="139"/>
    <col min="16129" max="16129" width="23.44140625" style="139" customWidth="1"/>
    <col min="16130" max="16130" width="1.44140625" style="139" customWidth="1"/>
    <col min="16131" max="16131" width="61.21875" style="139" customWidth="1"/>
    <col min="16132" max="16137" width="7.33203125" style="139"/>
    <col min="16138" max="16138" width="7.33203125" style="139" customWidth="1"/>
    <col min="16139" max="16139" width="7.33203125" style="139"/>
    <col min="16140" max="16140" width="1.33203125" style="139" customWidth="1"/>
    <col min="16141" max="16141" width="5.88671875" style="139" customWidth="1"/>
    <col min="16142" max="16142" width="5.109375" style="139" customWidth="1"/>
    <col min="16143" max="16384" width="7.33203125" style="139"/>
  </cols>
  <sheetData>
    <row r="1" spans="1:3" ht="15" customHeight="1">
      <c r="A1" s="138"/>
    </row>
    <row r="2" spans="1:3" ht="15" customHeight="1"/>
    <row r="3" spans="1:3" ht="15" customHeight="1">
      <c r="A3" s="836" t="s">
        <v>933</v>
      </c>
      <c r="B3" s="836"/>
      <c r="C3" s="836"/>
    </row>
    <row r="4" spans="1:3" ht="15" customHeight="1"/>
    <row r="5" spans="1:3" ht="15" customHeight="1">
      <c r="A5" s="836" t="s">
        <v>934</v>
      </c>
      <c r="B5" s="836"/>
      <c r="C5" s="836"/>
    </row>
    <row r="6" spans="1:3" ht="15" customHeight="1"/>
    <row r="7" spans="1:3" ht="15" customHeight="1">
      <c r="A7" s="837" t="str">
        <f>'Rate Case Constants'!C9</f>
        <v>LOUISVILLE GAS AND ELECTRIC COMPANY</v>
      </c>
      <c r="B7" s="836"/>
      <c r="C7" s="836"/>
    </row>
    <row r="8" spans="1:3" ht="15" customHeight="1"/>
    <row r="9" spans="1:3" ht="15" customHeight="1">
      <c r="A9" s="837" t="str">
        <f>'Rate Case Constants'!C10</f>
        <v>CASE NO. 2018-00295 - ELECTRIC OPERATIONS</v>
      </c>
      <c r="B9" s="836"/>
      <c r="C9" s="836"/>
    </row>
    <row r="10" spans="1:3" ht="15" customHeight="1"/>
    <row r="11" spans="1:3" ht="15" customHeight="1">
      <c r="A11" s="140" t="s">
        <v>935</v>
      </c>
      <c r="C11" s="146" t="str">
        <f>'Rate Case Constants'!C16</f>
        <v>FOR THE 12 MONTHS ENDED DECEMBER 31, 2018</v>
      </c>
    </row>
    <row r="12" spans="1:3" ht="15" customHeight="1"/>
    <row r="13" spans="1:3" ht="15" customHeight="1">
      <c r="A13" s="140" t="s">
        <v>936</v>
      </c>
      <c r="C13" s="146" t="str">
        <f>'Rate Case Constants'!C22</f>
        <v>FOR THE 12 MONTHS ENDED APRIL 30, 2020</v>
      </c>
    </row>
    <row r="14" spans="1:3" ht="15" customHeight="1"/>
    <row r="15" spans="1:3" ht="15" customHeight="1"/>
    <row r="16" spans="1:3" ht="15" customHeight="1"/>
    <row r="17" spans="1:9" ht="15" customHeight="1">
      <c r="A17" s="141" t="s">
        <v>683</v>
      </c>
      <c r="B17" s="142"/>
      <c r="C17" s="141" t="s">
        <v>165</v>
      </c>
      <c r="D17" s="143"/>
      <c r="E17" s="143"/>
      <c r="F17" s="143"/>
      <c r="G17" s="143"/>
      <c r="H17" s="143"/>
      <c r="I17" s="143"/>
    </row>
    <row r="18" spans="1:9" ht="15" customHeight="1"/>
    <row r="19" spans="1:9" ht="15" customHeight="1"/>
    <row r="20" spans="1:9" ht="15" customHeight="1">
      <c r="A20" s="144" t="s">
        <v>672</v>
      </c>
      <c r="B20" s="145"/>
      <c r="C20" s="144" t="s">
        <v>937</v>
      </c>
    </row>
    <row r="21" spans="1:9" ht="15" customHeight="1">
      <c r="A21" s="144" t="s">
        <v>218</v>
      </c>
      <c r="B21" s="145"/>
      <c r="C21" s="144" t="s">
        <v>938</v>
      </c>
    </row>
    <row r="22" spans="1:9" ht="15" customHeight="1">
      <c r="A22" s="144" t="s">
        <v>673</v>
      </c>
      <c r="B22" s="145"/>
      <c r="C22" s="144" t="s">
        <v>181</v>
      </c>
    </row>
    <row r="23" spans="1:9" ht="15" customHeight="1">
      <c r="A23" s="144" t="s">
        <v>674</v>
      </c>
      <c r="B23" s="145"/>
      <c r="C23" s="144" t="s">
        <v>175</v>
      </c>
    </row>
    <row r="24" spans="1:9" ht="15" customHeight="1">
      <c r="A24" s="139" t="s">
        <v>675</v>
      </c>
      <c r="C24" s="139" t="s">
        <v>939</v>
      </c>
    </row>
    <row r="25" spans="1:9" ht="15" customHeight="1">
      <c r="A25" s="139" t="s">
        <v>676</v>
      </c>
      <c r="C25" s="139" t="s">
        <v>139</v>
      </c>
    </row>
    <row r="26" spans="1:9" ht="15" customHeight="1">
      <c r="A26" s="139" t="s">
        <v>677</v>
      </c>
      <c r="C26" s="139" t="s">
        <v>146</v>
      </c>
    </row>
    <row r="27" spans="1:9" ht="15" customHeight="1">
      <c r="A27" s="139" t="s">
        <v>219</v>
      </c>
      <c r="C27" s="139" t="s">
        <v>155</v>
      </c>
    </row>
    <row r="28" spans="1:9" ht="15" customHeight="1">
      <c r="A28" s="139" t="s">
        <v>684</v>
      </c>
      <c r="C28" s="139" t="s">
        <v>168</v>
      </c>
    </row>
    <row r="29" spans="1:9" ht="15" customHeight="1">
      <c r="A29" s="139" t="s">
        <v>220</v>
      </c>
      <c r="C29" s="139" t="s">
        <v>233</v>
      </c>
    </row>
    <row r="30" spans="1:9" ht="15" customHeight="1">
      <c r="A30" s="139" t="s">
        <v>678</v>
      </c>
      <c r="C30" s="139" t="s">
        <v>240</v>
      </c>
    </row>
    <row r="31" spans="1:9" ht="15" customHeight="1">
      <c r="A31" s="139" t="s">
        <v>1397</v>
      </c>
      <c r="C31" s="139" t="s">
        <v>276</v>
      </c>
    </row>
    <row r="32" spans="1:9" ht="15" customHeight="1">
      <c r="A32" s="139" t="s">
        <v>222</v>
      </c>
      <c r="C32" s="139" t="s">
        <v>194</v>
      </c>
    </row>
    <row r="33" spans="1:5" ht="15" customHeight="1">
      <c r="A33" s="139" t="s">
        <v>679</v>
      </c>
      <c r="C33" s="139" t="s">
        <v>980</v>
      </c>
    </row>
    <row r="34" spans="1:5" ht="15" customHeight="1">
      <c r="A34" s="139" t="s">
        <v>1396</v>
      </c>
      <c r="C34" s="139" t="s">
        <v>252</v>
      </c>
    </row>
    <row r="35" spans="1:5" ht="15" customHeight="1">
      <c r="A35" s="139" t="s">
        <v>221</v>
      </c>
      <c r="C35" s="139" t="s">
        <v>367</v>
      </c>
    </row>
    <row r="36" spans="1:5" ht="15" customHeight="1">
      <c r="A36" s="139" t="s">
        <v>375</v>
      </c>
      <c r="C36" s="139" t="s">
        <v>380</v>
      </c>
    </row>
    <row r="37" spans="1:5" ht="15" customHeight="1">
      <c r="A37" s="139" t="s">
        <v>376</v>
      </c>
      <c r="C37" s="139" t="s">
        <v>381</v>
      </c>
    </row>
    <row r="38" spans="1:5" ht="15" customHeight="1">
      <c r="A38" s="139" t="s">
        <v>225</v>
      </c>
      <c r="C38" s="139" t="s">
        <v>940</v>
      </c>
    </row>
    <row r="39" spans="1:5" ht="15" customHeight="1">
      <c r="A39" s="139" t="s">
        <v>680</v>
      </c>
      <c r="C39" s="139" t="s">
        <v>941</v>
      </c>
    </row>
    <row r="40" spans="1:5" ht="15" customHeight="1">
      <c r="A40" s="139" t="s">
        <v>681</v>
      </c>
      <c r="C40" s="139" t="s">
        <v>585</v>
      </c>
    </row>
    <row r="41" spans="1:5" ht="15" customHeight="1">
      <c r="A41" s="139" t="s">
        <v>682</v>
      </c>
      <c r="C41" s="139" t="s">
        <v>942</v>
      </c>
    </row>
    <row r="42" spans="1:5" ht="15" customHeight="1">
      <c r="A42" s="139" t="s">
        <v>685</v>
      </c>
      <c r="C42" s="139" t="s">
        <v>572</v>
      </c>
    </row>
    <row r="43" spans="1:5">
      <c r="D43" s="126"/>
      <c r="E43" s="126"/>
    </row>
    <row r="44" spans="1:5">
      <c r="D44" s="126"/>
      <c r="E44" s="126"/>
    </row>
    <row r="45" spans="1:5">
      <c r="D45" s="126"/>
      <c r="E45" s="126"/>
    </row>
    <row r="46" spans="1:5">
      <c r="D46" s="126"/>
      <c r="E46" s="126"/>
    </row>
    <row r="47" spans="1:5">
      <c r="D47" s="126"/>
      <c r="E47" s="126"/>
    </row>
    <row r="48" spans="1:5">
      <c r="D48" s="126"/>
      <c r="E48" s="126"/>
    </row>
    <row r="49" spans="4:5">
      <c r="D49" s="126"/>
      <c r="E49" s="126"/>
    </row>
    <row r="50" spans="4:5">
      <c r="D50" s="126"/>
      <c r="E50" s="126"/>
    </row>
    <row r="51" spans="4:5">
      <c r="D51" s="126"/>
      <c r="E51" s="126"/>
    </row>
    <row r="52" spans="4:5">
      <c r="D52" s="126"/>
      <c r="E52" s="12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tabSelected="1" zoomScale="85" zoomScaleNormal="85" workbookViewId="0">
      <selection activeCell="K11" sqref="K11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5.88671875" style="17" customWidth="1"/>
    <col min="4" max="4" width="14.77734375" style="17" customWidth="1"/>
    <col min="5" max="5" width="3.77734375" style="17" customWidth="1"/>
    <col min="6" max="6" width="14.77734375" style="17" customWidth="1"/>
    <col min="7" max="7" width="1.6640625" style="17" customWidth="1"/>
    <col min="8" max="8" width="9" style="17"/>
    <col min="9" max="9" width="9" style="17" customWidth="1"/>
    <col min="10" max="16384" width="9" style="17"/>
  </cols>
  <sheetData>
    <row r="1" spans="1:6" s="16" customFormat="1" ht="20.100000000000001" customHeight="1">
      <c r="A1" s="831" t="str">
        <f>'Rate Case Constants'!C9</f>
        <v>LOUISVILLE GAS AND ELECTRIC COMPANY</v>
      </c>
      <c r="B1" s="831"/>
      <c r="C1" s="831"/>
      <c r="D1" s="831"/>
      <c r="E1" s="831"/>
      <c r="F1" s="831"/>
    </row>
    <row r="2" spans="1:6" s="16" customFormat="1" ht="20.100000000000001" customHeight="1">
      <c r="A2" s="831" t="str">
        <f>'Rate Case Constants'!C10</f>
        <v>CASE NO. 2018-00295 - ELECTRIC OPERATIONS</v>
      </c>
      <c r="B2" s="831"/>
      <c r="C2" s="831"/>
      <c r="D2" s="831"/>
      <c r="E2" s="831"/>
      <c r="F2" s="831"/>
    </row>
    <row r="3" spans="1:6" s="16" customFormat="1" ht="20.100000000000001" customHeight="1">
      <c r="A3" s="831" t="s">
        <v>209</v>
      </c>
      <c r="B3" s="831"/>
      <c r="C3" s="831"/>
      <c r="D3" s="831"/>
      <c r="E3" s="831"/>
      <c r="F3" s="831"/>
    </row>
    <row r="4" spans="1:6" s="16" customFormat="1" ht="20.100000000000001" customHeight="1">
      <c r="A4" s="831" t="str">
        <f>'Rate Case Constants'!C12</f>
        <v>AS OF DECEMBER 31, 2018</v>
      </c>
      <c r="B4" s="831"/>
      <c r="C4" s="831"/>
      <c r="D4" s="831"/>
      <c r="E4" s="831"/>
      <c r="F4" s="831"/>
    </row>
    <row r="5" spans="1:6" s="16" customFormat="1" ht="20.100000000000001" customHeight="1">
      <c r="A5" s="832" t="str">
        <f>'Rate Case Constants'!C18</f>
        <v>AS OF APRIL 30, 2020</v>
      </c>
      <c r="B5" s="831"/>
      <c r="C5" s="831"/>
      <c r="D5" s="831"/>
      <c r="E5" s="831"/>
      <c r="F5" s="831"/>
    </row>
    <row r="6" spans="1:6" s="16" customFormat="1" ht="20.100000000000001" customHeight="1">
      <c r="A6" s="32"/>
      <c r="B6" s="32"/>
      <c r="C6" s="32"/>
      <c r="D6" s="32"/>
      <c r="E6" s="32"/>
      <c r="F6" s="32"/>
    </row>
    <row r="7" spans="1:6" s="16" customFormat="1" ht="20.100000000000001" customHeight="1">
      <c r="A7" s="15" t="s">
        <v>134</v>
      </c>
      <c r="E7" s="22"/>
      <c r="F7" s="22" t="s">
        <v>208</v>
      </c>
    </row>
    <row r="8" spans="1:6" s="16" customFormat="1" ht="20.100000000000001" customHeight="1">
      <c r="A8" s="16" t="str">
        <f>'Rate Case Constants'!C29</f>
        <v>TYPE OF FILING: _____ ORIGINAL  _____ UPDATED  __X__ REVISED</v>
      </c>
      <c r="E8" s="22"/>
      <c r="F8" s="22" t="s">
        <v>136</v>
      </c>
    </row>
    <row r="9" spans="1:6" s="16" customFormat="1" ht="20.100000000000001" customHeight="1">
      <c r="A9" s="15" t="s">
        <v>230</v>
      </c>
      <c r="E9" s="23"/>
      <c r="F9" s="23" t="str">
        <f>'Rate Case Constants'!C36</f>
        <v>WITNESS:   C. M. GARRETT</v>
      </c>
    </row>
    <row r="10" spans="1:6" s="16" customFormat="1" ht="20.100000000000001" customHeight="1"/>
    <row r="11" spans="1:6" ht="58.5" customHeight="1">
      <c r="A11" s="24" t="s">
        <v>92</v>
      </c>
      <c r="B11" s="27" t="s">
        <v>210</v>
      </c>
      <c r="C11" s="24" t="s">
        <v>211</v>
      </c>
      <c r="D11" s="24" t="s">
        <v>212</v>
      </c>
      <c r="E11" s="24"/>
      <c r="F11" s="24" t="s">
        <v>213</v>
      </c>
    </row>
    <row r="12" spans="1:6" ht="23.1" customHeight="1">
      <c r="A12" s="28"/>
      <c r="B12" s="29"/>
      <c r="C12" s="29"/>
      <c r="D12" s="30" t="s">
        <v>103</v>
      </c>
      <c r="E12" s="30"/>
      <c r="F12" s="30" t="s">
        <v>103</v>
      </c>
    </row>
    <row r="13" spans="1:6" ht="23.1" customHeight="1">
      <c r="A13" s="21"/>
      <c r="B13" s="26" t="s">
        <v>205</v>
      </c>
      <c r="C13" s="19"/>
      <c r="D13" s="43"/>
      <c r="E13" s="43"/>
      <c r="F13" s="43"/>
    </row>
    <row r="14" spans="1:6" ht="18.95" customHeight="1">
      <c r="A14" s="18">
        <v>1</v>
      </c>
      <c r="B14" s="26" t="s">
        <v>16</v>
      </c>
      <c r="C14" s="19" t="s">
        <v>218</v>
      </c>
      <c r="D14" s="34">
        <f>'SCH B-2'!G29</f>
        <v>4590528403.9866991</v>
      </c>
      <c r="E14" s="34"/>
      <c r="F14" s="34">
        <f>'SCH B-2'!G59</f>
        <v>4709619046.6356344</v>
      </c>
    </row>
    <row r="15" spans="1:6" ht="18.95" customHeight="1">
      <c r="A15" s="18">
        <v>2</v>
      </c>
      <c r="B15" s="26" t="s">
        <v>217</v>
      </c>
      <c r="C15" s="19" t="s">
        <v>219</v>
      </c>
      <c r="D15" s="34">
        <f>'SCH B-2.6'!D27</f>
        <v>3120150.31</v>
      </c>
      <c r="E15" s="34"/>
      <c r="F15" s="34">
        <f>'SCH B-2.6'!D55</f>
        <v>3120150.31</v>
      </c>
    </row>
    <row r="16" spans="1:6" ht="18.95" customHeight="1">
      <c r="A16" s="18">
        <v>3</v>
      </c>
      <c r="B16" s="26" t="s">
        <v>214</v>
      </c>
      <c r="C16" s="19" t="s">
        <v>220</v>
      </c>
      <c r="D16" s="52">
        <f>'SCH B-3 B'!I133+'SCH B-2.6'!E27</f>
        <v>-1738844872.5923698</v>
      </c>
      <c r="E16" s="34"/>
      <c r="F16" s="37">
        <f>'SCH B-3 F'!I133+'SCH B-2.6'!E55</f>
        <v>-1768064904.267653</v>
      </c>
    </row>
    <row r="17" spans="1:6" ht="18.95" customHeight="1">
      <c r="A17" s="18">
        <v>4</v>
      </c>
      <c r="B17" s="26" t="s">
        <v>241</v>
      </c>
      <c r="C17" s="19"/>
      <c r="D17" s="34">
        <f>SUM(D14:D16)</f>
        <v>2854803681.7043295</v>
      </c>
      <c r="E17" s="34"/>
      <c r="F17" s="34">
        <f>SUM(F14:F16)</f>
        <v>2944674292.6779819</v>
      </c>
    </row>
    <row r="18" spans="1:6" ht="18.95" customHeight="1">
      <c r="A18" s="18">
        <v>5</v>
      </c>
      <c r="B18" s="26" t="s">
        <v>215</v>
      </c>
      <c r="C18" s="19" t="s">
        <v>222</v>
      </c>
      <c r="D18" s="52">
        <f>'SCH B-4'!J26</f>
        <v>42298869.490799785</v>
      </c>
      <c r="E18" s="34"/>
      <c r="F18" s="37">
        <f>'SCH B-4'!J54</f>
        <v>81468642.976915151</v>
      </c>
    </row>
    <row r="19" spans="1:6" ht="18.95" customHeight="1">
      <c r="A19" s="18">
        <v>6</v>
      </c>
      <c r="B19" s="26" t="s">
        <v>242</v>
      </c>
      <c r="C19" s="19"/>
      <c r="D19" s="34">
        <f>SUM(D17:D18)</f>
        <v>2897102551.1951294</v>
      </c>
      <c r="E19" s="34"/>
      <c r="F19" s="34">
        <f>SUM(F17:F18)</f>
        <v>3026142935.6548972</v>
      </c>
    </row>
    <row r="20" spans="1:6" ht="8.25" customHeight="1">
      <c r="A20" s="18"/>
      <c r="B20" s="26"/>
      <c r="C20" s="19"/>
      <c r="D20" s="34"/>
      <c r="E20" s="34"/>
      <c r="F20" s="36"/>
    </row>
    <row r="21" spans="1:6" ht="18.95" customHeight="1">
      <c r="A21" s="18">
        <v>7</v>
      </c>
      <c r="B21" s="26" t="s">
        <v>216</v>
      </c>
      <c r="C21" s="19" t="s">
        <v>221</v>
      </c>
      <c r="D21" s="34">
        <f ca="1">'SCH B-5'!G21</f>
        <v>73971526.35046944</v>
      </c>
      <c r="E21" s="34"/>
      <c r="F21" s="36">
        <f>'SCH B-5'!G49</f>
        <v>116280797.77808094</v>
      </c>
    </row>
    <row r="22" spans="1:6" ht="18.95" customHeight="1">
      <c r="A22" s="18">
        <v>8</v>
      </c>
      <c r="B22" s="26" t="s">
        <v>223</v>
      </c>
      <c r="C22" s="19" t="s">
        <v>221</v>
      </c>
      <c r="D22" s="34">
        <f>SUM('SCH B-5'!G13:G19)</f>
        <v>90757342.837328017</v>
      </c>
      <c r="E22" s="34"/>
      <c r="F22" s="36">
        <f>SUM('SCH B-5'!G41:G47)</f>
        <v>86291870.818324223</v>
      </c>
    </row>
    <row r="23" spans="1:6" ht="18.95" customHeight="1">
      <c r="A23" s="18">
        <v>9</v>
      </c>
      <c r="B23" s="26" t="s">
        <v>224</v>
      </c>
      <c r="C23" s="19" t="s">
        <v>225</v>
      </c>
      <c r="D23" s="34">
        <f>-'SCH B-6'!H12</f>
        <v>-6462454.9470801083</v>
      </c>
      <c r="E23" s="34"/>
      <c r="F23" s="36">
        <f>-'SCH B-6'!H34</f>
        <v>-6462454.9470801074</v>
      </c>
    </row>
    <row r="24" spans="1:6" ht="18.95" customHeight="1">
      <c r="A24" s="18">
        <v>10</v>
      </c>
      <c r="B24" s="26" t="s">
        <v>226</v>
      </c>
      <c r="C24" s="19" t="s">
        <v>225</v>
      </c>
      <c r="D24" s="34">
        <f>-'SCH B-6'!H16</f>
        <v>-674479100.82544374</v>
      </c>
      <c r="E24" s="34"/>
      <c r="F24" s="36">
        <f>-'SCH B-6'!H38</f>
        <v>-672124526.98267174</v>
      </c>
    </row>
    <row r="25" spans="1:6" ht="18.95" customHeight="1">
      <c r="A25" s="18">
        <v>11</v>
      </c>
      <c r="B25" s="26" t="s">
        <v>227</v>
      </c>
      <c r="C25" s="19" t="s">
        <v>225</v>
      </c>
      <c r="D25" s="34">
        <f>-'SCH B-6'!H14</f>
        <v>0</v>
      </c>
      <c r="E25" s="34"/>
      <c r="F25" s="36">
        <f>-'SCH B-6'!H36</f>
        <v>0</v>
      </c>
    </row>
    <row r="26" spans="1:6" ht="18.95" customHeight="1">
      <c r="A26" s="18">
        <v>12</v>
      </c>
      <c r="B26" s="26" t="s">
        <v>228</v>
      </c>
      <c r="C26" s="19" t="s">
        <v>225</v>
      </c>
      <c r="D26" s="52">
        <f>-'SCH B-6'!H18</f>
        <v>0</v>
      </c>
      <c r="E26" s="34"/>
      <c r="F26" s="37">
        <f>-'SCH B-6'!H40</f>
        <v>0</v>
      </c>
    </row>
    <row r="27" spans="1:6" ht="18.95" customHeight="1">
      <c r="A27" s="18"/>
      <c r="B27" s="26"/>
      <c r="C27" s="19"/>
      <c r="D27" s="34"/>
      <c r="E27" s="34"/>
      <c r="F27" s="36"/>
    </row>
    <row r="28" spans="1:6" ht="18.95" customHeight="1" thickBot="1">
      <c r="A28" s="18">
        <v>13</v>
      </c>
      <c r="B28" s="26" t="s">
        <v>229</v>
      </c>
      <c r="C28" s="19"/>
      <c r="D28" s="42">
        <f ca="1">SUM(D19:D26)</f>
        <v>2380889864.6104031</v>
      </c>
      <c r="E28" s="34"/>
      <c r="F28" s="42">
        <f>SUM(F19:F26)</f>
        <v>2550128622.3215504</v>
      </c>
    </row>
    <row r="29" spans="1:6" ht="18.95" customHeight="1" thickTop="1">
      <c r="A29" s="18"/>
      <c r="B29" s="26"/>
      <c r="C29" s="19"/>
      <c r="D29" s="34"/>
      <c r="E29" s="34"/>
      <c r="F29" s="36"/>
    </row>
    <row r="30" spans="1:6" ht="18.95" customHeight="1">
      <c r="A30" s="18"/>
      <c r="B30" s="26"/>
      <c r="C30" s="19"/>
      <c r="D30" s="34"/>
      <c r="E30" s="34"/>
      <c r="F30" s="36"/>
    </row>
    <row r="31" spans="1:6" ht="18.95" customHeight="1">
      <c r="A31" s="18"/>
      <c r="B31" s="26"/>
      <c r="C31" s="19"/>
      <c r="D31" s="34"/>
      <c r="E31" s="34"/>
      <c r="F31" s="34"/>
    </row>
    <row r="32" spans="1:6" ht="18.95" customHeight="1">
      <c r="A32" s="18"/>
      <c r="B32" s="26"/>
      <c r="C32" s="19"/>
      <c r="D32" s="34"/>
      <c r="E32" s="34"/>
      <c r="F32" s="36"/>
    </row>
    <row r="33" spans="1:6" ht="18.95" customHeight="1">
      <c r="A33" s="18"/>
      <c r="B33" s="26"/>
      <c r="C33" s="19"/>
      <c r="D33" s="34"/>
      <c r="E33" s="34"/>
      <c r="F33" s="36"/>
    </row>
    <row r="34" spans="1:6" ht="18.95" customHeight="1">
      <c r="A34" s="18"/>
      <c r="B34" s="26"/>
      <c r="C34" s="19"/>
      <c r="D34" s="34"/>
      <c r="E34" s="34"/>
      <c r="F34" s="36"/>
    </row>
    <row r="35" spans="1:6" ht="18.95" customHeight="1">
      <c r="A35" s="18"/>
      <c r="B35" s="26"/>
      <c r="C35" s="19"/>
      <c r="D35" s="34"/>
      <c r="E35" s="34"/>
      <c r="F35" s="36"/>
    </row>
    <row r="36" spans="1:6" ht="18.95" customHeight="1">
      <c r="A36" s="18"/>
      <c r="B36" s="26"/>
      <c r="C36" s="19"/>
      <c r="D36" s="34"/>
      <c r="E36" s="34"/>
      <c r="F36" s="36"/>
    </row>
    <row r="37" spans="1:6" ht="18.95" customHeight="1">
      <c r="A37" s="18"/>
      <c r="B37" s="26"/>
      <c r="C37" s="19"/>
      <c r="D37" s="34"/>
      <c r="E37" s="34"/>
      <c r="F37" s="36"/>
    </row>
    <row r="38" spans="1:6" ht="18.95" customHeight="1">
      <c r="A38" s="18"/>
      <c r="B38" s="26"/>
      <c r="C38" s="19"/>
      <c r="D38" s="34"/>
      <c r="E38" s="34"/>
      <c r="F38" s="36"/>
    </row>
    <row r="39" spans="1:6" ht="18.95" customHeight="1">
      <c r="A39" s="18"/>
      <c r="B39" s="26"/>
      <c r="C39" s="19"/>
      <c r="D39" s="34"/>
      <c r="E39" s="34"/>
      <c r="F39" s="36"/>
    </row>
    <row r="40" spans="1:6" ht="18.95" customHeight="1">
      <c r="A40" s="18"/>
      <c r="B40" s="26"/>
      <c r="C40" s="19"/>
      <c r="D40" s="34"/>
      <c r="E40" s="34"/>
      <c r="F40" s="36"/>
    </row>
    <row r="41" spans="1:6" ht="18.95" customHeight="1">
      <c r="A41" s="18"/>
      <c r="B41" s="26"/>
      <c r="C41" s="19"/>
      <c r="D41" s="34"/>
      <c r="E41" s="34"/>
      <c r="F41" s="36"/>
    </row>
    <row r="42" spans="1:6" ht="18.95" customHeight="1">
      <c r="A42" s="18"/>
      <c r="B42" s="26"/>
      <c r="C42" s="19"/>
      <c r="D42" s="34"/>
      <c r="E42" s="34"/>
      <c r="F42" s="36"/>
    </row>
    <row r="43" spans="1:6" ht="18.95" customHeight="1">
      <c r="A43" s="18"/>
      <c r="B43" s="26"/>
      <c r="C43" s="19"/>
      <c r="D43" s="34"/>
      <c r="E43" s="34"/>
      <c r="F43" s="36"/>
    </row>
    <row r="44" spans="1:6" ht="18.95" customHeight="1">
      <c r="A44" s="18"/>
      <c r="B44" s="26"/>
      <c r="C44" s="19"/>
      <c r="D44" s="34"/>
      <c r="E44" s="34"/>
      <c r="F44" s="36"/>
    </row>
    <row r="45" spans="1:6" ht="18.95" customHeight="1">
      <c r="A45" s="18"/>
      <c r="B45" s="26"/>
      <c r="C45" s="19"/>
      <c r="D45" s="34"/>
      <c r="E45" s="34"/>
      <c r="F45" s="36"/>
    </row>
    <row r="46" spans="1:6" ht="18.95" customHeight="1">
      <c r="A46" s="18"/>
      <c r="B46" s="26"/>
      <c r="C46" s="19"/>
      <c r="D46" s="34"/>
      <c r="E46" s="34"/>
      <c r="F46" s="36"/>
    </row>
    <row r="47" spans="1:6" ht="18.95" customHeight="1">
      <c r="A47" s="18"/>
      <c r="B47" s="26"/>
      <c r="C47" s="19"/>
      <c r="D47" s="34"/>
      <c r="E47" s="34"/>
      <c r="F47" s="3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41</vt:i4>
      </vt:variant>
    </vt:vector>
  </HeadingPairs>
  <TitlesOfParts>
    <vt:vector size="110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IS TC</vt:lpstr>
      <vt:lpstr>BS CWC</vt:lpstr>
      <vt:lpstr>Lead Lag Days</vt:lpstr>
      <vt:lpstr>INV</vt:lpstr>
      <vt:lpstr>TC1 Disallowance</vt:lpstr>
      <vt:lpstr>DEFTAX B</vt:lpstr>
      <vt:lpstr>DEFTAX F</vt:lpstr>
      <vt:lpstr>ECR DEFTAX</vt:lpstr>
      <vt:lpstr>DSM DEFTAX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'SCH C-2.1 B'!Print_Area</vt:lpstr>
      <vt:lpstr>'SCH C-2.1 F'!Print_Area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2018-09-27T17:25:14Z</dcterms:created>
  <dcterms:modified xsi:type="dcterms:W3CDTF">2019-01-07T19:15:45Z</dcterms:modified>
</cp:coreProperties>
</file>